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WOMEN'S RUGBY/2026/"/>
    </mc:Choice>
  </mc:AlternateContent>
  <xr:revisionPtr revIDLastSave="2406" documentId="8_{14EA60E4-AD17-42B7-A4EE-8F9DCA532BDB}" xr6:coauthVersionLast="47" xr6:coauthVersionMax="47" xr10:uidLastSave="{F6C6BBBD-57A1-48E8-B76C-E6ECEED1B463}"/>
  <bookViews>
    <workbookView xWindow="-26192" yWindow="747" windowWidth="26301" windowHeight="14169" tabRatio="993" xr2:uid="{00000000-000D-0000-FFFF-FFFF00000000}"/>
  </bookViews>
  <sheets>
    <sheet name="Res" sheetId="34" r:id="rId1"/>
    <sheet name="6N Stats" sheetId="31" r:id="rId2"/>
    <sheet name="6N Cds" sheetId="32" r:id="rId3"/>
    <sheet name="P4 Stats" sheetId="45" r:id="rId4"/>
    <sheet name="P4 Cds" sheetId="47" r:id="rId5"/>
    <sheet name="WXV Stats" sheetId="54" r:id="rId6"/>
    <sheet name="WXV Cds" sheetId="50" r:id="rId7"/>
    <sheet name="AUS" sheetId="35" r:id="rId8"/>
    <sheet name="BRA" sheetId="53" r:id="rId9"/>
    <sheet name="CAN" sheetId="38" r:id="rId10"/>
    <sheet name="ENG" sheetId="11" r:id="rId11"/>
    <sheet name="FIJ" sheetId="36" r:id="rId12"/>
    <sheet name="FRA" sheetId="13" r:id="rId13"/>
    <sheet name="IRE" sheetId="16" r:id="rId14"/>
    <sheet name="ITA" sheetId="17" r:id="rId15"/>
    <sheet name="JPN" sheetId="37" r:id="rId16"/>
    <sheet name="NZL" sheetId="40" r:id="rId17"/>
    <sheet name="SAM" sheetId="52" r:id="rId18"/>
    <sheet name="SCO" sheetId="25" r:id="rId19"/>
    <sheet name="RSA" sheetId="41" r:id="rId20"/>
    <sheet name="ESP" sheetId="51" r:id="rId21"/>
    <sheet name="USA" sheetId="39" r:id="rId22"/>
    <sheet name="WAL" sheetId="30" r:id="rId23"/>
  </sheets>
  <externalReferences>
    <externalReference r:id="rId24"/>
    <externalReference r:id="rId25"/>
    <externalReference r:id="rId26"/>
    <externalReference r:id="rId27"/>
  </externalReferences>
  <definedNames>
    <definedName name="alltestshistlost">#REF!</definedName>
    <definedName name="alltestshistwon">#REF!</definedName>
    <definedName name="arg2019dg">#REF!</definedName>
    <definedName name="arg2019drawn">#REF!</definedName>
    <definedName name="arg2019lost">#REF!</definedName>
    <definedName name="arg2019played">#REF!</definedName>
    <definedName name="arg2019ptsconc">#REF!</definedName>
    <definedName name="arg2019ptsscored">#REF!</definedName>
    <definedName name="arg2019rwcdrawn">#REF!</definedName>
    <definedName name="arg2019rwclost">#REF!</definedName>
    <definedName name="arg2019rwcplayed">#REF!</definedName>
    <definedName name="arg2019rwcptsconc">#REF!</definedName>
    <definedName name="arg2019rwcptsscored">#REF!</definedName>
    <definedName name="arg2019rwcrc">#REF!</definedName>
    <definedName name="arg2019rwctriesconc">#REF!</definedName>
    <definedName name="arg2019rwctriesscored">#REF!</definedName>
    <definedName name="arg2019rwcwon">#REF!</definedName>
    <definedName name="arg2019rwcyc">#REF!</definedName>
    <definedName name="arg2019triesconc">#REF!</definedName>
    <definedName name="arg2019triesscored">#REF!</definedName>
    <definedName name="arg2019won">#REF!</definedName>
    <definedName name="Argentinaalltestsdrawn">#REF!</definedName>
    <definedName name="Argentinaalltestslost">#REF!</definedName>
    <definedName name="Argentinaalltestsplayed">#REF!</definedName>
    <definedName name="Argentinaalltestsptsagainst">#REF!</definedName>
    <definedName name="Argentinaalltestsptsscored">#REF!</definedName>
    <definedName name="Argentinaallteststriesscored">#REF!</definedName>
    <definedName name="Argentinaalltestswon">#REF!</definedName>
    <definedName name="ArgentinaWChistdrawn">#REF!</definedName>
    <definedName name="ArgentinaWChistlost">#REF!</definedName>
    <definedName name="ArgentinaWChistplayed">#REF!</definedName>
    <definedName name="ArgentinaWChistptsagainst">#REF!</definedName>
    <definedName name="ArgentinaWChistptsscored">#REF!</definedName>
    <definedName name="ArgentinaWChisttriesscored">#REF!</definedName>
    <definedName name="ArgentinaWChistwon">#REF!</definedName>
    <definedName name="argoveralllb">#REF!</definedName>
    <definedName name="argoverallptsag">#REF!</definedName>
    <definedName name="argoverallptsfor">#REF!</definedName>
    <definedName name="argoverallreds">#REF!</definedName>
    <definedName name="argoveralltb">#REF!</definedName>
    <definedName name="argoveralltbcon">#REF!</definedName>
    <definedName name="argoveralltries">#REF!</definedName>
    <definedName name="argoveralltriescon">#REF!</definedName>
    <definedName name="argoverallyellows">#REF!</definedName>
    <definedName name="ArgPool2019drawn">#REF!</definedName>
    <definedName name="ArgPool2019lost">#REF!</definedName>
    <definedName name="ArgPool2019won">#REF!</definedName>
    <definedName name="ArgPoolagainst">#REF!</definedName>
    <definedName name="Argpooldrawn">#REF!</definedName>
    <definedName name="ArgPoolfor">#REF!</definedName>
    <definedName name="Argpoollb">#REF!</definedName>
    <definedName name="ArgPoollbfor">#REF!</definedName>
    <definedName name="argpoollbscored">#REF!</definedName>
    <definedName name="Argpoollost">#REF!</definedName>
    <definedName name="ArgPoolplayed">#REF!</definedName>
    <definedName name="Argpoolpld">#REF!</definedName>
    <definedName name="Argpoolptsag">#REF!</definedName>
    <definedName name="Argpoolreds">#REF!</definedName>
    <definedName name="Argpooltb">#REF!</definedName>
    <definedName name="ArgPooltbagainst">#REF!</definedName>
    <definedName name="Argpooltbcon">#REF!</definedName>
    <definedName name="ArgPooltbfor">#REF!</definedName>
    <definedName name="argpooltbscored">#REF!</definedName>
    <definedName name="ArgPooltriesagainst">#REF!</definedName>
    <definedName name="Argpooltriescon">#REF!</definedName>
    <definedName name="argpooltriesconcorrect">#REF!</definedName>
    <definedName name="Argpooltriesfor">#REF!</definedName>
    <definedName name="ArgPooltriesscored">#REF!</definedName>
    <definedName name="argpooltriesscoredcorrect">#REF!</definedName>
    <definedName name="Argpoolwon">#REF!</definedName>
    <definedName name="Argpoolyellows">#REF!</definedName>
    <definedName name="Argptsfor">#REF!</definedName>
    <definedName name="Aus2019pooldrawn">#REF!</definedName>
    <definedName name="Aus2019poollbcon">#REF!</definedName>
    <definedName name="Aus2019poollbscored">#REF!</definedName>
    <definedName name="Aus2019poollost">#REF!</definedName>
    <definedName name="Aus2019poolplayed">#REF!</definedName>
    <definedName name="Aus2019poolptsagainst">#REF!</definedName>
    <definedName name="Aus2019poolptsscored">#REF!</definedName>
    <definedName name="Aus2019pooltbcon">#REF!</definedName>
    <definedName name="Aus2019pooltbscored">#REF!</definedName>
    <definedName name="Aus2019pooltriesconc">#REF!</definedName>
    <definedName name="Aus2019pooltriesscored">#REF!</definedName>
    <definedName name="Aus2019poolwon">#REF!</definedName>
    <definedName name="Aus2019rwcdrawn">#REF!</definedName>
    <definedName name="Aus2019rwclost">#REF!</definedName>
    <definedName name="Aus2019rwclostcorrect">#REF!</definedName>
    <definedName name="Aus2019rwcplayed">#REF!</definedName>
    <definedName name="Aus2019rwcptsagainst">#REF!</definedName>
    <definedName name="Aus2019rwcptsscored">#REF!</definedName>
    <definedName name="Aus2019rwcrc">#REF!</definedName>
    <definedName name="Aus2019rwctriesconc">#REF!</definedName>
    <definedName name="Aus2019rwctriesscored">#REF!</definedName>
    <definedName name="Aus2019rwcwon">#REF!</definedName>
    <definedName name="Aus2019rwcyc">#REF!</definedName>
    <definedName name="aus2021wcpooldrawn">AUS!#REF!</definedName>
    <definedName name="aus2021wcpoollbscored">AUS!#REF!</definedName>
    <definedName name="aus2021wcpoollost">AUS!#REF!</definedName>
    <definedName name="aus2021wcpoolplayed">AUS!#REF!</definedName>
    <definedName name="aus2021wcpoolpointsagainst">AUS!#REF!</definedName>
    <definedName name="aus2021wcpoolpointsscored">AUS!#REF!</definedName>
    <definedName name="Aus2021wcpooltbscored">AUS!#REF!</definedName>
    <definedName name="aus2021wcpooltriesconceded">AUS!#REF!</definedName>
    <definedName name="aus2021wcpooltriesscored">AUS!#REF!</definedName>
    <definedName name="aus2021wcpoolwon">AUS!#REF!</definedName>
    <definedName name="aus2021wcrc">AUS!#REF!</definedName>
    <definedName name="aus2021wcrccorrect">AUS!#REF!</definedName>
    <definedName name="aus2021wctbcon">AUS!#REF!</definedName>
    <definedName name="aus2021wcyc">AUS!#REF!</definedName>
    <definedName name="ausbp">#REF!</definedName>
    <definedName name="ausd">#REF!</definedName>
    <definedName name="ausl">#REF!</definedName>
    <definedName name="auslb">#REF!</definedName>
    <definedName name="auslbcon">#REF!</definedName>
    <definedName name="ausoveralldrawn">#REF!</definedName>
    <definedName name="ausoveralllost">#REF!</definedName>
    <definedName name="ausoverallpld">#REF!</definedName>
    <definedName name="ausoverallptsaga">#REF!</definedName>
    <definedName name="ausoverallptsfor">#REF!</definedName>
    <definedName name="ausoveralltriescon">#REF!</definedName>
    <definedName name="ausoveralltriesscored">#REF!</definedName>
    <definedName name="ausoverallwon">#REF!</definedName>
    <definedName name="ausp4drawn">AUS!$AB$14</definedName>
    <definedName name="ausp4lb">AUS!$I$14</definedName>
    <definedName name="ausp4lost">AUS!$AC$14</definedName>
    <definedName name="ausp4played">AUS!$Z$14</definedName>
    <definedName name="ausp4ptsconc">AUS!$G$14</definedName>
    <definedName name="ausp4ptsscored">AUS!$F$14</definedName>
    <definedName name="ausp4rc">AUS!$O$14</definedName>
    <definedName name="ausp4tb">AUS!$H$14</definedName>
    <definedName name="ausp4triesconc">AUS!$R$14</definedName>
    <definedName name="ausp4triesscored">AUS!$J$14</definedName>
    <definedName name="ausp4won">AUS!$AA$14</definedName>
    <definedName name="ausp4yc">AUS!$N$14</definedName>
    <definedName name="auspl">#REF!</definedName>
    <definedName name="auspooldrawn">#REF!</definedName>
    <definedName name="auspoollb">#REF!</definedName>
    <definedName name="auspoollost">#REF!</definedName>
    <definedName name="auspoolpld">#REF!</definedName>
    <definedName name="auspoolptsag">#REF!</definedName>
    <definedName name="auspoolptsfor">#REF!</definedName>
    <definedName name="auspooltb">#REF!</definedName>
    <definedName name="auspooltriescon">#REF!</definedName>
    <definedName name="auspooltriesscored">#REF!</definedName>
    <definedName name="auspoolwon">#REF!</definedName>
    <definedName name="ausptsa">#REF!</definedName>
    <definedName name="ausptsf">#REF!</definedName>
    <definedName name="ausred">#REF!</definedName>
    <definedName name="austb">#REF!</definedName>
    <definedName name="austbcon">#REF!</definedName>
    <definedName name="austra">#REF!</definedName>
    <definedName name="australiaalltests2019drawn">#REF!</definedName>
    <definedName name="australiaalltests2019lost">#REF!</definedName>
    <definedName name="australiaalltests2019played">#REF!</definedName>
    <definedName name="australiaalltests2019playedcorrect">#REF!</definedName>
    <definedName name="australiaalltests2019ptsagainst">#REF!</definedName>
    <definedName name="australiaalltests2019ptsscored">#REF!</definedName>
    <definedName name="australiaalltests2019triesconc">#REF!</definedName>
    <definedName name="australiaalltests2019triesscored">#REF!</definedName>
    <definedName name="australiaalltests2019won">#REF!</definedName>
    <definedName name="Australiaalltestshistdrawn">#REF!</definedName>
    <definedName name="Australiaalltestshistlost">#REF!</definedName>
    <definedName name="Australiaalltestshistplayed">#REF!</definedName>
    <definedName name="Australiaalltestshistptsagainst">#REF!</definedName>
    <definedName name="Australiaalltestshistptsscored">#REF!</definedName>
    <definedName name="Australiaalltestshisttriesscored">#REF!</definedName>
    <definedName name="Australiaalltestshistwon">#REF!</definedName>
    <definedName name="AustraliaWChistdrawn">#REF!</definedName>
    <definedName name="AustraliaWChistlost">#REF!</definedName>
    <definedName name="AustraliaWChistplayed">#REF!</definedName>
    <definedName name="AustraliaWChistptsagainst">#REF!</definedName>
    <definedName name="AustraliaWChistptsscored">#REF!</definedName>
    <definedName name="AustraliaWChisttriesscored">#REF!</definedName>
    <definedName name="AustraliaWChistwon">#REF!</definedName>
    <definedName name="austrf">#REF!</definedName>
    <definedName name="auswon">#REF!</definedName>
    <definedName name="ausyellow">#REF!</definedName>
    <definedName name="bathbonus">#REF!</definedName>
    <definedName name="bathbonusccorrect">#REF!</definedName>
    <definedName name="bathconceded">#REF!</definedName>
    <definedName name="bathdrawn">#REF!</definedName>
    <definedName name="bathdropgoals">#REF!</definedName>
    <definedName name="bathlost">#REF!</definedName>
    <definedName name="bathpld">#REF!</definedName>
    <definedName name="bathpodrawn">#REF!</definedName>
    <definedName name="bathpolost">#REF!</definedName>
    <definedName name="bathpopld">#REF!</definedName>
    <definedName name="bathpoptsconceded">#REF!</definedName>
    <definedName name="bathpoptsscored">#REF!</definedName>
    <definedName name="bathpored">#REF!</definedName>
    <definedName name="bathpotriesconceded">#REF!</definedName>
    <definedName name="bathpotriesscored">#REF!</definedName>
    <definedName name="bathpowon">#REF!</definedName>
    <definedName name="bathpoyellow">#REF!</definedName>
    <definedName name="bathred">#REF!</definedName>
    <definedName name="bathscored">#REF!</definedName>
    <definedName name="bathtriesconceded">#REF!</definedName>
    <definedName name="bathtriesscored">#REF!</definedName>
    <definedName name="bathtrybonus">#REF!</definedName>
    <definedName name="bathtrybonusconceded">#REF!</definedName>
    <definedName name="bathwon">#REF!</definedName>
    <definedName name="bathyellow">#REF!</definedName>
    <definedName name="Bristolpremseasontotalsdgs">[1]BRI!$L$38</definedName>
    <definedName name="Bristolpremseasontotalsdrawn">[1]BRI!$AA$38</definedName>
    <definedName name="Bristolpremseasontotalslost">[1]BRI!$AB$38</definedName>
    <definedName name="Bristolpremseasontotalsplayed">[1]BRI!$Y$38</definedName>
    <definedName name="Bristolpremseasontotalsptsagainst">[1]BRI!$G$38</definedName>
    <definedName name="Bristolpremseasontotalsptsscored">[1]BRI!$F$38</definedName>
    <definedName name="BristolpremseasontotalsRC">[1]BRI!$O$38</definedName>
    <definedName name="Bristolpremseasontotalstriesconceded">[1]BRI!$R$38</definedName>
    <definedName name="Bristolpremseasontotalstriesscored">[1]BRI!$J$38</definedName>
    <definedName name="Bristolpremseasontotalswon">[1]BRI!$Z$38</definedName>
    <definedName name="BristolpremseasontotalsYC">[1]BRI!$N$38</definedName>
    <definedName name="bstred">[2]BRI!$O$35</definedName>
    <definedName name="bsttrybonusconceded">[1]BRI!$P$36</definedName>
    <definedName name="bsttrybonusscored">[1]BRI!$H$36</definedName>
    <definedName name="bstyellow">[2]BRI!$N$35</definedName>
    <definedName name="Bthhistagainst">[1]Sum!$H$3</definedName>
    <definedName name="Bthhistdrawn">[1]Sum!$E$3</definedName>
    <definedName name="Bthhistfor">[1]Sum!$G$3</definedName>
    <definedName name="Bthhistlost">[1]Sum!$D$3</definedName>
    <definedName name="Bthhistplayed">[1]Sum!$B$3</definedName>
    <definedName name="Bthhisttriesscored">[1]Sum!$J$3</definedName>
    <definedName name="Bthhistwon">[1]Sum!$C$3</definedName>
    <definedName name="bthpremseasontotalsdgs">[1]BTH!$L$37</definedName>
    <definedName name="bthpremseasontotalslost">[1]BTH!$AB$37</definedName>
    <definedName name="bthpremseasontotalsplayed">[1]BTH!$Y$37</definedName>
    <definedName name="bthpremseasontotalsptsagainst">[1]BTH!$G$37</definedName>
    <definedName name="bthpremseasontotalsptsscored">[1]BTH!$F$37</definedName>
    <definedName name="bthpremseasontotalsRC">[1]BTH!$O$37</definedName>
    <definedName name="bthpremseasontotalstriesconceded">[1]BTH!$R$37</definedName>
    <definedName name="bthpremseasontotalstriesscored">[1]BTH!$J$37</definedName>
    <definedName name="bthpremseasontotalswon">[1]BTH!$Y$37</definedName>
    <definedName name="bthpremseasontotalsYC">[1]BTH!$N$37</definedName>
    <definedName name="can2019alltestsdrawn">#REF!</definedName>
    <definedName name="can2019alltestslost">#REF!</definedName>
    <definedName name="can2019alltestsplayed">#REF!</definedName>
    <definedName name="can2019alltestsptsagainst">#REF!</definedName>
    <definedName name="can2019alltestsptsscored">#REF!</definedName>
    <definedName name="can2019allteststriescon">#REF!</definedName>
    <definedName name="can2019allteststriesscored">#REF!</definedName>
    <definedName name="can2019alltestswon">#REF!</definedName>
    <definedName name="can2019pooldrawn">#REF!</definedName>
    <definedName name="can2019poollbcon">#REF!</definedName>
    <definedName name="can2019poollbscored">#REF!</definedName>
    <definedName name="can2019poollost">#REF!</definedName>
    <definedName name="can2019poolplayed">#REF!</definedName>
    <definedName name="can2019poolptsagainst">#REF!</definedName>
    <definedName name="can2019poolptsscored">#REF!</definedName>
    <definedName name="can2019pooltbcon">#REF!</definedName>
    <definedName name="can2019pooltbscored">#REF!</definedName>
    <definedName name="can2019pooltriescon">#REF!</definedName>
    <definedName name="can2019pooltriesscored">#REF!</definedName>
    <definedName name="can2019pooltriesscoredcorrect">#REF!</definedName>
    <definedName name="can2019poolwon">#REF!</definedName>
    <definedName name="can2019rwcdrawn">#REF!</definedName>
    <definedName name="can2019rwclost">#REF!</definedName>
    <definedName name="can2019rwcplayed">#REF!</definedName>
    <definedName name="can2019rwcptsagainst">#REF!</definedName>
    <definedName name="can2019rwcptsscored">#REF!</definedName>
    <definedName name="can2019rwcrc">#REF!</definedName>
    <definedName name="can2019rwctriescon">#REF!</definedName>
    <definedName name="can2019rwctriesscored">#REF!</definedName>
    <definedName name="can2019rwcwon">#REF!</definedName>
    <definedName name="can2019rwcyc">#REF!</definedName>
    <definedName name="can2021wcpooldrawn">CAN!#REF!</definedName>
    <definedName name="can2021wcpoollbscored">CAN!#REF!</definedName>
    <definedName name="can2021wcpoollost">CAN!#REF!</definedName>
    <definedName name="can2021wcpoolplayed">CAN!#REF!</definedName>
    <definedName name="can2021wcpoolpointsagainst">CAN!#REF!</definedName>
    <definedName name="can2021wcpoolpointsscored">CAN!#REF!</definedName>
    <definedName name="can2021wcpooltbscored">CAN!#REF!</definedName>
    <definedName name="can2021wcpooltriesconceded">CAN!#REF!</definedName>
    <definedName name="can2021wcpooltriesscored">CAN!#REF!</definedName>
    <definedName name="can2021wcpoolwon">CAN!#REF!</definedName>
    <definedName name="can2021wcrc">CAN!#REF!</definedName>
    <definedName name="can2021wctbcon">CAN!#REF!</definedName>
    <definedName name="can2021wcyc">CAN!#REF!</definedName>
    <definedName name="Canadaalltestshistdrawn">#REF!</definedName>
    <definedName name="Canadaalltestshistlost">#REF!</definedName>
    <definedName name="Canadaalltestshistplayed">#REF!</definedName>
    <definedName name="Canadaalltestshistptsagainst">#REF!</definedName>
    <definedName name="Canadaalltestshistptsscored">#REF!</definedName>
    <definedName name="Canadaalltestshisttriesscored">#REF!</definedName>
    <definedName name="Canadaalltestshistwon">#REF!</definedName>
    <definedName name="CanadaRWChistdrawn">#REF!</definedName>
    <definedName name="CanadaRWChistlost">#REF!</definedName>
    <definedName name="CanadaRWChistplayed">#REF!</definedName>
    <definedName name="CanadaRWChistptsagainst">#REF!</definedName>
    <definedName name="CanadaRWChistptsscored">#REF!</definedName>
    <definedName name="CanadaRWChisttriesscored">#REF!</definedName>
    <definedName name="CanadaRWChistwon">#REF!</definedName>
    <definedName name="canlb">#REF!</definedName>
    <definedName name="canlbcon">#REF!</definedName>
    <definedName name="canoveralldrwn">#REF!</definedName>
    <definedName name="canoveralllost">#REF!</definedName>
    <definedName name="canoverallpld">#REF!</definedName>
    <definedName name="canoverallptsag">#REF!</definedName>
    <definedName name="canoverallptsscored">#REF!</definedName>
    <definedName name="canoveralltriescon">#REF!</definedName>
    <definedName name="canoveralltriesscored">#REF!</definedName>
    <definedName name="canoverallwon">#REF!</definedName>
    <definedName name="canp4drawn">CAN!$AB$16</definedName>
    <definedName name="canp4lb">CAN!$I$16</definedName>
    <definedName name="canp4lost">CAN!$AC$16</definedName>
    <definedName name="canp4played">CAN!$Z$16</definedName>
    <definedName name="canp4ptsconc">CAN!$G$16</definedName>
    <definedName name="canp4ptsscored">CAN!$F$16</definedName>
    <definedName name="canp4rc">CAN!$O$16</definedName>
    <definedName name="canp4tb">CAN!$H$16</definedName>
    <definedName name="canp4triesconc">CAN!$R$16</definedName>
    <definedName name="canp4triesscored">CAN!$J$16</definedName>
    <definedName name="canp4won">CAN!$AA$16</definedName>
    <definedName name="canp4yc">CAN!$N$16</definedName>
    <definedName name="canpooldrawn">#REF!</definedName>
    <definedName name="canpoollost">#REF!</definedName>
    <definedName name="canpoolpld">#REF!</definedName>
    <definedName name="canpoolptsag">#REF!</definedName>
    <definedName name="canpoolptsscored">#REF!</definedName>
    <definedName name="canpooltriescon">#REF!</definedName>
    <definedName name="canpooltriesscored">#REF!</definedName>
    <definedName name="canpoolwoin">#REF!</definedName>
    <definedName name="canred">#REF!</definedName>
    <definedName name="cantb">#REF!</definedName>
    <definedName name="cantbcon">#REF!</definedName>
    <definedName name="canyellow">#REF!</definedName>
    <definedName name="drawn">#REF!</definedName>
    <definedName name="Eng2019alltestsdrawn">ENG!$AB$18</definedName>
    <definedName name="Eng2019alltestslost">ENG!$AC$18</definedName>
    <definedName name="Eng2019alltestsplayed">ENG!$Z$18</definedName>
    <definedName name="Eng2019alltestsptsagainst">ENG!$G$18</definedName>
    <definedName name="Eng2019alltestsptsscored">ENG!$F$18</definedName>
    <definedName name="Eng2019allteststriescon">ENG!$R$18</definedName>
    <definedName name="Eng2019allteststriesscored">ENG!$J$18</definedName>
    <definedName name="Eng2019alltestswon">ENG!$AA$18</definedName>
    <definedName name="Eng2019pooldrawn">ENG!#REF!</definedName>
    <definedName name="Eng2019poollbcon">ENG!#REF!</definedName>
    <definedName name="Eng2019poollbscored">ENG!#REF!</definedName>
    <definedName name="Eng2019poollost">ENG!#REF!</definedName>
    <definedName name="Eng2019poolplayed">ENG!#REF!</definedName>
    <definedName name="Eng2019poolptsagainst">ENG!#REF!</definedName>
    <definedName name="Eng2019poolptsscored">ENG!#REF!</definedName>
    <definedName name="Eng2019pooltbcon">ENG!#REF!</definedName>
    <definedName name="Eng2019pooltbscored">ENG!#REF!</definedName>
    <definedName name="Eng2019pooltriescon">ENG!#REF!</definedName>
    <definedName name="Eng2019pooltriesscored">ENG!#REF!</definedName>
    <definedName name="Eng2019poolwon">ENG!#REF!</definedName>
    <definedName name="Eng2019RWCdrawn">ENG!#REF!</definedName>
    <definedName name="Eng2019RWClost">ENG!#REF!</definedName>
    <definedName name="Eng2019RWCplayed">ENG!#REF!</definedName>
    <definedName name="Eng2019RWCptsagainst">ENG!#REF!</definedName>
    <definedName name="Eng2019RWCptsscored">ENG!#REF!</definedName>
    <definedName name="Eng2019RWCrc">ENG!#REF!</definedName>
    <definedName name="Eng2019RWCtriescon">ENG!#REF!</definedName>
    <definedName name="Eng2019RWCtriesscored">ENG!#REF!</definedName>
    <definedName name="Eng2019RWCwon">ENG!#REF!</definedName>
    <definedName name="Eng2019RWCyc">ENG!#REF!</definedName>
    <definedName name="eng2021wcpooldrawn">ENG!#REF!</definedName>
    <definedName name="eng2021wcpoollbscored">ENG!#REF!</definedName>
    <definedName name="eng2021wcpoollost">ENG!#REF!</definedName>
    <definedName name="eng2021wcpoolplayed">ENG!#REF!</definedName>
    <definedName name="eng2021wcpoolpointsagainst">ENG!#REF!</definedName>
    <definedName name="eng2021wcpoolpointsscored">ENG!#REF!</definedName>
    <definedName name="eng2021wcpooltbscored">ENG!#REF!</definedName>
    <definedName name="eng2021wcpooltriesconceded">ENG!#REF!</definedName>
    <definedName name="eng2021wcpooltriesscored">ENG!#REF!</definedName>
    <definedName name="eng2021wcpoolwon">ENG!#REF!</definedName>
    <definedName name="eng2021wcrc">ENG!#REF!</definedName>
    <definedName name="eng2021wctbcon">ENG!#REF!</definedName>
    <definedName name="eng2021wcyc">ENG!#REF!</definedName>
    <definedName name="eng6nrc">ENG!$O$16</definedName>
    <definedName name="eng6nyc">ENG!$N$16</definedName>
    <definedName name="Englandalltestshistdrawn">#REF!</definedName>
    <definedName name="Englandalltestshistlost">#REF!</definedName>
    <definedName name="Englandalltestshistplayed">#REF!</definedName>
    <definedName name="Englandalltestshistptsagainst">#REF!</definedName>
    <definedName name="Englandalltestshistptsscored">#REF!</definedName>
    <definedName name="Englandalltestshisttriesscored">#REF!</definedName>
    <definedName name="Englandalltestshistwon">#REF!</definedName>
    <definedName name="Englanddrawn">ENG!$AB$16</definedName>
    <definedName name="Englandlosingbonus">ENG!$I$16</definedName>
    <definedName name="Englandlost">ENG!$AC$16</definedName>
    <definedName name="Englandplayed">ENG!$Z$16</definedName>
    <definedName name="Englandptsagainst">ENG!$G$16</definedName>
    <definedName name="Englandptsscored">ENG!$F$16</definedName>
    <definedName name="Englandred">ENG!$O$16</definedName>
    <definedName name="EnglandRWChistdrawn">#REF!</definedName>
    <definedName name="EnglandRWChistlost">#REF!</definedName>
    <definedName name="EnglandRWChistplayed">#REF!</definedName>
    <definedName name="EnglandRWChistptsagainst">#REF!</definedName>
    <definedName name="EnglandRWChistptsscored">#REF!</definedName>
    <definedName name="EnglandRWChisttriesscored">#REF!</definedName>
    <definedName name="EnglandRWChistwon">#REF!</definedName>
    <definedName name="Englandtriesagainst">ENG!$R$16</definedName>
    <definedName name="Englandtriesscored">ENG!$J$16</definedName>
    <definedName name="Englandtrybonus">ENG!$H$16</definedName>
    <definedName name="Englandwon">ENG!$AA$16</definedName>
    <definedName name="Englandyellow">ENG!$N$16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premtotalsdgs">[1]EXE!$L$39</definedName>
    <definedName name="Exepremtotalslost">[1]EXE!$AB$39</definedName>
    <definedName name="Exepremtotalsplayed">[1]EXE!$Y$39</definedName>
    <definedName name="Exepremtotalsptsagainst">[1]EXE!$G$39</definedName>
    <definedName name="Exepremtotalsptsscored">[1]EXE!$F$39</definedName>
    <definedName name="Exepremtotalsrc">[1]EXE!$O$39</definedName>
    <definedName name="Exepremtotalstriesconceded">[1]EXE!$R$39</definedName>
    <definedName name="Exepremtotalstriesscored">[1]EXE!$J$39</definedName>
    <definedName name="Exepremtotalswon">[1]EXE!$Z$39</definedName>
    <definedName name="Exepremtotalsyc">[1]EXE!$N$39</definedName>
    <definedName name="exeterbonus">#REF!</definedName>
    <definedName name="exeterconceded">#REF!</definedName>
    <definedName name="exeterdrawn">#REF!</definedName>
    <definedName name="exeterlosingbonus">#REF!</definedName>
    <definedName name="exeterlosingbonusconceded">#REF!</definedName>
    <definedName name="exeterlost">#REF!</definedName>
    <definedName name="exeterpld">#REF!</definedName>
    <definedName name="exeterpremdrawn">[1]EXE!$AA$37</definedName>
    <definedName name="exeterpremred">[2]EXE!$O$39</definedName>
    <definedName name="exeterpremtrybonusconc">[1]EXE!$P$37</definedName>
    <definedName name="exeterpremtrybonusscored">[1]EXE!$H$37</definedName>
    <definedName name="exeterpremyellow">[2]EXE!$N$39</definedName>
    <definedName name="exeterred">#REF!</definedName>
    <definedName name="exeterscored">#REF!</definedName>
    <definedName name="exetertriesconceded">#REF!</definedName>
    <definedName name="exetertriesscored">#REF!</definedName>
    <definedName name="exetertrybonusconceded">#REF!</definedName>
    <definedName name="exetertrybonusscored">#REF!</definedName>
    <definedName name="exeterwon">#REF!</definedName>
    <definedName name="exeteryellow">#REF!</definedName>
    <definedName name="feapoolptsag">FRA!#REF!</definedName>
    <definedName name="Fij2019alltestsdrawn">#REF!</definedName>
    <definedName name="Fij2019alltestslost">#REF!</definedName>
    <definedName name="Fij2019alltestsplayed">#REF!</definedName>
    <definedName name="Fij2019alltestsptsagainst">#REF!</definedName>
    <definedName name="Fij2019alltestsptsscored">#REF!</definedName>
    <definedName name="Fij2019allteststriescon">#REF!</definedName>
    <definedName name="Fij2019allteststriesscored">#REF!</definedName>
    <definedName name="Fij2019alltestswon">#REF!</definedName>
    <definedName name="Fij2019pooldrawn">#REF!</definedName>
    <definedName name="Fij2019poollbcon">#REF!</definedName>
    <definedName name="Fij2019poollbscored">#REF!</definedName>
    <definedName name="Fij2019poollost">#REF!</definedName>
    <definedName name="Fij2019poolplayed">#REF!</definedName>
    <definedName name="Fij2019poolptsagainst">#REF!</definedName>
    <definedName name="Fij2019poolptsscored">#REF!</definedName>
    <definedName name="Fij2019pooltbcon">#REF!</definedName>
    <definedName name="Fij2019pooltbscored">#REF!</definedName>
    <definedName name="Fij2019pooltriescon">#REF!</definedName>
    <definedName name="Fij2019pooltriesscored">#REF!</definedName>
    <definedName name="Fij2019poolwon">#REF!</definedName>
    <definedName name="Fij2019RWCdrawn">#REF!</definedName>
    <definedName name="Fij2019RWClost">#REF!</definedName>
    <definedName name="Fij2019RWCplayed">#REF!</definedName>
    <definedName name="Fij2019RWCptsagainst">#REF!</definedName>
    <definedName name="Fij2019RWCptsscored">#REF!</definedName>
    <definedName name="Fij2019RWCrc">#REF!</definedName>
    <definedName name="Fij2019RWCtriescon">#REF!</definedName>
    <definedName name="Fij2019RWCtriesscored">#REF!</definedName>
    <definedName name="Fij2019RWCwonj">#REF!</definedName>
    <definedName name="Fij2019RWCyc">#REF!</definedName>
    <definedName name="fij2021wcpooldrawn">FIJ!#REF!</definedName>
    <definedName name="fij2021wcpoollbscored">FIJ!#REF!</definedName>
    <definedName name="fij2021wcpoollost">FIJ!#REF!</definedName>
    <definedName name="fij2021wcpoolplayed">FIJ!#REF!</definedName>
    <definedName name="fij2021wcpoolpointsagainst">FIJ!#REF!</definedName>
    <definedName name="fij2021wcpoolpointsscored">FIJ!#REF!</definedName>
    <definedName name="fij2021wcpooltbscored">FIJ!#REF!</definedName>
    <definedName name="fij2021wcpooltriesconceded">FIJ!#REF!</definedName>
    <definedName name="fij2021wcpooltriesscored">FIJ!#REF!</definedName>
    <definedName name="fij2021wcpoolwon">FIJ!#REF!</definedName>
    <definedName name="fij2021wcrc">FIJ!#REF!</definedName>
    <definedName name="fij2021wctbcon">FIJ!#REF!</definedName>
    <definedName name="fij2021wcyc">FIJ!#REF!</definedName>
    <definedName name="fij2021wcyccorrect">FIJ!#REF!</definedName>
    <definedName name="Fijialltestshistdrawn">#REF!</definedName>
    <definedName name="Fijialltestshistlost">#REF!</definedName>
    <definedName name="Fijialltestshistplayed">#REF!</definedName>
    <definedName name="Fijialltestshistptsagainst">#REF!</definedName>
    <definedName name="Fijialltestshistptsscored">#REF!</definedName>
    <definedName name="Fijialltestshisttriesscored">#REF!</definedName>
    <definedName name="Fijialltestshistwon">#REF!</definedName>
    <definedName name="FijiRWChistdrawn">#REF!</definedName>
    <definedName name="FijiRWChistlost">#REF!</definedName>
    <definedName name="FijiRWChistplayed">#REF!</definedName>
    <definedName name="FijiRWChistptsagainst">#REF!</definedName>
    <definedName name="FijiRWChistptsscored">#REF!</definedName>
    <definedName name="FijiRWChisttriesscored">#REF!</definedName>
    <definedName name="FijiRWChistwon">#REF!</definedName>
    <definedName name="fijlb">#REF!</definedName>
    <definedName name="fijlbcon">#REF!</definedName>
    <definedName name="fijoveralldrawn">#REF!</definedName>
    <definedName name="fijoveralllost">#REF!</definedName>
    <definedName name="fijoverallpld">#REF!</definedName>
    <definedName name="fijoverallptsaga">#REF!</definedName>
    <definedName name="fijoverallptsscored">#REF!</definedName>
    <definedName name="fijoveralltriescon">#REF!</definedName>
    <definedName name="fijoveralltriesscored">#REF!</definedName>
    <definedName name="fijoverallwon">#REF!</definedName>
    <definedName name="Fijpooldrawn">#REF!</definedName>
    <definedName name="Fijpoollost">#REF!</definedName>
    <definedName name="Fijpoolpld">#REF!</definedName>
    <definedName name="Fijpoolptsag">#REF!</definedName>
    <definedName name="Fijpoolptsscored">#REF!</definedName>
    <definedName name="Fijpooltriescon">#REF!</definedName>
    <definedName name="Fijpooltriesscored">#REF!</definedName>
    <definedName name="Fijpoolwon">#REF!</definedName>
    <definedName name="fijred">#REF!</definedName>
    <definedName name="fijtb">#REF!</definedName>
    <definedName name="fijtbcon">#REF!</definedName>
    <definedName name="fijyellow">#REF!</definedName>
    <definedName name="Fra2019alltestsdrawn">FRA!$AB$17</definedName>
    <definedName name="Fra2019alltestslost">FRA!$AC$17</definedName>
    <definedName name="Fra2019alltestsplayed">FRA!$Z$17</definedName>
    <definedName name="Fra2019alltestsptsagainst">FRA!$G$17</definedName>
    <definedName name="Fra2019alltestsptsscored">FRA!$F$17</definedName>
    <definedName name="Fra2019allteststriescon">FRA!$R$17</definedName>
    <definedName name="Fra2019allteststriesscored">FRA!$J$17</definedName>
    <definedName name="Fra2019alltestswon">FRA!$AA$17</definedName>
    <definedName name="Fra2019pooldrawn">FRA!#REF!</definedName>
    <definedName name="Fra2019poollbcon">FRA!#REF!</definedName>
    <definedName name="Fra2019poollbscored">FRA!#REF!</definedName>
    <definedName name="Fra2019poollost">FRA!#REF!</definedName>
    <definedName name="Fra2019poolplayed">FRA!#REF!</definedName>
    <definedName name="Fra2019poolptsagainst">FRA!#REF!</definedName>
    <definedName name="Fra2019poolptsagaints">FRA!#REF!</definedName>
    <definedName name="Fra2019poolptsscored">FRA!#REF!</definedName>
    <definedName name="Fra2019pooltbcon">FRA!#REF!</definedName>
    <definedName name="Fra2019pooltbscored">FRA!#REF!</definedName>
    <definedName name="Fra2019pooltriescon">FRA!#REF!</definedName>
    <definedName name="Fra2019pooltriesscored">FRA!#REF!</definedName>
    <definedName name="Fra2019pooltriesscoredcorrect">FRA!#REF!</definedName>
    <definedName name="Fra2019poolwon">FRA!#REF!</definedName>
    <definedName name="Fra2019RWCdrawn">FRA!#REF!</definedName>
    <definedName name="Fra2019RWClost">FRA!#REF!</definedName>
    <definedName name="Fra2019RWCplayed">FRA!#REF!</definedName>
    <definedName name="Fra2019RWCptsagainst">FRA!#REF!</definedName>
    <definedName name="Fra2019RWCptsscored">FRA!#REF!</definedName>
    <definedName name="Fra2019RWCrc">FRA!#REF!</definedName>
    <definedName name="Fra2019RWCtriescon">FRA!#REF!</definedName>
    <definedName name="Fra2019RWCtriesscored">FRA!#REF!</definedName>
    <definedName name="Fra2019RWCwon">FRA!#REF!</definedName>
    <definedName name="Fra2019RWCyc">FRA!#REF!</definedName>
    <definedName name="fra2021wcpooldrawn">FRA!#REF!</definedName>
    <definedName name="fra2021wcpoollbscored">FRA!#REF!</definedName>
    <definedName name="fra2021wcpoollost">FRA!#REF!</definedName>
    <definedName name="fra2021wcpoolplayed">FRA!#REF!</definedName>
    <definedName name="fra2021wcpoolpointsagainst">FRA!#REF!</definedName>
    <definedName name="fra2021wcpoolpointsscored">FRA!#REF!</definedName>
    <definedName name="fra2021wcpooltbscored">FRA!#REF!</definedName>
    <definedName name="fra2021wcpooltriesconceded">FRA!#REF!</definedName>
    <definedName name="fra2021wcpooltriesscored">FRA!#REF!</definedName>
    <definedName name="fra2021wcpoolwon">FRA!#REF!</definedName>
    <definedName name="fra2021wcrc">FRA!#REF!</definedName>
    <definedName name="fra2021wctbcon">FRA!#REF!</definedName>
    <definedName name="fra2021wcyc">FRA!#REF!</definedName>
    <definedName name="fra6nrc">FRA!$O$15</definedName>
    <definedName name="fra6nyc">FRA!$N$15</definedName>
    <definedName name="fralb">FRA!#REF!</definedName>
    <definedName name="fralbcon">FRA!#REF!</definedName>
    <definedName name="Francealltestshistdrawn">#REF!</definedName>
    <definedName name="Francealltestshistlost">#REF!</definedName>
    <definedName name="Francealltestshistplayed">#REF!</definedName>
    <definedName name="Francealltestshistptscon">#REF!</definedName>
    <definedName name="Francealltestshistptsscored">#REF!</definedName>
    <definedName name="Francealltestshisttriesscored">#REF!</definedName>
    <definedName name="Francealltestshistwon">#REF!</definedName>
    <definedName name="Francedrawn">FRA!$AB$15</definedName>
    <definedName name="Francelosingbonus">FRA!$I$15</definedName>
    <definedName name="Francelost">FRA!$AC$15</definedName>
    <definedName name="Franceplayed">FRA!$Z$15</definedName>
    <definedName name="Franceptsagainst">FRA!$G$15</definedName>
    <definedName name="Franceptsscored">FRA!$F$15</definedName>
    <definedName name="Francered">FRA!$O$15</definedName>
    <definedName name="FranceRWChistdrawn">#REF!</definedName>
    <definedName name="FranceRWChistlost">#REF!</definedName>
    <definedName name="FranceRWChistplayed">#REF!</definedName>
    <definedName name="FranceRWChistptsagainst">#REF!</definedName>
    <definedName name="FranceRWChistptsscored">#REF!</definedName>
    <definedName name="FranceRWChisttriesscored">#REF!</definedName>
    <definedName name="FranceRWChistwon">#REF!</definedName>
    <definedName name="Francetriesagainst">FRA!$R$15</definedName>
    <definedName name="Francetriesscored">FRA!$J$15</definedName>
    <definedName name="Francetrybonus">FRA!$H$15</definedName>
    <definedName name="Francewon">FRA!$AA$15</definedName>
    <definedName name="FRanceyellow">FRA!$N$15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tb">FRA!#REF!</definedName>
    <definedName name="fratbcon">FRA!#REF!</definedName>
    <definedName name="frayellow">FRA!#REF!</definedName>
    <definedName name="g">[3]SAR!$AB$36</definedName>
    <definedName name="Geo2019alltestsdrawn">#REF!</definedName>
    <definedName name="Geo2019alltestslost">#REF!</definedName>
    <definedName name="Geo2019alltestsplayed">#REF!</definedName>
    <definedName name="Geo2019alltestsptsagainst">#REF!</definedName>
    <definedName name="Geo2019alltestsptsscored">#REF!</definedName>
    <definedName name="Geo2019allteststriesconceded">#REF!</definedName>
    <definedName name="Geo2019allteststriesscored">#REF!</definedName>
    <definedName name="Geo2019alltestswon">#REF!</definedName>
    <definedName name="Geo2019pooldrawn">#REF!</definedName>
    <definedName name="Geo2019poollbcon">#REF!</definedName>
    <definedName name="Geo2019poollbscored">#REF!</definedName>
    <definedName name="Geo2019poollost">#REF!</definedName>
    <definedName name="Geo2019poolplayed">#REF!</definedName>
    <definedName name="Geo2019poolptsagainst">#REF!</definedName>
    <definedName name="Geo2019poolptsscored">#REF!</definedName>
    <definedName name="Geo2019pooltbcon">#REF!</definedName>
    <definedName name="Geo2019pooltbscored">#REF!</definedName>
    <definedName name="Geo2019pooltriescon">#REF!</definedName>
    <definedName name="Geo2019pooltriesscored">#REF!</definedName>
    <definedName name="Geo2019poolwon">#REF!</definedName>
    <definedName name="Geo2019RWCdrawn">#REF!</definedName>
    <definedName name="Geo2019RWClost">#REF!</definedName>
    <definedName name="Geo2019RWCplayed">#REF!</definedName>
    <definedName name="Geo2019RWCptsagainst">#REF!</definedName>
    <definedName name="Geo2019RWCptsscored">#REF!</definedName>
    <definedName name="Geo2019RWCrc">#REF!</definedName>
    <definedName name="Geo2019RWCtriescon">#REF!</definedName>
    <definedName name="Geo2019RWCtriesscored">#REF!</definedName>
    <definedName name="Geo2019RWCwon">#REF!</definedName>
    <definedName name="Geo2019RWCyc">#REF!</definedName>
    <definedName name="geolb">#REF!</definedName>
    <definedName name="geolbcon">#REF!</definedName>
    <definedName name="geooveralldrawn">#REF!</definedName>
    <definedName name="geooveralllost">#REF!</definedName>
    <definedName name="geooverallpld">#REF!</definedName>
    <definedName name="geooverallptsag">#REF!</definedName>
    <definedName name="geooverallptsscored">#REF!</definedName>
    <definedName name="geooveralltriescon">#REF!</definedName>
    <definedName name="geooveralltriesscored">#REF!</definedName>
    <definedName name="geooverallwon">#REF!</definedName>
    <definedName name="geopooldrawn">#REF!</definedName>
    <definedName name="geopoollost">#REF!</definedName>
    <definedName name="geopoolpld">#REF!</definedName>
    <definedName name="geopoolptsag">#REF!</definedName>
    <definedName name="geopoolptsscored">#REF!</definedName>
    <definedName name="geopooltriescon">#REF!</definedName>
    <definedName name="geopooltriesscored">#REF!</definedName>
    <definedName name="geopoolwon">#REF!</definedName>
    <definedName name="geored">#REF!</definedName>
    <definedName name="Georgiaalltestshistdrawn">#REF!</definedName>
    <definedName name="Georgiaalltestshistlost">#REF!</definedName>
    <definedName name="Georgiaalltestshistplayed">#REF!</definedName>
    <definedName name="Georgiaalltestshistptsagainst">#REF!</definedName>
    <definedName name="Georgiaalltestshistptsscored">#REF!</definedName>
    <definedName name="Georgiaalltestshisttriesscored">#REF!</definedName>
    <definedName name="Georgiaalltestshistwon">#REF!</definedName>
    <definedName name="GeorgiaRWChistdrawn">#REF!</definedName>
    <definedName name="GeorgiaRWChistlost">#REF!</definedName>
    <definedName name="GeorgiaRWChistplayed">#REF!</definedName>
    <definedName name="GeorgiaRWChistptsagainst">#REF!</definedName>
    <definedName name="GeorgiaRWChistptsscored">#REF!</definedName>
    <definedName name="GeorgiaRWChisttriesscored">#REF!</definedName>
    <definedName name="GeorgiaRWChistwon">#REF!</definedName>
    <definedName name="geotb">#REF!</definedName>
    <definedName name="geotbcon">#REF!</definedName>
    <definedName name="geoyellow">#REF!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gloucesterpremred">[2]GLO!$O$40</definedName>
    <definedName name="gloucesterpremseasontotalsdgs">[1]GLO!$L$38</definedName>
    <definedName name="gloucesterpremseasontotalsdrawn">[1]GLO!$AA$38</definedName>
    <definedName name="gloucesterpremseasontotalslost">[1]GLO!$AB$38</definedName>
    <definedName name="gloucesterpremseasontotalsplayed">[1]GLO!$Y$38</definedName>
    <definedName name="gloucesterpremseasontotalsptsagainst">[1]GLO!$G$38</definedName>
    <definedName name="gloucesterpremseasontotalsptsscored">[1]GLO!$F$38</definedName>
    <definedName name="gloucesterpremseasontotalsRC">[1]GLO!$O$38</definedName>
    <definedName name="gloucesterpremseasontotalstriesconceded">[1]GLO!$R$38</definedName>
    <definedName name="gloucesterpremseasontotalstriesscored">[1]GLO!$J$38</definedName>
    <definedName name="gloucesterpremseasontotalswon">[1]GLO!$Z$38</definedName>
    <definedName name="gloucesterpremseasontotalsYC">[1]GLO!$N$38</definedName>
    <definedName name="gloucesterpremtrybonusconc">[1]GLO!$P$36</definedName>
    <definedName name="gloucesterpremtrybonusscored">[1]GLO!$H$36</definedName>
    <definedName name="gloucesterpremyellow">[2]GLO!$N$40</definedName>
    <definedName name="harbonus">#REF!</definedName>
    <definedName name="harconceded">#REF!</definedName>
    <definedName name="hardrawn">#REF!</definedName>
    <definedName name="harlequinspremred">[2]HAR!$O$39</definedName>
    <definedName name="harlequinspremseasontotalsdgs">[1]HAR!$L$39</definedName>
    <definedName name="harlequinspremseasontotalsdrawn">[1]HAR!$AA$39</definedName>
    <definedName name="harlequinspremseasontotalslost">[1]HAR!$AB$39</definedName>
    <definedName name="harlequinspremseasontotalsplayed">[1]HAR!$Y$39</definedName>
    <definedName name="harlequinspremseasontotalsptsagainst">[1]HAR!$G$39</definedName>
    <definedName name="harlequinspremseasontotalsptsscored">[1]HAR!$F$39</definedName>
    <definedName name="harlequinspremseasontotalsRC">[1]HAR!$O$39</definedName>
    <definedName name="harlequinspremseasontotalstriesconceded">[1]HAR!$R$39</definedName>
    <definedName name="harlequinspremseasontotalstriesscored">[1]HAR!$J$39</definedName>
    <definedName name="harlequinspremseasontotalswon">[1]HAR!$Z$39</definedName>
    <definedName name="harlequinspremseasontotalsYC">[1]HAR!$N$39</definedName>
    <definedName name="harlequinspremtrybonuscon">[1]HAR!$P$37</definedName>
    <definedName name="harlequinspremtrybonusscored">[1]HAR!$H$37</definedName>
    <definedName name="harlequinspremyellow">[2]HAR!$N$39</definedName>
    <definedName name="harlosingbonus">#REF!</definedName>
    <definedName name="harlosingbonusconceded">#REF!</definedName>
    <definedName name="harlost">#REF!</definedName>
    <definedName name="harplayed">#REF!</definedName>
    <definedName name="harred">#REF!</definedName>
    <definedName name="harscored">#REF!</definedName>
    <definedName name="hartriesconceded">#REF!</definedName>
    <definedName name="hartriesscored">#REF!</definedName>
    <definedName name="hartrybonus">#REF!</definedName>
    <definedName name="hartrybonusconceded">#REF!</definedName>
    <definedName name="harwon">#REF!</definedName>
    <definedName name="haryellow">#REF!</definedName>
    <definedName name="Ire2019alltestsdrawn">IRE!$AB$16</definedName>
    <definedName name="Ire2019alltestslost">IRE!$AC$16</definedName>
    <definedName name="Ire2019alltestsplayed">IRE!$Z$16</definedName>
    <definedName name="Ire2019alltestsptscon">IRE!$G$16</definedName>
    <definedName name="Ire2019alltestsptsscored">IRE!$F$16</definedName>
    <definedName name="Ire2019allteststriescon">IRE!$R$16</definedName>
    <definedName name="Ire2019allteststriesscored">IRE!$J$16</definedName>
    <definedName name="Ire2019alltestswon">IRE!$AA$16</definedName>
    <definedName name="Ire2019pooldrawn">IRE!#REF!</definedName>
    <definedName name="Ire2019poollbcon">IRE!#REF!</definedName>
    <definedName name="Ire2019poollbscored">IRE!#REF!</definedName>
    <definedName name="Ire2019poollost">IRE!#REF!</definedName>
    <definedName name="Ire2019poolplayed">IRE!#REF!</definedName>
    <definedName name="Ire2019poolptscon">IRE!#REF!</definedName>
    <definedName name="Ire2019poolptsscored">IRE!#REF!</definedName>
    <definedName name="Ire2019pooltbcon">IRE!#REF!</definedName>
    <definedName name="Ire2019pooltbscored">IRE!#REF!</definedName>
    <definedName name="Ire2019pooltriescon">IRE!#REF!</definedName>
    <definedName name="Ire2019pooltriesscored">IRE!#REF!</definedName>
    <definedName name="Ire2019poolwon">IRE!#REF!</definedName>
    <definedName name="Ire2019RWCdrawn">IRE!#REF!</definedName>
    <definedName name="Ire2019RWClost">IRE!#REF!</definedName>
    <definedName name="Ire2019RWCplayed">IRE!#REF!</definedName>
    <definedName name="Ire2019RWCptsagainst">IRE!#REF!</definedName>
    <definedName name="Ire2019RWCptsscored">IRE!#REF!</definedName>
    <definedName name="Ire2019RWCrc">IRE!#REF!</definedName>
    <definedName name="Ire2019RWCtriescon">IRE!#REF!</definedName>
    <definedName name="Ire2019RWCtriesscored">IRE!#REF!</definedName>
    <definedName name="Ire2019RWCwon">IRE!#REF!</definedName>
    <definedName name="Ire2019RWCyc">IRE!#REF!</definedName>
    <definedName name="ire6nrc">IRE!$O$14</definedName>
    <definedName name="ire6nyc">IRE!$N$14</definedName>
    <definedName name="Irelandalltestshistdrawn">#REF!</definedName>
    <definedName name="Irelandalltestshistlost">#REF!</definedName>
    <definedName name="Irelandalltestshistplayed">#REF!</definedName>
    <definedName name="Irelandalltestshistptsagainst">#REF!</definedName>
    <definedName name="Irelandalltestshistptsscored">#REF!</definedName>
    <definedName name="Irelandalltestshisttriesscored">#REF!</definedName>
    <definedName name="Irelandalltestshistwon">#REF!</definedName>
    <definedName name="Irelanddrawn">IRE!$AB$14</definedName>
    <definedName name="Irelandlosingbonus">IRE!$I$14</definedName>
    <definedName name="Irelandlost">IRE!$AC$14</definedName>
    <definedName name="Irelandplayed">IRE!$Z$14</definedName>
    <definedName name="Irelandptsagainst">IRE!$G$14</definedName>
    <definedName name="Irelandptsscored">IRE!$F$14</definedName>
    <definedName name="Irelandred">IRE!$O$14</definedName>
    <definedName name="IrelandRWChistdrawn">#REF!</definedName>
    <definedName name="IrelandRWChistlost">#REF!</definedName>
    <definedName name="IrelandRWChistplayed">#REF!</definedName>
    <definedName name="IrelandRWChistptsagainst">#REF!</definedName>
    <definedName name="IrelandRWChistptsscored">#REF!</definedName>
    <definedName name="IrelandRWChisttriesscored">#REF!</definedName>
    <definedName name="IrelandRWChistwon">#REF!</definedName>
    <definedName name="Irelandtriesagainst">IRE!$R$14</definedName>
    <definedName name="Irelandtriesscored">IRE!$J$14</definedName>
    <definedName name="Irelandtrybonus">IRE!$H$14</definedName>
    <definedName name="Irelandwon">IRE!$AA$14</definedName>
    <definedName name="Irelandyellow">IRE!$N$14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tb">IRE!#REF!</definedName>
    <definedName name="iretbcon">IRE!#REF!</definedName>
    <definedName name="ireyellow">IRE!#REF!</definedName>
    <definedName name="ita2019alltestsdrawn">ITA!$AB$15</definedName>
    <definedName name="ita2019alltestslost">ITA!$AC$15</definedName>
    <definedName name="ita2019alltestsplayed">ITA!$Z$15</definedName>
    <definedName name="ita2019alltestsptscon">ITA!$G$15</definedName>
    <definedName name="ita2019alltestsptsscored">ITA!$F$15</definedName>
    <definedName name="ita2019allteststriescon">ITA!$R$15</definedName>
    <definedName name="ita2019allteststriesscored">ITA!$J$15</definedName>
    <definedName name="ita2019alltestswon">ITA!$AA$15</definedName>
    <definedName name="ita2019pooldrawn">ITA!#REF!</definedName>
    <definedName name="ita2019poollbcon">ITA!#REF!</definedName>
    <definedName name="ita2019poollbscored">ITA!#REF!</definedName>
    <definedName name="ita2019poollost">ITA!#REF!</definedName>
    <definedName name="ita2019poolplayed">ITA!#REF!</definedName>
    <definedName name="ita2019poolptscon">ITA!#REF!</definedName>
    <definedName name="ita2019poolptsscored">ITA!#REF!</definedName>
    <definedName name="ita2019pooltbcon">ITA!#REF!</definedName>
    <definedName name="ita2019pooltbscored">ITA!#REF!</definedName>
    <definedName name="ita2019pooltriescon">ITA!#REF!</definedName>
    <definedName name="ita2019pooltriesscored">ITA!#REF!</definedName>
    <definedName name="ita2019poolwon">ITA!#REF!</definedName>
    <definedName name="ita2019RWCdrawn">ITA!#REF!</definedName>
    <definedName name="ita2019RWClost">ITA!#REF!</definedName>
    <definedName name="ita2019RWCplayed">ITA!#REF!</definedName>
    <definedName name="ita2019RWCptscon">ITA!#REF!</definedName>
    <definedName name="ita2019RWCptsscored">ITA!#REF!</definedName>
    <definedName name="ita2019RWCrc">ITA!#REF!</definedName>
    <definedName name="ita2019RWCtriescon">ITA!#REF!</definedName>
    <definedName name="ita2019RWCtriesscored">ITA!#REF!</definedName>
    <definedName name="ita2019RWCwon">ITA!#REF!</definedName>
    <definedName name="ita2019RWCyc">ITA!#REF!</definedName>
    <definedName name="ita2021wcpooldrawn">ITA!#REF!</definedName>
    <definedName name="ita2021wcpoollbscored">ITA!#REF!</definedName>
    <definedName name="ita2021wcpoollbscoredcorrect">ITA!#REF!</definedName>
    <definedName name="ita2021wcpoollost">ITA!#REF!</definedName>
    <definedName name="ita2021wcpoolplayed">ITA!#REF!</definedName>
    <definedName name="ita2021wcpoolpointsagainst">ITA!#REF!</definedName>
    <definedName name="ita2021wcpoolpointsscored">ITA!#REF!</definedName>
    <definedName name="ita2021wcpooltbscored">ITA!#REF!</definedName>
    <definedName name="ita2021wcpooltriesconceded">ITA!#REF!</definedName>
    <definedName name="ita2021wcpooltriesscored">ITA!#REF!</definedName>
    <definedName name="ita2021wcpoolwon">ITA!#REF!</definedName>
    <definedName name="ita2021wcrc">ITA!#REF!</definedName>
    <definedName name="ita2021wctbcon">ITA!#REF!</definedName>
    <definedName name="ita2021wcyc">ITA!#REF!</definedName>
    <definedName name="ita6nrc">ITA!$O$13</definedName>
    <definedName name="ita6nyc">ITA!$N$13</definedName>
    <definedName name="italb">ITA!#REF!</definedName>
    <definedName name="italbcon">ITA!#REF!</definedName>
    <definedName name="Italyalltestshistdrawn">#REF!</definedName>
    <definedName name="Italyalltestshistlost">#REF!</definedName>
    <definedName name="Italyalltestshistplayed">#REF!</definedName>
    <definedName name="Italyalltestshistptsagainst">#REF!</definedName>
    <definedName name="Italyalltestshistptsscored">#REF!</definedName>
    <definedName name="Italyalltestshisttriesscored">#REF!</definedName>
    <definedName name="Italyalltestshistwon">#REF!</definedName>
    <definedName name="Italydrawn">ITA!$AB$13</definedName>
    <definedName name="Italylosingbonus">ITA!$I$13</definedName>
    <definedName name="Italylost">ITA!$AC$13</definedName>
    <definedName name="Italyplayed">ITA!$Z$13</definedName>
    <definedName name="Italyptsagainst">ITA!$G$13</definedName>
    <definedName name="Italyptsscored">ITA!$F$13</definedName>
    <definedName name="Italyred">ITA!$O$13</definedName>
    <definedName name="ItalyRWChistdrawn">#REF!</definedName>
    <definedName name="ItalyRWChistlost">#REF!</definedName>
    <definedName name="ItalyRWChistplayed">#REF!</definedName>
    <definedName name="ItalyRWChistptsagainst">#REF!</definedName>
    <definedName name="ItalyRWChistptsscored">#REF!</definedName>
    <definedName name="ItalyRWChisttriesscored">#REF!</definedName>
    <definedName name="ItalyRWChistwon">#REF!</definedName>
    <definedName name="Italytriesagainst">ITA!$R$13</definedName>
    <definedName name="Italytriesscored">ITA!$J$13</definedName>
    <definedName name="Italytrybonus">ITA!$H$13</definedName>
    <definedName name="Italywon">ITA!$AA$13</definedName>
    <definedName name="Italyyellow">ITA!$N$13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tb">ITA!#REF!</definedName>
    <definedName name="itatbcon">ITA!#REF!</definedName>
    <definedName name="itatriescon">ITA!#REF!</definedName>
    <definedName name="itayellow">ITA!#REF!</definedName>
    <definedName name="Japanalltestshistdrawn">#REF!</definedName>
    <definedName name="Japanalltestshistlost">#REF!</definedName>
    <definedName name="Japanalltestshistplayed">#REF!</definedName>
    <definedName name="Japanalltestshistptscon">#REF!</definedName>
    <definedName name="Japanalltestshistptsscored">#REF!</definedName>
    <definedName name="Japanalltestshisttriesscored">#REF!</definedName>
    <definedName name="Japanalltestshisttriesscoredcorrect">#REF!</definedName>
    <definedName name="Japanalltestshistwon">#REF!</definedName>
    <definedName name="JapanRWChistdrawn">#REF!</definedName>
    <definedName name="JapanRWChistlost">#REF!</definedName>
    <definedName name="JapanRWChistplayed">#REF!</definedName>
    <definedName name="JapanRWChistptsagainst">#REF!</definedName>
    <definedName name="JapanRWChistptsscored">#REF!</definedName>
    <definedName name="JapanRWChisttriesscored">#REF!</definedName>
    <definedName name="JapanRWChistwon">#REF!</definedName>
    <definedName name="jpn2019alltestsdrawn">#REF!</definedName>
    <definedName name="jpn2019alltestslost">#REF!</definedName>
    <definedName name="jpn2019alltestsplayed">#REF!</definedName>
    <definedName name="jpn2019alltestsptsagainst">#REF!</definedName>
    <definedName name="jpn2019alltestsptsscored">#REF!</definedName>
    <definedName name="jpn2019allteststriescon">#REF!</definedName>
    <definedName name="jpn2019allteststriesscored">#REF!</definedName>
    <definedName name="jpn2019alltestswon">#REF!</definedName>
    <definedName name="jpn2019pooldrawn">#REF!</definedName>
    <definedName name="jpn2019poollbcon">#REF!</definedName>
    <definedName name="jpn2019poollbscored">#REF!</definedName>
    <definedName name="jpn2019poollost">#REF!</definedName>
    <definedName name="jpn2019poolplayed">#REF!</definedName>
    <definedName name="jpn2019poolptscon">#REF!</definedName>
    <definedName name="jpn2019poolptsscored">#REF!</definedName>
    <definedName name="jpn2019pooltbcon">#REF!</definedName>
    <definedName name="jpn2019pooltbscored">#REF!</definedName>
    <definedName name="jpn2019pooltriescon">#REF!</definedName>
    <definedName name="jpn2019pooltriesscored">#REF!</definedName>
    <definedName name="jpn2019poolwon">#REF!</definedName>
    <definedName name="jpn2019rwcdrawn">#REF!</definedName>
    <definedName name="jpn2019rwclost">#REF!</definedName>
    <definedName name="jpn2019rwcplayed">#REF!</definedName>
    <definedName name="jpn2019rwcptsagainst">#REF!</definedName>
    <definedName name="jpn2019rwcptsscored">#REF!</definedName>
    <definedName name="jpn2019rwcrc">#REF!</definedName>
    <definedName name="jpn2019rwctriescon">#REF!</definedName>
    <definedName name="jpn2019rwctriesscored">#REF!</definedName>
    <definedName name="jpn2019rwcwon">#REF!</definedName>
    <definedName name="jpn2019rwcyc">#REF!</definedName>
    <definedName name="jpn2021wcpooldrawn">JPN!#REF!</definedName>
    <definedName name="jpn2021wcpoollbscored">JPN!#REF!</definedName>
    <definedName name="jpn2021wcpoollost">JPN!#REF!</definedName>
    <definedName name="jpn2021wcpoolplayed">JPN!#REF!</definedName>
    <definedName name="jpn2021wcpoolpointsagainst">JPN!#REF!</definedName>
    <definedName name="jpn2021wcpoolpointsscored">JPN!#REF!</definedName>
    <definedName name="jpn2021wcpooltbscored">JPN!#REF!</definedName>
    <definedName name="jpn2021wcpooltriesconceded">JPN!#REF!</definedName>
    <definedName name="jpn2021wcpooltriesscored">JPN!#REF!</definedName>
    <definedName name="jpn2021wcpoolwon">JPN!#REF!</definedName>
    <definedName name="jpn2021wcrc">JPN!#REF!</definedName>
    <definedName name="jpn2021wctbcon">JPN!#REF!</definedName>
    <definedName name="jpn2021wcyc">JPN!#REF!</definedName>
    <definedName name="jpnlb">#REF!</definedName>
    <definedName name="jpnlbcon">#REF!</definedName>
    <definedName name="jpnoveralldrawn">#REF!</definedName>
    <definedName name="jpnoveralllost">#REF!</definedName>
    <definedName name="jpnoverallpld">#REF!</definedName>
    <definedName name="jpnoverallptsag">#REF!</definedName>
    <definedName name="jpnoverallptsscored">#REF!</definedName>
    <definedName name="jpnoveralltriescon">#REF!</definedName>
    <definedName name="jpnoveralltriesscored">#REF!</definedName>
    <definedName name="jpnoverallwon">#REF!</definedName>
    <definedName name="jpnpooldrawn">#REF!</definedName>
    <definedName name="jpnpoollost">#REF!</definedName>
    <definedName name="jpnpoolpld">#REF!</definedName>
    <definedName name="jpnpoolptsag">#REF!</definedName>
    <definedName name="jpnpoolptsscored">#REF!</definedName>
    <definedName name="jpnpooltriescon">#REF!</definedName>
    <definedName name="jpnpooltriesscored">#REF!</definedName>
    <definedName name="jpnpoolwon">#REF!</definedName>
    <definedName name="jpnred">#REF!</definedName>
    <definedName name="jpntb">#REF!</definedName>
    <definedName name="jpntbcon">#REF!</definedName>
    <definedName name="jpnyellow">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esterpremred">[2]LEIC!$O$39</definedName>
    <definedName name="leicesterpremseasontotalsdgs">[1]LEIC!$L$37</definedName>
    <definedName name="leicesterpremseasontotalsdrawn">[1]LEIC!$AA$37</definedName>
    <definedName name="leicesterpremseasontotalslost">[1]LEIC!$AB$37</definedName>
    <definedName name="leicesterpremseasontotalsplayed">[1]LEIC!$Y$37</definedName>
    <definedName name="leicesterpremseasontotalsptsagainst">[1]LEIC!$G$37</definedName>
    <definedName name="leicesterpremseasontotalsptsscored">[1]LEIC!$F$37</definedName>
    <definedName name="leicesterpremseasontotalsRC">[1]LEIC!$O$37</definedName>
    <definedName name="leicesterpremseasontotalstriesconceded">[1]LEIC!$R$37</definedName>
    <definedName name="leicesterpremseasontotalstriesscored">[1]LEIC!$J$37</definedName>
    <definedName name="leicesterpremseasontotalswon">[1]LEIC!$Z$37</definedName>
    <definedName name="leicesterpremseasontotalsYC">[1]LEIC!$N$37</definedName>
    <definedName name="leicesterpremtrybonusconccorrect">[1]LEIC!$P$35</definedName>
    <definedName name="leicesterpremtrybonusscored">[1]LEIC!$H$35</definedName>
    <definedName name="leicesterpremyellow">[2]LEIC!$N$39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ibonus">#REF!</definedName>
    <definedName name="liconceded">#REF!</definedName>
    <definedName name="lidrawn">#REF!</definedName>
    <definedName name="lilosingbonus">#REF!</definedName>
    <definedName name="lilosingbonusconceded">#REF!</definedName>
    <definedName name="lilost">#REF!</definedName>
    <definedName name="liplayed">#REF!</definedName>
    <definedName name="lirdgsscored">[1]BRI!$L$36</definedName>
    <definedName name="lired">#REF!</definedName>
    <definedName name="liscored">#REF!</definedName>
    <definedName name="litries">#REF!</definedName>
    <definedName name="litriesconceded">#REF!</definedName>
    <definedName name="litrybonus">#REF!</definedName>
    <definedName name="litrybonusconceded">#REF!</definedName>
    <definedName name="liwon">#REF!</definedName>
    <definedName name="liyellow">#REF!</definedName>
    <definedName name="lweagainst">#REF!</definedName>
    <definedName name="lwedrawn">#REF!</definedName>
    <definedName name="lwelosingbonus">#REF!</definedName>
    <definedName name="lwelosingbonusonceded">#REF!</definedName>
    <definedName name="lwelost">#REF!</definedName>
    <definedName name="lweplayed">#REF!</definedName>
    <definedName name="lwered">#REF!</definedName>
    <definedName name="lwescored">#REF!</definedName>
    <definedName name="lwetriesconceded">#REF!</definedName>
    <definedName name="lwetriesscored">#REF!</definedName>
    <definedName name="lwetrybonus">#REF!</definedName>
    <definedName name="lwetrybonusconceded">#REF!</definedName>
    <definedName name="lwewon">#REF!</definedName>
    <definedName name="lweyellow">#REF!</definedName>
    <definedName name="Nam2019alltestsdrawn">#REF!</definedName>
    <definedName name="Nam2019alltestslost">#REF!</definedName>
    <definedName name="Nam2019alltestsplayed">#REF!</definedName>
    <definedName name="Nam2019alltestsptscon">#REF!</definedName>
    <definedName name="Nam2019alltestsptsscored">#REF!</definedName>
    <definedName name="Nam2019allteststriescon">#REF!</definedName>
    <definedName name="Nam2019allteststriesscored">#REF!</definedName>
    <definedName name="Nam2019alltestswon">#REF!</definedName>
    <definedName name="Nam2019pooldrawn">#REF!</definedName>
    <definedName name="Nam2019poollbcon">#REF!</definedName>
    <definedName name="Nam2019poollbscored">#REF!</definedName>
    <definedName name="Nam2019poollost">#REF!</definedName>
    <definedName name="Nam2019poolplayed">#REF!</definedName>
    <definedName name="Nam2019poolptscon">#REF!</definedName>
    <definedName name="Nam2019poolptsscored">#REF!</definedName>
    <definedName name="Nam2019pooltbcon">#REF!</definedName>
    <definedName name="Nam2019pooltbscored">#REF!</definedName>
    <definedName name="Nam2019pooltriescon">#REF!</definedName>
    <definedName name="Nam2019pooltriesscored">#REF!</definedName>
    <definedName name="Nam2019poolwon">#REF!</definedName>
    <definedName name="Nam2019RWCdrawn">#REF!</definedName>
    <definedName name="Nam2019RWClost">#REF!</definedName>
    <definedName name="Nam2019RWCplayed">#REF!</definedName>
    <definedName name="Nam2019RWCptsagainst">#REF!</definedName>
    <definedName name="Nam2019RWCptsscored">#REF!</definedName>
    <definedName name="Nam2019RWCrc">#REF!</definedName>
    <definedName name="Nam2019RWCtriescon">#REF!</definedName>
    <definedName name="Nam2019RWCtriesscored">#REF!</definedName>
    <definedName name="Nam2019RWCwon">#REF!</definedName>
    <definedName name="Nam2019RWCyc">#REF!</definedName>
    <definedName name="Namibiaalltestshistdrawn">#REF!</definedName>
    <definedName name="Namibiaalltestshistlost">#REF!</definedName>
    <definedName name="Namibiaalltestshistplayed">#REF!</definedName>
    <definedName name="Namibiaalltestshistptscon">#REF!</definedName>
    <definedName name="Namibiaalltestshistptsscored">#REF!</definedName>
    <definedName name="Namibiaalltestshisttriesscored">#REF!</definedName>
    <definedName name="Namibiaalltestshistwon">#REF!</definedName>
    <definedName name="NamibiaRWChistdrawn">#REF!</definedName>
    <definedName name="NamibiaRWChistlost">#REF!</definedName>
    <definedName name="NamibiaRWChistplayed">#REF!</definedName>
    <definedName name="NamibiaRWChistptsagainst">#REF!</definedName>
    <definedName name="NamibiaRWChistptsscored">#REF!</definedName>
    <definedName name="NamibiaRWChisttriesscored">#REF!</definedName>
    <definedName name="NamibiaRWChistwon">#REF!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tb">#REF!</definedName>
    <definedName name="namtbcon">#REF!</definedName>
    <definedName name="namyellow">#REF!</definedName>
    <definedName name="New_ZealandRWChistdrawn">#REF!</definedName>
    <definedName name="New_ZealandRWChistlost">#REF!</definedName>
    <definedName name="New_ZealandRWChistplayed">#REF!</definedName>
    <definedName name="New_ZealandRWChistptscon">#REF!</definedName>
    <definedName name="New_ZealandRWChistptsconcorrect">#REF!</definedName>
    <definedName name="New_ZealandRWChistptsscored">#REF!</definedName>
    <definedName name="New_ZealandRWChisttriesscored">#REF!</definedName>
    <definedName name="New_ZealandRWChistwon">#REF!</definedName>
    <definedName name="newcastlepremred">[2]NEW!$O$37</definedName>
    <definedName name="Newcastlepremtotalsdgs">[1]NEW!$L$38</definedName>
    <definedName name="newcastlepremtotalsdrawn">[1]NEW!$AA$36</definedName>
    <definedName name="Newcastlepremtotalslost">[1]NEW!$AB$38</definedName>
    <definedName name="Newcastlepremtotalsplayed">[1]NEW!$Y$38</definedName>
    <definedName name="Newcastlepremtotalsptsagainst">[1]NEW!$G$38</definedName>
    <definedName name="Newcastlepremtotalsptsscored">[1]NEW!$F$38</definedName>
    <definedName name="Newcastlepremtotalsrc">[1]NEW!$O$38</definedName>
    <definedName name="Newcastlepremtotalstriesconceded">[1]NEW!$R$38</definedName>
    <definedName name="Newcastlepremtotalstriesscored">[1]NEW!$J$38</definedName>
    <definedName name="Newcastlepremtotalswon">[1]NEW!$Z$38</definedName>
    <definedName name="Newcastlepremtotalsyc">[1]NEW!$N$38</definedName>
    <definedName name="newcastlepremtrybonuscocn">[1]NEW!$P$36</definedName>
    <definedName name="newcastlepremtrybonusscored">[1]NEW!$H$36</definedName>
    <definedName name="newcastlepremyellow">[2]NEW!$N$37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ortbscored">[4]NOR!$H$38</definedName>
    <definedName name="northamptonpremred">[2]NOR!$O$37</definedName>
    <definedName name="northamptonpremseasontotalsdgs">[1]NOR!$L$42</definedName>
    <definedName name="northamptonpremseasontotalsdrawn">[1]NOR!$AA$42</definedName>
    <definedName name="northamptonpremseasontotalslost">[1]NOR!$AB$42</definedName>
    <definedName name="northamptonpremseasontotalsplayed">[1]NOR!$Y$42</definedName>
    <definedName name="northamptonpremseasontotalsptsagainst">[1]NOR!$G$42</definedName>
    <definedName name="northamptonpremseasontotalsptsscored">[1]NOR!$F$42</definedName>
    <definedName name="northamptonpremseasontotalstriesconceded">[1]NOR!$R$42</definedName>
    <definedName name="northamptonpremseasontotalstriesscored">[1]NOR!$J$42</definedName>
    <definedName name="northamptonpremseasontotalswon">[1]NOR!$Z$42</definedName>
    <definedName name="northamptonpremtrybonusconc">[1]NOR!$P$40</definedName>
    <definedName name="northamptonpremtrybonusscored">[1]NOR!$H$40</definedName>
    <definedName name="northamptonpremyellow">[2]NOR!$N$37</definedName>
    <definedName name="Nzl2019alltestsdrawn">#REF!</definedName>
    <definedName name="Nzl2019alltestshistdrawn">#REF!</definedName>
    <definedName name="Nzl2019alltestshistlost">#REF!</definedName>
    <definedName name="Nzl2019alltestshistplayed">#REF!</definedName>
    <definedName name="Nzl2019alltestshistptscon">#REF!</definedName>
    <definedName name="Nzl2019alltestshistptsscored">#REF!</definedName>
    <definedName name="Nzl2019alltestshisttriesscored">#REF!</definedName>
    <definedName name="Nzl2019alltestshistwon">#REF!</definedName>
    <definedName name="Nzl2019alltestslost">#REF!</definedName>
    <definedName name="Nzl2019alltestsplayed">#REF!</definedName>
    <definedName name="Nzl2019alltestsptscon">#REF!</definedName>
    <definedName name="Nzl2019alltestsptsscored">#REF!</definedName>
    <definedName name="Nzl2019allteststriescon">#REF!</definedName>
    <definedName name="Nzl2019allteststriesscored">#REF!</definedName>
    <definedName name="Nzl2019alltestswon">#REF!</definedName>
    <definedName name="Nzl2019pooldrawn">#REF!</definedName>
    <definedName name="Nzl2019poollbcon">#REF!</definedName>
    <definedName name="Nzl2019poollbscored">#REF!</definedName>
    <definedName name="Nzl2019poollost">#REF!</definedName>
    <definedName name="Nzl2019poolplayed">#REF!</definedName>
    <definedName name="Nzl2019poolptscon">#REF!</definedName>
    <definedName name="Nzl2019poolptsscored">#REF!</definedName>
    <definedName name="Nzl2019pooltbcon">#REF!</definedName>
    <definedName name="Nzl2019pooltbscored">#REF!</definedName>
    <definedName name="Nzl2019pooltriescon">#REF!</definedName>
    <definedName name="Nzl2019pooltriesscored">#REF!</definedName>
    <definedName name="Nzl2019poolwon">#REF!</definedName>
    <definedName name="Nzl2019RWCdrawn">#REF!</definedName>
    <definedName name="Nzl2019RWClost">#REF!</definedName>
    <definedName name="Nzl2019RWCplayed">#REF!</definedName>
    <definedName name="Nzl2019RWCptsscon">#REF!</definedName>
    <definedName name="Nzl2019RWCptsscored">#REF!</definedName>
    <definedName name="Nzl2019RWCrc">#REF!</definedName>
    <definedName name="Nzl2019RWCtriescon">#REF!</definedName>
    <definedName name="Nzl2019RWCtriesscored">#REF!</definedName>
    <definedName name="Nzl2019RWCwon">#REF!</definedName>
    <definedName name="Nzl2019RWCyc">#REF!</definedName>
    <definedName name="nzl2021wcpooldrawn">NZL!#REF!</definedName>
    <definedName name="nzl2021wcpoollbscored">NZL!#REF!</definedName>
    <definedName name="nzl2021wcpoollost">NZL!#REF!</definedName>
    <definedName name="nzl2021wcpoolplayed">NZL!#REF!</definedName>
    <definedName name="nzl2021wcpoolpointsagainst">NZL!#REF!</definedName>
    <definedName name="nzl2021wcpoolpointsscored">NZL!#REF!</definedName>
    <definedName name="nzl2021wcpooltbscored">NZL!#REF!</definedName>
    <definedName name="nzl2021wcpooltriesconceded">NZL!#REF!</definedName>
    <definedName name="nzl2021wcpooltriesscored">NZL!#REF!</definedName>
    <definedName name="nzl2021wcpoolwon">NZL!#REF!</definedName>
    <definedName name="nzl2021wcrc">NZL!#REF!</definedName>
    <definedName name="nzl2021wctbcon">NZL!#REF!</definedName>
    <definedName name="nzl2021wcyc">NZL!#REF!</definedName>
    <definedName name="nzllb">#REF!</definedName>
    <definedName name="nzllbcon">#REF!</definedName>
    <definedName name="nzloveralldrawn">#REF!</definedName>
    <definedName name="nzloveralllost">#REF!</definedName>
    <definedName name="nzloverallpld">#REF!</definedName>
    <definedName name="nzloverallptsag">#REF!</definedName>
    <definedName name="nzloverallptsscored">#REF!</definedName>
    <definedName name="nzloveralltriescon">#REF!</definedName>
    <definedName name="nzloveralltriesscored">#REF!</definedName>
    <definedName name="nzloverallwon">#REF!</definedName>
    <definedName name="nzlp4drawn">NZL!$AB$13</definedName>
    <definedName name="nzlp4lb">NZL!$I$13</definedName>
    <definedName name="nzlp4lost">NZL!$AC$13</definedName>
    <definedName name="nzlp4played">NZL!$Z$13</definedName>
    <definedName name="nzlp4ptsconc">NZL!$G$13</definedName>
    <definedName name="nzlp4ptsscored">NZL!$F$13</definedName>
    <definedName name="nzlp4rc">NZL!$O$13</definedName>
    <definedName name="nzlp4tb">NZL!$H$13</definedName>
    <definedName name="nzlp4triesconc">NZL!$R$13</definedName>
    <definedName name="nzlp4triesscored">NZL!$J$13</definedName>
    <definedName name="nzlp4won">NZL!$AA$13</definedName>
    <definedName name="nzlp4yc">NZL!$N$13</definedName>
    <definedName name="nzlpooldrawn">#REF!</definedName>
    <definedName name="nzlpoollost">#REF!</definedName>
    <definedName name="nzlpoolpld">#REF!</definedName>
    <definedName name="nzlpoolptsag">#REF!</definedName>
    <definedName name="nzlpoolptsscored">#REF!</definedName>
    <definedName name="nzlpooltriescon">#REF!</definedName>
    <definedName name="nzlpooltriesscored">#REF!</definedName>
    <definedName name="nzlpoolwon">#REF!</definedName>
    <definedName name="nzlred">#REF!</definedName>
    <definedName name="nzltb">#REF!</definedName>
    <definedName name="nzltbcon">#REF!</definedName>
    <definedName name="nzlyellow">#REF!</definedName>
    <definedName name="quinspoconceded">#REF!</definedName>
    <definedName name="quinspolost">#REF!</definedName>
    <definedName name="quinspoplayed">#REF!</definedName>
    <definedName name="quinspored">#REF!</definedName>
    <definedName name="quinsposcored">#REF!</definedName>
    <definedName name="quinspotriesconceded">#REF!</definedName>
    <definedName name="quinspotriesscored">#REF!</definedName>
    <definedName name="quinspowon">#REF!</definedName>
    <definedName name="quinspoyellow">#REF!</definedName>
    <definedName name="romaniaalltestsdrawn">#REF!</definedName>
    <definedName name="romaniaalltestslost">#REF!</definedName>
    <definedName name="romaniaalltestsplayed">#REF!</definedName>
    <definedName name="romaniaalltestsptsagainst">#REF!</definedName>
    <definedName name="romaniaalltestsptsscored">#REF!</definedName>
    <definedName name="romaniaallteststriesagaiant">#REF!</definedName>
    <definedName name="romaniaallteststriesscored">#REF!</definedName>
    <definedName name="romaniaalltestswon">#REF!</definedName>
    <definedName name="romlb">#REF!</definedName>
    <definedName name="romlbcon">#REF!</definedName>
    <definedName name="romoveralldrawn">#REF!</definedName>
    <definedName name="romoveralllost">#REF!</definedName>
    <definedName name="romoverallpld">#REF!</definedName>
    <definedName name="romoverallptsag">#REF!</definedName>
    <definedName name="romoverallptsscored">#REF!</definedName>
    <definedName name="romoveralltriescon">#REF!</definedName>
    <definedName name="romoveralltriesscored">#REF!</definedName>
    <definedName name="romoverallwon">#REF!</definedName>
    <definedName name="rompooldrawn">#REF!</definedName>
    <definedName name="rompoollost">#REF!</definedName>
    <definedName name="rompoolpld">#REF!</definedName>
    <definedName name="rompoolptsag">#REF!</definedName>
    <definedName name="rompoolptsscored">#REF!</definedName>
    <definedName name="rompooltriescon">#REF!</definedName>
    <definedName name="rompooltriesscored">#REF!</definedName>
    <definedName name="rompoolwon">#REF!</definedName>
    <definedName name="romred">#REF!</definedName>
    <definedName name="romtb">#REF!</definedName>
    <definedName name="romtbcon">#REF!</definedName>
    <definedName name="romyellow">#REF!</definedName>
    <definedName name="Rsa2019alltestsdrawn">#REF!</definedName>
    <definedName name="Rsa2019alltestslost">#REF!</definedName>
    <definedName name="Rsa2019alltestsplayed">#REF!</definedName>
    <definedName name="Rsa2019alltestsptscon">#REF!</definedName>
    <definedName name="Rsa2019alltestsptsscored">#REF!</definedName>
    <definedName name="Rsa2019allteststriescon">#REF!</definedName>
    <definedName name="Rsa2019allteststriesscored">#REF!</definedName>
    <definedName name="Rsa2019alltestswon">#REF!</definedName>
    <definedName name="Rsa2019pooldrawn">#REF!</definedName>
    <definedName name="Rsa2019poollbcon">#REF!</definedName>
    <definedName name="Rsa2019poollbscored">#REF!</definedName>
    <definedName name="Rsa2019poollost">#REF!</definedName>
    <definedName name="Rsa2019poolplayed">#REF!</definedName>
    <definedName name="Rsa2019poolptscon">#REF!</definedName>
    <definedName name="Rsa2019poolptsscored">#REF!</definedName>
    <definedName name="Rsa2019pooltbcon">#REF!</definedName>
    <definedName name="Rsa2019pooltbscored">#REF!</definedName>
    <definedName name="Rsa2019pooltriescon">#REF!</definedName>
    <definedName name="Rsa2019pooltriesscored">#REF!</definedName>
    <definedName name="Rsa2019poolwon">#REF!</definedName>
    <definedName name="Rsa2019RWCdrawn">#REF!</definedName>
    <definedName name="Rsa2019RWClost">#REF!</definedName>
    <definedName name="Rsa2019RWCplayed">#REF!</definedName>
    <definedName name="Rsa2019RWCptscon">#REF!</definedName>
    <definedName name="Rsa2019RWCptsscored">#REF!</definedName>
    <definedName name="Rsa2019RWCrc">#REF!</definedName>
    <definedName name="Rsa2019RWCtriescon">#REF!</definedName>
    <definedName name="Rsa2019RWCtriesscored">#REF!</definedName>
    <definedName name="Rsa2019RWCwon">#REF!</definedName>
    <definedName name="Rsa2019RWCyc">#REF!</definedName>
    <definedName name="rsa2021wcpooldrawn">RSA!#REF!</definedName>
    <definedName name="rsa2021wcpoollbscored">RSA!#REF!</definedName>
    <definedName name="rsa2021wcpoollost">RSA!#REF!</definedName>
    <definedName name="rsa2021wcpoolplayed">RSA!#REF!</definedName>
    <definedName name="rsa2021wcpoolpointsagainst">RSA!#REF!</definedName>
    <definedName name="rsa2021wcpoolpointsscored">RSA!#REF!</definedName>
    <definedName name="rsa2021wcpooltbscored">RSA!#REF!</definedName>
    <definedName name="rsa2021wcpooltriesconceded">RSA!#REF!</definedName>
    <definedName name="rsa2021wcpooltriesscored">RSA!#REF!</definedName>
    <definedName name="rsa2021wcpoolwon">RSA!#REF!</definedName>
    <definedName name="rsa2021wcrc">RSA!#REF!</definedName>
    <definedName name="rsa2021wctbcon">RSA!#REF!</definedName>
    <definedName name="rsa2021wcyc">RSA!#REF!</definedName>
    <definedName name="Rsaalltestshistdrawn">#REF!</definedName>
    <definedName name="Rsaalltestshistlost">#REF!</definedName>
    <definedName name="Rsaalltestshistplayed">#REF!</definedName>
    <definedName name="Rsaalltestshistptscon">#REF!</definedName>
    <definedName name="Rsaalltestshistptsscored">#REF!</definedName>
    <definedName name="Rsaalltestshisttriesscored">#REF!</definedName>
    <definedName name="Rsaalltestshistwon">#REF!</definedName>
    <definedName name="rsalb">#REF!</definedName>
    <definedName name="rsalbcon">#REF!</definedName>
    <definedName name="rsaoveralldrawn">#REF!</definedName>
    <definedName name="rsaoveralllost">#REF!</definedName>
    <definedName name="rsaoverallpld">#REF!</definedName>
    <definedName name="rsaoverallptsag">#REF!</definedName>
    <definedName name="rsaoverallptsscored">#REF!</definedName>
    <definedName name="rsaoveralltriescon">#REF!</definedName>
    <definedName name="rsaoveralltriesscored">#REF!</definedName>
    <definedName name="rsaoverallwon">#REF!</definedName>
    <definedName name="rsapooldrawn">#REF!</definedName>
    <definedName name="rsapoollost">#REF!</definedName>
    <definedName name="rsapoolpld">#REF!</definedName>
    <definedName name="rsapoolptsag">#REF!</definedName>
    <definedName name="rsapoolptsscored">#REF!</definedName>
    <definedName name="rsapooltriescon">#REF!</definedName>
    <definedName name="rsapooltriesscored">#REF!</definedName>
    <definedName name="rsapoolwon">#REF!</definedName>
    <definedName name="rsared">#REF!</definedName>
    <definedName name="RsaRWChistdrawn">#REF!</definedName>
    <definedName name="RsaRWChistlost">#REF!</definedName>
    <definedName name="RsaRWChistplayed">#REF!</definedName>
    <definedName name="RsaRWChistptscon">#REF!</definedName>
    <definedName name="RsaRWChistptsscored">#REF!</definedName>
    <definedName name="RsaRWChisttriesscored">#REF!</definedName>
    <definedName name="RsaRWChistwon">#REF!</definedName>
    <definedName name="rsatb">#REF!</definedName>
    <definedName name="rsatbcon">#REF!</definedName>
    <definedName name="rsayellow">#REF!</definedName>
    <definedName name="Rus2019alltestsdrawn">#REF!</definedName>
    <definedName name="Rus2019alltestslost">#REF!</definedName>
    <definedName name="Rus2019alltestsplayed">#REF!</definedName>
    <definedName name="Rus2019alltestsptscon">#REF!</definedName>
    <definedName name="Rus2019alltestsptsscored">#REF!</definedName>
    <definedName name="Rus2019allteststriescon">#REF!</definedName>
    <definedName name="Rus2019allteststriescored">#REF!</definedName>
    <definedName name="Rus2019alltestswon">#REF!</definedName>
    <definedName name="Rus2019pooldrawn">#REF!</definedName>
    <definedName name="Rus2019poollbcon">#REF!</definedName>
    <definedName name="Rus2019poollbscored">#REF!</definedName>
    <definedName name="Rus2019poollost">#REF!</definedName>
    <definedName name="Rus2019poolplayed">#REF!</definedName>
    <definedName name="Rus2019poolplayedcorrect">#REF!</definedName>
    <definedName name="Rus2019poolptscon">#REF!</definedName>
    <definedName name="Rus2019poolptsscored">#REF!</definedName>
    <definedName name="Rus2019pooltbcon">#REF!</definedName>
    <definedName name="Rus2019pooltbscored">#REF!</definedName>
    <definedName name="Rus2019pooltriescon">#REF!</definedName>
    <definedName name="Rus2019pooltriesscored">#REF!</definedName>
    <definedName name="Rus2019poolwon">#REF!</definedName>
    <definedName name="Rus2019poolwoncorrect">#REF!</definedName>
    <definedName name="Rus2019RWCdrawn">#REF!</definedName>
    <definedName name="Rus2019RWClost">#REF!</definedName>
    <definedName name="Rus2019RWCplayed">#REF!</definedName>
    <definedName name="Rus2019RWCptscon">#REF!</definedName>
    <definedName name="Rus2019RWCptsscored">#REF!</definedName>
    <definedName name="Rus2019RWCrc">#REF!</definedName>
    <definedName name="Rus2019RWCtriescon">#REF!</definedName>
    <definedName name="Rus2019RWCtriesscored">#REF!</definedName>
    <definedName name="Rus2019RWCwon">#REF!</definedName>
    <definedName name="Rus2019RWCyc">#REF!</definedName>
    <definedName name="Russiaalltestshistdrawn">#REF!</definedName>
    <definedName name="Russiaalltestshistlost">#REF!</definedName>
    <definedName name="Russiaalltestshistplayed">#REF!</definedName>
    <definedName name="Russiaalltestshistptsagainst">#REF!</definedName>
    <definedName name="Russiaalltestshistptsscored">#REF!</definedName>
    <definedName name="Russiaalltestshisttriesscored">#REF!</definedName>
    <definedName name="Russiaalltestshistwon">#REF!</definedName>
    <definedName name="RussiaRWChistdrawn">#REF!</definedName>
    <definedName name="RussiaRWChistlost">#REF!</definedName>
    <definedName name="RussiaRWChistplayed">#REF!</definedName>
    <definedName name="RussiaRWChistptscon">#REF!</definedName>
    <definedName name="RussiaRWChistptsscored">#REF!</definedName>
    <definedName name="RussiaRWChisttriesscored">#REF!</definedName>
    <definedName name="RussiaRWChistwon">#REF!</definedName>
    <definedName name="RWC2019startarg">#REF!</definedName>
    <definedName name="RWC2019startaus">#REF!</definedName>
    <definedName name="RWC2019startcan">#REF!</definedName>
    <definedName name="RWC2019starteng">ENG!#REF!</definedName>
    <definedName name="RWC2019startfij">#REF!</definedName>
    <definedName name="RWC2019startfra">FRA!#REF!</definedName>
    <definedName name="RWC2019startgeo">#REF!</definedName>
    <definedName name="RWC2019startire">IRE!#REF!</definedName>
    <definedName name="RWC2019startita">ITA!#REF!</definedName>
    <definedName name="RWC2019startjpn">#REF!</definedName>
    <definedName name="RWC2019startnam">#REF!</definedName>
    <definedName name="RWC2019startnzl">#REF!</definedName>
    <definedName name="RWC2019startrsa">#REF!</definedName>
    <definedName name="RWC2019startrus">#REF!</definedName>
    <definedName name="RWC2019startsam">#REF!</definedName>
    <definedName name="RWC2019startsco">SCO!#REF!</definedName>
    <definedName name="RWCstartton">#REF!</definedName>
    <definedName name="RWCstartUru">#REF!</definedName>
    <definedName name="RWCstartUSA">#REF!</definedName>
    <definedName name="RWCstartwal">WAL!#REF!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#REF!</definedName>
    <definedName name="saleconceded">#REF!</definedName>
    <definedName name="saledrawn">#REF!</definedName>
    <definedName name="salelosingbonus">#REF!</definedName>
    <definedName name="salelosingbonusconceded">#REF!</definedName>
    <definedName name="salelost">#REF!</definedName>
    <definedName name="saleplayed">#REF!</definedName>
    <definedName name="salepremptsdagainst">[1]SAL!$G$37</definedName>
    <definedName name="salepremptsscored">[1]SAL!$F$37</definedName>
    <definedName name="salepremred">[2]SAL!$O$39</definedName>
    <definedName name="salepremseasontotalsdgs">[1]SAL!$L$39</definedName>
    <definedName name="salepremseasontotalsdrawn">[1]SAL!$AA$39</definedName>
    <definedName name="salepremseasontotalslost">[1]SAL!$AB$39</definedName>
    <definedName name="salepremseasontotalsplayed">[1]SAL!$Y$39</definedName>
    <definedName name="salepremseasontotalsRC">[1]SAL!$O$39</definedName>
    <definedName name="salepremseasontotalstriesconceded">[1]SAL!$R$39</definedName>
    <definedName name="salepremseasontotalstriesscored">[1]SAL!$J$39</definedName>
    <definedName name="salepremseasontotalswon">[1]SAL!$Z$39</definedName>
    <definedName name="salepremseasontotalsYC">[1]SAL!$N$39</definedName>
    <definedName name="salepremtrybonusconc">[1]SAL!$P$37</definedName>
    <definedName name="salepremtrybonusscored">[1]SAL!$H$37</definedName>
    <definedName name="salepremyellow">[2]SAL!$N$39</definedName>
    <definedName name="salered">#REF!</definedName>
    <definedName name="salescored">#REF!</definedName>
    <definedName name="saletriesconceded">#REF!</definedName>
    <definedName name="saletriesscored">#REF!</definedName>
    <definedName name="saletrybonus">#REF!</definedName>
    <definedName name="saletrybonusconceded">#REF!</definedName>
    <definedName name="salewon">#REF!</definedName>
    <definedName name="saleyellow">#REF!</definedName>
    <definedName name="Sam2019alltestsdrawn">#REF!</definedName>
    <definedName name="Sam2019alltestslost">#REF!</definedName>
    <definedName name="Sam2019alltestsplayed">#REF!</definedName>
    <definedName name="Sam2019alltestsptscon">#REF!</definedName>
    <definedName name="Sam2019alltestsptsscored">#REF!</definedName>
    <definedName name="Sam2019allteststriescon">#REF!</definedName>
    <definedName name="Sam2019allteststriescored">#REF!</definedName>
    <definedName name="Sam2019alltestswon">#REF!</definedName>
    <definedName name="Sam2019pooldrawn">#REF!</definedName>
    <definedName name="Sam2019poollbcon">#REF!</definedName>
    <definedName name="Sam2019poollbscored">#REF!</definedName>
    <definedName name="Sam2019poollost">#REF!</definedName>
    <definedName name="Sam2019poolplayed">#REF!</definedName>
    <definedName name="Sam2019poolptscon">#REF!</definedName>
    <definedName name="Sam2019poolptsscored">#REF!</definedName>
    <definedName name="Sam2019pooltbcon">#REF!</definedName>
    <definedName name="Sam2019pooltbscored">#REF!</definedName>
    <definedName name="Sam2019pooltriescon">#REF!</definedName>
    <definedName name="Sam2019pooltriesscored">#REF!</definedName>
    <definedName name="Sam2019poolwon">#REF!</definedName>
    <definedName name="Sam2019RWCdrawn">#REF!</definedName>
    <definedName name="Sam2019RWClost">#REF!</definedName>
    <definedName name="Sam2019RWCplayed">#REF!</definedName>
    <definedName name="Sam2019RWCptscon">#REF!</definedName>
    <definedName name="Sam2019RWCptsscored">#REF!</definedName>
    <definedName name="SAM2019rwcRC">#REF!</definedName>
    <definedName name="Sam2019RWCtriescon">#REF!</definedName>
    <definedName name="Sam2019RWCtriescored">#REF!</definedName>
    <definedName name="Sam2019RWCwon">#REF!</definedName>
    <definedName name="Sam2019RWCyc">#REF!</definedName>
    <definedName name="Samalltestshistdrawn">#REF!</definedName>
    <definedName name="Samalltestshistlost">#REF!</definedName>
    <definedName name="Samalltestshistplayed">#REF!</definedName>
    <definedName name="Samalltestshistptscon">#REF!</definedName>
    <definedName name="Samalltestshistptsscored">#REF!</definedName>
    <definedName name="SamalltestshistTRIESSCORED">#REF!</definedName>
    <definedName name="Samalltestshistwon">#REF!</definedName>
    <definedName name="samlb">#REF!</definedName>
    <definedName name="samlbcon">#REF!</definedName>
    <definedName name="samoveralldrawn">#REF!</definedName>
    <definedName name="samoveralllost">#REF!</definedName>
    <definedName name="samoverallpld">#REF!</definedName>
    <definedName name="samoverallptsag">#REF!</definedName>
    <definedName name="samoverallptsscored">#REF!</definedName>
    <definedName name="samoveralltriescon">#REF!</definedName>
    <definedName name="samoveralltriesscored">#REF!</definedName>
    <definedName name="samoverallwon">#REF!</definedName>
    <definedName name="sampooldrawn">#REF!</definedName>
    <definedName name="sampoollost">#REF!</definedName>
    <definedName name="sampoolpld">#REF!</definedName>
    <definedName name="sampoolptsag">#REF!</definedName>
    <definedName name="sampoolptsscored">#REF!</definedName>
    <definedName name="sampooltriescon">#REF!</definedName>
    <definedName name="sampooltriesscored">#REF!</definedName>
    <definedName name="sampoolwon">#REF!</definedName>
    <definedName name="samred">#REF!</definedName>
    <definedName name="SamRWChistdrawn">#REF!</definedName>
    <definedName name="SamRWChistlost">#REF!</definedName>
    <definedName name="SamRWChistplayed">#REF!</definedName>
    <definedName name="SamRWChistptscon">#REF!</definedName>
    <definedName name="SamRWChistptsscored">#REF!</definedName>
    <definedName name="SamRWChisttriesscored">#REF!</definedName>
    <definedName name="SamRWChistwon">#REF!</definedName>
    <definedName name="samtb">#REF!</definedName>
    <definedName name="samtbcon">#REF!</definedName>
    <definedName name="samyellow">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red">[2]SAR!$O$42</definedName>
    <definedName name="saracenspremtotalsdrawn">[1]SAR!$AA$44</definedName>
    <definedName name="saracenspremtrybonusconc">[1]SAR!$P$42</definedName>
    <definedName name="saracenspremtrybonusscored">[1]SAR!$H$42</definedName>
    <definedName name="saracenspremyellow">[2]SAR!$N$42</definedName>
    <definedName name="Sarpremtotalscorrecttriesconc">[4]SAR!$R$34</definedName>
    <definedName name="Sarpremtotalscorrecttriesscored">[4]SAR!$J$34</definedName>
    <definedName name="Sarpremtotalscorrecttrybonusconc">[4]SAR!$P$34</definedName>
    <definedName name="Sarpremtotalscorrecttrybonusscored">[4]SAR!$H$34</definedName>
    <definedName name="Sarpremtotalsdgs">[1]SAR!$L$44</definedName>
    <definedName name="Sarpremtotalslost">[1]SAR!$AB$44</definedName>
    <definedName name="Sarpremtotalsplayed">[1]SAR!$Y$44</definedName>
    <definedName name="Sarpremtotalsptsagainst">[1]SAR!$G$44</definedName>
    <definedName name="Sarpremtotalsptsscored">[1]SAR!$F$44</definedName>
    <definedName name="Sarpremtotalsrc">[1]SAR!$O$44</definedName>
    <definedName name="Sarpremtotalstriesconceded">[1]SAR!$R$44</definedName>
    <definedName name="Sarpremtotalstriesscored">[1]SAR!$J$44</definedName>
    <definedName name="Sarpremtotalswon">[1]SAR!$Z$44</definedName>
    <definedName name="Sarpremtotalsyc">[1]SAR!$N$44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2019alltestsdrawn">SCO!$AB$16</definedName>
    <definedName name="Sco2019alltestslost">SCO!$AC$16</definedName>
    <definedName name="Sco2019alltestsplayed">SCO!$Z$16</definedName>
    <definedName name="Sco2019alltestsptsagainst">SCO!$G$16</definedName>
    <definedName name="Sco2019alltestsptsscored">SCO!$F$16</definedName>
    <definedName name="Sco2019allteststriescon">SCO!$R$16</definedName>
    <definedName name="Sco2019allteststriesscored">SCO!$J$16</definedName>
    <definedName name="Sco2019alltestswon">SCO!$AA$16</definedName>
    <definedName name="Sco2019pooldrawn">SCO!#REF!</definedName>
    <definedName name="Sco2019poollbcon">SCO!#REF!</definedName>
    <definedName name="Sco2019poollbscored">SCO!#REF!</definedName>
    <definedName name="sco2019poollost">SCO!#REF!</definedName>
    <definedName name="Sco2019poolplayed">SCO!#REF!</definedName>
    <definedName name="Sco2019poolptsagainst">SCO!#REF!</definedName>
    <definedName name="Sco2019poolptsscored">SCO!#REF!</definedName>
    <definedName name="Sco2019pooltbcon">SCO!#REF!</definedName>
    <definedName name="Sco2019pooltbscored">SCO!#REF!</definedName>
    <definedName name="Sco2019pooltriescon">SCO!#REF!</definedName>
    <definedName name="Sco2019pooltriesscored">SCO!#REF!</definedName>
    <definedName name="Sco2019poolwon">SCO!#REF!</definedName>
    <definedName name="Sco2019RWCdrawn">SCO!#REF!</definedName>
    <definedName name="Sco2019RWClost">SCO!#REF!</definedName>
    <definedName name="Sco2019RWCplayed">SCO!#REF!</definedName>
    <definedName name="Sco2019RWCptscon">SCO!#REF!</definedName>
    <definedName name="Sco2019RWCptsscored">SCO!#REF!</definedName>
    <definedName name="Sco2019RWCrc">SCO!#REF!</definedName>
    <definedName name="Sco2019RWCtriescon">SCO!#REF!</definedName>
    <definedName name="Sco2019RWCtriesscored">SCO!#REF!</definedName>
    <definedName name="Sco2019RWCwon">SCO!#REF!</definedName>
    <definedName name="Sco2019RWCyc">SCO!#REF!</definedName>
    <definedName name="sco2021wcpooldrawn">SCO!#REF!</definedName>
    <definedName name="sco2021wcpoollbscored">SCO!#REF!</definedName>
    <definedName name="sco2021wcpoollost">SCO!#REF!</definedName>
    <definedName name="sco2021wcpoolplayed">SCO!#REF!</definedName>
    <definedName name="sco2021wcpoolpointsagainst">SCO!#REF!</definedName>
    <definedName name="sco2021wcpoolpointsscored">SCO!#REF!</definedName>
    <definedName name="sco2021wcpooltbscored">SCO!#REF!</definedName>
    <definedName name="sco2021wcpooltriesconceded">SCO!#REF!</definedName>
    <definedName name="sco2021wcpooltriesscored">SCO!#REF!</definedName>
    <definedName name="sco2021wcpoolwon">SCO!#REF!</definedName>
    <definedName name="sco2021wcrc">SCO!#REF!</definedName>
    <definedName name="sco2021wctbcon">SCO!#REF!</definedName>
    <definedName name="sco2021wcyc">SCO!#REF!</definedName>
    <definedName name="sco6nrc">SCO!$O$14</definedName>
    <definedName name="sco6nyc">SCO!$N$14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tb">SCO!#REF!</definedName>
    <definedName name="scotbcon">SCO!#REF!</definedName>
    <definedName name="Scotlandalltestshistdrawn">#REF!</definedName>
    <definedName name="Scotlandalltestshistlost">#REF!</definedName>
    <definedName name="Scotlandalltestshistplayed">#REF!</definedName>
    <definedName name="Scotlandalltestshistptscon">#REF!</definedName>
    <definedName name="Scotlandalltestshistptsscored">#REF!</definedName>
    <definedName name="Scotlandalltestshisttriesscored">#REF!</definedName>
    <definedName name="Scotlandalltestshistwon">#REF!</definedName>
    <definedName name="Scotlanddrawn">SCO!$AB$14</definedName>
    <definedName name="Scotlandlosingbonus">SCO!$I$14</definedName>
    <definedName name="Scotlandlost">SCO!$AC$14</definedName>
    <definedName name="Scotlandplayed">SCO!$Z$14</definedName>
    <definedName name="Scotlandptsagainst">SCO!$G$14</definedName>
    <definedName name="Scotlandptsscored">SCO!$F$14</definedName>
    <definedName name="Scotlandred">SCO!$O$14</definedName>
    <definedName name="ScotlandRWChistdrawn">#REF!</definedName>
    <definedName name="ScotlandRWChistlost">#REF!</definedName>
    <definedName name="ScotlandRWChistplayed">#REF!</definedName>
    <definedName name="ScotlandRWChistptscon">#REF!</definedName>
    <definedName name="ScotlandRWChistptsscored">#REF!</definedName>
    <definedName name="ScotlandRWChisttriesscored">#REF!</definedName>
    <definedName name="ScotlandRWChistwon">#REF!</definedName>
    <definedName name="Scotlandtriesagainst">SCO!$R$14</definedName>
    <definedName name="Scotlandtriesscored">SCO!$J$14</definedName>
    <definedName name="Scotlandtrybonus">SCO!$H$14</definedName>
    <definedName name="Scotlandwon">SCO!$AA$14</definedName>
    <definedName name="Scotlandyellow">SCO!$N$14</definedName>
    <definedName name="scoyellow">SCO!#REF!</definedName>
    <definedName name="tgalb">#REF!</definedName>
    <definedName name="tgalbcon">#REF!</definedName>
    <definedName name="tgaoveralldrawn">#REF!</definedName>
    <definedName name="tgaoveralllost">#REF!</definedName>
    <definedName name="tgaoverallpld">#REF!</definedName>
    <definedName name="tgaoverallptsag">#REF!</definedName>
    <definedName name="tgaoverallptsscored">#REF!</definedName>
    <definedName name="tgaoveralltriescon">#REF!</definedName>
    <definedName name="tgaoveralltriesscored">#REF!</definedName>
    <definedName name="tgaoveralltriesscoredcorr">#REF!</definedName>
    <definedName name="tgaoverallwon">#REF!</definedName>
    <definedName name="tgaovralltriesscoredcorrect">#REF!</definedName>
    <definedName name="tgapooldrawn">#REF!</definedName>
    <definedName name="tgapoollost">#REF!</definedName>
    <definedName name="tgapoolpld">#REF!</definedName>
    <definedName name="tgapoolptsag">#REF!</definedName>
    <definedName name="tgapoolptsscored">#REF!</definedName>
    <definedName name="tgapooltriescon">#REF!</definedName>
    <definedName name="tgapooltriesscored">#REF!</definedName>
    <definedName name="tgapoolwon">#REF!</definedName>
    <definedName name="tgared">#REF!</definedName>
    <definedName name="tgatb">#REF!</definedName>
    <definedName name="tgatbcon">#REF!</definedName>
    <definedName name="tgayellow">#REF!</definedName>
    <definedName name="Ton2019alltestsdrawn">#REF!</definedName>
    <definedName name="Ton2019alltestslost">#REF!</definedName>
    <definedName name="Ton2019alltestsplayed">#REF!</definedName>
    <definedName name="Ton2019alltestsptscon">#REF!</definedName>
    <definedName name="Ton2019alltestsptsscored">#REF!</definedName>
    <definedName name="Ton2019allteststriescon">#REF!</definedName>
    <definedName name="Ton2019allteststriesscored">#REF!</definedName>
    <definedName name="Ton2019alltestswon">#REF!</definedName>
    <definedName name="Ton2019pooldrawn">#REF!</definedName>
    <definedName name="Ton2019poollbcon">#REF!</definedName>
    <definedName name="Ton2019poollbscored">#REF!</definedName>
    <definedName name="Ton2019poollost">#REF!</definedName>
    <definedName name="Ton2019poolplayed">#REF!</definedName>
    <definedName name="Ton2019poolplayedcorrect">#REF!</definedName>
    <definedName name="Ton2019poolptscon">#REF!</definedName>
    <definedName name="Ton2019poolptsscored">#REF!</definedName>
    <definedName name="Ton2019poolrtbcon">#REF!</definedName>
    <definedName name="Ton2019pooltbscored">#REF!</definedName>
    <definedName name="Ton2019pooltriescon">#REF!</definedName>
    <definedName name="Ton2019pooltriesscored">#REF!</definedName>
    <definedName name="Ton2019poolwon">#REF!</definedName>
    <definedName name="Ton2019RWCdrawn">#REF!</definedName>
    <definedName name="Ton2019RWClost">#REF!</definedName>
    <definedName name="Ton2019RWCplayed">#REF!</definedName>
    <definedName name="Ton2019RWCptscon">#REF!</definedName>
    <definedName name="Ton2019RWCptsscored">#REF!</definedName>
    <definedName name="Ton2019RWCrc">#REF!</definedName>
    <definedName name="Ton2019RWCtriescon">#REF!</definedName>
    <definedName name="Ton2019RWCtriesscored">#REF!</definedName>
    <definedName name="Ton2019RWCwon">#REF!</definedName>
    <definedName name="Ton2019RWCyc">#REF!</definedName>
    <definedName name="Tongaalltestshistdrawn">#REF!</definedName>
    <definedName name="Tongaalltestshistlost">#REF!</definedName>
    <definedName name="Tongaalltestshistplayed">#REF!</definedName>
    <definedName name="Tongaalltestshistptsagainst">#REF!</definedName>
    <definedName name="Tongaalltestshistptsscored">#REF!</definedName>
    <definedName name="Tongaalltestshisttriesscored">#REF!</definedName>
    <definedName name="Tongaalltestshistwon">#REF!</definedName>
    <definedName name="TongaRWChistdrawn">#REF!</definedName>
    <definedName name="TongaRWChistlost">#REF!</definedName>
    <definedName name="TongaRWChistplayed">#REF!</definedName>
    <definedName name="TongaRWChistptscon">#REF!</definedName>
    <definedName name="TongaRWChistptsscored">#REF!</definedName>
    <definedName name="TongaRWChisttriesscored">#REF!</definedName>
    <definedName name="TongaRWChistwon">#REF!</definedName>
    <definedName name="triesscored">ENG!#REF!</definedName>
    <definedName name="United_Statesalltestshistdrawn">#REF!</definedName>
    <definedName name="United_Statesalltestshistlost">#REF!</definedName>
    <definedName name="United_Statesalltestshistplayed">#REF!</definedName>
    <definedName name="United_Statesalltestshistptscon">#REF!</definedName>
    <definedName name="United_Statesalltestshistptsscored">#REF!</definedName>
    <definedName name="United_Statesalltestshisttriesscored">#REF!</definedName>
    <definedName name="United_Statesalltestshistwon">#REF!</definedName>
    <definedName name="United_StatesRWChistdrawn">#REF!</definedName>
    <definedName name="United_StatesRWChistlost">#REF!</definedName>
    <definedName name="United_StatesRWChistplayed">#REF!</definedName>
    <definedName name="United_StatesRWChistptscon">#REF!</definedName>
    <definedName name="United_StatesRWChistptsscored">#REF!</definedName>
    <definedName name="United_StatesRWChisttriesscored">#REF!</definedName>
    <definedName name="United_StatesRWChistwon">#REF!</definedName>
    <definedName name="Uru2019alltestsdrawn">#REF!</definedName>
    <definedName name="Uru2019alltestslost">#REF!</definedName>
    <definedName name="Uru2019alltestsplayed">#REF!</definedName>
    <definedName name="Uru2019alltestsplayedcorrect">#REF!</definedName>
    <definedName name="Uru2019alltestsptscon">#REF!</definedName>
    <definedName name="Uru2019alltestsptsscored">#REF!</definedName>
    <definedName name="Uru2019allteststriescon">#REF!</definedName>
    <definedName name="Uru2019allteststriesconcorrect">#REF!</definedName>
    <definedName name="Uru2019allteststriesscored">#REF!</definedName>
    <definedName name="Uru2019alltestswon">#REF!</definedName>
    <definedName name="Uru2019pooldrawn">#REF!</definedName>
    <definedName name="Uru2019poollbcon">#REF!</definedName>
    <definedName name="Uru2019poollbscored">#REF!</definedName>
    <definedName name="Uru2019poollost">#REF!</definedName>
    <definedName name="Uru2019poolplayed">#REF!</definedName>
    <definedName name="Uru2019poolptsagainst">#REF!</definedName>
    <definedName name="Uru2019poolptscon">#REF!</definedName>
    <definedName name="Uru2019poolptsconcorrect">#REF!</definedName>
    <definedName name="Uru2019poolptsscored">#REF!</definedName>
    <definedName name="Uru2019pooltbcon">#REF!</definedName>
    <definedName name="Uru2019pooltbscored">#REF!</definedName>
    <definedName name="Uru2019pooltriescon">#REF!</definedName>
    <definedName name="Uru2019pooltriesscored">#REF!</definedName>
    <definedName name="uru2019poolwon">#REF!</definedName>
    <definedName name="Uru2019RWCdrawn">#REF!</definedName>
    <definedName name="Uru2019RWClostcorrect">#REF!</definedName>
    <definedName name="Uru2019RWCplayed">#REF!</definedName>
    <definedName name="Uru2019RWCptscon">#REF!</definedName>
    <definedName name="Uru2019RWCptsscored">#REF!</definedName>
    <definedName name="Uru2019RWCrc">#REF!</definedName>
    <definedName name="Uru2019RWCtriescon">#REF!</definedName>
    <definedName name="Uru2019RWCtriesscored">#REF!</definedName>
    <definedName name="Uru2019RWCwon">#REF!</definedName>
    <definedName name="Uru2019RWCyc">#REF!</definedName>
    <definedName name="Urualltestshistdrawn">#REF!</definedName>
    <definedName name="Urualltestshistlost">#REF!</definedName>
    <definedName name="Urualltestshistplayed">#REF!</definedName>
    <definedName name="Urualltestshistptscon">#REF!</definedName>
    <definedName name="Urualltestshistptsscored">#REF!</definedName>
    <definedName name="Urualltestshisttriesscored">#REF!</definedName>
    <definedName name="Urualltestshistwon">#REF!</definedName>
    <definedName name="urulb">#REF!</definedName>
    <definedName name="urulbcon">#REF!</definedName>
    <definedName name="uruoveralldrawn">#REF!</definedName>
    <definedName name="uruoveralllost">#REF!</definedName>
    <definedName name="uruoverallpld">#REF!</definedName>
    <definedName name="uruoverallptsag">#REF!</definedName>
    <definedName name="uruoverallptsscored">#REF!</definedName>
    <definedName name="uruoveralltriescon">#REF!</definedName>
    <definedName name="uruoveralltriesscored">#REF!</definedName>
    <definedName name="uruoverallwon">#REF!</definedName>
    <definedName name="urupooldrawn">#REF!</definedName>
    <definedName name="urupoollost">#REF!</definedName>
    <definedName name="urupoolpld">#REF!</definedName>
    <definedName name="urupoolptsag">#REF!</definedName>
    <definedName name="urupoolptsscored">#REF!</definedName>
    <definedName name="urupooltriesscored">#REF!</definedName>
    <definedName name="urupoolwon">#REF!</definedName>
    <definedName name="urured">#REF!</definedName>
    <definedName name="UruRWChistdrawn">#REF!</definedName>
    <definedName name="UruRWChistlost">#REF!</definedName>
    <definedName name="UruRWChistplayed">#REF!</definedName>
    <definedName name="UruRWChistptscon">#REF!</definedName>
    <definedName name="UruRWChistptsscored">#REF!</definedName>
    <definedName name="UruRWChisttriesscored">#REF!</definedName>
    <definedName name="UruRWChistwon">#REF!</definedName>
    <definedName name="urutb">#REF!</definedName>
    <definedName name="urutbcon">#REF!</definedName>
    <definedName name="urutriescon">#REF!</definedName>
    <definedName name="uruyellow">#REF!</definedName>
    <definedName name="USA2019alltestsdrawn">#REF!</definedName>
    <definedName name="USA2019alltestslost">#REF!</definedName>
    <definedName name="USA2019alltestsplayed">#REF!</definedName>
    <definedName name="USA2019alltestsptscon">#REF!</definedName>
    <definedName name="USA2019alltestsptsscored">#REF!</definedName>
    <definedName name="USA2019allteststriescon">#REF!</definedName>
    <definedName name="USA2019allteststriesscored">#REF!</definedName>
    <definedName name="USA2019alltestswon">#REF!</definedName>
    <definedName name="USA2019pooldrawn">#REF!</definedName>
    <definedName name="USA2019poollbcon">#REF!</definedName>
    <definedName name="USA2019poollbscored">#REF!</definedName>
    <definedName name="USA2019poollost">#REF!</definedName>
    <definedName name="USA2019poolplayed">#REF!</definedName>
    <definedName name="USA2019poolptscon">#REF!</definedName>
    <definedName name="USA2019poolptsscored">#REF!</definedName>
    <definedName name="USA2019pooltbcon">#REF!</definedName>
    <definedName name="USA2019pooltbscored">#REF!</definedName>
    <definedName name="USA2019pooltriescon">#REF!</definedName>
    <definedName name="USA2019pooltriesscored">#REF!</definedName>
    <definedName name="USA2019poolwon">#REF!</definedName>
    <definedName name="USA2019RWCdrawn">#REF!</definedName>
    <definedName name="USA2019RWClost">#REF!</definedName>
    <definedName name="USA2019RWCplayed">#REF!</definedName>
    <definedName name="USA2019RWCptscon">#REF!</definedName>
    <definedName name="USA2019RWCptsscored">#REF!</definedName>
    <definedName name="USA2019RWCrc">#REF!</definedName>
    <definedName name="USA2019RWCtriescon">#REF!</definedName>
    <definedName name="USA2019RWCtriesscored">#REF!</definedName>
    <definedName name="USA2019RWCwon">#REF!</definedName>
    <definedName name="USA2019RWCyc">#REF!</definedName>
    <definedName name="usa2021wcpooldrawn">USA!#REF!</definedName>
    <definedName name="usa2021wcpoollbscored">USA!#REF!</definedName>
    <definedName name="usa2021wcpoollost">USA!#REF!</definedName>
    <definedName name="usa2021wcpoolplayed">USA!#REF!</definedName>
    <definedName name="usa2021wcpoolpointsagainst">USA!#REF!</definedName>
    <definedName name="usa2021wcpoolpointsscored">USA!#REF!</definedName>
    <definedName name="usa2021wcpooltbscored">USA!#REF!</definedName>
    <definedName name="usa2021wcpooltriesconceded">USA!#REF!</definedName>
    <definedName name="usa2021wcpooltriesscored">USA!#REF!</definedName>
    <definedName name="usa2021wcpoolwon">USA!#REF!</definedName>
    <definedName name="usa2021wcrc">USA!#REF!</definedName>
    <definedName name="usa2021wctbcon">USA!#REF!</definedName>
    <definedName name="usa2021wcyc">USA!#REF!</definedName>
    <definedName name="usalb">#REF!</definedName>
    <definedName name="usalbcon">#REF!</definedName>
    <definedName name="usaoveralldrawn">#REF!</definedName>
    <definedName name="usaoveralllost">#REF!</definedName>
    <definedName name="usaoverallpld">#REF!</definedName>
    <definedName name="usaoverallptsag">#REF!</definedName>
    <definedName name="usaoverallptsscored">#REF!</definedName>
    <definedName name="usaoveralltriescon">#REF!</definedName>
    <definedName name="usaoveralltriesscored">#REF!</definedName>
    <definedName name="usaoverallwon">#REF!</definedName>
    <definedName name="usap4drawn">USA!$AB$12</definedName>
    <definedName name="usap4lb">USA!$I$12</definedName>
    <definedName name="usap4lost">USA!$AC$12</definedName>
    <definedName name="usap4played">USA!$Z$12</definedName>
    <definedName name="usap4ptsconc">USA!$G$12</definedName>
    <definedName name="usap4ptsscored">USA!$F$12</definedName>
    <definedName name="usap4rc">USA!$O$12</definedName>
    <definedName name="usap4tb">USA!$H$12</definedName>
    <definedName name="usap4triesconc">USA!$R$12</definedName>
    <definedName name="usap4triesscored">USA!$J$12</definedName>
    <definedName name="usap4won">USA!$AA$12</definedName>
    <definedName name="usap4yc">USA!$N$12</definedName>
    <definedName name="usapooldrawn">#REF!</definedName>
    <definedName name="usapoollost">#REF!</definedName>
    <definedName name="usapoolpld">#REF!</definedName>
    <definedName name="usapoolptsag">#REF!</definedName>
    <definedName name="usapoolptsscored">#REF!</definedName>
    <definedName name="usapooltriescon">#REF!</definedName>
    <definedName name="usapooltriesscored">#REF!</definedName>
    <definedName name="usapoolwon">#REF!</definedName>
    <definedName name="usared">#REF!</definedName>
    <definedName name="usatb">#REF!</definedName>
    <definedName name="usatbcon">#REF!</definedName>
    <definedName name="usayellow">#REF!</definedName>
    <definedName name="vdrawn">#REF!</definedName>
    <definedName name="vlost">SCO!#REF!</definedName>
    <definedName name="vrc">#REF!</definedName>
    <definedName name="vtriesscored">#REF!</definedName>
    <definedName name="vwon">#REF!</definedName>
    <definedName name="Wal2019alltestsdrawn">WAL!$AB$15</definedName>
    <definedName name="Wal2019alltestslostcorrect">WAL!$AC$15</definedName>
    <definedName name="Wal2019alltestsplayed">WAL!$Z$15</definedName>
    <definedName name="Wal2019alltestsptscon">WAL!$G$15</definedName>
    <definedName name="Wal2019alltestsptsscored">WAL!$F$15</definedName>
    <definedName name="Wal2019allteststriescon">WAL!$R$15</definedName>
    <definedName name="Wal2019allteststriesscored">WAL!$J$15</definedName>
    <definedName name="Wal2019alltestswon">WAL!$AA$15</definedName>
    <definedName name="Wal2019pooldrawn">WAL!#REF!</definedName>
    <definedName name="Wal2019poollbcon">WAL!#REF!</definedName>
    <definedName name="Wal2019poollbscored">WAL!#REF!</definedName>
    <definedName name="Wal2019poollostcorrect">WAL!#REF!</definedName>
    <definedName name="Wal2019poolplayed">WAL!#REF!</definedName>
    <definedName name="Wal2019poolptscon">WAL!#REF!</definedName>
    <definedName name="Wal2019poolptsscored">WAL!#REF!</definedName>
    <definedName name="Wal2019pooltbcon">WAL!#REF!</definedName>
    <definedName name="Wal2019pooltbscored">WAL!#REF!</definedName>
    <definedName name="Wal2019pooltriescon">WAL!#REF!</definedName>
    <definedName name="Wal2019pooltriesscored">WAL!#REF!</definedName>
    <definedName name="Wal2019poolwon">WAL!#REF!</definedName>
    <definedName name="Wal2019RWCdrawn">WAL!#REF!</definedName>
    <definedName name="Wal2019RWClost">WAL!#REF!</definedName>
    <definedName name="Wal2019RWCplayed">WAL!#REF!</definedName>
    <definedName name="Wal2019RWCptscon">WAL!#REF!</definedName>
    <definedName name="Wal2019RWCptsscored">WAL!#REF!</definedName>
    <definedName name="Wal2019RWCrc">WAL!#REF!</definedName>
    <definedName name="Wal2019RWCtriescon">WAL!#REF!</definedName>
    <definedName name="Wal2019RWCtriesscored">WAL!#REF!</definedName>
    <definedName name="Wal2019RWCwon">WAL!#REF!</definedName>
    <definedName name="Wal2019RWCyc">WAL!#REF!</definedName>
    <definedName name="wal2021wcpooldrawn">WAL!#REF!</definedName>
    <definedName name="wal2021wcpoollbscored">WAL!#REF!</definedName>
    <definedName name="wal2021wcpoollost">WAL!#REF!</definedName>
    <definedName name="wal2021wcpoolplayed">WAL!#REF!</definedName>
    <definedName name="wal2021wcpoolpointsagainst">WAL!#REF!</definedName>
    <definedName name="wal2021wcpoolpointsscored">WAL!#REF!</definedName>
    <definedName name="wal2021wcpooltbscored">WAL!#REF!</definedName>
    <definedName name="wal2021wcpooltriesconceded">WAL!#REF!</definedName>
    <definedName name="wal2021wcpooltriesscored">WAL!#REF!</definedName>
    <definedName name="wal2021wcpoolwon">WAL!#REF!</definedName>
    <definedName name="wal2021wcrc">WAL!#REF!</definedName>
    <definedName name="wal2021wctbcon">WAL!#REF!</definedName>
    <definedName name="wal2021wcyc">WAL!#REF!</definedName>
    <definedName name="wal6nrc">WAL!$O$13</definedName>
    <definedName name="wal6nyc">WAL!$N$13</definedName>
    <definedName name="Walesalltestshistdrawn">#REF!</definedName>
    <definedName name="Walesalltestshistlost">#REF!</definedName>
    <definedName name="Walesalltestshistplayed">#REF!</definedName>
    <definedName name="Walesalltestshistptscon">#REF!</definedName>
    <definedName name="Walesalltestshistptsscored">#REF!</definedName>
    <definedName name="Walesalltestshisttriesscored">#REF!</definedName>
    <definedName name="Walesalltestshistwon">#REF!</definedName>
    <definedName name="Walesdrawn">WAL!$AB$13</definedName>
    <definedName name="Waleslosingbonus">WAL!$I$13</definedName>
    <definedName name="Waleslost">WAL!$AC$13</definedName>
    <definedName name="Walesplayed">WAL!$Z$13</definedName>
    <definedName name="Walesptsagainst">WAL!$G$13</definedName>
    <definedName name="Walesptsscored">WAL!$F$13</definedName>
    <definedName name="Walesred">WAL!$O$13</definedName>
    <definedName name="WalesRWChistdrawn">#REF!</definedName>
    <definedName name="WalesRWChistlost">#REF!</definedName>
    <definedName name="WalesRWChistplayed">#REF!</definedName>
    <definedName name="WalesRWChistptscon">#REF!</definedName>
    <definedName name="WalesRWChistptsscored">#REF!</definedName>
    <definedName name="WalesRWChisttriesscored">#REF!</definedName>
    <definedName name="WalesRWChistwon">#REF!</definedName>
    <definedName name="Walestriesagainst">WAL!$R$13</definedName>
    <definedName name="Walestriesscored">WAL!$J$13</definedName>
    <definedName name="Walestrybonus">WAL!$H$13</definedName>
    <definedName name="Waleswon">WAL!$AA$13</definedName>
    <definedName name="Walesyellow">WAL!$N$13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#REF!</definedName>
    <definedName name="waspsconceded">#REF!</definedName>
    <definedName name="waspsdrawn">#REF!</definedName>
    <definedName name="waspsdrawncorrect">#REF!</definedName>
    <definedName name="waspslosingbonus">#REF!</definedName>
    <definedName name="waspslosingbonusconceded">#REF!</definedName>
    <definedName name="waspslost">#REF!</definedName>
    <definedName name="waspsplayed">#REF!</definedName>
    <definedName name="waspspremred">[2]WAS!$O$40</definedName>
    <definedName name="Waspspremtotalsdgs">[1]WAS!$L$37</definedName>
    <definedName name="waspspremtotalsdrawn">[1]WAS!$AA$37</definedName>
    <definedName name="Waspspremtotalslost">[1]WAS!$AB$37</definedName>
    <definedName name="Waspspremtotalsplayed">[1]WAS!$Y$37</definedName>
    <definedName name="Waspspremtotalsptsagainst">[1]WAS!$G$37</definedName>
    <definedName name="Waspspremtotalsptsscored">[1]WAS!$F$37</definedName>
    <definedName name="Waspspremtotalsrc">[1]WAS!$O$37</definedName>
    <definedName name="Waspspremtotalstriesconceded">[1]WAS!$R$37</definedName>
    <definedName name="Waspspremtotalstriesscored">[1]WAS!$J$37</definedName>
    <definedName name="Waspspremtotalswon">[1]WAS!$Z$37</definedName>
    <definedName name="Waspspremtotalsyc">[1]WAS!$N$37</definedName>
    <definedName name="waspspremtrybonusconc">[1]WAS!$P$35</definedName>
    <definedName name="waspspremtrybonusscored">[1]WAS!$H$35</definedName>
    <definedName name="waspspremyellow">[2]WAS!$N$40</definedName>
    <definedName name="waspsred">#REF!</definedName>
    <definedName name="waspsscored">#REF!</definedName>
    <definedName name="waspstriesconceded">#REF!</definedName>
    <definedName name="waspstriesscored">#REF!</definedName>
    <definedName name="waspstrybonus">#REF!</definedName>
    <definedName name="waspstrybonusconceded">#REF!</definedName>
    <definedName name="waspswon">#REF!</definedName>
    <definedName name="waspsyellow">#REF!</definedName>
    <definedName name="welshlosingbonus">#REF!</definedName>
    <definedName name="welshtrybonus">#REF!</definedName>
    <definedName name="worbonus">#REF!</definedName>
    <definedName name="worcester201314triesagainst">#REF!</definedName>
    <definedName name="worcesterpremred">[2]WOR!$O$35</definedName>
    <definedName name="worcesterpremseasontotalsdgs">[1]WOR!$L$39</definedName>
    <definedName name="worcesterpremseasontotalsdrawn">[1]WOR!$AA$39</definedName>
    <definedName name="worcesterpremseasontotalslost">[1]WOR!$AB$39</definedName>
    <definedName name="worcesterpremseasontotalsplayed">[1]WOR!$Y$39</definedName>
    <definedName name="worcesterpremseasontotalsptsagainst">[1]WOR!$G$39</definedName>
    <definedName name="worcesterpremseasontotalsptsscored">[1]WOR!$F$39</definedName>
    <definedName name="worcesterpremseasontotalsRC">[1]WOR!$O$39</definedName>
    <definedName name="worcesterpremseasontotalstriesconceded">[1]WOR!$R$39</definedName>
    <definedName name="worcesterpremseasontotalstriesscoredcorrect">[1]WOR!$J$39</definedName>
    <definedName name="worcesterpremseasontotalswon">[1]WOR!$Z$39</definedName>
    <definedName name="worcesterpremseasontotalsYC">[1]WOR!$N$39</definedName>
    <definedName name="worcesterpremtrybonusconc">[1]WOR!$P$37</definedName>
    <definedName name="worcesterpremtrybonusscored">[1]WOR!$H$37</definedName>
    <definedName name="worcesterpremyellow">[2]WOR!$N$35</definedName>
    <definedName name="worcestertriesscored">#REF!</definedName>
    <definedName name="worconceded">#REF!</definedName>
    <definedName name="wordrawn">#REF!</definedName>
    <definedName name="worlosingbonus">#REF!</definedName>
    <definedName name="worlosingbonusconceded">#REF!</definedName>
    <definedName name="worlost">#REF!</definedName>
    <definedName name="worplayed">#REF!</definedName>
    <definedName name="worred">#REF!</definedName>
    <definedName name="worscored">#REF!</definedName>
    <definedName name="wortriesconceded">#REF!</definedName>
    <definedName name="wortriesscored">#REF!</definedName>
    <definedName name="wortrybonus">#REF!</definedName>
    <definedName name="wortrybonusconceded">#REF!</definedName>
    <definedName name="worwon">#REF!</definedName>
    <definedName name="woryellow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45" l="1"/>
  <c r="K14" i="45"/>
  <c r="R7" i="47"/>
  <c r="Q7" i="47"/>
  <c r="Q16" i="47" l="1"/>
  <c r="P16" i="47"/>
  <c r="R5" i="47"/>
  <c r="Q5" i="47"/>
  <c r="Q5" i="32"/>
  <c r="P5" i="32"/>
  <c r="AO12" i="39" l="1"/>
  <c r="AN12" i="39"/>
  <c r="AM12" i="39"/>
  <c r="AL12" i="39"/>
  <c r="AK12" i="39"/>
  <c r="AJ12" i="39"/>
  <c r="AI12" i="39"/>
  <c r="AH12" i="39"/>
  <c r="AG12" i="39"/>
  <c r="AF12" i="39"/>
  <c r="AE12" i="39"/>
  <c r="AD12" i="39"/>
  <c r="AC12" i="39"/>
  <c r="AB12" i="39"/>
  <c r="AA12" i="39"/>
  <c r="Z12" i="39"/>
  <c r="R12" i="39"/>
  <c r="Q12" i="39"/>
  <c r="P12" i="39"/>
  <c r="O12" i="39"/>
  <c r="N12" i="39"/>
  <c r="M12" i="39"/>
  <c r="L12" i="39"/>
  <c r="K12" i="39"/>
  <c r="J12" i="39"/>
  <c r="I12" i="39"/>
  <c r="H12" i="39"/>
  <c r="G12" i="39"/>
  <c r="F12" i="39"/>
  <c r="Q20" i="32"/>
  <c r="P20" i="32"/>
  <c r="Q8" i="32"/>
  <c r="P8" i="32"/>
  <c r="O36" i="54"/>
  <c r="N36" i="54"/>
  <c r="I36" i="54"/>
  <c r="Q8" i="50"/>
  <c r="P8" i="50"/>
  <c r="Q7" i="50"/>
  <c r="P7" i="50"/>
  <c r="O8" i="50"/>
  <c r="O7" i="50"/>
  <c r="O33" i="50"/>
  <c r="O32" i="50"/>
  <c r="V20" i="45"/>
  <c r="V19" i="45"/>
  <c r="V18" i="45"/>
  <c r="V17" i="45"/>
  <c r="AN16" i="45"/>
  <c r="AO15" i="45"/>
  <c r="AI15" i="45"/>
  <c r="AP15" i="45" s="1"/>
  <c r="AO14" i="45"/>
  <c r="AI14" i="45"/>
  <c r="AP14" i="45" s="1"/>
  <c r="AO13" i="45"/>
  <c r="AI13" i="45"/>
  <c r="AP13" i="45" s="1"/>
  <c r="AA13" i="45"/>
  <c r="V13" i="45"/>
  <c r="AO12" i="45"/>
  <c r="AI12" i="45"/>
  <c r="AP12" i="45" s="1"/>
  <c r="AA12" i="45"/>
  <c r="V12" i="45"/>
  <c r="AA11" i="45"/>
  <c r="V11" i="45"/>
  <c r="AA10" i="45"/>
  <c r="V10" i="45"/>
  <c r="AN8" i="45"/>
  <c r="AO7" i="45"/>
  <c r="AI7" i="45"/>
  <c r="AP7" i="45" s="1"/>
  <c r="AO6" i="45"/>
  <c r="AI6" i="45"/>
  <c r="AP6" i="45" s="1"/>
  <c r="AA6" i="45"/>
  <c r="V6" i="45"/>
  <c r="AO5" i="45"/>
  <c r="AI5" i="45"/>
  <c r="AP5" i="45" s="1"/>
  <c r="AA5" i="45"/>
  <c r="V5" i="45"/>
  <c r="AO4" i="45"/>
  <c r="AI4" i="45"/>
  <c r="AP4" i="45" s="1"/>
  <c r="AA4" i="45"/>
  <c r="V4" i="45"/>
  <c r="AA3" i="45"/>
  <c r="V3" i="45"/>
  <c r="J20" i="45"/>
  <c r="I20" i="45"/>
  <c r="G20" i="45"/>
  <c r="F20" i="45"/>
  <c r="D20" i="45"/>
  <c r="C20" i="45"/>
  <c r="H19" i="45"/>
  <c r="E19" i="45"/>
  <c r="H18" i="45"/>
  <c r="E18" i="45"/>
  <c r="H17" i="45"/>
  <c r="E17" i="45"/>
  <c r="J35" i="31"/>
  <c r="I35" i="31"/>
  <c r="G35" i="31"/>
  <c r="F35" i="31"/>
  <c r="D35" i="31"/>
  <c r="C35" i="31"/>
  <c r="H33" i="31"/>
  <c r="E33" i="31"/>
  <c r="H32" i="31"/>
  <c r="E32" i="31"/>
  <c r="B32" i="31"/>
  <c r="H31" i="31"/>
  <c r="E31" i="31"/>
  <c r="H30" i="31"/>
  <c r="E30" i="31"/>
  <c r="D15" i="47"/>
  <c r="B15" i="47"/>
  <c r="X37" i="31"/>
  <c r="W37" i="31"/>
  <c r="V37" i="31"/>
  <c r="U37" i="31"/>
  <c r="T37" i="31"/>
  <c r="S37" i="31"/>
  <c r="AA36" i="31"/>
  <c r="Z36" i="31"/>
  <c r="Y36" i="31"/>
  <c r="AA35" i="31"/>
  <c r="Z35" i="31"/>
  <c r="Y35" i="31"/>
  <c r="AA34" i="31"/>
  <c r="Z34" i="31"/>
  <c r="Y34" i="31"/>
  <c r="AA33" i="31"/>
  <c r="Z33" i="31"/>
  <c r="Y33" i="31"/>
  <c r="AA32" i="31"/>
  <c r="Z32" i="31"/>
  <c r="Y32" i="31"/>
  <c r="AA31" i="31"/>
  <c r="Z31" i="31"/>
  <c r="Y31" i="31"/>
  <c r="W26" i="31"/>
  <c r="W25" i="31"/>
  <c r="W24" i="31"/>
  <c r="W23" i="31"/>
  <c r="W22" i="31"/>
  <c r="W21" i="31"/>
  <c r="AO20" i="31"/>
  <c r="AP19" i="31"/>
  <c r="AJ19" i="31"/>
  <c r="AQ19" i="31" s="1"/>
  <c r="AP18" i="31"/>
  <c r="AJ18" i="31"/>
  <c r="AQ18" i="31" s="1"/>
  <c r="AP17" i="31"/>
  <c r="AJ17" i="31"/>
  <c r="AQ17" i="31" s="1"/>
  <c r="AB17" i="31"/>
  <c r="W17" i="31"/>
  <c r="AP16" i="31"/>
  <c r="AJ16" i="31"/>
  <c r="AQ16" i="31" s="1"/>
  <c r="AB16" i="31"/>
  <c r="W16" i="31"/>
  <c r="AP15" i="31"/>
  <c r="AJ15" i="31"/>
  <c r="AQ15" i="31" s="1"/>
  <c r="AB15" i="31"/>
  <c r="W15" i="31"/>
  <c r="AP14" i="31"/>
  <c r="AJ14" i="31"/>
  <c r="AQ14" i="31" s="1"/>
  <c r="AB14" i="31"/>
  <c r="W14" i="31"/>
  <c r="AB13" i="31"/>
  <c r="W13" i="31"/>
  <c r="AC13" i="31" s="1"/>
  <c r="AB12" i="31"/>
  <c r="W12" i="31"/>
  <c r="AO10" i="31"/>
  <c r="AP9" i="31"/>
  <c r="AJ9" i="31"/>
  <c r="AQ9" i="31" s="1"/>
  <c r="AP8" i="31"/>
  <c r="AJ8" i="31"/>
  <c r="AQ8" i="31" s="1"/>
  <c r="AB8" i="31"/>
  <c r="W8" i="31"/>
  <c r="AP7" i="31"/>
  <c r="AJ7" i="31"/>
  <c r="AQ7" i="31" s="1"/>
  <c r="AB7" i="31"/>
  <c r="W7" i="31"/>
  <c r="AP6" i="31"/>
  <c r="AJ6" i="31"/>
  <c r="AQ6" i="31" s="1"/>
  <c r="AB6" i="31"/>
  <c r="W6" i="31"/>
  <c r="AP5" i="31"/>
  <c r="AJ5" i="31"/>
  <c r="AQ5" i="31" s="1"/>
  <c r="AB5" i="31"/>
  <c r="W5" i="31"/>
  <c r="AP4" i="31"/>
  <c r="AJ4" i="31"/>
  <c r="AQ4" i="31" s="1"/>
  <c r="AB4" i="31"/>
  <c r="W4" i="31"/>
  <c r="AB3" i="31"/>
  <c r="W3" i="31"/>
  <c r="AO16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AO15" i="25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I14" i="25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R18" i="11"/>
  <c r="Q18" i="11"/>
  <c r="P18" i="11"/>
  <c r="O18" i="11"/>
  <c r="M18" i="11"/>
  <c r="L18" i="11"/>
  <c r="K18" i="11"/>
  <c r="J18" i="11"/>
  <c r="I18" i="11"/>
  <c r="H18" i="11"/>
  <c r="G18" i="11"/>
  <c r="F18" i="11"/>
  <c r="AO17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AO17" i="13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AO16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AO16" i="35"/>
  <c r="AN16" i="35"/>
  <c r="AM16" i="35"/>
  <c r="AL16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AO18" i="38"/>
  <c r="AN18" i="38"/>
  <c r="AM18" i="38"/>
  <c r="AL18" i="38"/>
  <c r="AK18" i="38"/>
  <c r="AJ18" i="38"/>
  <c r="AI18" i="38"/>
  <c r="AH18" i="38"/>
  <c r="AG18" i="38"/>
  <c r="AF18" i="38"/>
  <c r="AE18" i="38"/>
  <c r="AD18" i="38"/>
  <c r="AC18" i="38"/>
  <c r="AB18" i="38"/>
  <c r="AA18" i="38"/>
  <c r="Z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AO17" i="38"/>
  <c r="AN17" i="38"/>
  <c r="AM17" i="38"/>
  <c r="AL17" i="38"/>
  <c r="AK17" i="38"/>
  <c r="AJ17" i="38"/>
  <c r="AI17" i="38"/>
  <c r="AH17" i="38"/>
  <c r="AG17" i="38"/>
  <c r="AF17" i="38"/>
  <c r="AE17" i="38"/>
  <c r="AD17" i="38"/>
  <c r="AC17" i="38"/>
  <c r="AB17" i="38"/>
  <c r="AA17" i="38"/>
  <c r="Z17" i="38"/>
  <c r="R17" i="38"/>
  <c r="Q17" i="38"/>
  <c r="P17" i="38"/>
  <c r="O17" i="38"/>
  <c r="N17" i="38"/>
  <c r="M17" i="38"/>
  <c r="L17" i="38"/>
  <c r="K17" i="38"/>
  <c r="J17" i="38"/>
  <c r="I17" i="38"/>
  <c r="H17" i="38"/>
  <c r="G17" i="38"/>
  <c r="F17" i="38"/>
  <c r="AB6" i="45" l="1"/>
  <c r="B18" i="45"/>
  <c r="AB12" i="45"/>
  <c r="AC14" i="31"/>
  <c r="AC3" i="31"/>
  <c r="AQ10" i="31"/>
  <c r="B31" i="31"/>
  <c r="AB4" i="45"/>
  <c r="H35" i="31"/>
  <c r="AC17" i="31"/>
  <c r="AC7" i="31"/>
  <c r="AC8" i="31"/>
  <c r="AA37" i="31"/>
  <c r="AC12" i="31"/>
  <c r="AC5" i="31"/>
  <c r="AQ20" i="31"/>
  <c r="AC4" i="31"/>
  <c r="H36" i="54"/>
  <c r="Q33" i="50"/>
  <c r="P33" i="50"/>
  <c r="P32" i="50"/>
  <c r="Q32" i="50"/>
  <c r="AB5" i="45"/>
  <c r="AB10" i="45"/>
  <c r="AB13" i="45"/>
  <c r="AB11" i="45"/>
  <c r="AB3" i="45"/>
  <c r="E20" i="45"/>
  <c r="B19" i="45"/>
  <c r="H20" i="45"/>
  <c r="B17" i="45"/>
  <c r="AP16" i="45"/>
  <c r="AP8" i="45"/>
  <c r="Y37" i="31"/>
  <c r="E35" i="31"/>
  <c r="B30" i="31"/>
  <c r="B33" i="31"/>
  <c r="AC16" i="31"/>
  <c r="AC15" i="31"/>
  <c r="AC6" i="31"/>
  <c r="Z37" i="31"/>
  <c r="AB7" i="45" l="1"/>
  <c r="AB14" i="45"/>
  <c r="AC18" i="31"/>
  <c r="B35" i="31"/>
  <c r="AC9" i="31"/>
  <c r="B20" i="45"/>
  <c r="AO15" i="41" l="1"/>
  <c r="AN15" i="41"/>
  <c r="AM15" i="41"/>
  <c r="AL15" i="41"/>
  <c r="AK15" i="41"/>
  <c r="AJ15" i="41"/>
  <c r="AI15" i="41"/>
  <c r="AH15" i="41"/>
  <c r="AG15" i="41"/>
  <c r="AF15" i="41"/>
  <c r="AE15" i="41"/>
  <c r="AD15" i="41"/>
  <c r="AC15" i="41"/>
  <c r="AB15" i="41"/>
  <c r="AA15" i="41"/>
  <c r="Z15" i="41"/>
  <c r="R15" i="41"/>
  <c r="Q15" i="41"/>
  <c r="P15" i="41"/>
  <c r="O15" i="41"/>
  <c r="N15" i="41"/>
  <c r="M15" i="41"/>
  <c r="L15" i="41"/>
  <c r="K15" i="41"/>
  <c r="J15" i="41"/>
  <c r="I15" i="41"/>
  <c r="H15" i="41"/>
  <c r="G15" i="41"/>
  <c r="F15" i="41"/>
  <c r="AO13" i="41"/>
  <c r="AN13" i="41"/>
  <c r="AM13" i="41"/>
  <c r="AL13" i="41"/>
  <c r="AK13" i="41"/>
  <c r="AJ13" i="41"/>
  <c r="AI13" i="41"/>
  <c r="AH13" i="41"/>
  <c r="AG13" i="41"/>
  <c r="AF13" i="41"/>
  <c r="AE13" i="41"/>
  <c r="AD13" i="41"/>
  <c r="AC13" i="41"/>
  <c r="AB13" i="41"/>
  <c r="AA13" i="41"/>
  <c r="Z13" i="41"/>
  <c r="R13" i="41"/>
  <c r="Q13" i="41"/>
  <c r="P13" i="41"/>
  <c r="O13" i="41"/>
  <c r="N13" i="41"/>
  <c r="M13" i="41"/>
  <c r="L13" i="41"/>
  <c r="K13" i="41"/>
  <c r="J13" i="41"/>
  <c r="I13" i="41"/>
  <c r="H13" i="41"/>
  <c r="G13" i="41"/>
  <c r="F13" i="41"/>
  <c r="AO15" i="40"/>
  <c r="AN15" i="40"/>
  <c r="AM15" i="40"/>
  <c r="AL15" i="40"/>
  <c r="AK15" i="40"/>
  <c r="AJ15" i="40"/>
  <c r="AI15" i="40"/>
  <c r="AH15" i="40"/>
  <c r="AG15" i="40"/>
  <c r="AF15" i="40"/>
  <c r="AE15" i="40"/>
  <c r="AD15" i="40"/>
  <c r="AC15" i="40"/>
  <c r="AB15" i="40"/>
  <c r="AA15" i="40"/>
  <c r="Z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AO14" i="40"/>
  <c r="AN14" i="40"/>
  <c r="AM14" i="40"/>
  <c r="AL14" i="40"/>
  <c r="AK14" i="40"/>
  <c r="AJ14" i="40"/>
  <c r="AI14" i="40"/>
  <c r="AH14" i="40"/>
  <c r="AG14" i="40"/>
  <c r="AF14" i="40"/>
  <c r="AE14" i="40"/>
  <c r="AD14" i="40"/>
  <c r="AC14" i="40"/>
  <c r="AB14" i="40"/>
  <c r="R14" i="40"/>
  <c r="Q14" i="40"/>
  <c r="P14" i="40"/>
  <c r="O14" i="40"/>
  <c r="N14" i="40"/>
  <c r="M14" i="40"/>
  <c r="L14" i="40"/>
  <c r="K14" i="40"/>
  <c r="J14" i="40"/>
  <c r="I14" i="40"/>
  <c r="H14" i="40"/>
  <c r="G14" i="40"/>
  <c r="F15" i="40"/>
  <c r="F14" i="40"/>
  <c r="AA13" i="17"/>
  <c r="AO14" i="25" l="1"/>
  <c r="AN14" i="25"/>
  <c r="AM14" i="25"/>
  <c r="AL14" i="25"/>
  <c r="AK14" i="25"/>
  <c r="AJ14" i="25"/>
  <c r="AI14" i="25"/>
  <c r="AH14" i="25"/>
  <c r="AG14" i="25"/>
  <c r="AF14" i="25"/>
  <c r="AE14" i="25"/>
  <c r="AD14" i="25"/>
  <c r="AC14" i="25"/>
  <c r="AB14" i="25"/>
  <c r="AA14" i="25"/>
  <c r="Z14" i="25"/>
  <c r="R14" i="25"/>
  <c r="Q14" i="25"/>
  <c r="P14" i="25"/>
  <c r="O14" i="25"/>
  <c r="N14" i="25"/>
  <c r="M14" i="25"/>
  <c r="L14" i="25"/>
  <c r="K14" i="25"/>
  <c r="J14" i="25"/>
  <c r="H14" i="25"/>
  <c r="G14" i="25"/>
  <c r="AO15" i="35"/>
  <c r="AN15" i="35"/>
  <c r="AM15" i="35"/>
  <c r="AL15" i="35"/>
  <c r="AK15" i="35"/>
  <c r="AJ15" i="35"/>
  <c r="AI15" i="35"/>
  <c r="AH15" i="35"/>
  <c r="AG15" i="35"/>
  <c r="AF15" i="35"/>
  <c r="AE15" i="35"/>
  <c r="AD15" i="35"/>
  <c r="AC15" i="35"/>
  <c r="AB15" i="35"/>
  <c r="R15" i="35"/>
  <c r="Q15" i="35"/>
  <c r="P15" i="35"/>
  <c r="O15" i="35"/>
  <c r="N15" i="35"/>
  <c r="M15" i="35"/>
  <c r="L15" i="35"/>
  <c r="K15" i="35"/>
  <c r="J15" i="35"/>
  <c r="I15" i="35"/>
  <c r="H15" i="35"/>
  <c r="G15" i="35"/>
  <c r="F15" i="35"/>
  <c r="AO13" i="30" l="1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AO11" i="53"/>
  <c r="AN11" i="53"/>
  <c r="AM11" i="53"/>
  <c r="AL11" i="53"/>
  <c r="AK11" i="53"/>
  <c r="AJ11" i="53"/>
  <c r="AI11" i="53"/>
  <c r="AH11" i="53"/>
  <c r="AG11" i="53"/>
  <c r="AF11" i="53"/>
  <c r="AE11" i="53"/>
  <c r="AD11" i="53"/>
  <c r="AC11" i="53"/>
  <c r="AB11" i="53"/>
  <c r="AA11" i="53"/>
  <c r="Z11" i="53"/>
  <c r="R11" i="53"/>
  <c r="Q11" i="53"/>
  <c r="P11" i="53"/>
  <c r="O11" i="53"/>
  <c r="N11" i="53"/>
  <c r="M11" i="53"/>
  <c r="L11" i="53"/>
  <c r="K11" i="53"/>
  <c r="J11" i="53"/>
  <c r="I11" i="53"/>
  <c r="H11" i="53"/>
  <c r="G11" i="53"/>
  <c r="F11" i="53"/>
  <c r="AO14" i="16"/>
  <c r="AN14" i="16"/>
  <c r="AM14" i="16"/>
  <c r="AL14" i="16"/>
  <c r="AK14" i="16"/>
  <c r="AJ14" i="16"/>
  <c r="AI14" i="16"/>
  <c r="AH14" i="16"/>
  <c r="AG14" i="16"/>
  <c r="AF14" i="16"/>
  <c r="AO15" i="13"/>
  <c r="AN15" i="13"/>
  <c r="AM15" i="13"/>
  <c r="AL15" i="13"/>
  <c r="AK15" i="13"/>
  <c r="AJ15" i="13"/>
  <c r="AI15" i="13"/>
  <c r="AH15" i="13"/>
  <c r="AG15" i="13"/>
  <c r="AF15" i="13"/>
  <c r="AE15" i="13"/>
  <c r="AD15" i="13"/>
  <c r="O42" i="50" l="1"/>
  <c r="O18" i="50"/>
  <c r="F16" i="50"/>
  <c r="P42" i="50" l="1"/>
  <c r="Q42" i="50"/>
  <c r="P18" i="50"/>
  <c r="Q18" i="50"/>
  <c r="AP33" i="54"/>
  <c r="AP32" i="54"/>
  <c r="AP31" i="54"/>
  <c r="AP30" i="54"/>
  <c r="AP29" i="54"/>
  <c r="AP28" i="54"/>
  <c r="AJ33" i="54"/>
  <c r="AJ32" i="54"/>
  <c r="AQ32" i="54" s="1"/>
  <c r="AJ31" i="54"/>
  <c r="AQ31" i="54" s="1"/>
  <c r="AJ30" i="54"/>
  <c r="AJ29" i="54"/>
  <c r="AJ28" i="54"/>
  <c r="AP13" i="54"/>
  <c r="AP12" i="54"/>
  <c r="AP11" i="54"/>
  <c r="AP10" i="54"/>
  <c r="AP9" i="54"/>
  <c r="AP8" i="54"/>
  <c r="AJ13" i="54"/>
  <c r="AJ12" i="54"/>
  <c r="AJ11" i="54"/>
  <c r="AJ10" i="54"/>
  <c r="AJ9" i="54"/>
  <c r="AJ8" i="54"/>
  <c r="W50" i="54"/>
  <c r="W49" i="54"/>
  <c r="W48" i="54"/>
  <c r="W47" i="54"/>
  <c r="W46" i="54"/>
  <c r="W45" i="54"/>
  <c r="AB31" i="54"/>
  <c r="AB30" i="54"/>
  <c r="AB29" i="54"/>
  <c r="AB28" i="54"/>
  <c r="AB27" i="54"/>
  <c r="AB26" i="54"/>
  <c r="W31" i="54"/>
  <c r="W30" i="54"/>
  <c r="W29" i="54"/>
  <c r="W28" i="54"/>
  <c r="W27" i="54"/>
  <c r="W26" i="54"/>
  <c r="AB12" i="54"/>
  <c r="AB11" i="54"/>
  <c r="AB10" i="54"/>
  <c r="AB9" i="54"/>
  <c r="AB8" i="54"/>
  <c r="AB7" i="54"/>
  <c r="W12" i="54"/>
  <c r="W11" i="54"/>
  <c r="W10" i="54"/>
  <c r="W9" i="54"/>
  <c r="W8" i="54"/>
  <c r="W7" i="54"/>
  <c r="W56" i="54"/>
  <c r="W55" i="54"/>
  <c r="W54" i="54"/>
  <c r="W53" i="54"/>
  <c r="W52" i="54"/>
  <c r="W51" i="54"/>
  <c r="W44" i="54"/>
  <c r="W43" i="54"/>
  <c r="W42" i="54"/>
  <c r="W41" i="54"/>
  <c r="AO40" i="54"/>
  <c r="AP39" i="54"/>
  <c r="AJ39" i="54"/>
  <c r="AP38" i="54"/>
  <c r="AJ38" i="54"/>
  <c r="AQ38" i="54" s="1"/>
  <c r="AP37" i="54"/>
  <c r="AJ37" i="54"/>
  <c r="AB37" i="54"/>
  <c r="W37" i="54"/>
  <c r="AP36" i="54"/>
  <c r="AJ36" i="54"/>
  <c r="AB36" i="54"/>
  <c r="W36" i="54"/>
  <c r="AP35" i="54"/>
  <c r="AJ35" i="54"/>
  <c r="AB35" i="54"/>
  <c r="W35" i="54"/>
  <c r="AP34" i="54"/>
  <c r="AJ34" i="54"/>
  <c r="AQ34" i="54" s="1"/>
  <c r="AB34" i="54"/>
  <c r="W34" i="54"/>
  <c r="AP27" i="54"/>
  <c r="AJ27" i="54"/>
  <c r="AB33" i="54"/>
  <c r="W33" i="54"/>
  <c r="AP26" i="54"/>
  <c r="AJ26" i="54"/>
  <c r="AQ26" i="54" s="1"/>
  <c r="AB32" i="54"/>
  <c r="W32" i="54"/>
  <c r="AP25" i="54"/>
  <c r="AJ25" i="54"/>
  <c r="AB25" i="54"/>
  <c r="W25" i="54"/>
  <c r="AP24" i="54"/>
  <c r="AJ24" i="54"/>
  <c r="AB24" i="54"/>
  <c r="W24" i="54"/>
  <c r="AB23" i="54"/>
  <c r="W23" i="54"/>
  <c r="AB22" i="54"/>
  <c r="W22" i="54"/>
  <c r="AO20" i="54"/>
  <c r="AP19" i="54"/>
  <c r="AJ19" i="54"/>
  <c r="AP18" i="54"/>
  <c r="AJ18" i="54"/>
  <c r="AB18" i="54"/>
  <c r="W18" i="54"/>
  <c r="AP17" i="54"/>
  <c r="AJ17" i="54"/>
  <c r="AB17" i="54"/>
  <c r="W17" i="54"/>
  <c r="AP16" i="54"/>
  <c r="AJ16" i="54"/>
  <c r="AB16" i="54"/>
  <c r="W16" i="54"/>
  <c r="AP15" i="54"/>
  <c r="AJ15" i="54"/>
  <c r="AB15" i="54"/>
  <c r="W15" i="54"/>
  <c r="AP14" i="54"/>
  <c r="AJ14" i="54"/>
  <c r="AQ14" i="54" s="1"/>
  <c r="AB14" i="54"/>
  <c r="W14" i="54"/>
  <c r="AP7" i="54"/>
  <c r="AJ7" i="54"/>
  <c r="AB13" i="54"/>
  <c r="W13" i="54"/>
  <c r="AP6" i="54"/>
  <c r="AJ6" i="54"/>
  <c r="AB6" i="54"/>
  <c r="W6" i="54"/>
  <c r="AP5" i="54"/>
  <c r="AJ5" i="54"/>
  <c r="AQ5" i="54" s="1"/>
  <c r="AB5" i="54"/>
  <c r="W5" i="54"/>
  <c r="AP4" i="54"/>
  <c r="AJ4" i="54"/>
  <c r="AQ4" i="54" s="1"/>
  <c r="AB4" i="54"/>
  <c r="W4" i="54"/>
  <c r="AB3" i="54"/>
  <c r="W3" i="54"/>
  <c r="AQ6" i="54" l="1"/>
  <c r="AQ17" i="54"/>
  <c r="AQ29" i="54"/>
  <c r="AQ18" i="54"/>
  <c r="AQ25" i="54"/>
  <c r="AQ27" i="54"/>
  <c r="AQ30" i="54"/>
  <c r="AQ13" i="54"/>
  <c r="AQ39" i="54"/>
  <c r="AQ37" i="54"/>
  <c r="AQ7" i="54"/>
  <c r="AQ16" i="54"/>
  <c r="AQ28" i="54"/>
  <c r="AQ19" i="54"/>
  <c r="AC18" i="54"/>
  <c r="AQ33" i="54"/>
  <c r="AQ36" i="54"/>
  <c r="AQ15" i="54"/>
  <c r="AQ12" i="54"/>
  <c r="AQ24" i="54"/>
  <c r="AQ35" i="54"/>
  <c r="AQ8" i="54"/>
  <c r="AQ9" i="54"/>
  <c r="AQ10" i="54"/>
  <c r="AQ11" i="54"/>
  <c r="AC23" i="54"/>
  <c r="AC13" i="54"/>
  <c r="AC37" i="54"/>
  <c r="AC24" i="54"/>
  <c r="AC35" i="54"/>
  <c r="AC33" i="54"/>
  <c r="AC14" i="54"/>
  <c r="AC4" i="54"/>
  <c r="AC15" i="54"/>
  <c r="AC7" i="54"/>
  <c r="AC8" i="54"/>
  <c r="AC9" i="54"/>
  <c r="AC30" i="54"/>
  <c r="AC3" i="54"/>
  <c r="AC31" i="54"/>
  <c r="AC34" i="54"/>
  <c r="AC5" i="54"/>
  <c r="AC16" i="54"/>
  <c r="AC10" i="54"/>
  <c r="AC12" i="54"/>
  <c r="AC25" i="54"/>
  <c r="AC36" i="54"/>
  <c r="AC26" i="54"/>
  <c r="AC27" i="54"/>
  <c r="AC28" i="54"/>
  <c r="AC11" i="54"/>
  <c r="AC29" i="54"/>
  <c r="AC32" i="54"/>
  <c r="AC6" i="54"/>
  <c r="AC17" i="54"/>
  <c r="AC22" i="54"/>
  <c r="AQ20" i="54" l="1"/>
  <c r="AQ40" i="54"/>
  <c r="AC38" i="54"/>
  <c r="AC19" i="54"/>
  <c r="AC15" i="13" l="1"/>
  <c r="AB15" i="13"/>
  <c r="AA15" i="13"/>
  <c r="Z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AO13" i="17" l="1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Z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AO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AO14" i="51"/>
  <c r="AN14" i="51"/>
  <c r="AM14" i="51"/>
  <c r="AL14" i="51"/>
  <c r="AK14" i="51"/>
  <c r="AJ14" i="51"/>
  <c r="AI14" i="51"/>
  <c r="AH14" i="51"/>
  <c r="AG14" i="51"/>
  <c r="AF14" i="51"/>
  <c r="AE14" i="51"/>
  <c r="AD14" i="51"/>
  <c r="AC14" i="51"/>
  <c r="AB14" i="51"/>
  <c r="AA14" i="51"/>
  <c r="Z14" i="51"/>
  <c r="R14" i="51"/>
  <c r="Q14" i="51"/>
  <c r="P14" i="51"/>
  <c r="O14" i="51"/>
  <c r="N14" i="51"/>
  <c r="M14" i="51"/>
  <c r="L14" i="51"/>
  <c r="K14" i="51"/>
  <c r="J14" i="51"/>
  <c r="I14" i="51"/>
  <c r="H14" i="51"/>
  <c r="G14" i="51"/>
  <c r="F14" i="51"/>
  <c r="AO16" i="11" l="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R16" i="11"/>
  <c r="Q16" i="11"/>
  <c r="P16" i="11"/>
  <c r="O16" i="11"/>
  <c r="M16" i="11"/>
  <c r="L16" i="11"/>
  <c r="K16" i="11"/>
  <c r="J16" i="11"/>
  <c r="I16" i="11"/>
  <c r="H16" i="11"/>
  <c r="G16" i="11"/>
  <c r="F16" i="11"/>
  <c r="R14" i="16"/>
  <c r="Q14" i="16"/>
  <c r="P14" i="16"/>
  <c r="O14" i="16"/>
  <c r="N14" i="16"/>
  <c r="M14" i="16"/>
  <c r="L14" i="16"/>
  <c r="K14" i="16"/>
  <c r="J14" i="16"/>
  <c r="I14" i="16"/>
  <c r="H14" i="16"/>
  <c r="G14" i="16"/>
  <c r="AE14" i="16"/>
  <c r="AD14" i="16"/>
  <c r="AC14" i="16"/>
  <c r="AB14" i="16"/>
  <c r="AA14" i="16"/>
  <c r="Z14" i="16"/>
  <c r="F14" i="16"/>
  <c r="F14" i="25" l="1"/>
  <c r="AO10" i="36"/>
  <c r="AN10" i="36"/>
  <c r="AM10" i="36"/>
  <c r="AL10" i="36"/>
  <c r="AK10" i="36"/>
  <c r="AJ10" i="36"/>
  <c r="AI10" i="36"/>
  <c r="AH10" i="36"/>
  <c r="AG10" i="36"/>
  <c r="AF10" i="36"/>
  <c r="AE10" i="36"/>
  <c r="AD10" i="36"/>
  <c r="AC10" i="36"/>
  <c r="AB10" i="36"/>
  <c r="AA10" i="36"/>
  <c r="Z10" i="36"/>
  <c r="R10" i="36"/>
  <c r="Q10" i="36"/>
  <c r="P10" i="36"/>
  <c r="O10" i="36"/>
  <c r="N10" i="36"/>
  <c r="M10" i="36"/>
  <c r="L10" i="36"/>
  <c r="K10" i="36"/>
  <c r="J10" i="36"/>
  <c r="I10" i="36"/>
  <c r="H10" i="36"/>
  <c r="G10" i="36"/>
  <c r="F10" i="36"/>
  <c r="AO16" i="38" l="1"/>
  <c r="AN16" i="38"/>
  <c r="AM16" i="38"/>
  <c r="AL16" i="38"/>
  <c r="AK16" i="38"/>
  <c r="AJ16" i="38"/>
  <c r="AI16" i="38"/>
  <c r="AH16" i="38"/>
  <c r="AG16" i="38"/>
  <c r="AF16" i="38"/>
  <c r="AE16" i="38"/>
  <c r="AD16" i="38"/>
  <c r="AC16" i="38"/>
  <c r="AB16" i="38"/>
  <c r="AA16" i="38"/>
  <c r="Z16" i="38"/>
  <c r="R16" i="38"/>
  <c r="Q16" i="38"/>
  <c r="P16" i="38"/>
  <c r="O16" i="38"/>
  <c r="N16" i="38"/>
  <c r="M16" i="38"/>
  <c r="L16" i="38"/>
  <c r="K16" i="38"/>
  <c r="J16" i="38"/>
  <c r="I16" i="38"/>
  <c r="H16" i="38"/>
  <c r="G16" i="38"/>
  <c r="F16" i="38"/>
  <c r="AO14" i="41" l="1"/>
  <c r="AN14" i="41"/>
  <c r="AM14" i="41"/>
  <c r="AL14" i="41"/>
  <c r="AK14" i="41"/>
  <c r="AJ14" i="41"/>
  <c r="AI14" i="41"/>
  <c r="AH14" i="41"/>
  <c r="AG14" i="41"/>
  <c r="AF14" i="41"/>
  <c r="AE14" i="41"/>
  <c r="AD14" i="41"/>
  <c r="AC14" i="41"/>
  <c r="AB14" i="41"/>
  <c r="AA14" i="41"/>
  <c r="Z14" i="41"/>
  <c r="R14" i="41"/>
  <c r="Q14" i="41"/>
  <c r="P14" i="41"/>
  <c r="O14" i="41"/>
  <c r="N14" i="41"/>
  <c r="M14" i="41"/>
  <c r="L14" i="41"/>
  <c r="K14" i="41"/>
  <c r="J14" i="41"/>
  <c r="I14" i="41"/>
  <c r="H14" i="41"/>
  <c r="G14" i="41"/>
  <c r="F14" i="41"/>
  <c r="AO8" i="52"/>
  <c r="AN8" i="52"/>
  <c r="AM8" i="52"/>
  <c r="AL8" i="52"/>
  <c r="AK8" i="52"/>
  <c r="AJ8" i="52"/>
  <c r="AI8" i="52"/>
  <c r="AH8" i="52"/>
  <c r="AG8" i="52"/>
  <c r="AF8" i="52"/>
  <c r="AE8" i="52"/>
  <c r="AD8" i="52"/>
  <c r="AC8" i="52"/>
  <c r="AB8" i="52"/>
  <c r="AA8" i="52"/>
  <c r="Z8" i="52"/>
  <c r="R8" i="52"/>
  <c r="Q8" i="52"/>
  <c r="P8" i="52"/>
  <c r="O8" i="52"/>
  <c r="N8" i="52"/>
  <c r="M8" i="52"/>
  <c r="L8" i="52"/>
  <c r="K8" i="52"/>
  <c r="J8" i="52"/>
  <c r="I8" i="52"/>
  <c r="H8" i="52"/>
  <c r="G8" i="52"/>
  <c r="F8" i="52"/>
  <c r="AO10" i="52"/>
  <c r="AN10" i="52"/>
  <c r="AM10" i="52"/>
  <c r="AL10" i="52"/>
  <c r="AK10" i="52"/>
  <c r="AJ10" i="52"/>
  <c r="AI10" i="52"/>
  <c r="AH10" i="52"/>
  <c r="AG10" i="52"/>
  <c r="AF10" i="52"/>
  <c r="AE10" i="52"/>
  <c r="AD10" i="52"/>
  <c r="AC10" i="52"/>
  <c r="AB10" i="52"/>
  <c r="AA10" i="52"/>
  <c r="Z10" i="52"/>
  <c r="R10" i="52"/>
  <c r="Q10" i="52"/>
  <c r="P10" i="52"/>
  <c r="O10" i="52"/>
  <c r="N10" i="52"/>
  <c r="M10" i="52"/>
  <c r="L10" i="52"/>
  <c r="K10" i="52"/>
  <c r="J10" i="52"/>
  <c r="I10" i="52"/>
  <c r="H10" i="52"/>
  <c r="G10" i="52"/>
  <c r="F10" i="52"/>
  <c r="AO9" i="52"/>
  <c r="AN9" i="52"/>
  <c r="AM9" i="52"/>
  <c r="AL9" i="52"/>
  <c r="AK9" i="52"/>
  <c r="AJ9" i="52"/>
  <c r="AI9" i="52"/>
  <c r="AH9" i="52"/>
  <c r="AG9" i="52"/>
  <c r="AF9" i="52"/>
  <c r="AE9" i="52"/>
  <c r="AD9" i="52"/>
  <c r="AC9" i="52"/>
  <c r="AB9" i="52"/>
  <c r="AA9" i="52"/>
  <c r="Z9" i="52"/>
  <c r="R9" i="52"/>
  <c r="Q9" i="52"/>
  <c r="P9" i="52"/>
  <c r="O9" i="52"/>
  <c r="N9" i="52"/>
  <c r="M9" i="52"/>
  <c r="L9" i="52"/>
  <c r="K9" i="52"/>
  <c r="J9" i="52"/>
  <c r="I9" i="52"/>
  <c r="H9" i="52"/>
  <c r="G9" i="52"/>
  <c r="F9" i="52"/>
  <c r="AO12" i="53"/>
  <c r="AN12" i="53"/>
  <c r="AM12" i="53"/>
  <c r="AL12" i="53"/>
  <c r="AK12" i="53"/>
  <c r="AJ12" i="53"/>
  <c r="AI12" i="53"/>
  <c r="AH12" i="53"/>
  <c r="AG12" i="53"/>
  <c r="AF12" i="53"/>
  <c r="AE12" i="53"/>
  <c r="AD12" i="53"/>
  <c r="AC12" i="53"/>
  <c r="AB12" i="53"/>
  <c r="AA12" i="53"/>
  <c r="Z12" i="53"/>
  <c r="R12" i="53"/>
  <c r="Q12" i="53"/>
  <c r="P12" i="53"/>
  <c r="O12" i="53"/>
  <c r="N12" i="53"/>
  <c r="M12" i="53"/>
  <c r="L12" i="53"/>
  <c r="K12" i="53"/>
  <c r="J12" i="53"/>
  <c r="I12" i="53"/>
  <c r="H12" i="53"/>
  <c r="G12" i="53"/>
  <c r="F12" i="53"/>
  <c r="AO12" i="37"/>
  <c r="AN12" i="37"/>
  <c r="AM12" i="37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AO14" i="35" l="1"/>
  <c r="AN14" i="35"/>
  <c r="AM14" i="35"/>
  <c r="AL14" i="35"/>
  <c r="AK14" i="35"/>
  <c r="AJ14" i="35"/>
  <c r="AI14" i="35"/>
  <c r="AH14" i="35"/>
  <c r="AG14" i="35"/>
  <c r="AF14" i="35"/>
  <c r="AE14" i="35"/>
  <c r="AD14" i="35"/>
  <c r="AC14" i="35"/>
  <c r="AB14" i="35"/>
  <c r="AA14" i="35"/>
  <c r="Z14" i="35"/>
  <c r="R14" i="35"/>
  <c r="Q14" i="35"/>
  <c r="P14" i="35"/>
  <c r="O14" i="35"/>
  <c r="N14" i="35"/>
  <c r="M14" i="35"/>
  <c r="L14" i="35"/>
  <c r="K14" i="35"/>
  <c r="J14" i="35"/>
  <c r="I14" i="35"/>
  <c r="H14" i="35"/>
  <c r="G14" i="35"/>
  <c r="F14" i="35"/>
  <c r="AO15" i="51" l="1"/>
  <c r="AN15" i="51"/>
  <c r="AM15" i="51"/>
  <c r="AL15" i="51"/>
  <c r="AK15" i="51"/>
  <c r="AJ15" i="51"/>
  <c r="AI15" i="51"/>
  <c r="AH15" i="51"/>
  <c r="AG15" i="51"/>
  <c r="AF15" i="51"/>
  <c r="AE15" i="51"/>
  <c r="AD15" i="51"/>
  <c r="AC15" i="51"/>
  <c r="AB15" i="51"/>
  <c r="AA15" i="51"/>
  <c r="Z15" i="51"/>
  <c r="R15" i="51"/>
  <c r="Q15" i="51"/>
  <c r="P15" i="51"/>
  <c r="O15" i="51"/>
  <c r="N15" i="51"/>
  <c r="M15" i="51"/>
  <c r="L15" i="51"/>
  <c r="K15" i="51"/>
  <c r="J15" i="51"/>
  <c r="I15" i="51"/>
  <c r="H15" i="51"/>
  <c r="G15" i="51"/>
  <c r="F15" i="51"/>
  <c r="AO16" i="51"/>
  <c r="AN16" i="51"/>
  <c r="AM16" i="51"/>
  <c r="AL16" i="51"/>
  <c r="AK16" i="51"/>
  <c r="AJ16" i="51"/>
  <c r="AI16" i="51"/>
  <c r="AH16" i="51"/>
  <c r="AG16" i="51"/>
  <c r="AF16" i="51"/>
  <c r="AE16" i="51"/>
  <c r="AD16" i="51"/>
  <c r="AC16" i="51"/>
  <c r="AB16" i="51"/>
  <c r="AA16" i="51"/>
  <c r="Z16" i="51"/>
  <c r="R16" i="51"/>
  <c r="Q16" i="51"/>
  <c r="P16" i="51"/>
  <c r="O16" i="51"/>
  <c r="N16" i="51"/>
  <c r="M16" i="51"/>
  <c r="L16" i="51"/>
  <c r="K16" i="51"/>
  <c r="J16" i="51"/>
  <c r="I16" i="51"/>
  <c r="H16" i="51"/>
  <c r="G16" i="51"/>
  <c r="F16" i="51"/>
  <c r="N16" i="11" l="1"/>
  <c r="N18" i="11"/>
  <c r="O40" i="50"/>
  <c r="O29" i="50"/>
  <c r="O34" i="50"/>
  <c r="O10" i="50"/>
  <c r="F20" i="50"/>
  <c r="AO11" i="36"/>
  <c r="AN11" i="36"/>
  <c r="AM11" i="36"/>
  <c r="AL11" i="36"/>
  <c r="AK11" i="36"/>
  <c r="AJ11" i="36"/>
  <c r="AI11" i="36"/>
  <c r="AH11" i="36"/>
  <c r="AG11" i="36"/>
  <c r="AF11" i="36"/>
  <c r="AE11" i="36"/>
  <c r="AD11" i="36"/>
  <c r="AC11" i="36"/>
  <c r="AB11" i="36"/>
  <c r="AA11" i="36"/>
  <c r="Z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F5" i="50"/>
  <c r="O43" i="50"/>
  <c r="O5" i="50"/>
  <c r="O19" i="50"/>
  <c r="F10" i="50"/>
  <c r="O16" i="50"/>
  <c r="Q16" i="50" s="1"/>
  <c r="O17" i="50"/>
  <c r="O20" i="50"/>
  <c r="P20" i="50" s="1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AO14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AO13" i="37"/>
  <c r="AN13" i="37"/>
  <c r="AM13" i="37"/>
  <c r="AL13" i="37"/>
  <c r="AK13" i="37"/>
  <c r="AJ13" i="37"/>
  <c r="AI13" i="37"/>
  <c r="AH13" i="37"/>
  <c r="AG13" i="37"/>
  <c r="AF13" i="37"/>
  <c r="AE13" i="37"/>
  <c r="AD13" i="37"/>
  <c r="AC13" i="37"/>
  <c r="AB13" i="37"/>
  <c r="AA13" i="37"/>
  <c r="Z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AO13" i="39"/>
  <c r="AN13" i="39"/>
  <c r="AM13" i="39"/>
  <c r="AL13" i="39"/>
  <c r="AK13" i="39"/>
  <c r="AJ13" i="39"/>
  <c r="AI13" i="39"/>
  <c r="AH13" i="39"/>
  <c r="AG13" i="39"/>
  <c r="AF13" i="39"/>
  <c r="AE13" i="39"/>
  <c r="AD13" i="39"/>
  <c r="AC13" i="39"/>
  <c r="AB13" i="39"/>
  <c r="R13" i="39"/>
  <c r="Q13" i="39"/>
  <c r="P13" i="39"/>
  <c r="O13" i="39"/>
  <c r="N13" i="39"/>
  <c r="M13" i="39"/>
  <c r="L13" i="39"/>
  <c r="K13" i="39"/>
  <c r="J13" i="39"/>
  <c r="I13" i="39"/>
  <c r="H13" i="39"/>
  <c r="G13" i="39"/>
  <c r="F13" i="39"/>
  <c r="O36" i="50"/>
  <c r="O12" i="50"/>
  <c r="F13" i="50"/>
  <c r="Q40" i="50" l="1"/>
  <c r="P40" i="50"/>
  <c r="Q29" i="50"/>
  <c r="P29" i="50"/>
  <c r="P34" i="50"/>
  <c r="Q34" i="50"/>
  <c r="P43" i="50"/>
  <c r="Q43" i="50"/>
  <c r="Q36" i="50"/>
  <c r="P36" i="50"/>
  <c r="Q5" i="50"/>
  <c r="P5" i="50"/>
  <c r="Q19" i="50"/>
  <c r="P19" i="50"/>
  <c r="Q12" i="50"/>
  <c r="P12" i="50"/>
  <c r="Q17" i="50"/>
  <c r="P17" i="50"/>
  <c r="P10" i="50"/>
  <c r="Q10" i="50"/>
  <c r="P16" i="50"/>
  <c r="Q20" i="50"/>
  <c r="AO13" i="40" l="1"/>
  <c r="AN13" i="40"/>
  <c r="AM13" i="40"/>
  <c r="AL13" i="40"/>
  <c r="AK13" i="40"/>
  <c r="AJ13" i="40"/>
  <c r="AI13" i="40"/>
  <c r="AH13" i="40"/>
  <c r="AG13" i="40"/>
  <c r="AF13" i="40"/>
  <c r="AE13" i="40"/>
  <c r="AD13" i="40"/>
  <c r="AC13" i="40"/>
  <c r="AB13" i="40"/>
  <c r="AA13" i="40"/>
  <c r="Z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AO14" i="39" l="1"/>
  <c r="AN14" i="39"/>
  <c r="AM14" i="39"/>
  <c r="AL14" i="39"/>
  <c r="AK14" i="39"/>
  <c r="AJ14" i="39"/>
  <c r="AI14" i="39"/>
  <c r="AH14" i="39"/>
  <c r="AG14" i="39"/>
  <c r="AF14" i="39"/>
  <c r="AE14" i="39"/>
  <c r="AD14" i="39"/>
  <c r="AC14" i="39"/>
  <c r="AB14" i="39"/>
  <c r="AA14" i="39"/>
  <c r="Z14" i="39"/>
  <c r="R14" i="39"/>
  <c r="Q14" i="39"/>
  <c r="P14" i="39"/>
  <c r="O14" i="39"/>
  <c r="N14" i="39"/>
  <c r="M14" i="39"/>
  <c r="L14" i="39"/>
  <c r="K14" i="39"/>
  <c r="J14" i="39"/>
  <c r="I14" i="39"/>
  <c r="H14" i="39"/>
  <c r="G14" i="39"/>
  <c r="F14" i="39"/>
  <c r="O41" i="50" l="1"/>
  <c r="O14" i="50"/>
  <c r="O37" i="50"/>
  <c r="Q41" i="50" l="1"/>
  <c r="P41" i="50"/>
  <c r="Q37" i="50"/>
  <c r="P37" i="50"/>
  <c r="Q14" i="50"/>
  <c r="P14" i="50"/>
  <c r="O44" i="50"/>
  <c r="Q44" i="50" l="1"/>
  <c r="P44" i="50"/>
  <c r="O38" i="50"/>
  <c r="O13" i="50"/>
  <c r="O11" i="50"/>
  <c r="O45" i="50"/>
  <c r="K46" i="50"/>
  <c r="J46" i="50"/>
  <c r="I46" i="50"/>
  <c r="O39" i="50"/>
  <c r="O21" i="50"/>
  <c r="K22" i="50"/>
  <c r="J22" i="50"/>
  <c r="I22" i="50"/>
  <c r="P38" i="50" l="1"/>
  <c r="Q38" i="50"/>
  <c r="Q45" i="50"/>
  <c r="P45" i="50"/>
  <c r="Q39" i="50"/>
  <c r="P39" i="50"/>
  <c r="Q13" i="50"/>
  <c r="P13" i="50"/>
  <c r="Q11" i="50"/>
  <c r="P11" i="50"/>
  <c r="Q21" i="50"/>
  <c r="P21" i="50"/>
  <c r="F19" i="50"/>
  <c r="F14" i="50"/>
  <c r="F9" i="50"/>
  <c r="F6" i="50"/>
  <c r="F3" i="50"/>
  <c r="F15" i="50"/>
  <c r="F12" i="50"/>
  <c r="N46" i="50"/>
  <c r="M46" i="50"/>
  <c r="L46" i="50"/>
  <c r="O30" i="50"/>
  <c r="O35" i="50"/>
  <c r="O31" i="50"/>
  <c r="O28" i="50"/>
  <c r="N22" i="50"/>
  <c r="M22" i="50"/>
  <c r="L22" i="50"/>
  <c r="O6" i="50"/>
  <c r="O15" i="50"/>
  <c r="F18" i="50"/>
  <c r="O9" i="50"/>
  <c r="O4" i="50"/>
  <c r="B21" i="50"/>
  <c r="Q30" i="50" l="1"/>
  <c r="P30" i="50"/>
  <c r="Q35" i="50"/>
  <c r="P35" i="50"/>
  <c r="Q31" i="50"/>
  <c r="P31" i="50"/>
  <c r="Q4" i="50"/>
  <c r="P4" i="50"/>
  <c r="P9" i="50"/>
  <c r="Q9" i="50"/>
  <c r="Q15" i="50"/>
  <c r="P15" i="50"/>
  <c r="Q6" i="50"/>
  <c r="P6" i="50"/>
  <c r="Q28" i="50"/>
  <c r="P28" i="50"/>
  <c r="O46" i="50"/>
  <c r="P46" i="50" s="1"/>
  <c r="O22" i="50"/>
  <c r="P22" i="50" s="1"/>
  <c r="F4" i="50"/>
  <c r="Q22" i="50" l="1"/>
  <c r="Q46" i="50"/>
  <c r="F11" i="50" l="1"/>
  <c r="D7" i="32"/>
  <c r="B7" i="32"/>
  <c r="G13" i="45"/>
  <c r="F13" i="45"/>
  <c r="N13" i="45"/>
  <c r="B3" i="47"/>
  <c r="M13" i="45"/>
  <c r="L13" i="45"/>
  <c r="K13" i="45"/>
  <c r="I13" i="45"/>
  <c r="H13" i="45"/>
  <c r="G10" i="45"/>
  <c r="F10" i="45"/>
  <c r="E10" i="45"/>
  <c r="D10" i="45"/>
  <c r="N10" i="45"/>
  <c r="D6" i="47"/>
  <c r="B6" i="47"/>
  <c r="M10" i="45"/>
  <c r="L10" i="45"/>
  <c r="K10" i="45"/>
  <c r="I10" i="45"/>
  <c r="H10" i="45"/>
  <c r="H11" i="45"/>
  <c r="N12" i="45"/>
  <c r="L12" i="45"/>
  <c r="I12" i="45"/>
  <c r="H12" i="45"/>
  <c r="M12" i="45"/>
  <c r="K12" i="45"/>
  <c r="G12" i="45"/>
  <c r="F12" i="45"/>
  <c r="E12" i="45"/>
  <c r="D12" i="45"/>
  <c r="E13" i="45"/>
  <c r="D13" i="45"/>
  <c r="D5" i="47"/>
  <c r="B5" i="47"/>
  <c r="N18" i="47"/>
  <c r="M18" i="47"/>
  <c r="L18" i="47"/>
  <c r="K18" i="47"/>
  <c r="J18" i="47"/>
  <c r="I18" i="47"/>
  <c r="O17" i="47"/>
  <c r="O16" i="47"/>
  <c r="O15" i="47"/>
  <c r="O14" i="47"/>
  <c r="P8" i="47"/>
  <c r="N8" i="47"/>
  <c r="M8" i="47"/>
  <c r="L8" i="47"/>
  <c r="K8" i="47"/>
  <c r="J8" i="47"/>
  <c r="I8" i="47"/>
  <c r="O7" i="47"/>
  <c r="O6" i="47"/>
  <c r="O5" i="47"/>
  <c r="O4" i="47"/>
  <c r="Q4" i="47" l="1"/>
  <c r="R4" i="47"/>
  <c r="Q17" i="47"/>
  <c r="P17" i="47"/>
  <c r="Q15" i="47"/>
  <c r="P15" i="47"/>
  <c r="Q14" i="47"/>
  <c r="P14" i="47"/>
  <c r="R6" i="47"/>
  <c r="Q6" i="47"/>
  <c r="D3" i="47"/>
  <c r="F3" i="47" s="1"/>
  <c r="H14" i="45"/>
  <c r="F6" i="47"/>
  <c r="J12" i="45"/>
  <c r="O13" i="45"/>
  <c r="O12" i="45"/>
  <c r="J10" i="45"/>
  <c r="O10" i="45"/>
  <c r="J13" i="45"/>
  <c r="O18" i="47"/>
  <c r="P18" i="47" s="1"/>
  <c r="O8" i="47"/>
  <c r="R8" i="47" s="1"/>
  <c r="F5" i="47"/>
  <c r="F17" i="50" l="1"/>
  <c r="D21" i="50"/>
  <c r="Q18" i="47"/>
  <c r="Q8" i="47"/>
  <c r="D4" i="32" l="1"/>
  <c r="B4" i="32"/>
  <c r="D8" i="32"/>
  <c r="B8" i="32"/>
  <c r="AO15" i="17" l="1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D5" i="32"/>
  <c r="B5" i="32"/>
  <c r="D6" i="32"/>
  <c r="B6" i="32"/>
  <c r="D3" i="32" l="1"/>
  <c r="B3" i="32"/>
  <c r="G11" i="45" l="1"/>
  <c r="F11" i="45"/>
  <c r="E11" i="45"/>
  <c r="D11" i="45"/>
  <c r="N11" i="45"/>
  <c r="N14" i="45" s="1"/>
  <c r="D4" i="47"/>
  <c r="D7" i="47" s="1"/>
  <c r="B4" i="47"/>
  <c r="M11" i="45"/>
  <c r="M14" i="45" s="1"/>
  <c r="L11" i="45"/>
  <c r="K11" i="45"/>
  <c r="I11" i="45"/>
  <c r="AO14" i="37"/>
  <c r="AN14" i="37"/>
  <c r="AM14" i="37"/>
  <c r="AL14" i="37"/>
  <c r="AK14" i="37"/>
  <c r="AJ14" i="37"/>
  <c r="AI14" i="37"/>
  <c r="AH14" i="37"/>
  <c r="AG14" i="37"/>
  <c r="AF14" i="37"/>
  <c r="AE14" i="37"/>
  <c r="AD14" i="37"/>
  <c r="AC14" i="37"/>
  <c r="AB14" i="37"/>
  <c r="AA14" i="37"/>
  <c r="Z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AO12" i="36"/>
  <c r="AN12" i="36"/>
  <c r="AM12" i="36"/>
  <c r="AL12" i="36"/>
  <c r="AK12" i="36"/>
  <c r="AJ12" i="36"/>
  <c r="AI12" i="36"/>
  <c r="AH12" i="36"/>
  <c r="AG12" i="36"/>
  <c r="AF12" i="36"/>
  <c r="AE12" i="36"/>
  <c r="AD12" i="36"/>
  <c r="AC12" i="36"/>
  <c r="AB12" i="36"/>
  <c r="AA12" i="36"/>
  <c r="Z12" i="36"/>
  <c r="R12" i="36"/>
  <c r="Q12" i="36"/>
  <c r="P12" i="36"/>
  <c r="O12" i="36"/>
  <c r="N12" i="36"/>
  <c r="M12" i="36"/>
  <c r="L12" i="36"/>
  <c r="K12" i="36"/>
  <c r="J12" i="36"/>
  <c r="I12" i="36"/>
  <c r="H12" i="36"/>
  <c r="G12" i="36"/>
  <c r="F12" i="36"/>
  <c r="J11" i="45" l="1"/>
  <c r="I14" i="45"/>
  <c r="F4" i="47"/>
  <c r="B7" i="47"/>
  <c r="O11" i="45"/>
  <c r="G22" i="31" l="1"/>
  <c r="L22" i="31"/>
  <c r="K22" i="31"/>
  <c r="O7" i="32"/>
  <c r="O16" i="32"/>
  <c r="O21" i="32"/>
  <c r="O8" i="32"/>
  <c r="O20" i="32"/>
  <c r="O4" i="32"/>
  <c r="G24" i="31"/>
  <c r="F24" i="31"/>
  <c r="E24" i="31"/>
  <c r="D24" i="31"/>
  <c r="O24" i="31"/>
  <c r="F5" i="32"/>
  <c r="N24" i="31"/>
  <c r="I24" i="31"/>
  <c r="H24" i="31"/>
  <c r="G19" i="31"/>
  <c r="F19" i="31"/>
  <c r="E19" i="31"/>
  <c r="D19" i="31"/>
  <c r="O19" i="31"/>
  <c r="N19" i="31"/>
  <c r="L19" i="31"/>
  <c r="K19" i="31"/>
  <c r="I19" i="31"/>
  <c r="H19" i="31"/>
  <c r="G20" i="31"/>
  <c r="F20" i="31"/>
  <c r="E20" i="31"/>
  <c r="D20" i="31"/>
  <c r="O20" i="31"/>
  <c r="N20" i="31"/>
  <c r="L20" i="31"/>
  <c r="K20" i="31"/>
  <c r="I20" i="31"/>
  <c r="H20" i="31"/>
  <c r="G21" i="31"/>
  <c r="F21" i="31"/>
  <c r="D21" i="31"/>
  <c r="O21" i="31"/>
  <c r="F4" i="32"/>
  <c r="N21" i="31"/>
  <c r="L21" i="31"/>
  <c r="K21" i="31"/>
  <c r="I21" i="31"/>
  <c r="H21" i="31"/>
  <c r="G23" i="31"/>
  <c r="F23" i="31"/>
  <c r="E23" i="31"/>
  <c r="D23" i="31"/>
  <c r="O23" i="31"/>
  <c r="F8" i="32"/>
  <c r="N23" i="31"/>
  <c r="L23" i="31"/>
  <c r="K23" i="31"/>
  <c r="I23" i="31"/>
  <c r="H23" i="31"/>
  <c r="O9" i="32"/>
  <c r="L24" i="31"/>
  <c r="K24" i="31"/>
  <c r="F3" i="32"/>
  <c r="O19" i="32"/>
  <c r="O6" i="32"/>
  <c r="O17" i="32"/>
  <c r="O5" i="32"/>
  <c r="N10" i="32"/>
  <c r="M10" i="32"/>
  <c r="L10" i="32"/>
  <c r="K10" i="32"/>
  <c r="J10" i="32"/>
  <c r="I10" i="32"/>
  <c r="J22" i="32"/>
  <c r="O18" i="32"/>
  <c r="I22" i="32"/>
  <c r="N22" i="32"/>
  <c r="M22" i="32"/>
  <c r="L22" i="32"/>
  <c r="K22" i="32"/>
  <c r="E21" i="31"/>
  <c r="F6" i="32"/>
  <c r="B9" i="32"/>
  <c r="Q9" i="32" l="1"/>
  <c r="P9" i="32"/>
  <c r="Q21" i="32"/>
  <c r="P21" i="32"/>
  <c r="L25" i="31"/>
  <c r="K25" i="31"/>
  <c r="Q17" i="32"/>
  <c r="P17" i="32"/>
  <c r="Q7" i="32"/>
  <c r="P7" i="32"/>
  <c r="D22" i="31"/>
  <c r="E22" i="31"/>
  <c r="F22" i="31"/>
  <c r="H22" i="31"/>
  <c r="H25" i="31" s="1"/>
  <c r="N22" i="31"/>
  <c r="N25" i="31" s="1"/>
  <c r="O22" i="31"/>
  <c r="O25" i="31" s="1"/>
  <c r="I22" i="31"/>
  <c r="I25" i="31" s="1"/>
  <c r="F7" i="32"/>
  <c r="O10" i="32"/>
  <c r="P10" i="32" s="1"/>
  <c r="O22" i="32"/>
  <c r="Q22" i="32" s="1"/>
  <c r="J20" i="31"/>
  <c r="J24" i="31"/>
  <c r="P24" i="31"/>
  <c r="P21" i="31"/>
  <c r="J21" i="31"/>
  <c r="P20" i="31"/>
  <c r="P23" i="31"/>
  <c r="J23" i="31"/>
  <c r="P19" i="31"/>
  <c r="J19" i="31"/>
  <c r="P22" i="32" l="1"/>
  <c r="Q10" i="32"/>
  <c r="P22" i="31"/>
  <c r="P25" i="31" s="1"/>
  <c r="J22" i="31"/>
  <c r="D9" i="32"/>
</calcChain>
</file>

<file path=xl/sharedStrings.xml><?xml version="1.0" encoding="utf-8"?>
<sst xmlns="http://schemas.openxmlformats.org/spreadsheetml/2006/main" count="3244" uniqueCount="651">
  <si>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</si>
  <si>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</si>
  <si>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</si>
  <si>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</si>
  <si>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</si>
  <si>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</si>
  <si>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</si>
  <si>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</si>
  <si>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</si>
  <si>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</si>
  <si>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</si>
  <si>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</si>
  <si>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</si>
  <si>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</si>
  <si>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</si>
  <si>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</si>
  <si>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</si>
  <si>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</si>
  <si>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</si>
  <si>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</si>
  <si>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</si>
  <si>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</si>
  <si>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</si>
  <si>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</si>
  <si>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</si>
  <si>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</si>
  <si>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</si>
  <si>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</si>
  <si>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</si>
  <si>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</si>
  <si>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</si>
  <si>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Wales</t>
  </si>
  <si>
    <t>Italy</t>
  </si>
  <si>
    <t>France</t>
  </si>
  <si>
    <t>Scotland</t>
  </si>
  <si>
    <t>Ireland</t>
  </si>
  <si>
    <t>Canada</t>
  </si>
  <si>
    <t>Gd</t>
  </si>
  <si>
    <t>Away</t>
  </si>
  <si>
    <t>Neutral Ground</t>
  </si>
  <si>
    <t>Home</t>
  </si>
  <si>
    <t>6N</t>
  </si>
  <si>
    <t>Pos</t>
  </si>
  <si>
    <t>Chg</t>
  </si>
  <si>
    <t>DIFF</t>
  </si>
  <si>
    <t>PTS</t>
  </si>
  <si>
    <t>→</t>
  </si>
  <si>
    <t>TF</t>
  </si>
  <si>
    <t>TA</t>
  </si>
  <si>
    <t>Yellows</t>
  </si>
  <si>
    <t>Reds</t>
  </si>
  <si>
    <t>Pts</t>
  </si>
  <si>
    <t>TOTALS</t>
  </si>
  <si>
    <t xml:space="preserve"> </t>
  </si>
  <si>
    <t>Teams ordered on unofficial “points” ratio of “2” for a Red, “1” for a Yellow</t>
  </si>
  <si>
    <t>USA</t>
  </si>
  <si>
    <t>HOME</t>
  </si>
  <si>
    <t>AWAY</t>
  </si>
  <si>
    <t>NEUTRAL</t>
  </si>
  <si>
    <t>GSB</t>
  </si>
  <si>
    <t>TB = Try Bonus Points; LB = Losing Bonus Points; GSB = Grand Slam Bonus Points</t>
  </si>
  <si>
    <t>Points Scored</t>
  </si>
  <si>
    <t>Minutes S/handed</t>
  </si>
  <si>
    <t>Opponent</t>
  </si>
  <si>
    <t>Ave per 10 mins</t>
  </si>
  <si>
    <t>Total</t>
  </si>
  <si>
    <t>Also S/H</t>
  </si>
  <si>
    <t>15 v 14</t>
  </si>
  <si>
    <t>15 v 13</t>
  </si>
  <si>
    <t>na</t>
  </si>
  <si>
    <t>ALL TESTS</t>
  </si>
  <si>
    <t>SIX NATIONS</t>
  </si>
  <si>
    <t>N Zealand</t>
  </si>
  <si>
    <t>BPs</t>
  </si>
  <si>
    <t xml:space="preserve">Penalty Tries: </t>
  </si>
  <si>
    <t xml:space="preserve">    HT</t>
  </si>
  <si>
    <t>Penalty Tries:</t>
  </si>
  <si>
    <r>
      <t xml:space="preserve">POWERPLAYS </t>
    </r>
    <r>
      <rPr>
        <b/>
        <sz val="11"/>
        <color rgb="FFFF0000"/>
        <rFont val="Calibri"/>
        <family val="2"/>
        <scheme val="minor"/>
      </rPr>
      <t xml:space="preserve">(periods when teams are playing </t>
    </r>
    <r>
      <rPr>
        <b/>
        <u/>
        <sz val="11"/>
        <color rgb="FFFF0000"/>
        <rFont val="Calibri"/>
        <family val="2"/>
        <scheme val="minor"/>
      </rPr>
      <t>against short-handed opposition only</t>
    </r>
    <r>
      <rPr>
        <b/>
        <sz val="11"/>
        <color rgb="FFFF0000"/>
        <rFont val="Calibri"/>
        <family val="2"/>
        <scheme val="minor"/>
      </rPr>
      <t>)</t>
    </r>
  </si>
  <si>
    <t>15 v 12</t>
  </si>
  <si>
    <t>10+ Points scored in any 10-minute Powerplay period:</t>
  </si>
  <si>
    <t>Edi</t>
  </si>
  <si>
    <t>10+ Points scored with fewer than 15 players:</t>
  </si>
  <si>
    <t>14 pl</t>
  </si>
  <si>
    <t>13 pl</t>
  </si>
  <si>
    <t>12 pl</t>
  </si>
  <si>
    <t>11 pl</t>
  </si>
  <si>
    <t>OCEANIA CHAMPS</t>
  </si>
  <si>
    <t>Tw</t>
  </si>
  <si>
    <t>S Africa</t>
  </si>
  <si>
    <t>14 v 13</t>
  </si>
  <si>
    <t>Samoa</t>
  </si>
  <si>
    <t>Japan</t>
  </si>
  <si>
    <t>n/a</t>
  </si>
  <si>
    <t>After Round 1</t>
  </si>
  <si>
    <t>Bel</t>
  </si>
  <si>
    <t>FPRO</t>
  </si>
  <si>
    <t>Ian Tempest (Eng)</t>
  </si>
  <si>
    <t>Quinton Immelman (RSA)</t>
  </si>
  <si>
    <t>Maria Latos (Ger)</t>
  </si>
  <si>
    <t>Clara Munarini (Ita)</t>
  </si>
  <si>
    <t>Leo Colgan (Ire)</t>
  </si>
  <si>
    <t>Sara Cox (Eng)</t>
  </si>
  <si>
    <t>Holly Wood (Eng)</t>
  </si>
  <si>
    <t>Aurelie Groizeleau (Fra)</t>
  </si>
  <si>
    <t>Rd-by-Rd</t>
  </si>
  <si>
    <t>YC</t>
  </si>
  <si>
    <t>RC</t>
  </si>
  <si>
    <t>Round 1</t>
  </si>
  <si>
    <t>Netherlands</t>
  </si>
  <si>
    <t>Precious Pazani (Zim)</t>
  </si>
  <si>
    <t>Maria Heitor (Por)</t>
  </si>
  <si>
    <t>Amber Stamp-Dunstan (Wal)</t>
  </si>
  <si>
    <t>Spain</t>
  </si>
  <si>
    <t>Round 2</t>
  </si>
  <si>
    <t>Matteo Liperini (Ita)</t>
  </si>
  <si>
    <t>Round 3</t>
  </si>
  <si>
    <t>Andrew McMenemy (Sco)</t>
  </si>
  <si>
    <t>Rachel Horton (Aus)</t>
  </si>
  <si>
    <t>Round 4</t>
  </si>
  <si>
    <t>Maggie Cogger-Orr (Nzl)</t>
  </si>
  <si>
    <t>Natarsha Ganley (Nzl)</t>
  </si>
  <si>
    <t>Aimee Barrett-Theron (RSA)</t>
  </si>
  <si>
    <t>Round 5</t>
  </si>
  <si>
    <t>PAC</t>
  </si>
  <si>
    <t>Amelia Luciano (USA)</t>
  </si>
  <si>
    <t>Madagascar</t>
  </si>
  <si>
    <t>New Zealand</t>
  </si>
  <si>
    <t>Ella Goldsmith (Aus)</t>
  </si>
  <si>
    <t>INT</t>
  </si>
  <si>
    <t>17 May</t>
  </si>
  <si>
    <t>Jess Ling (Aus)</t>
  </si>
  <si>
    <t>Fiji</t>
  </si>
  <si>
    <t>Kazakhstan</t>
  </si>
  <si>
    <t>ASIA CHAMPS</t>
  </si>
  <si>
    <t>AC</t>
  </si>
  <si>
    <t>31-0</t>
  </si>
  <si>
    <t>6 Sp</t>
  </si>
  <si>
    <t>7 Sp</t>
  </si>
  <si>
    <t>Sunny Lee (Hkg)</t>
  </si>
  <si>
    <t>5-17</t>
  </si>
  <si>
    <t>Alexandra Ferre (Fra)</t>
  </si>
  <si>
    <t>Zoe Naude (RSA)</t>
  </si>
  <si>
    <t>Emma Gallagher (Can)</t>
  </si>
  <si>
    <t>Totals</t>
  </si>
  <si>
    <t>Kristine Lovatt (Can)</t>
  </si>
  <si>
    <t>Hong Kong</t>
  </si>
  <si>
    <t>Yrk</t>
  </si>
  <si>
    <t>22 Mr</t>
  </si>
  <si>
    <t>29 Mr</t>
  </si>
  <si>
    <t>Pm</t>
  </si>
  <si>
    <t>12 Ap</t>
  </si>
  <si>
    <t>Car</t>
  </si>
  <si>
    <t>19 Ap</t>
  </si>
  <si>
    <t>Lei</t>
  </si>
  <si>
    <t>1 Ag</t>
  </si>
  <si>
    <t>WC</t>
  </si>
  <si>
    <t>22 Ag</t>
  </si>
  <si>
    <t>30 Ag</t>
  </si>
  <si>
    <t>Nor</t>
  </si>
  <si>
    <t>WORLD CUP</t>
  </si>
  <si>
    <t>23 Ag</t>
  </si>
  <si>
    <t>Exe</t>
  </si>
  <si>
    <t>31 Ag</t>
  </si>
  <si>
    <t>Brazil</t>
  </si>
  <si>
    <t>24 Ag</t>
  </si>
  <si>
    <t>Sal</t>
  </si>
  <si>
    <t>Hollie Davidson (Sco)</t>
  </si>
  <si>
    <t>Kat Roche (USA)</t>
  </si>
  <si>
    <t>Portugal</t>
  </si>
  <si>
    <t>Lauren Jenner (Ita)</t>
  </si>
  <si>
    <t>Sweden</t>
  </si>
  <si>
    <t>27 Ap</t>
  </si>
  <si>
    <t>Act</t>
  </si>
  <si>
    <t>31-5</t>
  </si>
  <si>
    <t>Alexandre Ferre (Fra)</t>
  </si>
  <si>
    <t>Doriane Constanty (Fra)</t>
  </si>
  <si>
    <t>South Africa</t>
  </si>
  <si>
    <t>5 Ap</t>
  </si>
  <si>
    <t>REC</t>
  </si>
  <si>
    <t>RUGBY EUROPE</t>
  </si>
  <si>
    <t>Ace</t>
  </si>
  <si>
    <t>5-31</t>
  </si>
  <si>
    <t>La</t>
  </si>
  <si>
    <t>19-21</t>
  </si>
  <si>
    <t>VB</t>
  </si>
  <si>
    <t>19-0</t>
  </si>
  <si>
    <t>15 My</t>
  </si>
  <si>
    <t>Fuk</t>
  </si>
  <si>
    <t>La = Wallis Annenberg Stadium, Los Angeles; Fuk = Japan Base, Fukuoka</t>
  </si>
  <si>
    <t>Craig Chan (Hkg)</t>
  </si>
  <si>
    <t>Ishanka Abeykoon (Sla)</t>
  </si>
  <si>
    <t>Just Wang (Sin)</t>
  </si>
  <si>
    <t>17 My</t>
  </si>
  <si>
    <t>Estelle Whaiapu (Nzl)</t>
  </si>
  <si>
    <t>Cba</t>
  </si>
  <si>
    <t>GIO Stadium, Canberra</t>
  </si>
  <si>
    <t>Chloe Sampson (Nzl)</t>
  </si>
  <si>
    <t>25 My</t>
  </si>
  <si>
    <t>29-0</t>
  </si>
  <si>
    <t>Christabelle Lim (Sin)</t>
  </si>
  <si>
    <t>Tony Duminy (UAE)</t>
  </si>
  <si>
    <t>Qu Shanggang (Chn)</t>
  </si>
  <si>
    <t>unknown</t>
  </si>
  <si>
    <t>Tonga</t>
  </si>
  <si>
    <t>OC</t>
  </si>
  <si>
    <t>Sig</t>
  </si>
  <si>
    <t>Hibiki Ikaeda (Jpn)</t>
  </si>
  <si>
    <t>Hani Samaeli (Fij)</t>
  </si>
  <si>
    <t>Uganda</t>
  </si>
  <si>
    <t>7 Jn</t>
  </si>
  <si>
    <t>Bineta Sene (Sen)</t>
  </si>
  <si>
    <t>Stephane Rakotoniraini (Mdg) </t>
  </si>
  <si>
    <t>Jeannie Volasoa Rasamison (Mdg)</t>
  </si>
  <si>
    <t>Act = Hotel Bonalba Alicante, Alicante; Ant = Stade Makis, Antananarivo</t>
  </si>
  <si>
    <t>Ant</t>
  </si>
  <si>
    <t>Kenya</t>
  </si>
  <si>
    <t>16 Mr</t>
  </si>
  <si>
    <t>14 Jn</t>
  </si>
  <si>
    <t>Colombia</t>
  </si>
  <si>
    <t>Sp</t>
  </si>
  <si>
    <t>39-0</t>
  </si>
  <si>
    <t>Federico Longobardi (Arg)</t>
  </si>
  <si>
    <t>Sergio Alvarenga (Pgy)</t>
  </si>
  <si>
    <t>Lucas Saccomanno (Bra)</t>
  </si>
  <si>
    <t>Win v Colombia was Brazil's record victory in Test rugby</t>
  </si>
  <si>
    <t>10 Jn</t>
  </si>
  <si>
    <t>33-7</t>
  </si>
  <si>
    <t>Meresiana Savenaca (Fij)</t>
  </si>
  <si>
    <t>Hani Samaeli (Fij)</t>
  </si>
  <si>
    <t>Katarina Tawa (Fij)</t>
  </si>
  <si>
    <t>Penalty Tries:  v Tga (10 Jn)</t>
  </si>
  <si>
    <t>Vasiti Vasuimua (Fij)</t>
  </si>
  <si>
    <t>11 Jn</t>
  </si>
  <si>
    <t>12-0</t>
  </si>
  <si>
    <t>Julie Randriarimanana (Mdg)</t>
  </si>
  <si>
    <t>AFRICA CUP</t>
  </si>
  <si>
    <t>15 Jn</t>
  </si>
  <si>
    <t>35-0</t>
  </si>
  <si>
    <t>Ronald Wutimber (Ken)</t>
  </si>
  <si>
    <t>5 Jl</t>
  </si>
  <si>
    <t>Ptr</t>
  </si>
  <si>
    <t>3-26</t>
  </si>
  <si>
    <t>Egon Seconds (RSA)</t>
  </si>
  <si>
    <t>26-3</t>
  </si>
  <si>
    <t>12 Jl</t>
  </si>
  <si>
    <t>Gqe</t>
  </si>
  <si>
    <t>Ptr = Loftus Versfeld, Pretoria; Gqe = Nelson Mandela Bay Stadium, Gqeberha</t>
  </si>
  <si>
    <t>0-14</t>
  </si>
  <si>
    <t>Christie du Preez (RSA)</t>
  </si>
  <si>
    <t>Jac</t>
  </si>
  <si>
    <t>Sp = Estadio Nicolau Alayon, Sao Paulo; Jac = Estadio du Cambusano, Jacarei</t>
  </si>
  <si>
    <t>0-21</t>
  </si>
  <si>
    <t>unknown (Bra)</t>
  </si>
  <si>
    <t>Played</t>
  </si>
  <si>
    <t>Won</t>
  </si>
  <si>
    <t>Drawn</t>
  </si>
  <si>
    <t>Lost</t>
  </si>
  <si>
    <t>Pts Scored</t>
  </si>
  <si>
    <t>WORLD CUP (Including Plate, Bowl &amp; Shield matches)</t>
  </si>
  <si>
    <t>19 Jl</t>
  </si>
  <si>
    <t>Kit</t>
  </si>
  <si>
    <t>13-5</t>
  </si>
  <si>
    <t>Hibiki Ikeda (Jpn)</t>
  </si>
  <si>
    <t>5-13</t>
  </si>
  <si>
    <t>5-0</t>
  </si>
  <si>
    <t>Marcelo Pilara (Arg)</t>
  </si>
  <si>
    <t>26 Jl</t>
  </si>
  <si>
    <t>14-12</t>
  </si>
  <si>
    <t>Tok</t>
  </si>
  <si>
    <t>Kit = Mikuni World Stadium, Kitakyushu; Tok = Prince Chichibu Memorial Stadium, Tokyo</t>
  </si>
  <si>
    <t>10-0</t>
  </si>
  <si>
    <t>0-10</t>
  </si>
  <si>
    <t>14-10</t>
  </si>
  <si>
    <t>10-14</t>
  </si>
  <si>
    <t>2 Ag</t>
  </si>
  <si>
    <t>Berenice Loubet (Fra)</t>
  </si>
  <si>
    <t>0-43</t>
  </si>
  <si>
    <t>Tok = Prince Chichibu Memorial Stadium, Tokyo; Lei = Mattioli Woods Welford Road, Leicester</t>
  </si>
  <si>
    <t>Cal</t>
  </si>
  <si>
    <t>5-5</t>
  </si>
  <si>
    <t>Ali</t>
  </si>
  <si>
    <t>22-12</t>
  </si>
  <si>
    <t>12-22</t>
  </si>
  <si>
    <t>Cal = Complexo Desportivo, Caldas da Rainha; Ali = Estadio Nelson Mandela, Alicante</t>
  </si>
  <si>
    <t>Nor = Franklin's Gardens, Northampton; Exe = Sandy Park, Exeter</t>
  </si>
  <si>
    <t>INT = International; WC = World Cup</t>
  </si>
  <si>
    <t>9 Ag</t>
  </si>
  <si>
    <t>Exe = Sandy Park, Exeter</t>
  </si>
  <si>
    <t>Sig = Lawaqa Park, Sigatoka; Sal = Salford Community Stadium</t>
  </si>
  <si>
    <t>Nor = Franklin's Gardens, Northampton; Yrk = York Community Stadium</t>
  </si>
  <si>
    <t>Yrk = York Community Stadium; Nor = Franklin's Gardens, Northampton</t>
  </si>
  <si>
    <t>Cvo</t>
  </si>
  <si>
    <t>5-19</t>
  </si>
  <si>
    <t>Cvo = Stadio San Michele, Calvisano; Nor = Franklin's Gardens, Northampton</t>
  </si>
  <si>
    <t>Exe = Sandy Park, Exeter; Yrk = York Community Stadium</t>
  </si>
  <si>
    <t>13 Sp</t>
  </si>
  <si>
    <t>Andrew Moule (Wal)</t>
  </si>
  <si>
    <t>Jess Kavanagh (Wal)</t>
  </si>
  <si>
    <t>Cxo</t>
  </si>
  <si>
    <t>Ali = Estadio Nelson Mandela, Alicante; Cxo = Estadio Municipal do Cartaxo, Cartaxo</t>
  </si>
  <si>
    <t>Tdv</t>
  </si>
  <si>
    <t>Tdv = Estadio El Vergeret, Tavernes de la Valldigna; Ace = Hotel Bonalba Alicante, Alicante; Kit = Mikuni World Stadium, Kitakyushu;</t>
  </si>
  <si>
    <t>Marco Minelli (Por)</t>
  </si>
  <si>
    <t>Valentina Bianchetto (Eng)</t>
  </si>
  <si>
    <t>Doriane Domenjo (Fra)</t>
  </si>
  <si>
    <t>Clemence Fayard (Fra)</t>
  </si>
  <si>
    <t>Lidwine Alba (Fra)</t>
  </si>
  <si>
    <t>TIMES OF TRIES SCORED (INCLUDING PENALTY TRIES)</t>
  </si>
  <si>
    <t>BONUS POINTS EARNED</t>
  </si>
  <si>
    <t>11-20</t>
  </si>
  <si>
    <t>21-30</t>
  </si>
  <si>
    <t>31-40</t>
  </si>
  <si>
    <t>1st H</t>
  </si>
  <si>
    <t>41-50</t>
  </si>
  <si>
    <t>51-60</t>
  </si>
  <si>
    <t>61-70</t>
  </si>
  <si>
    <t>71-80</t>
  </si>
  <si>
    <t>2nd H</t>
  </si>
  <si>
    <t>TOT</t>
  </si>
  <si>
    <t>TRY</t>
  </si>
  <si>
    <t>LOSE</t>
  </si>
  <si>
    <t>TIMES OF TRIES CONCEDED (INCLUDING PENALTY TRIES)</t>
  </si>
  <si>
    <t>TS</t>
  </si>
  <si>
    <t>TBC</t>
  </si>
  <si>
    <t>DG</t>
  </si>
  <si>
    <t>BONUS POINTS CONCEDED</t>
  </si>
  <si>
    <t>LOSING FROM WINNING POSITION IN 2nd HALF (LATEST TIME ONLY)</t>
  </si>
  <si>
    <t>Tot</t>
  </si>
  <si>
    <t>At end of regular season</t>
  </si>
  <si>
    <t>LOSING BP LOST IN 71-80 MINS</t>
  </si>
  <si>
    <t>TIME OF BONUS POINT TRIES (MINS)</t>
  </si>
  <si>
    <t>1m 30s</t>
  </si>
  <si>
    <t>AUS</t>
  </si>
  <si>
    <t>BRA</t>
  </si>
  <si>
    <t>CAN</t>
  </si>
  <si>
    <t>ENG</t>
  </si>
  <si>
    <t>FIJ</t>
  </si>
  <si>
    <t>FRA</t>
  </si>
  <si>
    <t>IRE</t>
  </si>
  <si>
    <t>ITA</t>
  </si>
  <si>
    <t>JPN</t>
  </si>
  <si>
    <t>NZL</t>
  </si>
  <si>
    <t>RSA</t>
  </si>
  <si>
    <t>SAM</t>
  </si>
  <si>
    <t>SCO</t>
  </si>
  <si>
    <t>ESP</t>
  </si>
  <si>
    <t>WAL</t>
  </si>
  <si>
    <t>7-28</t>
  </si>
  <si>
    <t>0-45</t>
  </si>
  <si>
    <t>Sam</t>
  </si>
  <si>
    <t>AUS (Amosa) v Sam 23 Ag</t>
  </si>
  <si>
    <t>0m 53s</t>
  </si>
  <si>
    <t>SCO (McGhie) v Wal 23 Ag</t>
  </si>
  <si>
    <t>Wal</t>
  </si>
  <si>
    <t>Fij</t>
  </si>
  <si>
    <t>Precious Pazanai (Zim)</t>
  </si>
  <si>
    <t>WORLD CUP  (Including Plate, Bowl &amp; Shield matches)</t>
  </si>
  <si>
    <t>Jpn</t>
  </si>
  <si>
    <t>4m 27s</t>
  </si>
  <si>
    <t>IRE (Costigan) v Jpn 24 Ag</t>
  </si>
  <si>
    <t>2m 16s</t>
  </si>
  <si>
    <t>RSA (Roos) v Bra 24 Ag</t>
  </si>
  <si>
    <t>40+1</t>
  </si>
  <si>
    <t>Bra</t>
  </si>
  <si>
    <t>3-21</t>
  </si>
  <si>
    <t>Esp</t>
  </si>
  <si>
    <t>WCQ</t>
  </si>
  <si>
    <t>1m 35s</t>
  </si>
  <si>
    <t>SCO (McGhie) v Fij 30 Ag</t>
  </si>
  <si>
    <t>FASTEST TRIES (0-5 MINS)</t>
  </si>
  <si>
    <t>Bri</t>
  </si>
  <si>
    <t>0-47</t>
  </si>
  <si>
    <t>2m 50s</t>
  </si>
  <si>
    <t>ENG (Jones) v Sam 30 Ag</t>
  </si>
  <si>
    <t>5-14</t>
  </si>
  <si>
    <t>14-5</t>
  </si>
  <si>
    <t>N.B. Australia drew v USA after being ahead in the 71st minute</t>
  </si>
  <si>
    <t>USA drew v Australia after being ahead in the 74th minute</t>
  </si>
  <si>
    <t>Aus</t>
  </si>
  <si>
    <t>12-24</t>
  </si>
  <si>
    <t>Ire</t>
  </si>
  <si>
    <t>17-12</t>
  </si>
  <si>
    <t>1m 10s</t>
  </si>
  <si>
    <t>RSA (Hele) v Ita 31 Ag</t>
  </si>
  <si>
    <t>Ita</t>
  </si>
  <si>
    <t>5-38</t>
  </si>
  <si>
    <t>Penalty Tries: v Nzl (31 Ag)</t>
  </si>
  <si>
    <t>*20-minute red card</t>
  </si>
  <si>
    <t>3m 49s</t>
  </si>
  <si>
    <t>JPN (Hatada) v Nzl 31 Ag</t>
  </si>
  <si>
    <t>0-53</t>
  </si>
  <si>
    <t>INT = International; AC = Asia Championship; WC = World Cup</t>
  </si>
  <si>
    <t>INT = International; OC = Oceania Championship; WC = World Cup</t>
  </si>
  <si>
    <t>INT = International; REC = Rugby Europe Championship; WC = World Cup</t>
  </si>
  <si>
    <t>14m 45s</t>
  </si>
  <si>
    <t>15m 47s</t>
  </si>
  <si>
    <t>15m 46s</t>
  </si>
  <si>
    <t>4m 36s</t>
  </si>
  <si>
    <t>FRA (Boulard) v Bra 31 Ag</t>
  </si>
  <si>
    <t>Sco</t>
  </si>
  <si>
    <t>Holly Wod (Eng)</t>
  </si>
  <si>
    <t>0-27</t>
  </si>
  <si>
    <t>1m 22s</t>
  </si>
  <si>
    <t>WAL (Cox) v Fij 6 Sp</t>
  </si>
  <si>
    <t>3-30</t>
  </si>
  <si>
    <t>3-24</t>
  </si>
  <si>
    <t>INT = International; AC = Africa Cup; WC = World Cup; WCQ = World Cup Quarter-Final</t>
  </si>
  <si>
    <t>10-10</t>
  </si>
  <si>
    <t>2m 01s</t>
  </si>
  <si>
    <t>CAN (Hogan-R) v Aus 13 Sp</t>
  </si>
  <si>
    <t>4m 28s</t>
  </si>
  <si>
    <t>ENG (Kildunne) v Fra 20 Sp</t>
  </si>
  <si>
    <t>4m 40s</t>
  </si>
  <si>
    <t>CAN (Hogan-Rochester) v Eng 27 Sp</t>
  </si>
  <si>
    <t>Malaysia</t>
  </si>
  <si>
    <t>Singapore</t>
  </si>
  <si>
    <t>Padang Astaka, Selangor</t>
  </si>
  <si>
    <t>SEARF Women's Championship</t>
  </si>
  <si>
    <r>
      <t xml:space="preserve">Padang Astaka, Selangor, </t>
    </r>
    <r>
      <rPr>
        <b/>
        <sz val="11"/>
        <color theme="1"/>
        <rFont val="Calibri"/>
        <family val="2"/>
        <scheme val="minor"/>
      </rPr>
      <t>Malaysia</t>
    </r>
  </si>
  <si>
    <t>Philippines</t>
  </si>
  <si>
    <t>Croatia</t>
  </si>
  <si>
    <t>Georgia</t>
  </si>
  <si>
    <t>Test</t>
  </si>
  <si>
    <t>Ivica Poljak-Sokol i Andrija Alcic, Sinj</t>
  </si>
  <si>
    <t>Poland</t>
  </si>
  <si>
    <t>Czechia</t>
  </si>
  <si>
    <t>Burloch Arena, Ruda Slaska</t>
  </si>
  <si>
    <t>Andorra</t>
  </si>
  <si>
    <t>Ragbi Klub, Sini</t>
  </si>
  <si>
    <t>Greece</t>
  </si>
  <si>
    <t>Women's Rugby Europe Conference</t>
  </si>
  <si>
    <t>Kevop Haidari Municipal Sports Center, Chaidari</t>
  </si>
  <si>
    <t>Bulgaria</t>
  </si>
  <si>
    <t>AUSTRALIA IN 2026</t>
  </si>
  <si>
    <t>27 Mr</t>
  </si>
  <si>
    <t>Amber McLachlan (Aus</t>
  </si>
  <si>
    <t>Graham Cooper (Aus)</t>
  </si>
  <si>
    <t>Erin Doherty (Nzl)</t>
  </si>
  <si>
    <t>FIJI IN 2026</t>
  </si>
  <si>
    <t xml:space="preserve">Cba = GIO Stadium, Canberra; Sva = HFC Bank Stadium, Suva; Sig = Lawaqa Park, Sigatoka; </t>
  </si>
  <si>
    <t>VB  = Vuvale Bowl; INT = International; OC = Oceania Championship</t>
  </si>
  <si>
    <t>Vuvale Bowl</t>
  </si>
  <si>
    <t>2026 SIX NATIONS</t>
  </si>
  <si>
    <t>London</t>
  </si>
  <si>
    <t>Dublin</t>
  </si>
  <si>
    <t>Edinburgh</t>
  </si>
  <si>
    <t>Cardiff</t>
  </si>
  <si>
    <t>v</t>
  </si>
  <si>
    <t>11 Apr</t>
  </si>
  <si>
    <t>18 Apr</t>
  </si>
  <si>
    <t>25 Apr</t>
  </si>
  <si>
    <t>9 May</t>
  </si>
  <si>
    <t>Grenoble</t>
  </si>
  <si>
    <t>Galway</t>
  </si>
  <si>
    <t>Bristol</t>
  </si>
  <si>
    <t>Parma</t>
  </si>
  <si>
    <t>Clermont</t>
  </si>
  <si>
    <t>Belfast</t>
  </si>
  <si>
    <t>Bordeaux</t>
  </si>
  <si>
    <t>TBs</t>
  </si>
  <si>
    <t>LOSING BP LOST 71-80 MINS</t>
  </si>
  <si>
    <t>TIME OF BP TRIES (MINS)</t>
  </si>
  <si>
    <t>HALF-TIME</t>
  </si>
  <si>
    <t>HOME AND AWAY SCORING</t>
  </si>
  <si>
    <t>FASTEST TRIES (0-10 MINS)</t>
  </si>
  <si>
    <t>TRIES</t>
  </si>
  <si>
    <t>LGE</t>
  </si>
  <si>
    <t xml:space="preserve">LGE = Table Points </t>
  </si>
  <si>
    <t>0 Points scored in any 10-minute Powerplay period</t>
  </si>
  <si>
    <t>2026 PACIFIC FOUR</t>
  </si>
  <si>
    <t>Sacramento</t>
  </si>
  <si>
    <t>17 Apr</t>
  </si>
  <si>
    <t>Kansas City</t>
  </si>
  <si>
    <t>Chicago</t>
  </si>
  <si>
    <t>Kawana Waters</t>
  </si>
  <si>
    <t>*20-minute Red Card</t>
  </si>
  <si>
    <t>Rd by Rd</t>
  </si>
  <si>
    <t>Tie-breakers: Points Difference; Tries Scored; If still cannot split, placed equally</t>
  </si>
  <si>
    <t>TRY TIMES</t>
  </si>
  <si>
    <t>Rd</t>
  </si>
  <si>
    <t>Q1</t>
  </si>
  <si>
    <t>Q2</t>
  </si>
  <si>
    <t>H1</t>
  </si>
  <si>
    <t>Q3</t>
  </si>
  <si>
    <t>Q4</t>
  </si>
  <si>
    <t>H2</t>
  </si>
  <si>
    <t>2026-28 WXV GLOBAL SERIES</t>
  </si>
  <si>
    <t>at 01/08/26</t>
  </si>
  <si>
    <t>Hong Kong C</t>
  </si>
  <si>
    <t xml:space="preserve">Ireland </t>
  </si>
  <si>
    <t>Mfl</t>
  </si>
  <si>
    <t>18 Ap</t>
  </si>
  <si>
    <t>11 Ap</t>
  </si>
  <si>
    <t>25 Ap</t>
  </si>
  <si>
    <t>9 My</t>
  </si>
  <si>
    <t>Bor</t>
  </si>
  <si>
    <t>Bri = Ashton Gate, Bristol; Pm = Stadio Sergio Lanfranchi, Parma</t>
  </si>
  <si>
    <t>Bor = Matmut Atlantlque, Bordeaux</t>
  </si>
  <si>
    <t>Tw = Allianz Stadium, London; Mfl = Scottish Gas Murrayfield, Edinburgh</t>
  </si>
  <si>
    <t>ENGLAND IN 2026</t>
  </si>
  <si>
    <t>WXV GLOBAL SERIES</t>
  </si>
  <si>
    <t>WALES IN 2026</t>
  </si>
  <si>
    <t>FRANCE IN 2026</t>
  </si>
  <si>
    <t>Gre</t>
  </si>
  <si>
    <t>Cle</t>
  </si>
  <si>
    <t>Cle = Stade Marcel Michelin, Clermont; Edi = Hive Stadium, Edinburgh</t>
  </si>
  <si>
    <t xml:space="preserve">Penalty Tries:  </t>
  </si>
  <si>
    <t>Gal</t>
  </si>
  <si>
    <t>Tw = Allianz Stadium, London; Gal = Dexcom Stadium, Galway;</t>
  </si>
  <si>
    <t>Dbl</t>
  </si>
  <si>
    <t>Dbl = Aviva Stadium, Dublin</t>
  </si>
  <si>
    <t>Cle = Stade Marcel Michelin, Clermont; Bel - Affidea Stadium, Belfast;</t>
  </si>
  <si>
    <t>IRELAND IN 2026</t>
  </si>
  <si>
    <t>ITALY IN 2026</t>
  </si>
  <si>
    <t>Gre = Stade des Alpes, Grenoble; Gal = Dexcom Stadium, Galway;</t>
  </si>
  <si>
    <t>6N = Six Nations</t>
  </si>
  <si>
    <t>Cap</t>
  </si>
  <si>
    <t>Gre = Stade des Alpes, Grenoble;; Cap = Cardiff Arms Park, Cardiff</t>
  </si>
  <si>
    <t>Pm = Stadio Sergio Lanfranchi, Parma; Cap = Cardiff Arms Park, Cardiff</t>
  </si>
  <si>
    <t>Car = Principality Stadium, Cardiff; Mfl = Scottish Gas Murrayfield, Edinburgh;</t>
  </si>
  <si>
    <t>SCOTLAND IN 2026</t>
  </si>
  <si>
    <t>Pm = Stadio Sergio Lanfranchi, Parma; Edi = Hive Stadium, Edinburgh</t>
  </si>
  <si>
    <t>Car = Principality Stadium, Cardiff; Cap = Cardiff Arms Park, Cardiff;</t>
  </si>
  <si>
    <t>Bri = Ashton Gate, Bristol; Bel - Affidea Stadium, Belfast;</t>
  </si>
  <si>
    <t>Germany</t>
  </si>
  <si>
    <t>Trelleborg Rugby Stadium, Trelleborg</t>
  </si>
  <si>
    <t>Women's Rugby Europe Trophy</t>
  </si>
  <si>
    <t>Finlay Brown (Sco)</t>
  </si>
  <si>
    <t>Emily Hope (Eng)</t>
  </si>
  <si>
    <t>0-5</t>
  </si>
  <si>
    <t>Pilani</t>
  </si>
  <si>
    <t>0 Cards</t>
  </si>
  <si>
    <t>0 Powerplays</t>
  </si>
  <si>
    <t>:</t>
  </si>
  <si>
    <t>59m 42s</t>
  </si>
  <si>
    <t>FRA v Ita (Ap 11)</t>
  </si>
  <si>
    <r>
      <rPr>
        <b/>
        <sz val="11"/>
        <color theme="1"/>
        <rFont val="Calibri"/>
        <family val="2"/>
        <scheme val="minor"/>
      </rPr>
      <t>FRA</t>
    </r>
    <r>
      <rPr>
        <sz val="11"/>
        <color theme="1"/>
        <rFont val="Calibri"/>
        <family val="2"/>
        <scheme val="minor"/>
      </rPr>
      <t xml:space="preserve"> v Ita (Ap 11)</t>
    </r>
  </si>
  <si>
    <t>Women's Six Nations Round 1</t>
  </si>
  <si>
    <t>Stade des Alpes, Grenoble</t>
  </si>
  <si>
    <t>The crowd for the Ireland game was a record for any Women's Six Nations match</t>
  </si>
  <si>
    <t>21-0</t>
  </si>
  <si>
    <t>Aled Griffiths (Wal)</t>
  </si>
  <si>
    <t>7m 29s</t>
  </si>
  <si>
    <t>54m 04s</t>
  </si>
  <si>
    <r>
      <rPr>
        <b/>
        <sz val="11"/>
        <color theme="1"/>
        <rFont val="Calibri"/>
        <family val="2"/>
        <scheme val="minor"/>
      </rPr>
      <t>ENG</t>
    </r>
    <r>
      <rPr>
        <sz val="11"/>
        <color theme="1"/>
        <rFont val="Calibri"/>
        <family val="2"/>
        <scheme val="minor"/>
      </rPr>
      <t xml:space="preserve"> v Ire (Ap 11)</t>
    </r>
  </si>
  <si>
    <t>Allianz Stadium, London</t>
  </si>
  <si>
    <t>The crowd for the England game was a record for any Women's Six Nations match</t>
  </si>
  <si>
    <t>12-10</t>
  </si>
  <si>
    <t>Paulo Duarte (Por)</t>
  </si>
  <si>
    <t>10-12</t>
  </si>
  <si>
    <t>Bartlett, Swann</t>
  </si>
  <si>
    <t>8m 35s</t>
  </si>
  <si>
    <r>
      <rPr>
        <b/>
        <sz val="11"/>
        <rFont val="Calibri"/>
        <family val="2"/>
        <scheme val="minor"/>
      </rPr>
      <t>SCO (Rollie)</t>
    </r>
    <r>
      <rPr>
        <sz val="11"/>
        <rFont val="Calibri"/>
        <family val="2"/>
        <scheme val="minor"/>
      </rPr>
      <t xml:space="preserve"> v Wal (Ap 11)</t>
    </r>
  </si>
  <si>
    <r>
      <rPr>
        <b/>
        <sz val="11"/>
        <rFont val="Calibri"/>
        <family val="2"/>
        <scheme val="minor"/>
      </rPr>
      <t xml:space="preserve">ENG (Cokayne) </t>
    </r>
    <r>
      <rPr>
        <sz val="11"/>
        <rFont val="Calibri"/>
        <family val="2"/>
        <scheme val="minor"/>
      </rPr>
      <t>v Ire (Ap 11)</t>
    </r>
  </si>
  <si>
    <t>Principality Stadium, Cardiff</t>
  </si>
  <si>
    <t>BRAZIL IN 2026</t>
  </si>
  <si>
    <t>CANADA IN 2026</t>
  </si>
  <si>
    <t>JAPAN IN 2026</t>
  </si>
  <si>
    <t>SAMOA IN 2026</t>
  </si>
  <si>
    <t>SOUTH AFRICA IN 2026</t>
  </si>
  <si>
    <t>SPAIN IN 2026</t>
  </si>
  <si>
    <t>USA IN 2026</t>
  </si>
  <si>
    <t>Sac</t>
  </si>
  <si>
    <t>15-19</t>
  </si>
  <si>
    <t>Julianne Zussman (Can)</t>
  </si>
  <si>
    <t>Cam Russell (Can)</t>
  </si>
  <si>
    <t>Derek Summers (USA)</t>
  </si>
  <si>
    <t>PACIFIC FOUR SERIES</t>
  </si>
  <si>
    <t>19-15</t>
  </si>
  <si>
    <t>PAC = Pacific Four Series; INT = International</t>
  </si>
  <si>
    <t xml:space="preserve">PAC = Pacific Four Series; INT = International;  </t>
  </si>
  <si>
    <t>OR = O'Reilly Cup</t>
  </si>
  <si>
    <t>NEW ZEALAND IN 2026</t>
  </si>
  <si>
    <t>Kalounivale</t>
  </si>
  <si>
    <r>
      <t xml:space="preserve">USA v Nzl </t>
    </r>
    <r>
      <rPr>
        <b/>
        <sz val="11"/>
        <color rgb="FFFF0000"/>
        <rFont val="Calibri"/>
        <family val="2"/>
        <scheme val="minor"/>
      </rPr>
      <t>x 2</t>
    </r>
    <r>
      <rPr>
        <b/>
        <sz val="11"/>
        <color theme="1"/>
        <rFont val="Calibri"/>
        <family val="2"/>
        <scheme val="minor"/>
      </rPr>
      <t xml:space="preserve"> (Ap 11)</t>
    </r>
  </si>
  <si>
    <t>10+ Points scored with fewer than 15 players in any 10-minute spell:</t>
  </si>
  <si>
    <t>47m</t>
  </si>
  <si>
    <r>
      <t>NZL</t>
    </r>
    <r>
      <rPr>
        <sz val="11"/>
        <rFont val="Calibri"/>
        <family val="2"/>
        <scheme val="minor"/>
      </rPr>
      <t xml:space="preserve"> v Usa (Ap 11)</t>
    </r>
  </si>
  <si>
    <t>4m</t>
  </si>
  <si>
    <r>
      <rPr>
        <b/>
        <sz val="11"/>
        <rFont val="Calibri"/>
        <family val="2"/>
        <scheme val="minor"/>
      </rPr>
      <t>USA (Rogers)</t>
    </r>
    <r>
      <rPr>
        <sz val="11"/>
        <rFont val="Calibri"/>
        <family val="2"/>
        <scheme val="minor"/>
      </rPr>
      <t xml:space="preserve"> v Nzl (Ap 11)</t>
    </r>
  </si>
  <si>
    <t>Pacific Four Series Round 1</t>
  </si>
  <si>
    <t>Heart Health Park, Sacramento</t>
  </si>
  <si>
    <t>Alexis Saarl (USA)</t>
  </si>
  <si>
    <t>0-12</t>
  </si>
  <si>
    <t>VB  = Vuvale Bowl; PAC = Pacific Four Series; INT = International; OR = O'Reilly Cup</t>
  </si>
  <si>
    <t>73m</t>
  </si>
  <si>
    <t>Crowd for England game was a record for a standalone women's sporting event in Scotland</t>
  </si>
  <si>
    <t>Crowd for Scotland game was a record for a standalone women's sporting event in Scotland</t>
  </si>
  <si>
    <t>7-35</t>
  </si>
  <si>
    <t>Stefano Penne (Ita)</t>
  </si>
  <si>
    <t>After Round 2</t>
  </si>
  <si>
    <t>at 24/04/26</t>
  </si>
  <si>
    <t>7m 17s</t>
  </si>
  <si>
    <r>
      <rPr>
        <b/>
        <sz val="11"/>
        <rFont val="Calibri"/>
        <family val="2"/>
        <scheme val="minor"/>
      </rPr>
      <t>ENG (Kildunne)</t>
    </r>
    <r>
      <rPr>
        <sz val="11"/>
        <rFont val="Calibri"/>
        <family val="2"/>
        <scheme val="minor"/>
      </rPr>
      <t xml:space="preserve"> v Sco (Ap 18)</t>
    </r>
  </si>
  <si>
    <t>31m 49s</t>
  </si>
  <si>
    <t>Women's Six Nations Round 2</t>
  </si>
  <si>
    <t>Scottish Gas Murrayfield, Edinburgh</t>
  </si>
  <si>
    <t>Penalty Tries: v Fra (Ap 18)</t>
  </si>
  <si>
    <t>7-7</t>
  </si>
  <si>
    <t>Robbie Jenkinson (Ire)</t>
  </si>
  <si>
    <t>Dan Jones (Eng)</t>
  </si>
  <si>
    <t>Bourdon Sansus, Brosseau</t>
  </si>
  <si>
    <t>WAL v Fra (Ap 18)</t>
  </si>
  <si>
    <t>At 24/04/26</t>
  </si>
  <si>
    <t>Crabb, King</t>
  </si>
  <si>
    <r>
      <rPr>
        <b/>
        <sz val="11"/>
        <color rgb="FFFF0000"/>
        <rFont val="Calibri"/>
        <family val="2"/>
        <scheme val="minor"/>
      </rPr>
      <t xml:space="preserve">12 </t>
    </r>
    <r>
      <rPr>
        <b/>
        <sz val="11"/>
        <rFont val="Calibri"/>
        <family val="2"/>
        <scheme val="minor"/>
      </rPr>
      <t>FRA v Wal (Ap 18)</t>
    </r>
  </si>
  <si>
    <t>58m 03s</t>
  </si>
  <si>
    <r>
      <rPr>
        <b/>
        <sz val="11"/>
        <color theme="1"/>
        <rFont val="Calibri"/>
        <family val="2"/>
        <scheme val="minor"/>
      </rPr>
      <t>FRA</t>
    </r>
    <r>
      <rPr>
        <sz val="11"/>
        <color theme="1"/>
        <rFont val="Calibri"/>
        <family val="2"/>
        <scheme val="minor"/>
      </rPr>
      <t xml:space="preserve"> v Wal (Ap 18)</t>
    </r>
  </si>
  <si>
    <t>Cardiff Arms Park, Cardiff</t>
  </si>
  <si>
    <t>45-10</t>
  </si>
  <si>
    <t>Ben Connor (Wal)</t>
  </si>
  <si>
    <t>Rebecca Piddlesden (Eng)</t>
  </si>
  <si>
    <t>10-45</t>
  </si>
  <si>
    <t>↑1</t>
  </si>
  <si>
    <t>↑2</t>
  </si>
  <si>
    <t>↓1</t>
  </si>
  <si>
    <t>22m 24s</t>
  </si>
  <si>
    <r>
      <rPr>
        <b/>
        <sz val="11"/>
        <color theme="1"/>
        <rFont val="Calibri"/>
        <family val="2"/>
        <scheme val="minor"/>
      </rPr>
      <t>IRE</t>
    </r>
    <r>
      <rPr>
        <sz val="11"/>
        <color theme="1"/>
        <rFont val="Calibri"/>
        <family val="2"/>
        <scheme val="minor"/>
      </rPr>
      <t xml:space="preserve"> v Ita (Ap 18)</t>
    </r>
  </si>
  <si>
    <r>
      <rPr>
        <b/>
        <sz val="11"/>
        <color theme="1"/>
        <rFont val="Calibri"/>
        <family val="2"/>
        <scheme val="minor"/>
      </rPr>
      <t>ENG</t>
    </r>
    <r>
      <rPr>
        <sz val="11"/>
        <color theme="1"/>
        <rFont val="Calibri"/>
        <family val="2"/>
        <scheme val="minor"/>
      </rPr>
      <t xml:space="preserve"> v Sco (Ap 18)</t>
    </r>
  </si>
  <si>
    <t>77m 57s</t>
  </si>
  <si>
    <r>
      <rPr>
        <b/>
        <sz val="11"/>
        <color theme="1"/>
        <rFont val="Calibri"/>
        <family val="2"/>
        <scheme val="minor"/>
      </rPr>
      <t>ITA</t>
    </r>
    <r>
      <rPr>
        <sz val="11"/>
        <color theme="1"/>
        <rFont val="Calibri"/>
        <family val="2"/>
        <scheme val="minor"/>
      </rPr>
      <t xml:space="preserve"> v Ire (Ap 18)</t>
    </r>
  </si>
  <si>
    <t>5m 09s</t>
  </si>
  <si>
    <r>
      <rPr>
        <b/>
        <sz val="11"/>
        <rFont val="Calibri"/>
        <family val="2"/>
        <scheme val="minor"/>
      </rPr>
      <t>IRE (Lane)</t>
    </r>
    <r>
      <rPr>
        <sz val="11"/>
        <rFont val="Calibri"/>
        <family val="2"/>
        <scheme val="minor"/>
      </rPr>
      <t xml:space="preserve"> v Ita (Ap 18)</t>
    </r>
  </si>
  <si>
    <t>Dexcom Stadium, Galway</t>
  </si>
  <si>
    <t>The crowd for the Italy game was a record for an Ireland home Women's rugby match</t>
  </si>
  <si>
    <t>17 Ap</t>
  </si>
  <si>
    <t>Kan</t>
  </si>
  <si>
    <t>Sac = Heart Health Park, Sacramento; Kan = CPKC Stadium, Kansas City</t>
  </si>
  <si>
    <t>Penalty Tries: v Nzl (Ap 17)</t>
  </si>
  <si>
    <t>Aimee Barret-Theron (RSA)</t>
  </si>
  <si>
    <t>Liundsey Oliver (USA)</t>
  </si>
  <si>
    <t>Cba = GIO Stadium, Canberra; Sac = Heart Health Park, Sacramento; Kan = CPKC Stadium, Kansas City</t>
  </si>
  <si>
    <t>Kassil</t>
  </si>
  <si>
    <t>at 23/04/26</t>
  </si>
  <si>
    <t>Green, Mikaele-Tu'u, Ponsonby</t>
  </si>
  <si>
    <t>CAN v Nzl (Ap 17)</t>
  </si>
  <si>
    <t>63m</t>
  </si>
  <si>
    <r>
      <t>NZL</t>
    </r>
    <r>
      <rPr>
        <sz val="11"/>
        <rFont val="Calibri"/>
        <family val="2"/>
        <scheme val="minor"/>
      </rPr>
      <t xml:space="preserve"> v Can (Ap 17)</t>
    </r>
  </si>
  <si>
    <r>
      <t>CAN</t>
    </r>
    <r>
      <rPr>
        <sz val="11"/>
        <rFont val="Calibri"/>
        <family val="2"/>
        <scheme val="minor"/>
      </rPr>
      <t xml:space="preserve"> v Aus (Ap 11)</t>
    </r>
  </si>
  <si>
    <t>Pacific Four Series Round 2</t>
  </si>
  <si>
    <r>
      <t>CPKC Stadium, Kansas City,</t>
    </r>
    <r>
      <rPr>
        <b/>
        <sz val="11"/>
        <color theme="1"/>
        <rFont val="Calibri"/>
        <family val="2"/>
        <scheme val="minor"/>
      </rPr>
      <t xml:space="preserve"> USA</t>
    </r>
  </si>
  <si>
    <r>
      <t xml:space="preserve">Heart Health Park, Sacramento, </t>
    </r>
    <r>
      <rPr>
        <b/>
        <sz val="11"/>
        <color theme="1"/>
        <rFont val="Calibri"/>
        <family val="2"/>
        <scheme val="minor"/>
      </rPr>
      <t>USA</t>
    </r>
  </si>
  <si>
    <t>14-7</t>
  </si>
  <si>
    <t>7-14</t>
  </si>
  <si>
    <t>Rogers</t>
  </si>
  <si>
    <t>AUS v Usa (Ap 17)</t>
  </si>
  <si>
    <t>Merlo, Smith, Stewart</t>
  </si>
  <si>
    <t>USA v Aus (Ap 17)</t>
  </si>
  <si>
    <t>68m</t>
  </si>
  <si>
    <r>
      <t>USA</t>
    </r>
    <r>
      <rPr>
        <sz val="11"/>
        <rFont val="Calibri"/>
        <family val="2"/>
        <scheme val="minor"/>
      </rPr>
      <t xml:space="preserve"> v Aus (Ap 17)</t>
    </r>
  </si>
  <si>
    <t>CPKC Stadium, Kansas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</si>
</sst>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theme="7" tint="0.3999755851924192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CC3399"/>
      <name val="Calibri"/>
      <family val="2"/>
      <scheme val="minor"/>
    </font>
    <font>
      <b/>
      <sz val="11"/>
      <color rgb="FFFF00FF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C00000"/>
      <name val="Calibri"/>
      <family val="2"/>
    </font>
    <font>
      <b/>
      <sz val="11"/>
      <color rgb="FF92D05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color rgb="FF92D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rgb="FFA6A6A6"/>
      <name val="Calibri"/>
      <family val="2"/>
    </font>
    <font>
      <b/>
      <sz val="11"/>
      <color rgb="FF00B050"/>
      <name val="Calibri"/>
      <family val="2"/>
    </font>
    <font>
      <b/>
      <sz val="12"/>
      <color rgb="FF92D050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b/>
      <sz val="12"/>
      <color theme="6" tint="0.3999755851924192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75">
    <xf numFmtId="0" fontId="0" fillId="0" borderId="0" xfId="0"/>
    <xf numFmtId="0" fontId="22" fillId="3" borderId="2" xfId="0" applyFont="1" applyFill="1" applyBorder="1"/>
    <xf numFmtId="0" fontId="23" fillId="3" borderId="7" xfId="0" applyFont="1" applyFill="1" applyBorder="1"/>
    <xf numFmtId="49" fontId="23" fillId="3" borderId="7" xfId="0" applyNumberFormat="1" applyFont="1" applyFill="1" applyBorder="1"/>
    <xf numFmtId="0" fontId="23" fillId="3" borderId="8" xfId="0" applyFont="1" applyFill="1" applyBorder="1"/>
    <xf numFmtId="0" fontId="23" fillId="3" borderId="9" xfId="0" applyFont="1" applyFill="1" applyBorder="1"/>
    <xf numFmtId="0" fontId="22" fillId="3" borderId="1" xfId="0" applyFont="1" applyFill="1" applyBorder="1"/>
    <xf numFmtId="0" fontId="22" fillId="3" borderId="10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2" borderId="0" xfId="0" applyFont="1" applyFill="1"/>
    <xf numFmtId="0" fontId="0" fillId="2" borderId="0" xfId="0" applyFill="1"/>
    <xf numFmtId="0" fontId="24" fillId="0" borderId="0" xfId="0" applyFont="1"/>
    <xf numFmtId="0" fontId="22" fillId="3" borderId="11" xfId="0" applyFont="1" applyFill="1" applyBorder="1"/>
    <xf numFmtId="0" fontId="23" fillId="3" borderId="12" xfId="0" applyFont="1" applyFill="1" applyBorder="1"/>
    <xf numFmtId="0" fontId="22" fillId="6" borderId="1" xfId="0" applyFont="1" applyFill="1" applyBorder="1"/>
    <xf numFmtId="0" fontId="22" fillId="6" borderId="2" xfId="0" applyFont="1" applyFill="1" applyBorder="1"/>
    <xf numFmtId="0" fontId="22" fillId="6" borderId="11" xfId="0" applyFont="1" applyFill="1" applyBorder="1"/>
    <xf numFmtId="0" fontId="22" fillId="6" borderId="10" xfId="0" applyFont="1" applyFill="1" applyBorder="1" applyAlignment="1">
      <alignment vertical="center" wrapText="1"/>
    </xf>
    <xf numFmtId="0" fontId="22" fillId="6" borderId="5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/>
    <xf numFmtId="49" fontId="23" fillId="6" borderId="7" xfId="0" applyNumberFormat="1" applyFont="1" applyFill="1" applyBorder="1"/>
    <xf numFmtId="0" fontId="23" fillId="6" borderId="8" xfId="0" applyFont="1" applyFill="1" applyBorder="1"/>
    <xf numFmtId="0" fontId="23" fillId="6" borderId="12" xfId="0" applyFont="1" applyFill="1" applyBorder="1"/>
    <xf numFmtId="0" fontId="23" fillId="6" borderId="9" xfId="0" applyFont="1" applyFill="1" applyBorder="1"/>
    <xf numFmtId="0" fontId="22" fillId="8" borderId="1" xfId="0" applyFont="1" applyFill="1" applyBorder="1"/>
    <xf numFmtId="0" fontId="22" fillId="8" borderId="2" xfId="0" applyFont="1" applyFill="1" applyBorder="1"/>
    <xf numFmtId="0" fontId="22" fillId="8" borderId="11" xfId="0" applyFont="1" applyFill="1" applyBorder="1"/>
    <xf numFmtId="0" fontId="22" fillId="8" borderId="10" xfId="0" applyFont="1" applyFill="1" applyBorder="1" applyAlignment="1">
      <alignment vertical="center" wrapText="1"/>
    </xf>
    <xf numFmtId="0" fontId="22" fillId="8" borderId="5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3" fillId="8" borderId="7" xfId="0" applyFont="1" applyFill="1" applyBorder="1"/>
    <xf numFmtId="49" fontId="23" fillId="8" borderId="7" xfId="0" applyNumberFormat="1" applyFont="1" applyFill="1" applyBorder="1"/>
    <xf numFmtId="0" fontId="23" fillId="8" borderId="8" xfId="0" applyFont="1" applyFill="1" applyBorder="1"/>
    <xf numFmtId="0" fontId="23" fillId="8" borderId="12" xfId="0" applyFont="1" applyFill="1" applyBorder="1"/>
    <xf numFmtId="0" fontId="23" fillId="8" borderId="9" xfId="0" applyFont="1" applyFill="1" applyBorder="1"/>
    <xf numFmtId="0" fontId="22" fillId="6" borderId="3" xfId="0" applyFont="1" applyFill="1" applyBorder="1" applyAlignment="1">
      <alignment horizontal="left" wrapText="1"/>
    </xf>
    <xf numFmtId="0" fontId="22" fillId="8" borderId="3" xfId="0" applyFont="1" applyFill="1" applyBorder="1" applyAlignment="1">
      <alignment horizontal="left" wrapText="1"/>
    </xf>
    <xf numFmtId="0" fontId="22" fillId="3" borderId="3" xfId="0" applyFont="1" applyFill="1" applyBorder="1" applyAlignment="1">
      <alignment horizontal="left" wrapText="1"/>
    </xf>
    <xf numFmtId="0" fontId="22" fillId="3" borderId="3" xfId="0" applyFont="1" applyFill="1" applyBorder="1"/>
    <xf numFmtId="0" fontId="22" fillId="6" borderId="3" xfId="0" applyFont="1" applyFill="1" applyBorder="1"/>
    <xf numFmtId="0" fontId="0" fillId="2" borderId="1" xfId="0" applyFill="1" applyBorder="1"/>
    <xf numFmtId="0" fontId="0" fillId="0" borderId="4" xfId="0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" fontId="20" fillId="2" borderId="0" xfId="0" applyNumberFormat="1" applyFont="1" applyFill="1" applyAlignment="1">
      <alignment horizontal="left"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right" vertical="center" wrapText="1"/>
    </xf>
    <xf numFmtId="0" fontId="22" fillId="3" borderId="6" xfId="0" applyFont="1" applyFill="1" applyBorder="1" applyAlignment="1">
      <alignment vertical="center" wrapText="1"/>
    </xf>
    <xf numFmtId="0" fontId="22" fillId="6" borderId="6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18" fillId="12" borderId="1" xfId="0" applyFont="1" applyFill="1" applyBorder="1" applyAlignment="1">
      <alignment horizontal="right"/>
    </xf>
    <xf numFmtId="0" fontId="20" fillId="11" borderId="6" xfId="0" applyFont="1" applyFill="1" applyBorder="1" applyAlignment="1">
      <alignment vertical="center" wrapText="1"/>
    </xf>
    <xf numFmtId="0" fontId="20" fillId="11" borderId="1" xfId="0" applyFont="1" applyFill="1" applyBorder="1" applyAlignment="1">
      <alignment vertical="center" wrapText="1"/>
    </xf>
    <xf numFmtId="0" fontId="18" fillId="12" borderId="1" xfId="0" applyFont="1" applyFill="1" applyBorder="1"/>
    <xf numFmtId="0" fontId="18" fillId="10" borderId="5" xfId="0" applyFont="1" applyFill="1" applyBorder="1" applyAlignment="1">
      <alignment horizontal="right" vertical="center" wrapText="1"/>
    </xf>
    <xf numFmtId="0" fontId="20" fillId="10" borderId="5" xfId="0" applyFont="1" applyFill="1" applyBorder="1" applyAlignment="1">
      <alignment horizontal="right" vertical="center" wrapText="1"/>
    </xf>
    <xf numFmtId="0" fontId="20" fillId="10" borderId="5" xfId="0" applyFont="1" applyFill="1" applyBorder="1" applyAlignment="1">
      <alignment horizontal="left" vertical="center" wrapText="1"/>
    </xf>
    <xf numFmtId="0" fontId="18" fillId="10" borderId="5" xfId="0" applyFont="1" applyFill="1" applyBorder="1" applyAlignment="1">
      <alignment horizontal="left" vertical="center" wrapText="1"/>
    </xf>
    <xf numFmtId="0" fontId="20" fillId="11" borderId="6" xfId="0" applyFont="1" applyFill="1" applyBorder="1" applyAlignment="1">
      <alignment horizontal="right" vertical="center" wrapText="1"/>
    </xf>
    <xf numFmtId="0" fontId="20" fillId="11" borderId="1" xfId="0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0" fillId="0" borderId="9" xfId="0" applyBorder="1"/>
    <xf numFmtId="0" fontId="18" fillId="0" borderId="0" xfId="0" applyFont="1"/>
    <xf numFmtId="0" fontId="19" fillId="8" borderId="1" xfId="0" applyFont="1" applyFill="1" applyBorder="1"/>
    <xf numFmtId="0" fontId="19" fillId="8" borderId="10" xfId="0" applyFont="1" applyFill="1" applyBorder="1" applyAlignment="1">
      <alignment vertical="center" wrapText="1"/>
    </xf>
    <xf numFmtId="0" fontId="19" fillId="8" borderId="5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/>
    </xf>
    <xf numFmtId="0" fontId="18" fillId="7" borderId="5" xfId="0" applyFont="1" applyFill="1" applyBorder="1" applyAlignment="1">
      <alignment horizontal="center"/>
    </xf>
    <xf numFmtId="0" fontId="18" fillId="7" borderId="11" xfId="0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/>
    </xf>
    <xf numFmtId="0" fontId="18" fillId="7" borderId="15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8" fillId="7" borderId="16" xfId="0" applyFont="1" applyFill="1" applyBorder="1" applyAlignment="1">
      <alignment horizontal="center"/>
    </xf>
    <xf numFmtId="0" fontId="0" fillId="0" borderId="17" xfId="0" applyBorder="1"/>
    <xf numFmtId="1" fontId="0" fillId="0" borderId="13" xfId="0" applyNumberFormat="1" applyBorder="1"/>
    <xf numFmtId="0" fontId="18" fillId="0" borderId="11" xfId="0" applyFont="1" applyBorder="1"/>
    <xf numFmtId="0" fontId="18" fillId="0" borderId="4" xfId="0" applyFont="1" applyBorder="1"/>
    <xf numFmtId="0" fontId="18" fillId="0" borderId="14" xfId="0" applyFont="1" applyBorder="1"/>
    <xf numFmtId="2" fontId="0" fillId="0" borderId="11" xfId="0" applyNumberFormat="1" applyBorder="1"/>
    <xf numFmtId="2" fontId="0" fillId="0" borderId="4" xfId="0" applyNumberFormat="1" applyBorder="1"/>
    <xf numFmtId="0" fontId="18" fillId="4" borderId="1" xfId="0" applyFont="1" applyFill="1" applyBorder="1"/>
    <xf numFmtId="0" fontId="25" fillId="9" borderId="5" xfId="0" applyFont="1" applyFill="1" applyBorder="1" applyAlignment="1">
      <alignment vertical="center" wrapText="1"/>
    </xf>
    <xf numFmtId="0" fontId="28" fillId="2" borderId="6" xfId="0" applyFont="1" applyFill="1" applyBorder="1" applyAlignment="1">
      <alignment vertical="center" wrapText="1"/>
    </xf>
    <xf numFmtId="0" fontId="28" fillId="2" borderId="5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18" fillId="13" borderId="5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15" fontId="0" fillId="0" borderId="0" xfId="0" applyNumberFormat="1"/>
    <xf numFmtId="16" fontId="20" fillId="2" borderId="0" xfId="0" applyNumberFormat="1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0" fillId="2" borderId="0" xfId="0" applyFont="1" applyFill="1"/>
    <xf numFmtId="0" fontId="30" fillId="5" borderId="4" xfId="0" applyFont="1" applyFill="1" applyBorder="1" applyAlignment="1">
      <alignment horizontal="center" vertical="center" wrapText="1"/>
    </xf>
    <xf numFmtId="0" fontId="30" fillId="15" borderId="4" xfId="0" applyFont="1" applyFill="1" applyBorder="1" applyAlignment="1">
      <alignment horizontal="center" vertical="center" wrapText="1"/>
    </xf>
    <xf numFmtId="0" fontId="30" fillId="14" borderId="4" xfId="0" applyFont="1" applyFill="1" applyBorder="1" applyAlignment="1">
      <alignment horizontal="center" vertical="center" wrapText="1"/>
    </xf>
    <xf numFmtId="1" fontId="0" fillId="0" borderId="0" xfId="0" applyNumberFormat="1"/>
    <xf numFmtId="0" fontId="22" fillId="6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1" fontId="16" fillId="0" borderId="0" xfId="0" applyNumberFormat="1" applyFont="1"/>
    <xf numFmtId="0" fontId="19" fillId="8" borderId="1" xfId="0" applyFont="1" applyFill="1" applyBorder="1" applyAlignment="1">
      <alignment horizontal="right"/>
    </xf>
    <xf numFmtId="0" fontId="22" fillId="3" borderId="1" xfId="0" applyFont="1" applyFill="1" applyBorder="1" applyAlignment="1">
      <alignment horizontal="right"/>
    </xf>
    <xf numFmtId="0" fontId="22" fillId="8" borderId="1" xfId="0" applyFont="1" applyFill="1" applyBorder="1" applyAlignment="1">
      <alignment horizontal="right"/>
    </xf>
    <xf numFmtId="0" fontId="18" fillId="10" borderId="5" xfId="0" applyFont="1" applyFill="1" applyBorder="1"/>
    <xf numFmtId="0" fontId="27" fillId="13" borderId="6" xfId="0" applyFont="1" applyFill="1" applyBorder="1" applyAlignment="1">
      <alignment vertical="center" wrapText="1"/>
    </xf>
    <xf numFmtId="0" fontId="28" fillId="2" borderId="1" xfId="0" applyFont="1" applyFill="1" applyBorder="1"/>
    <xf numFmtId="0" fontId="28" fillId="2" borderId="10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right"/>
    </xf>
    <xf numFmtId="0" fontId="28" fillId="2" borderId="1" xfId="0" applyFont="1" applyFill="1" applyBorder="1" applyAlignment="1">
      <alignment horizontal="center"/>
    </xf>
    <xf numFmtId="0" fontId="23" fillId="0" borderId="0" xfId="0" applyFont="1"/>
    <xf numFmtId="0" fontId="22" fillId="5" borderId="4" xfId="0" applyFont="1" applyFill="1" applyBorder="1" applyAlignment="1">
      <alignment horizontal="center" vertical="center" wrapText="1"/>
    </xf>
    <xf numFmtId="0" fontId="22" fillId="15" borderId="4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14" borderId="1" xfId="0" applyFont="1" applyFill="1" applyBorder="1"/>
    <xf numFmtId="0" fontId="22" fillId="1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8" fillId="13" borderId="5" xfId="0" applyFont="1" applyFill="1" applyBorder="1" applyAlignment="1">
      <alignment horizontal="right" vertical="center" wrapText="1"/>
    </xf>
    <xf numFmtId="0" fontId="22" fillId="9" borderId="3" xfId="0" applyFont="1" applyFill="1" applyBorder="1" applyAlignment="1">
      <alignment horizontal="left" wrapText="1"/>
    </xf>
    <xf numFmtId="0" fontId="22" fillId="9" borderId="1" xfId="0" applyFont="1" applyFill="1" applyBorder="1" applyAlignment="1">
      <alignment horizontal="center"/>
    </xf>
    <xf numFmtId="0" fontId="22" fillId="9" borderId="2" xfId="0" applyFont="1" applyFill="1" applyBorder="1"/>
    <xf numFmtId="0" fontId="22" fillId="9" borderId="1" xfId="0" applyFont="1" applyFill="1" applyBorder="1"/>
    <xf numFmtId="0" fontId="22" fillId="9" borderId="11" xfId="0" applyFont="1" applyFill="1" applyBorder="1"/>
    <xf numFmtId="0" fontId="22" fillId="9" borderId="10" xfId="0" applyFont="1" applyFill="1" applyBorder="1" applyAlignment="1">
      <alignment vertical="center" wrapText="1"/>
    </xf>
    <xf numFmtId="0" fontId="22" fillId="9" borderId="5" xfId="0" applyFont="1" applyFill="1" applyBorder="1" applyAlignment="1">
      <alignment vertical="center" wrapText="1"/>
    </xf>
    <xf numFmtId="0" fontId="22" fillId="9" borderId="1" xfId="0" applyFont="1" applyFill="1" applyBorder="1" applyAlignment="1">
      <alignment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23" fillId="9" borderId="7" xfId="0" applyFont="1" applyFill="1" applyBorder="1"/>
    <xf numFmtId="49" fontId="23" fillId="9" borderId="7" xfId="0" applyNumberFormat="1" applyFont="1" applyFill="1" applyBorder="1"/>
    <xf numFmtId="0" fontId="23" fillId="9" borderId="8" xfId="0" applyFont="1" applyFill="1" applyBorder="1"/>
    <xf numFmtId="0" fontId="23" fillId="9" borderId="12" xfId="0" applyFont="1" applyFill="1" applyBorder="1"/>
    <xf numFmtId="0" fontId="22" fillId="9" borderId="1" xfId="0" applyFont="1" applyFill="1" applyBorder="1" applyAlignment="1">
      <alignment horizontal="right"/>
    </xf>
    <xf numFmtId="1" fontId="22" fillId="14" borderId="4" xfId="0" applyNumberFormat="1" applyFont="1" applyFill="1" applyBorder="1" applyAlignment="1">
      <alignment horizontal="center" vertical="center" wrapText="1"/>
    </xf>
    <xf numFmtId="0" fontId="32" fillId="13" borderId="6" xfId="0" applyFont="1" applyFill="1" applyBorder="1" applyAlignment="1">
      <alignment vertical="center" wrapText="1"/>
    </xf>
    <xf numFmtId="0" fontId="28" fillId="2" borderId="4" xfId="0" applyFont="1" applyFill="1" applyBorder="1" applyAlignment="1">
      <alignment horizontal="left" wrapText="1"/>
    </xf>
    <xf numFmtId="16" fontId="22" fillId="15" borderId="5" xfId="0" applyNumberFormat="1" applyFont="1" applyFill="1" applyBorder="1" applyAlignment="1">
      <alignment horizontal="left" vertical="center" wrapText="1"/>
    </xf>
    <xf numFmtId="0" fontId="22" fillId="15" borderId="6" xfId="0" applyFont="1" applyFill="1" applyBorder="1" applyAlignment="1">
      <alignment vertical="center" wrapText="1"/>
    </xf>
    <xf numFmtId="0" fontId="22" fillId="15" borderId="6" xfId="0" applyFont="1" applyFill="1" applyBorder="1" applyAlignment="1">
      <alignment horizontal="center" vertical="center" wrapText="1"/>
    </xf>
    <xf numFmtId="0" fontId="23" fillId="15" borderId="1" xfId="0" applyFont="1" applyFill="1" applyBorder="1"/>
    <xf numFmtId="0" fontId="23" fillId="15" borderId="7" xfId="0" applyFont="1" applyFill="1" applyBorder="1"/>
    <xf numFmtId="49" fontId="34" fillId="15" borderId="7" xfId="0" applyNumberFormat="1" applyFont="1" applyFill="1" applyBorder="1" applyAlignment="1">
      <alignment horizontal="center"/>
    </xf>
    <xf numFmtId="0" fontId="23" fillId="15" borderId="8" xfId="0" applyFont="1" applyFill="1" applyBorder="1"/>
    <xf numFmtId="0" fontId="23" fillId="15" borderId="9" xfId="0" applyFont="1" applyFill="1" applyBorder="1"/>
    <xf numFmtId="49" fontId="33" fillId="15" borderId="7" xfId="0" applyNumberFormat="1" applyFont="1" applyFill="1" applyBorder="1" applyAlignment="1">
      <alignment horizontal="center"/>
    </xf>
    <xf numFmtId="0" fontId="22" fillId="15" borderId="1" xfId="0" applyFont="1" applyFill="1" applyBorder="1" applyAlignment="1">
      <alignment vertical="center" wrapText="1"/>
    </xf>
    <xf numFmtId="49" fontId="33" fillId="15" borderId="1" xfId="0" applyNumberFormat="1" applyFont="1" applyFill="1" applyBorder="1" applyAlignment="1">
      <alignment horizontal="center"/>
    </xf>
    <xf numFmtId="49" fontId="36" fillId="15" borderId="7" xfId="0" applyNumberFormat="1" applyFont="1" applyFill="1" applyBorder="1" applyAlignment="1">
      <alignment horizontal="center"/>
    </xf>
    <xf numFmtId="16" fontId="22" fillId="5" borderId="5" xfId="0" applyNumberFormat="1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/>
    <xf numFmtId="49" fontId="33" fillId="5" borderId="7" xfId="0" applyNumberFormat="1" applyFont="1" applyFill="1" applyBorder="1" applyAlignment="1">
      <alignment horizontal="center"/>
    </xf>
    <xf numFmtId="0" fontId="23" fillId="5" borderId="8" xfId="0" applyFont="1" applyFill="1" applyBorder="1"/>
    <xf numFmtId="0" fontId="23" fillId="5" borderId="1" xfId="0" applyFont="1" applyFill="1" applyBorder="1"/>
    <xf numFmtId="0" fontId="23" fillId="5" borderId="9" xfId="0" applyFont="1" applyFill="1" applyBorder="1"/>
    <xf numFmtId="0" fontId="22" fillId="5" borderId="6" xfId="0" applyFont="1" applyFill="1" applyBorder="1" applyAlignment="1">
      <alignment horizontal="left" vertical="center" wrapText="1"/>
    </xf>
    <xf numFmtId="49" fontId="34" fillId="5" borderId="7" xfId="0" applyNumberFormat="1" applyFont="1" applyFill="1" applyBorder="1" applyAlignment="1">
      <alignment horizontal="center"/>
    </xf>
    <xf numFmtId="0" fontId="22" fillId="5" borderId="1" xfId="0" applyFont="1" applyFill="1" applyBorder="1" applyAlignment="1">
      <alignment vertical="center" wrapText="1"/>
    </xf>
    <xf numFmtId="0" fontId="21" fillId="2" borderId="0" xfId="0" applyFont="1" applyFill="1"/>
    <xf numFmtId="0" fontId="22" fillId="14" borderId="6" xfId="0" applyFont="1" applyFill="1" applyBorder="1" applyAlignment="1">
      <alignment horizontal="center" vertical="center" wrapText="1"/>
    </xf>
    <xf numFmtId="0" fontId="23" fillId="14" borderId="1" xfId="0" applyFont="1" applyFill="1" applyBorder="1"/>
    <xf numFmtId="16" fontId="22" fillId="14" borderId="5" xfId="0" applyNumberFormat="1" applyFont="1" applyFill="1" applyBorder="1" applyAlignment="1">
      <alignment horizontal="left" vertical="center" wrapText="1"/>
    </xf>
    <xf numFmtId="0" fontId="22" fillId="14" borderId="6" xfId="0" applyFont="1" applyFill="1" applyBorder="1" applyAlignment="1">
      <alignment vertical="center" wrapText="1"/>
    </xf>
    <xf numFmtId="0" fontId="23" fillId="14" borderId="7" xfId="0" applyFont="1" applyFill="1" applyBorder="1"/>
    <xf numFmtId="0" fontId="23" fillId="14" borderId="8" xfId="0" applyFont="1" applyFill="1" applyBorder="1"/>
    <xf numFmtId="0" fontId="23" fillId="14" borderId="9" xfId="0" applyFont="1" applyFill="1" applyBorder="1"/>
    <xf numFmtId="49" fontId="34" fillId="14" borderId="7" xfId="0" applyNumberFormat="1" applyFont="1" applyFill="1" applyBorder="1" applyAlignment="1">
      <alignment horizontal="center"/>
    </xf>
    <xf numFmtId="0" fontId="28" fillId="2" borderId="7" xfId="0" applyFont="1" applyFill="1" applyBorder="1"/>
    <xf numFmtId="49" fontId="28" fillId="2" borderId="7" xfId="0" applyNumberFormat="1" applyFont="1" applyFill="1" applyBorder="1"/>
    <xf numFmtId="0" fontId="28" fillId="2" borderId="8" xfId="0" applyFont="1" applyFill="1" applyBorder="1"/>
    <xf numFmtId="0" fontId="28" fillId="2" borderId="9" xfId="0" applyFont="1" applyFill="1" applyBorder="1"/>
    <xf numFmtId="0" fontId="22" fillId="0" borderId="0" xfId="0" applyFont="1"/>
    <xf numFmtId="49" fontId="33" fillId="14" borderId="7" xfId="0" applyNumberFormat="1" applyFont="1" applyFill="1" applyBorder="1" applyAlignment="1">
      <alignment horizontal="center"/>
    </xf>
    <xf numFmtId="16" fontId="37" fillId="2" borderId="0" xfId="0" applyNumberFormat="1" applyFont="1" applyFill="1" applyAlignment="1">
      <alignment horizontal="left" vertical="center" wrapText="1"/>
    </xf>
    <xf numFmtId="0" fontId="37" fillId="2" borderId="0" xfId="0" applyFont="1" applyFill="1" applyAlignment="1">
      <alignment horizontal="left" vertical="center" wrapText="1"/>
    </xf>
    <xf numFmtId="16" fontId="22" fillId="14" borderId="1" xfId="0" applyNumberFormat="1" applyFont="1" applyFill="1" applyBorder="1" applyAlignment="1">
      <alignment horizontal="left" vertical="center" wrapText="1"/>
    </xf>
    <xf numFmtId="0" fontId="22" fillId="14" borderId="1" xfId="0" applyFont="1" applyFill="1" applyBorder="1" applyAlignment="1">
      <alignment vertical="center" wrapText="1"/>
    </xf>
    <xf numFmtId="0" fontId="23" fillId="14" borderId="3" xfId="0" applyFont="1" applyFill="1" applyBorder="1"/>
    <xf numFmtId="49" fontId="33" fillId="14" borderId="1" xfId="0" applyNumberFormat="1" applyFont="1" applyFill="1" applyBorder="1" applyAlignment="1">
      <alignment horizontal="center"/>
    </xf>
    <xf numFmtId="0" fontId="22" fillId="8" borderId="3" xfId="0" applyFont="1" applyFill="1" applyBorder="1"/>
    <xf numFmtId="16" fontId="0" fillId="0" borderId="0" xfId="0" applyNumberFormat="1"/>
    <xf numFmtId="1" fontId="0" fillId="0" borderId="0" xfId="0" applyNumberFormat="1" applyAlignment="1">
      <alignment horizontal="right"/>
    </xf>
    <xf numFmtId="1" fontId="14" fillId="0" borderId="0" xfId="0" applyNumberFormat="1" applyFont="1" applyAlignment="1">
      <alignment horizontal="right"/>
    </xf>
    <xf numFmtId="0" fontId="20" fillId="10" borderId="1" xfId="0" applyFont="1" applyFill="1" applyBorder="1" applyAlignment="1">
      <alignment horizontal="left" vertical="center" wrapText="1"/>
    </xf>
    <xf numFmtId="0" fontId="20" fillId="10" borderId="1" xfId="0" applyFont="1" applyFill="1" applyBorder="1" applyAlignment="1">
      <alignment horizontal="right" vertical="center" wrapText="1"/>
    </xf>
    <xf numFmtId="0" fontId="22" fillId="8" borderId="6" xfId="0" applyFont="1" applyFill="1" applyBorder="1" applyAlignment="1">
      <alignment vertical="center" wrapText="1"/>
    </xf>
    <xf numFmtId="0" fontId="39" fillId="7" borderId="5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10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/>
    <xf numFmtId="49" fontId="20" fillId="2" borderId="7" xfId="0" applyNumberFormat="1" applyFont="1" applyFill="1" applyBorder="1"/>
    <xf numFmtId="0" fontId="20" fillId="2" borderId="8" xfId="0" applyFont="1" applyFill="1" applyBorder="1"/>
    <xf numFmtId="0" fontId="20" fillId="2" borderId="1" xfId="0" applyFont="1" applyFill="1" applyBorder="1" applyAlignment="1">
      <alignment horizontal="right"/>
    </xf>
    <xf numFmtId="0" fontId="19" fillId="2" borderId="4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10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/>
    <xf numFmtId="49" fontId="19" fillId="2" borderId="7" xfId="0" applyNumberFormat="1" applyFont="1" applyFill="1" applyBorder="1"/>
    <xf numFmtId="0" fontId="19" fillId="2" borderId="8" xfId="0" applyFont="1" applyFill="1" applyBorder="1"/>
    <xf numFmtId="0" fontId="19" fillId="2" borderId="9" xfId="0" applyFont="1" applyFill="1" applyBorder="1"/>
    <xf numFmtId="0" fontId="19" fillId="2" borderId="1" xfId="0" applyFont="1" applyFill="1" applyBorder="1" applyAlignment="1">
      <alignment horizontal="right"/>
    </xf>
    <xf numFmtId="0" fontId="20" fillId="3" borderId="4" xfId="0" applyFont="1" applyFill="1" applyBorder="1" applyAlignment="1">
      <alignment horizontal="left" wrapText="1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/>
    <xf numFmtId="0" fontId="20" fillId="3" borderId="10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/>
    <xf numFmtId="49" fontId="20" fillId="3" borderId="7" xfId="0" applyNumberFormat="1" applyFont="1" applyFill="1" applyBorder="1"/>
    <xf numFmtId="0" fontId="20" fillId="3" borderId="8" xfId="0" applyFont="1" applyFill="1" applyBorder="1"/>
    <xf numFmtId="0" fontId="20" fillId="3" borderId="9" xfId="0" applyFont="1" applyFill="1" applyBorder="1"/>
    <xf numFmtId="0" fontId="20" fillId="3" borderId="1" xfId="0" applyFont="1" applyFill="1" applyBorder="1" applyAlignment="1">
      <alignment horizontal="right"/>
    </xf>
    <xf numFmtId="0" fontId="19" fillId="8" borderId="4" xfId="0" applyFont="1" applyFill="1" applyBorder="1" applyAlignment="1">
      <alignment horizontal="left" wrapText="1"/>
    </xf>
    <xf numFmtId="0" fontId="19" fillId="8" borderId="7" xfId="0" applyFont="1" applyFill="1" applyBorder="1"/>
    <xf numFmtId="49" fontId="19" fillId="8" borderId="7" xfId="0" applyNumberFormat="1" applyFont="1" applyFill="1" applyBorder="1"/>
    <xf numFmtId="0" fontId="19" fillId="8" borderId="8" xfId="0" applyFont="1" applyFill="1" applyBorder="1"/>
    <xf numFmtId="0" fontId="19" fillId="8" borderId="9" xfId="0" applyFont="1" applyFill="1" applyBorder="1"/>
    <xf numFmtId="0" fontId="40" fillId="5" borderId="4" xfId="0" applyFont="1" applyFill="1" applyBorder="1" applyAlignment="1">
      <alignment horizontal="left" wrapText="1"/>
    </xf>
    <xf numFmtId="0" fontId="40" fillId="5" borderId="1" xfId="0" applyFont="1" applyFill="1" applyBorder="1" applyAlignment="1">
      <alignment horizontal="center"/>
    </xf>
    <xf numFmtId="0" fontId="40" fillId="5" borderId="1" xfId="0" applyFont="1" applyFill="1" applyBorder="1"/>
    <xf numFmtId="0" fontId="40" fillId="5" borderId="10" xfId="0" applyFont="1" applyFill="1" applyBorder="1" applyAlignment="1">
      <alignment vertical="center" wrapText="1"/>
    </xf>
    <xf numFmtId="0" fontId="40" fillId="5" borderId="5" xfId="0" applyFont="1" applyFill="1" applyBorder="1" applyAlignment="1">
      <alignment vertical="center" wrapText="1"/>
    </xf>
    <xf numFmtId="0" fontId="40" fillId="5" borderId="1" xfId="0" applyFont="1" applyFill="1" applyBorder="1" applyAlignment="1">
      <alignment vertical="center" wrapText="1"/>
    </xf>
    <xf numFmtId="0" fontId="40" fillId="5" borderId="1" xfId="0" applyFont="1" applyFill="1" applyBorder="1" applyAlignment="1">
      <alignment horizontal="center" vertical="center" wrapText="1"/>
    </xf>
    <xf numFmtId="0" fontId="40" fillId="5" borderId="6" xfId="0" applyFont="1" applyFill="1" applyBorder="1" applyAlignment="1">
      <alignment horizontal="center" vertical="center" wrapText="1"/>
    </xf>
    <xf numFmtId="0" fontId="40" fillId="5" borderId="7" xfId="0" applyFont="1" applyFill="1" applyBorder="1"/>
    <xf numFmtId="49" fontId="40" fillId="5" borderId="7" xfId="0" applyNumberFormat="1" applyFont="1" applyFill="1" applyBorder="1"/>
    <xf numFmtId="0" fontId="40" fillId="5" borderId="8" xfId="0" applyFont="1" applyFill="1" applyBorder="1"/>
    <xf numFmtId="0" fontId="40" fillId="5" borderId="9" xfId="0" applyFont="1" applyFill="1" applyBorder="1"/>
    <xf numFmtId="0" fontId="40" fillId="5" borderId="1" xfId="0" applyFont="1" applyFill="1" applyBorder="1" applyAlignment="1">
      <alignment horizontal="right"/>
    </xf>
    <xf numFmtId="0" fontId="22" fillId="16" borderId="4" xfId="0" applyFont="1" applyFill="1" applyBorder="1" applyAlignment="1">
      <alignment horizontal="left" wrapText="1"/>
    </xf>
    <xf numFmtId="0" fontId="22" fillId="16" borderId="1" xfId="0" applyFont="1" applyFill="1" applyBorder="1" applyAlignment="1">
      <alignment horizontal="center"/>
    </xf>
    <xf numFmtId="0" fontId="22" fillId="16" borderId="1" xfId="0" applyFont="1" applyFill="1" applyBorder="1"/>
    <xf numFmtId="0" fontId="22" fillId="16" borderId="10" xfId="0" applyFont="1" applyFill="1" applyBorder="1" applyAlignment="1">
      <alignment vertical="center" wrapText="1"/>
    </xf>
    <xf numFmtId="0" fontId="22" fillId="16" borderId="5" xfId="0" applyFont="1" applyFill="1" applyBorder="1" applyAlignment="1">
      <alignment vertical="center" wrapText="1"/>
    </xf>
    <xf numFmtId="0" fontId="22" fillId="16" borderId="1" xfId="0" applyFont="1" applyFill="1" applyBorder="1" applyAlignment="1">
      <alignment vertical="center" wrapText="1"/>
    </xf>
    <xf numFmtId="0" fontId="22" fillId="16" borderId="1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7" xfId="0" applyFont="1" applyFill="1" applyBorder="1"/>
    <xf numFmtId="49" fontId="22" fillId="16" borderId="7" xfId="0" applyNumberFormat="1" applyFont="1" applyFill="1" applyBorder="1"/>
    <xf numFmtId="0" fontId="22" fillId="16" borderId="8" xfId="0" applyFont="1" applyFill="1" applyBorder="1"/>
    <xf numFmtId="0" fontId="22" fillId="16" borderId="1" xfId="0" applyFont="1" applyFill="1" applyBorder="1" applyAlignment="1">
      <alignment horizontal="right"/>
    </xf>
    <xf numFmtId="0" fontId="30" fillId="0" borderId="0" xfId="0" applyFont="1"/>
    <xf numFmtId="0" fontId="41" fillId="14" borderId="4" xfId="0" applyFont="1" applyFill="1" applyBorder="1" applyAlignment="1">
      <alignment horizontal="center" vertical="center" wrapText="1"/>
    </xf>
    <xf numFmtId="0" fontId="41" fillId="0" borderId="0" xfId="0" applyFont="1"/>
    <xf numFmtId="0" fontId="41" fillId="2" borderId="0" xfId="0" applyFont="1" applyFill="1"/>
    <xf numFmtId="0" fontId="41" fillId="14" borderId="1" xfId="0" applyFont="1" applyFill="1" applyBorder="1"/>
    <xf numFmtId="0" fontId="41" fillId="5" borderId="4" xfId="0" applyFont="1" applyFill="1" applyBorder="1" applyAlignment="1">
      <alignment horizontal="center" vertical="center" wrapText="1"/>
    </xf>
    <xf numFmtId="0" fontId="41" fillId="15" borderId="4" xfId="0" applyFont="1" applyFill="1" applyBorder="1" applyAlignment="1">
      <alignment horizontal="center" vertical="center" wrapText="1"/>
    </xf>
    <xf numFmtId="0" fontId="42" fillId="5" borderId="6" xfId="0" applyFont="1" applyFill="1" applyBorder="1" applyAlignment="1">
      <alignment vertical="center" wrapText="1"/>
    </xf>
    <xf numFmtId="0" fontId="39" fillId="7" borderId="6" xfId="0" applyFont="1" applyFill="1" applyBorder="1" applyAlignment="1">
      <alignment vertical="center" wrapText="1"/>
    </xf>
    <xf numFmtId="0" fontId="42" fillId="5" borderId="5" xfId="0" applyFont="1" applyFill="1" applyBorder="1" applyAlignment="1">
      <alignment vertical="center" wrapText="1"/>
    </xf>
    <xf numFmtId="0" fontId="22" fillId="14" borderId="16" xfId="0" applyFont="1" applyFill="1" applyBorder="1" applyAlignment="1">
      <alignment vertical="center" wrapText="1"/>
    </xf>
    <xf numFmtId="0" fontId="23" fillId="14" borderId="0" xfId="0" applyFont="1" applyFill="1"/>
    <xf numFmtId="0" fontId="0" fillId="0" borderId="0" xfId="0" applyAlignment="1">
      <alignment horizontal="right"/>
    </xf>
    <xf numFmtId="16" fontId="22" fillId="14" borderId="10" xfId="0" applyNumberFormat="1" applyFont="1" applyFill="1" applyBorder="1" applyAlignment="1">
      <alignment horizontal="left" vertical="center" wrapText="1"/>
    </xf>
    <xf numFmtId="0" fontId="21" fillId="0" borderId="0" xfId="0" applyFont="1"/>
    <xf numFmtId="2" fontId="18" fillId="0" borderId="11" xfId="0" applyNumberFormat="1" applyFont="1" applyBorder="1"/>
    <xf numFmtId="2" fontId="18" fillId="0" borderId="4" xfId="0" applyNumberFormat="1" applyFont="1" applyBorder="1"/>
    <xf numFmtId="0" fontId="21" fillId="0" borderId="0" xfId="0" applyFont="1" applyAlignment="1">
      <alignment horizontal="left"/>
    </xf>
    <xf numFmtId="0" fontId="19" fillId="2" borderId="6" xfId="0" applyFont="1" applyFill="1" applyBorder="1" applyAlignment="1">
      <alignment vertical="center" wrapText="1"/>
    </xf>
    <xf numFmtId="0" fontId="0" fillId="0" borderId="20" xfId="0" applyBorder="1"/>
    <xf numFmtId="16" fontId="22" fillId="15" borderId="1" xfId="0" applyNumberFormat="1" applyFont="1" applyFill="1" applyBorder="1" applyAlignment="1">
      <alignment horizontal="left" vertical="center" wrapText="1"/>
    </xf>
    <xf numFmtId="0" fontId="18" fillId="5" borderId="0" xfId="0" applyFont="1" applyFill="1"/>
    <xf numFmtId="0" fontId="18" fillId="15" borderId="0" xfId="0" applyFont="1" applyFill="1"/>
    <xf numFmtId="0" fontId="18" fillId="14" borderId="0" xfId="0" applyFont="1" applyFill="1"/>
    <xf numFmtId="2" fontId="18" fillId="0" borderId="18" xfId="0" applyNumberFormat="1" applyFont="1" applyBorder="1" applyAlignment="1">
      <alignment horizontal="right"/>
    </xf>
    <xf numFmtId="2" fontId="18" fillId="0" borderId="19" xfId="0" applyNumberFormat="1" applyFont="1" applyBorder="1" applyAlignment="1">
      <alignment horizontal="right"/>
    </xf>
    <xf numFmtId="0" fontId="22" fillId="9" borderId="6" xfId="0" applyFont="1" applyFill="1" applyBorder="1" applyAlignment="1">
      <alignment vertical="center" wrapText="1"/>
    </xf>
    <xf numFmtId="0" fontId="22" fillId="16" borderId="6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1" fontId="13" fillId="0" borderId="0" xfId="0" applyNumberFormat="1" applyFont="1"/>
    <xf numFmtId="49" fontId="33" fillId="5" borderId="1" xfId="0" applyNumberFormat="1" applyFont="1" applyFill="1" applyBorder="1" applyAlignment="1">
      <alignment horizontal="center"/>
    </xf>
    <xf numFmtId="0" fontId="20" fillId="18" borderId="0" xfId="0" applyFont="1" applyFill="1" applyAlignment="1">
      <alignment vertical="center" wrapText="1"/>
    </xf>
    <xf numFmtId="0" fontId="18" fillId="0" borderId="0" xfId="0" applyFont="1" applyAlignment="1">
      <alignment horizontal="right"/>
    </xf>
    <xf numFmtId="14" fontId="18" fillId="0" borderId="0" xfId="0" applyNumberFormat="1" applyFont="1" applyAlignment="1">
      <alignment horizontal="right"/>
    </xf>
    <xf numFmtId="0" fontId="26" fillId="2" borderId="0" xfId="0" applyFont="1" applyFill="1" applyAlignment="1">
      <alignment horizontal="center" vertical="center" wrapText="1"/>
    </xf>
    <xf numFmtId="0" fontId="20" fillId="2" borderId="0" xfId="0" applyFont="1" applyFill="1"/>
    <xf numFmtId="0" fontId="44" fillId="2" borderId="0" xfId="0" applyFont="1" applyFill="1" applyAlignment="1">
      <alignment horizontal="center" vertical="center" wrapText="1"/>
    </xf>
    <xf numFmtId="0" fontId="17" fillId="0" borderId="0" xfId="0" applyFont="1"/>
    <xf numFmtId="0" fontId="43" fillId="0" borderId="0" xfId="0" applyFont="1" applyAlignment="1">
      <alignment horizontal="left"/>
    </xf>
    <xf numFmtId="0" fontId="12" fillId="0" borderId="0" xfId="0" applyFont="1"/>
    <xf numFmtId="0" fontId="23" fillId="15" borderId="1" xfId="0" applyFont="1" applyFill="1" applyBorder="1" applyAlignment="1">
      <alignment horizontal="right"/>
    </xf>
    <xf numFmtId="0" fontId="23" fillId="15" borderId="4" xfId="0" applyFont="1" applyFill="1" applyBorder="1" applyAlignment="1">
      <alignment horizontal="right"/>
    </xf>
    <xf numFmtId="0" fontId="23" fillId="14" borderId="1" xfId="0" applyFont="1" applyFill="1" applyBorder="1" applyAlignment="1">
      <alignment horizontal="right"/>
    </xf>
    <xf numFmtId="0" fontId="23" fillId="14" borderId="4" xfId="0" applyFont="1" applyFill="1" applyBorder="1" applyAlignment="1">
      <alignment horizontal="right"/>
    </xf>
    <xf numFmtId="0" fontId="23" fillId="14" borderId="4" xfId="0" applyFont="1" applyFill="1" applyBorder="1"/>
    <xf numFmtId="0" fontId="23" fillId="5" borderId="4" xfId="0" applyFont="1" applyFill="1" applyBorder="1"/>
    <xf numFmtId="0" fontId="18" fillId="10" borderId="1" xfId="0" applyFont="1" applyFill="1" applyBorder="1"/>
    <xf numFmtId="0" fontId="45" fillId="0" borderId="0" xfId="0" applyFont="1"/>
    <xf numFmtId="16" fontId="21" fillId="0" borderId="0" xfId="0" applyNumberFormat="1" applyFont="1"/>
    <xf numFmtId="1" fontId="21" fillId="0" borderId="0" xfId="0" applyNumberFormat="1" applyFont="1" applyAlignment="1">
      <alignment horizontal="right"/>
    </xf>
    <xf numFmtId="1" fontId="45" fillId="0" borderId="0" xfId="0" applyNumberFormat="1" applyFont="1" applyAlignment="1">
      <alignment horizontal="right"/>
    </xf>
    <xf numFmtId="1" fontId="45" fillId="0" borderId="0" xfId="0" applyNumberFormat="1" applyFont="1"/>
    <xf numFmtId="16" fontId="22" fillId="2" borderId="0" xfId="0" applyNumberFormat="1" applyFont="1" applyFill="1" applyAlignment="1">
      <alignment horizontal="left" vertical="center" wrapText="1"/>
    </xf>
    <xf numFmtId="0" fontId="22" fillId="14" borderId="1" xfId="0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22" fillId="14" borderId="9" xfId="0" applyFont="1" applyFill="1" applyBorder="1"/>
    <xf numFmtId="0" fontId="22" fillId="5" borderId="1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22" fillId="15" borderId="1" xfId="0" applyFont="1" applyFill="1" applyBorder="1" applyAlignment="1">
      <alignment horizontal="center"/>
    </xf>
    <xf numFmtId="0" fontId="22" fillId="15" borderId="4" xfId="0" applyFont="1" applyFill="1" applyBorder="1" applyAlignment="1">
      <alignment horizontal="center"/>
    </xf>
    <xf numFmtId="0" fontId="20" fillId="2" borderId="6" xfId="0" applyFont="1" applyFill="1" applyBorder="1" applyAlignment="1">
      <alignment vertical="center" wrapText="1"/>
    </xf>
    <xf numFmtId="0" fontId="29" fillId="3" borderId="6" xfId="0" applyFont="1" applyFill="1" applyBorder="1" applyAlignment="1">
      <alignment vertical="center" wrapText="1"/>
    </xf>
    <xf numFmtId="0" fontId="20" fillId="2" borderId="0" xfId="0" applyFont="1" applyFill="1" applyAlignment="1">
      <alignment horizontal="right" vertical="center" wrapText="1"/>
    </xf>
    <xf numFmtId="49" fontId="34" fillId="14" borderId="1" xfId="0" applyNumberFormat="1" applyFont="1" applyFill="1" applyBorder="1" applyAlignment="1">
      <alignment horizontal="center"/>
    </xf>
    <xf numFmtId="0" fontId="22" fillId="15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" fontId="12" fillId="0" borderId="0" xfId="0" applyNumberFormat="1" applyFont="1"/>
    <xf numFmtId="0" fontId="27" fillId="2" borderId="0" xfId="0" applyFont="1" applyFill="1" applyAlignment="1">
      <alignment vertical="center"/>
    </xf>
    <xf numFmtId="0" fontId="0" fillId="2" borderId="0" xfId="0" applyFill="1" applyAlignment="1">
      <alignment horizontal="right"/>
    </xf>
    <xf numFmtId="0" fontId="23" fillId="14" borderId="6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15" borderId="6" xfId="0" applyFont="1" applyFill="1" applyBorder="1" applyAlignment="1">
      <alignment horizontal="center" vertical="center" wrapText="1"/>
    </xf>
    <xf numFmtId="49" fontId="35" fillId="14" borderId="7" xfId="0" applyNumberFormat="1" applyFont="1" applyFill="1" applyBorder="1" applyAlignment="1">
      <alignment horizontal="center"/>
    </xf>
    <xf numFmtId="0" fontId="23" fillId="5" borderId="2" xfId="0" applyFont="1" applyFill="1" applyBorder="1"/>
    <xf numFmtId="0" fontId="23" fillId="15" borderId="24" xfId="0" applyFont="1" applyFill="1" applyBorder="1"/>
    <xf numFmtId="0" fontId="23" fillId="5" borderId="24" xfId="0" applyFont="1" applyFill="1" applyBorder="1"/>
    <xf numFmtId="0" fontId="23" fillId="14" borderId="24" xfId="0" applyFont="1" applyFill="1" applyBorder="1"/>
    <xf numFmtId="49" fontId="34" fillId="15" borderId="1" xfId="0" applyNumberFormat="1" applyFont="1" applyFill="1" applyBorder="1" applyAlignment="1">
      <alignment horizontal="center"/>
    </xf>
    <xf numFmtId="49" fontId="23" fillId="2" borderId="8" xfId="0" applyNumberFormat="1" applyFont="1" applyFill="1" applyBorder="1" applyAlignment="1">
      <alignment horizontal="center"/>
    </xf>
    <xf numFmtId="0" fontId="23" fillId="2" borderId="9" xfId="0" applyFont="1" applyFill="1" applyBorder="1"/>
    <xf numFmtId="0" fontId="23" fillId="2" borderId="24" xfId="0" applyFont="1" applyFill="1" applyBorder="1"/>
    <xf numFmtId="0" fontId="22" fillId="9" borderId="4" xfId="0" applyFont="1" applyFill="1" applyBorder="1"/>
    <xf numFmtId="0" fontId="23" fillId="9" borderId="24" xfId="0" applyFont="1" applyFill="1" applyBorder="1"/>
    <xf numFmtId="0" fontId="23" fillId="14" borderId="13" xfId="0" applyFont="1" applyFill="1" applyBorder="1"/>
    <xf numFmtId="0" fontId="22" fillId="16" borderId="24" xfId="0" applyFont="1" applyFill="1" applyBorder="1"/>
    <xf numFmtId="0" fontId="23" fillId="14" borderId="1" xfId="0" applyFont="1" applyFill="1" applyBorder="1" applyAlignment="1">
      <alignment horizontal="center" vertical="center" wrapText="1"/>
    </xf>
    <xf numFmtId="0" fontId="23" fillId="14" borderId="2" xfId="0" applyFont="1" applyFill="1" applyBorder="1"/>
    <xf numFmtId="0" fontId="29" fillId="3" borderId="5" xfId="0" applyFont="1" applyFill="1" applyBorder="1" applyAlignment="1">
      <alignment vertical="center" wrapText="1"/>
    </xf>
    <xf numFmtId="0" fontId="30" fillId="14" borderId="5" xfId="0" applyFont="1" applyFill="1" applyBorder="1"/>
    <xf numFmtId="0" fontId="20" fillId="2" borderId="24" xfId="0" applyFont="1" applyFill="1" applyBorder="1"/>
    <xf numFmtId="1" fontId="11" fillId="0" borderId="0" xfId="0" applyNumberFormat="1" applyFont="1"/>
    <xf numFmtId="0" fontId="11" fillId="0" borderId="0" xfId="0" applyFont="1"/>
    <xf numFmtId="0" fontId="30" fillId="3" borderId="4" xfId="0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/>
    </xf>
    <xf numFmtId="0" fontId="30" fillId="3" borderId="1" xfId="0" applyFont="1" applyFill="1" applyBorder="1"/>
    <xf numFmtId="0" fontId="30" fillId="3" borderId="10" xfId="0" applyFont="1" applyFill="1" applyBorder="1" applyAlignment="1">
      <alignment vertical="center" wrapText="1"/>
    </xf>
    <xf numFmtId="0" fontId="30" fillId="3" borderId="5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49" fontId="30" fillId="3" borderId="7" xfId="0" applyNumberFormat="1" applyFont="1" applyFill="1" applyBorder="1"/>
    <xf numFmtId="0" fontId="30" fillId="3" borderId="8" xfId="0" applyFont="1" applyFill="1" applyBorder="1"/>
    <xf numFmtId="0" fontId="30" fillId="3" borderId="7" xfId="0" applyFont="1" applyFill="1" applyBorder="1"/>
    <xf numFmtId="0" fontId="30" fillId="3" borderId="9" xfId="0" applyFont="1" applyFill="1" applyBorder="1"/>
    <xf numFmtId="0" fontId="30" fillId="3" borderId="1" xfId="0" applyFont="1" applyFill="1" applyBorder="1" applyAlignment="1">
      <alignment horizontal="right"/>
    </xf>
    <xf numFmtId="0" fontId="37" fillId="14" borderId="4" xfId="0" applyFont="1" applyFill="1" applyBorder="1" applyAlignment="1">
      <alignment horizontal="center" vertical="center" wrapText="1"/>
    </xf>
    <xf numFmtId="0" fontId="37" fillId="0" borderId="0" xfId="0" applyFont="1"/>
    <xf numFmtId="0" fontId="37" fillId="2" borderId="0" xfId="0" applyFont="1" applyFill="1"/>
    <xf numFmtId="0" fontId="37" fillId="14" borderId="1" xfId="0" applyFont="1" applyFill="1" applyBorder="1"/>
    <xf numFmtId="0" fontId="37" fillId="5" borderId="4" xfId="0" applyFont="1" applyFill="1" applyBorder="1" applyAlignment="1">
      <alignment horizontal="center" vertical="center" wrapText="1"/>
    </xf>
    <xf numFmtId="0" fontId="37" fillId="15" borderId="4" xfId="0" applyFont="1" applyFill="1" applyBorder="1" applyAlignment="1">
      <alignment horizontal="center" vertical="center" wrapText="1"/>
    </xf>
    <xf numFmtId="0" fontId="37" fillId="14" borderId="1" xfId="0" applyFont="1" applyFill="1" applyBorder="1" applyAlignment="1">
      <alignment horizontal="center" vertical="center" wrapText="1"/>
    </xf>
    <xf numFmtId="0" fontId="46" fillId="0" borderId="0" xfId="0" applyFont="1"/>
    <xf numFmtId="0" fontId="37" fillId="5" borderId="1" xfId="0" applyFont="1" applyFill="1" applyBorder="1" applyAlignment="1">
      <alignment horizontal="center" vertical="center" wrapText="1"/>
    </xf>
    <xf numFmtId="0" fontId="37" fillId="15" borderId="1" xfId="0" applyFont="1" applyFill="1" applyBorder="1" applyAlignment="1">
      <alignment horizontal="center" vertical="center" wrapText="1"/>
    </xf>
    <xf numFmtId="0" fontId="37" fillId="14" borderId="5" xfId="0" applyFont="1" applyFill="1" applyBorder="1"/>
    <xf numFmtId="49" fontId="23" fillId="5" borderId="7" xfId="0" applyNumberFormat="1" applyFont="1" applyFill="1" applyBorder="1" applyAlignment="1">
      <alignment horizontal="center"/>
    </xf>
    <xf numFmtId="0" fontId="47" fillId="0" borderId="0" xfId="0" applyFont="1"/>
    <xf numFmtId="0" fontId="47" fillId="2" borderId="0" xfId="0" applyFont="1" applyFill="1"/>
    <xf numFmtId="0" fontId="48" fillId="14" borderId="4" xfId="0" applyFont="1" applyFill="1" applyBorder="1" applyAlignment="1">
      <alignment horizontal="center" vertical="center" wrapText="1"/>
    </xf>
    <xf numFmtId="0" fontId="48" fillId="0" borderId="0" xfId="0" applyFont="1"/>
    <xf numFmtId="0" fontId="48" fillId="2" borderId="0" xfId="0" applyFont="1" applyFill="1"/>
    <xf numFmtId="0" fontId="48" fillId="14" borderId="1" xfId="0" applyFont="1" applyFill="1" applyBorder="1"/>
    <xf numFmtId="0" fontId="48" fillId="5" borderId="4" xfId="0" applyFont="1" applyFill="1" applyBorder="1" applyAlignment="1">
      <alignment horizontal="center" vertical="center" wrapText="1"/>
    </xf>
    <xf numFmtId="0" fontId="48" fillId="15" borderId="4" xfId="0" applyFont="1" applyFill="1" applyBorder="1" applyAlignment="1">
      <alignment horizontal="center" vertical="center" wrapText="1"/>
    </xf>
    <xf numFmtId="0" fontId="49" fillId="0" borderId="0" xfId="0" applyFont="1"/>
    <xf numFmtId="0" fontId="48" fillId="14" borderId="5" xfId="0" applyFont="1" applyFill="1" applyBorder="1"/>
    <xf numFmtId="0" fontId="48" fillId="14" borderId="1" xfId="0" applyFont="1" applyFill="1" applyBorder="1" applyAlignment="1">
      <alignment horizontal="center" vertical="center" wrapText="1"/>
    </xf>
    <xf numFmtId="0" fontId="48" fillId="2" borderId="13" xfId="0" applyFont="1" applyFill="1" applyBorder="1"/>
    <xf numFmtId="0" fontId="48" fillId="5" borderId="1" xfId="0" applyFont="1" applyFill="1" applyBorder="1" applyAlignment="1">
      <alignment horizontal="center" vertical="center" wrapText="1"/>
    </xf>
    <xf numFmtId="0" fontId="48" fillId="15" borderId="1" xfId="0" applyFont="1" applyFill="1" applyBorder="1" applyAlignment="1">
      <alignment horizontal="center" vertical="center" wrapText="1"/>
    </xf>
    <xf numFmtId="0" fontId="48" fillId="14" borderId="5" xfId="0" applyFont="1" applyFill="1" applyBorder="1" applyAlignment="1">
      <alignment horizontal="center" vertical="center" wrapText="1"/>
    </xf>
    <xf numFmtId="0" fontId="48" fillId="5" borderId="5" xfId="0" applyFont="1" applyFill="1" applyBorder="1" applyAlignment="1">
      <alignment horizontal="center" vertical="center" wrapText="1"/>
    </xf>
    <xf numFmtId="0" fontId="48" fillId="15" borderId="5" xfId="0" applyFont="1" applyFill="1" applyBorder="1" applyAlignment="1">
      <alignment horizontal="center" vertical="center" wrapText="1"/>
    </xf>
    <xf numFmtId="0" fontId="50" fillId="2" borderId="0" xfId="0" applyFont="1" applyFill="1"/>
    <xf numFmtId="0" fontId="39" fillId="17" borderId="6" xfId="0" applyFont="1" applyFill="1" applyBorder="1" applyAlignment="1">
      <alignment vertical="center" wrapText="1"/>
    </xf>
    <xf numFmtId="0" fontId="39" fillId="17" borderId="5" xfId="0" applyFont="1" applyFill="1" applyBorder="1" applyAlignment="1">
      <alignment vertical="center" wrapText="1"/>
    </xf>
    <xf numFmtId="0" fontId="39" fillId="17" borderId="4" xfId="0" applyFont="1" applyFill="1" applyBorder="1" applyAlignment="1">
      <alignment horizontal="left" wrapText="1"/>
    </xf>
    <xf numFmtId="0" fontId="39" fillId="17" borderId="1" xfId="0" applyFont="1" applyFill="1" applyBorder="1" applyAlignment="1">
      <alignment horizontal="center"/>
    </xf>
    <xf numFmtId="0" fontId="39" fillId="17" borderId="1" xfId="0" applyFont="1" applyFill="1" applyBorder="1"/>
    <xf numFmtId="0" fontId="39" fillId="17" borderId="10" xfId="0" applyFont="1" applyFill="1" applyBorder="1" applyAlignment="1">
      <alignment vertical="center" wrapText="1"/>
    </xf>
    <xf numFmtId="0" fontId="39" fillId="17" borderId="1" xfId="0" applyFont="1" applyFill="1" applyBorder="1" applyAlignment="1">
      <alignment vertical="center" wrapText="1"/>
    </xf>
    <xf numFmtId="0" fontId="39" fillId="17" borderId="1" xfId="0" applyFont="1" applyFill="1" applyBorder="1" applyAlignment="1">
      <alignment horizontal="center" vertical="center" wrapText="1"/>
    </xf>
    <xf numFmtId="0" fontId="39" fillId="17" borderId="6" xfId="0" applyFont="1" applyFill="1" applyBorder="1" applyAlignment="1">
      <alignment horizontal="center" vertical="center" wrapText="1"/>
    </xf>
    <xf numFmtId="49" fontId="39" fillId="17" borderId="7" xfId="0" applyNumberFormat="1" applyFont="1" applyFill="1" applyBorder="1"/>
    <xf numFmtId="0" fontId="39" fillId="17" borderId="8" xfId="0" applyFont="1" applyFill="1" applyBorder="1"/>
    <xf numFmtId="0" fontId="39" fillId="17" borderId="7" xfId="0" applyFont="1" applyFill="1" applyBorder="1"/>
    <xf numFmtId="0" fontId="39" fillId="17" borderId="24" xfId="0" applyFont="1" applyFill="1" applyBorder="1"/>
    <xf numFmtId="0" fontId="39" fillId="17" borderId="1" xfId="0" applyFont="1" applyFill="1" applyBorder="1" applyAlignment="1">
      <alignment horizontal="right"/>
    </xf>
    <xf numFmtId="0" fontId="22" fillId="9" borderId="4" xfId="0" applyFont="1" applyFill="1" applyBorder="1" applyAlignment="1">
      <alignment horizontal="left" wrapText="1"/>
    </xf>
    <xf numFmtId="49" fontId="22" fillId="9" borderId="7" xfId="0" applyNumberFormat="1" applyFont="1" applyFill="1" applyBorder="1"/>
    <xf numFmtId="0" fontId="22" fillId="9" borderId="8" xfId="0" applyFont="1" applyFill="1" applyBorder="1"/>
    <xf numFmtId="0" fontId="22" fillId="9" borderId="7" xfId="0" applyFont="1" applyFill="1" applyBorder="1"/>
    <xf numFmtId="0" fontId="22" fillId="9" borderId="9" xfId="0" applyFont="1" applyFill="1" applyBorder="1"/>
    <xf numFmtId="16" fontId="22" fillId="15" borderId="10" xfId="0" applyNumberFormat="1" applyFont="1" applyFill="1" applyBorder="1" applyAlignment="1">
      <alignment horizontal="left" vertical="center" wrapText="1"/>
    </xf>
    <xf numFmtId="0" fontId="51" fillId="7" borderId="4" xfId="0" applyFont="1" applyFill="1" applyBorder="1" applyAlignment="1">
      <alignment horizontal="left" wrapText="1"/>
    </xf>
    <xf numFmtId="0" fontId="51" fillId="7" borderId="1" xfId="0" applyFont="1" applyFill="1" applyBorder="1" applyAlignment="1">
      <alignment horizontal="center"/>
    </xf>
    <xf numFmtId="0" fontId="51" fillId="7" borderId="1" xfId="0" applyFont="1" applyFill="1" applyBorder="1"/>
    <xf numFmtId="0" fontId="51" fillId="7" borderId="10" xfId="0" applyFont="1" applyFill="1" applyBorder="1" applyAlignment="1">
      <alignment vertical="center" wrapText="1"/>
    </xf>
    <xf numFmtId="0" fontId="51" fillId="7" borderId="5" xfId="0" applyFont="1" applyFill="1" applyBorder="1" applyAlignment="1">
      <alignment vertical="center" wrapText="1"/>
    </xf>
    <xf numFmtId="0" fontId="51" fillId="7" borderId="1" xfId="0" applyFont="1" applyFill="1" applyBorder="1" applyAlignment="1">
      <alignment vertical="center" wrapText="1"/>
    </xf>
    <xf numFmtId="0" fontId="51" fillId="7" borderId="1" xfId="0" applyFont="1" applyFill="1" applyBorder="1" applyAlignment="1">
      <alignment horizontal="center" vertical="center" wrapText="1"/>
    </xf>
    <xf numFmtId="0" fontId="51" fillId="7" borderId="6" xfId="0" applyFont="1" applyFill="1" applyBorder="1" applyAlignment="1">
      <alignment horizontal="center" vertical="center" wrapText="1"/>
    </xf>
    <xf numFmtId="49" fontId="51" fillId="7" borderId="7" xfId="0" applyNumberFormat="1" applyFont="1" applyFill="1" applyBorder="1"/>
    <xf numFmtId="0" fontId="51" fillId="7" borderId="8" xfId="0" applyFont="1" applyFill="1" applyBorder="1"/>
    <xf numFmtId="0" fontId="51" fillId="7" borderId="7" xfId="0" applyFont="1" applyFill="1" applyBorder="1"/>
    <xf numFmtId="0" fontId="51" fillId="7" borderId="24" xfId="0" applyFont="1" applyFill="1" applyBorder="1"/>
    <xf numFmtId="0" fontId="51" fillId="7" borderId="1" xfId="0" applyFont="1" applyFill="1" applyBorder="1" applyAlignment="1">
      <alignment horizontal="right"/>
    </xf>
    <xf numFmtId="0" fontId="22" fillId="5" borderId="0" xfId="0" applyFont="1" applyFill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23" fillId="15" borderId="2" xfId="0" applyFont="1" applyFill="1" applyBorder="1"/>
    <xf numFmtId="0" fontId="10" fillId="0" borderId="0" xfId="0" applyFont="1"/>
    <xf numFmtId="0" fontId="23" fillId="15" borderId="4" xfId="0" applyFont="1" applyFill="1" applyBorder="1"/>
    <xf numFmtId="49" fontId="36" fillId="5" borderId="1" xfId="0" applyNumberFormat="1" applyFont="1" applyFill="1" applyBorder="1" applyAlignment="1">
      <alignment horizontal="center"/>
    </xf>
    <xf numFmtId="49" fontId="34" fillId="5" borderId="1" xfId="0" applyNumberFormat="1" applyFont="1" applyFill="1" applyBorder="1" applyAlignment="1">
      <alignment horizontal="center"/>
    </xf>
    <xf numFmtId="0" fontId="23" fillId="5" borderId="3" xfId="0" applyFont="1" applyFill="1" applyBorder="1"/>
    <xf numFmtId="0" fontId="20" fillId="3" borderId="2" xfId="0" applyFont="1" applyFill="1" applyBorder="1"/>
    <xf numFmtId="0" fontId="20" fillId="3" borderId="4" xfId="0" applyFont="1" applyFill="1" applyBorder="1"/>
    <xf numFmtId="49" fontId="22" fillId="15" borderId="7" xfId="0" applyNumberFormat="1" applyFont="1" applyFill="1" applyBorder="1" applyAlignment="1">
      <alignment horizontal="center"/>
    </xf>
    <xf numFmtId="16" fontId="22" fillId="5" borderId="1" xfId="0" applyNumberFormat="1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/>
    </xf>
    <xf numFmtId="0" fontId="23" fillId="15" borderId="0" xfId="0" applyFont="1" applyFill="1"/>
    <xf numFmtId="0" fontId="23" fillId="15" borderId="25" xfId="0" applyFont="1" applyFill="1" applyBorder="1"/>
    <xf numFmtId="0" fontId="23" fillId="15" borderId="16" xfId="0" applyFont="1" applyFill="1" applyBorder="1"/>
    <xf numFmtId="0" fontId="9" fillId="0" borderId="0" xfId="0" applyFont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8" fillId="0" borderId="0" xfId="0" applyFont="1"/>
    <xf numFmtId="14" fontId="19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1" fillId="7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14" borderId="3" xfId="0" applyFont="1" applyFill="1" applyBorder="1" applyAlignment="1">
      <alignment vertical="center" wrapText="1"/>
    </xf>
    <xf numFmtId="0" fontId="22" fillId="16" borderId="4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vertical="center" wrapText="1"/>
    </xf>
    <xf numFmtId="0" fontId="20" fillId="19" borderId="4" xfId="0" applyFont="1" applyFill="1" applyBorder="1" applyAlignment="1">
      <alignment horizontal="center" vertical="center" wrapText="1"/>
    </xf>
    <xf numFmtId="0" fontId="20" fillId="22" borderId="4" xfId="0" applyFont="1" applyFill="1" applyBorder="1" applyAlignment="1">
      <alignment horizontal="center" vertical="center" wrapText="1"/>
    </xf>
    <xf numFmtId="0" fontId="21" fillId="19" borderId="6" xfId="0" applyFont="1" applyFill="1" applyBorder="1" applyAlignment="1">
      <alignment horizontal="right" vertical="center" wrapText="1"/>
    </xf>
    <xf numFmtId="0" fontId="21" fillId="19" borderId="6" xfId="0" applyFont="1" applyFill="1" applyBorder="1" applyAlignment="1">
      <alignment vertical="center" wrapText="1"/>
    </xf>
    <xf numFmtId="0" fontId="21" fillId="20" borderId="6" xfId="0" applyFont="1" applyFill="1" applyBorder="1" applyAlignment="1">
      <alignment vertical="center" wrapText="1"/>
    </xf>
    <xf numFmtId="0" fontId="21" fillId="20" borderId="6" xfId="0" applyFont="1" applyFill="1" applyBorder="1" applyAlignment="1">
      <alignment horizontal="right" vertical="center" wrapText="1"/>
    </xf>
    <xf numFmtId="0" fontId="23" fillId="5" borderId="6" xfId="0" applyFont="1" applyFill="1" applyBorder="1" applyAlignment="1">
      <alignment vertical="center" wrapText="1"/>
    </xf>
    <xf numFmtId="0" fontId="21" fillId="21" borderId="6" xfId="0" applyFont="1" applyFill="1" applyBorder="1" applyAlignment="1">
      <alignment horizontal="right" vertical="center" wrapText="1"/>
    </xf>
    <xf numFmtId="0" fontId="21" fillId="21" borderId="6" xfId="0" applyFont="1" applyFill="1" applyBorder="1" applyAlignment="1">
      <alignment vertical="center" wrapText="1"/>
    </xf>
    <xf numFmtId="0" fontId="21" fillId="22" borderId="6" xfId="0" applyFont="1" applyFill="1" applyBorder="1" applyAlignment="1">
      <alignment vertical="center" wrapText="1"/>
    </xf>
    <xf numFmtId="0" fontId="21" fillId="22" borderId="6" xfId="0" applyFont="1" applyFill="1" applyBorder="1" applyAlignment="1">
      <alignment horizontal="right" vertical="center" wrapText="1"/>
    </xf>
    <xf numFmtId="0" fontId="23" fillId="5" borderId="0" xfId="0" applyFont="1" applyFill="1" applyAlignment="1">
      <alignment horizontal="right" vertical="center" wrapText="1"/>
    </xf>
    <xf numFmtId="0" fontId="22" fillId="5" borderId="0" xfId="0" applyFont="1" applyFill="1"/>
    <xf numFmtId="0" fontId="19" fillId="18" borderId="5" xfId="0" applyFont="1" applyFill="1" applyBorder="1" applyAlignment="1">
      <alignment vertical="center" wrapText="1"/>
    </xf>
    <xf numFmtId="0" fontId="20" fillId="19" borderId="6" xfId="0" applyFont="1" applyFill="1" applyBorder="1" applyAlignment="1">
      <alignment horizontal="center" vertical="center" wrapText="1"/>
    </xf>
    <xf numFmtId="0" fontId="20" fillId="20" borderId="6" xfId="0" applyFont="1" applyFill="1" applyBorder="1" applyAlignment="1">
      <alignment horizontal="center" vertical="center" wrapText="1"/>
    </xf>
    <xf numFmtId="0" fontId="20" fillId="21" borderId="6" xfId="0" applyFont="1" applyFill="1" applyBorder="1" applyAlignment="1">
      <alignment horizontal="center" vertical="center" wrapText="1"/>
    </xf>
    <xf numFmtId="0" fontId="20" fillId="22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21" fillId="2" borderId="0" xfId="0" applyFont="1" applyFill="1" applyAlignment="1">
      <alignment horizontal="center"/>
    </xf>
    <xf numFmtId="0" fontId="20" fillId="19" borderId="4" xfId="0" applyFont="1" applyFill="1" applyBorder="1" applyAlignment="1">
      <alignment horizontal="right" vertical="center" wrapText="1"/>
    </xf>
    <xf numFmtId="0" fontId="20" fillId="20" borderId="4" xfId="0" applyFont="1" applyFill="1" applyBorder="1" applyAlignment="1">
      <alignment horizontal="right" vertical="center" wrapText="1"/>
    </xf>
    <xf numFmtId="0" fontId="22" fillId="5" borderId="4" xfId="0" applyFont="1" applyFill="1" applyBorder="1" applyAlignment="1">
      <alignment horizontal="right" vertical="center" wrapText="1"/>
    </xf>
    <xf numFmtId="0" fontId="20" fillId="2" borderId="18" xfId="0" applyFont="1" applyFill="1" applyBorder="1" applyAlignment="1">
      <alignment vertical="center" wrapText="1"/>
    </xf>
    <xf numFmtId="0" fontId="22" fillId="2" borderId="0" xfId="0" applyFont="1" applyFill="1" applyAlignment="1">
      <alignment horizontal="right" vertical="center" wrapText="1"/>
    </xf>
    <xf numFmtId="0" fontId="23" fillId="5" borderId="16" xfId="0" applyFont="1" applyFill="1" applyBorder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21" fillId="22" borderId="1" xfId="0" applyFont="1" applyFill="1" applyBorder="1" applyAlignment="1">
      <alignment horizontal="right" vertical="center" wrapText="1"/>
    </xf>
    <xf numFmtId="0" fontId="21" fillId="22" borderId="5" xfId="0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right"/>
    </xf>
    <xf numFmtId="0" fontId="7" fillId="0" borderId="0" xfId="0" applyFont="1"/>
    <xf numFmtId="0" fontId="18" fillId="5" borderId="2" xfId="0" applyFont="1" applyFill="1" applyBorder="1"/>
    <xf numFmtId="0" fontId="18" fillId="5" borderId="3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52" fillId="2" borderId="0" xfId="0" applyFont="1" applyFill="1"/>
    <xf numFmtId="0" fontId="18" fillId="2" borderId="0" xfId="0" applyFont="1" applyFill="1" applyAlignment="1">
      <alignment horizontal="right"/>
    </xf>
    <xf numFmtId="0" fontId="20" fillId="18" borderId="5" xfId="0" applyFont="1" applyFill="1" applyBorder="1" applyAlignment="1">
      <alignment vertical="center" wrapText="1"/>
    </xf>
    <xf numFmtId="0" fontId="20" fillId="18" borderId="1" xfId="0" applyFont="1" applyFill="1" applyBorder="1" applyAlignment="1">
      <alignment vertical="center" wrapText="1"/>
    </xf>
    <xf numFmtId="0" fontId="31" fillId="14" borderId="6" xfId="0" applyFont="1" applyFill="1" applyBorder="1" applyAlignment="1">
      <alignment horizontal="center" vertical="center" wrapText="1"/>
    </xf>
    <xf numFmtId="49" fontId="20" fillId="19" borderId="4" xfId="0" applyNumberFormat="1" applyFont="1" applyFill="1" applyBorder="1" applyAlignment="1">
      <alignment horizontal="center" vertical="center" wrapText="1"/>
    </xf>
    <xf numFmtId="0" fontId="20" fillId="20" borderId="4" xfId="0" applyFont="1" applyFill="1" applyBorder="1" applyAlignment="1">
      <alignment horizontal="center" vertical="center" wrapText="1"/>
    </xf>
    <xf numFmtId="0" fontId="20" fillId="21" borderId="4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9" fontId="20" fillId="20" borderId="4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/>
    </xf>
    <xf numFmtId="0" fontId="23" fillId="14" borderId="25" xfId="0" applyFont="1" applyFill="1" applyBorder="1"/>
    <xf numFmtId="0" fontId="23" fillId="14" borderId="16" xfId="0" applyFont="1" applyFill="1" applyBorder="1"/>
    <xf numFmtId="0" fontId="0" fillId="0" borderId="6" xfId="0" applyBorder="1" applyAlignment="1">
      <alignment horizontal="center" vertical="center" wrapText="1"/>
    </xf>
    <xf numFmtId="0" fontId="39" fillId="17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23" fillId="14" borderId="5" xfId="0" applyFont="1" applyFill="1" applyBorder="1"/>
    <xf numFmtId="16" fontId="22" fillId="5" borderId="0" xfId="0" applyNumberFormat="1" applyFont="1" applyFill="1" applyAlignment="1">
      <alignment horizontal="left" vertical="center" wrapText="1"/>
    </xf>
    <xf numFmtId="0" fontId="22" fillId="5" borderId="16" xfId="0" applyFont="1" applyFill="1" applyBorder="1" applyAlignment="1">
      <alignment vertical="center" wrapText="1"/>
    </xf>
    <xf numFmtId="0" fontId="23" fillId="5" borderId="0" xfId="0" applyFont="1" applyFill="1"/>
    <xf numFmtId="49" fontId="34" fillId="5" borderId="0" xfId="0" applyNumberFormat="1" applyFont="1" applyFill="1" applyAlignment="1">
      <alignment horizontal="center"/>
    </xf>
    <xf numFmtId="0" fontId="23" fillId="5" borderId="13" xfId="0" applyFont="1" applyFill="1" applyBorder="1"/>
    <xf numFmtId="0" fontId="23" fillId="15" borderId="1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right" vertical="center" wrapText="1"/>
    </xf>
    <xf numFmtId="0" fontId="23" fillId="15" borderId="1" xfId="0" applyFont="1" applyFill="1" applyBorder="1" applyAlignment="1">
      <alignment horizontal="right" vertical="center" wrapText="1"/>
    </xf>
    <xf numFmtId="0" fontId="23" fillId="14" borderId="1" xfId="0" applyFont="1" applyFill="1" applyBorder="1" applyAlignment="1">
      <alignment horizontal="right" vertical="center" wrapText="1"/>
    </xf>
    <xf numFmtId="0" fontId="0" fillId="5" borderId="0" xfId="0" applyFill="1"/>
    <xf numFmtId="0" fontId="0" fillId="23" borderId="0" xfId="0" applyFill="1"/>
    <xf numFmtId="0" fontId="21" fillId="24" borderId="0" xfId="0" applyFont="1" applyFill="1"/>
    <xf numFmtId="0" fontId="23" fillId="14" borderId="6" xfId="0" applyFont="1" applyFill="1" applyBorder="1"/>
    <xf numFmtId="16" fontId="21" fillId="2" borderId="0" xfId="0" applyNumberFormat="1" applyFont="1" applyFill="1" applyAlignment="1">
      <alignment horizontal="left" vertical="center" wrapText="1"/>
    </xf>
    <xf numFmtId="49" fontId="36" fillId="14" borderId="1" xfId="0" applyNumberFormat="1" applyFont="1" applyFill="1" applyBorder="1" applyAlignment="1">
      <alignment horizontal="center"/>
    </xf>
    <xf numFmtId="0" fontId="23" fillId="14" borderId="4" xfId="0" applyFont="1" applyFill="1" applyBorder="1" applyAlignment="1">
      <alignment horizontal="center" vertical="center" wrapText="1"/>
    </xf>
    <xf numFmtId="0" fontId="23" fillId="15" borderId="6" xfId="0" applyFont="1" applyFill="1" applyBorder="1"/>
    <xf numFmtId="0" fontId="6" fillId="0" borderId="0" xfId="0" applyFont="1"/>
    <xf numFmtId="0" fontId="23" fillId="5" borderId="1" xfId="0" applyFont="1" applyFill="1" applyBorder="1" applyAlignment="1">
      <alignment horizontal="right"/>
    </xf>
    <xf numFmtId="0" fontId="23" fillId="5" borderId="4" xfId="0" applyFont="1" applyFill="1" applyBorder="1" applyAlignment="1">
      <alignment horizontal="right"/>
    </xf>
    <xf numFmtId="0" fontId="23" fillId="15" borderId="5" xfId="0" applyFont="1" applyFill="1" applyBorder="1"/>
    <xf numFmtId="0" fontId="19" fillId="2" borderId="13" xfId="0" applyFont="1" applyFill="1" applyBorder="1" applyAlignment="1">
      <alignment horizontal="center" vertical="center" wrapText="1"/>
    </xf>
    <xf numFmtId="49" fontId="23" fillId="2" borderId="9" xfId="0" applyNumberFormat="1" applyFont="1" applyFill="1" applyBorder="1" applyAlignment="1">
      <alignment horizontal="center"/>
    </xf>
    <xf numFmtId="0" fontId="40" fillId="5" borderId="13" xfId="0" applyFont="1" applyFill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49" fontId="35" fillId="14" borderId="1" xfId="0" applyNumberFormat="1" applyFont="1" applyFill="1" applyBorder="1" applyAlignment="1">
      <alignment horizontal="center"/>
    </xf>
    <xf numFmtId="0" fontId="43" fillId="0" borderId="0" xfId="0" applyFont="1"/>
    <xf numFmtId="49" fontId="22" fillId="14" borderId="1" xfId="0" applyNumberFormat="1" applyFont="1" applyFill="1" applyBorder="1" applyAlignment="1">
      <alignment horizontal="center"/>
    </xf>
    <xf numFmtId="49" fontId="23" fillId="14" borderId="1" xfId="0" applyNumberFormat="1" applyFont="1" applyFill="1" applyBorder="1" applyAlignment="1">
      <alignment horizontal="center"/>
    </xf>
    <xf numFmtId="16" fontId="22" fillId="14" borderId="0" xfId="0" applyNumberFormat="1" applyFont="1" applyFill="1" applyAlignment="1">
      <alignment horizontal="left" vertical="center" wrapText="1"/>
    </xf>
    <xf numFmtId="0" fontId="22" fillId="14" borderId="10" xfId="0" applyFont="1" applyFill="1" applyBorder="1" applyAlignment="1">
      <alignment vertical="center" wrapText="1"/>
    </xf>
    <xf numFmtId="0" fontId="53" fillId="0" borderId="0" xfId="0" applyFont="1"/>
    <xf numFmtId="0" fontId="22" fillId="15" borderId="10" xfId="0" applyFont="1" applyFill="1" applyBorder="1" applyAlignment="1">
      <alignment vertical="center" wrapText="1"/>
    </xf>
    <xf numFmtId="1" fontId="5" fillId="0" borderId="0" xfId="0" applyNumberFormat="1" applyFont="1"/>
    <xf numFmtId="0" fontId="19" fillId="0" borderId="0" xfId="0" applyFont="1"/>
    <xf numFmtId="0" fontId="19" fillId="2" borderId="0" xfId="0" applyFont="1" applyFill="1" applyAlignment="1">
      <alignment vertical="center" wrapText="1"/>
    </xf>
    <xf numFmtId="0" fontId="4" fillId="0" borderId="0" xfId="0" applyFont="1"/>
    <xf numFmtId="0" fontId="54" fillId="5" borderId="0" xfId="0" applyFont="1" applyFill="1"/>
    <xf numFmtId="0" fontId="55" fillId="5" borderId="0" xfId="0" applyFont="1" applyFill="1"/>
    <xf numFmtId="0" fontId="56" fillId="5" borderId="0" xfId="0" applyFont="1" applyFill="1"/>
    <xf numFmtId="49" fontId="55" fillId="5" borderId="0" xfId="0" applyNumberFormat="1" applyFont="1" applyFill="1"/>
    <xf numFmtId="20" fontId="55" fillId="5" borderId="0" xfId="0" applyNumberFormat="1" applyFont="1" applyFill="1"/>
    <xf numFmtId="0" fontId="55" fillId="5" borderId="0" xfId="0" applyFont="1" applyFill="1" applyAlignment="1">
      <alignment horizontal="left"/>
    </xf>
    <xf numFmtId="0" fontId="55" fillId="5" borderId="0" xfId="0" applyFont="1" applyFill="1" applyAlignment="1">
      <alignment horizontal="center"/>
    </xf>
    <xf numFmtId="49" fontId="20" fillId="19" borderId="4" xfId="0" applyNumberFormat="1" applyFont="1" applyFill="1" applyBorder="1" applyAlignment="1">
      <alignment vertical="center" wrapText="1"/>
    </xf>
    <xf numFmtId="49" fontId="20" fillId="20" borderId="4" xfId="0" applyNumberFormat="1" applyFont="1" applyFill="1" applyBorder="1" applyAlignment="1">
      <alignment vertical="center" wrapText="1"/>
    </xf>
    <xf numFmtId="0" fontId="20" fillId="20" borderId="4" xfId="0" applyFont="1" applyFill="1" applyBorder="1" applyAlignment="1">
      <alignment vertical="center" wrapText="1"/>
    </xf>
    <xf numFmtId="0" fontId="20" fillId="21" borderId="4" xfId="0" applyFont="1" applyFill="1" applyBorder="1" applyAlignment="1">
      <alignment vertical="center" wrapText="1"/>
    </xf>
    <xf numFmtId="0" fontId="20" fillId="22" borderId="4" xfId="0" applyFont="1" applyFill="1" applyBorder="1" applyAlignment="1">
      <alignment vertical="center" wrapText="1"/>
    </xf>
    <xf numFmtId="0" fontId="22" fillId="5" borderId="9" xfId="0" applyFont="1" applyFill="1" applyBorder="1" applyAlignment="1">
      <alignment vertical="center" wrapText="1"/>
    </xf>
    <xf numFmtId="0" fontId="22" fillId="5" borderId="24" xfId="0" applyFont="1" applyFill="1" applyBorder="1" applyAlignment="1">
      <alignment horizontal="right"/>
    </xf>
    <xf numFmtId="0" fontId="20" fillId="19" borderId="4" xfId="0" applyFont="1" applyFill="1" applyBorder="1" applyAlignment="1">
      <alignment vertical="center" wrapText="1"/>
    </xf>
    <xf numFmtId="0" fontId="22" fillId="5" borderId="13" xfId="0" applyFont="1" applyFill="1" applyBorder="1"/>
    <xf numFmtId="0" fontId="20" fillId="9" borderId="5" xfId="0" applyFont="1" applyFill="1" applyBorder="1" applyAlignment="1">
      <alignment vertical="center" wrapText="1"/>
    </xf>
    <xf numFmtId="0" fontId="23" fillId="5" borderId="16" xfId="0" applyFont="1" applyFill="1" applyBorder="1" applyAlignment="1">
      <alignment horizontal="right" vertical="center" wrapText="1"/>
    </xf>
    <xf numFmtId="0" fontId="22" fillId="5" borderId="6" xfId="0" applyFont="1" applyFill="1" applyBorder="1"/>
    <xf numFmtId="0" fontId="18" fillId="5" borderId="2" xfId="0" applyFont="1" applyFill="1" applyBorder="1" applyAlignment="1">
      <alignment horizontal="left"/>
    </xf>
    <xf numFmtId="0" fontId="22" fillId="5" borderId="3" xfId="0" applyFont="1" applyFill="1" applyBorder="1"/>
    <xf numFmtId="0" fontId="20" fillId="2" borderId="0" xfId="0" applyFont="1" applyFill="1" applyAlignment="1">
      <alignment horizontal="left"/>
    </xf>
    <xf numFmtId="0" fontId="20" fillId="19" borderId="6" xfId="0" applyFont="1" applyFill="1" applyBorder="1" applyAlignment="1">
      <alignment horizontal="right" vertical="center" wrapText="1"/>
    </xf>
    <xf numFmtId="0" fontId="20" fillId="20" borderId="6" xfId="0" applyFont="1" applyFill="1" applyBorder="1" applyAlignment="1">
      <alignment horizontal="right" vertical="center" wrapText="1"/>
    </xf>
    <xf numFmtId="0" fontId="22" fillId="5" borderId="6" xfId="0" applyFont="1" applyFill="1" applyBorder="1" applyAlignment="1">
      <alignment horizontal="right" vertical="center" wrapText="1"/>
    </xf>
    <xf numFmtId="0" fontId="22" fillId="5" borderId="1" xfId="0" applyFont="1" applyFill="1" applyBorder="1" applyAlignment="1">
      <alignment horizontal="right"/>
    </xf>
    <xf numFmtId="0" fontId="23" fillId="5" borderId="6" xfId="0" applyFont="1" applyFill="1" applyBorder="1" applyAlignment="1">
      <alignment horizontal="right" vertical="center" wrapText="1"/>
    </xf>
    <xf numFmtId="0" fontId="22" fillId="5" borderId="7" xfId="0" applyFont="1" applyFill="1" applyBorder="1"/>
    <xf numFmtId="0" fontId="22" fillId="5" borderId="25" xfId="0" applyFont="1" applyFill="1" applyBorder="1"/>
    <xf numFmtId="0" fontId="55" fillId="5" borderId="5" xfId="0" applyFont="1" applyFill="1" applyBorder="1" applyAlignment="1">
      <alignment horizontal="center"/>
    </xf>
    <xf numFmtId="0" fontId="55" fillId="5" borderId="11" xfId="0" applyFont="1" applyFill="1" applyBorder="1" applyAlignment="1">
      <alignment horizontal="center"/>
    </xf>
    <xf numFmtId="0" fontId="55" fillId="5" borderId="14" xfId="0" applyFont="1" applyFill="1" applyBorder="1" applyAlignment="1">
      <alignment horizontal="center"/>
    </xf>
    <xf numFmtId="0" fontId="55" fillId="5" borderId="15" xfId="0" applyFont="1" applyFill="1" applyBorder="1" applyAlignment="1">
      <alignment horizontal="center"/>
    </xf>
    <xf numFmtId="0" fontId="55" fillId="5" borderId="6" xfId="0" applyFont="1" applyFill="1" applyBorder="1" applyAlignment="1">
      <alignment horizontal="center"/>
    </xf>
    <xf numFmtId="0" fontId="22" fillId="6" borderId="0" xfId="0" applyFont="1" applyFill="1"/>
    <xf numFmtId="0" fontId="23" fillId="6" borderId="0" xfId="0" applyFont="1" applyFill="1"/>
    <xf numFmtId="49" fontId="22" fillId="6" borderId="0" xfId="0" applyNumberFormat="1" applyFont="1" applyFill="1"/>
    <xf numFmtId="20" fontId="22" fillId="6" borderId="0" xfId="0" applyNumberFormat="1" applyFont="1" applyFill="1"/>
    <xf numFmtId="0" fontId="22" fillId="6" borderId="0" xfId="0" applyFont="1" applyFill="1" applyAlignment="1">
      <alignment horizontal="left"/>
    </xf>
    <xf numFmtId="0" fontId="22" fillId="6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14" fontId="1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43" fillId="0" borderId="0" xfId="0" applyFont="1" applyAlignment="1">
      <alignment horizontal="right"/>
    </xf>
    <xf numFmtId="0" fontId="20" fillId="2" borderId="0" xfId="0" applyFont="1" applyFill="1" applyAlignment="1">
      <alignment horizontal="center" vertical="center" wrapText="1"/>
    </xf>
    <xf numFmtId="0" fontId="31" fillId="2" borderId="0" xfId="0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right"/>
    </xf>
    <xf numFmtId="0" fontId="21" fillId="2" borderId="0" xfId="0" applyFont="1" applyFill="1" applyAlignment="1">
      <alignment horizontal="center" vertical="center" wrapText="1"/>
    </xf>
    <xf numFmtId="0" fontId="3" fillId="0" borderId="0" xfId="0" applyFont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1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left"/>
    </xf>
    <xf numFmtId="0" fontId="20" fillId="7" borderId="6" xfId="0" applyFont="1" applyFill="1" applyBorder="1" applyAlignment="1">
      <alignment vertical="center" wrapText="1"/>
    </xf>
    <xf numFmtId="0" fontId="20" fillId="7" borderId="5" xfId="0" applyFont="1" applyFill="1" applyBorder="1" applyAlignment="1">
      <alignment vertical="center" wrapText="1"/>
    </xf>
    <xf numFmtId="0" fontId="0" fillId="17" borderId="0" xfId="0" applyFill="1"/>
    <xf numFmtId="0" fontId="20" fillId="17" borderId="0" xfId="0" applyFont="1" applyFill="1"/>
    <xf numFmtId="0" fontId="21" fillId="17" borderId="0" xfId="0" applyFont="1" applyFill="1"/>
    <xf numFmtId="0" fontId="18" fillId="17" borderId="5" xfId="0" applyFont="1" applyFill="1" applyBorder="1" applyAlignment="1">
      <alignment horizontal="center"/>
    </xf>
    <xf numFmtId="0" fontId="18" fillId="17" borderId="11" xfId="0" applyFont="1" applyFill="1" applyBorder="1" applyAlignment="1">
      <alignment horizontal="center"/>
    </xf>
    <xf numFmtId="0" fontId="18" fillId="17" borderId="14" xfId="0" applyFont="1" applyFill="1" applyBorder="1" applyAlignment="1">
      <alignment horizontal="center"/>
    </xf>
    <xf numFmtId="0" fontId="18" fillId="17" borderId="15" xfId="0" applyFont="1" applyFill="1" applyBorder="1" applyAlignment="1">
      <alignment horizontal="center"/>
    </xf>
    <xf numFmtId="0" fontId="18" fillId="17" borderId="6" xfId="0" applyFont="1" applyFill="1" applyBorder="1" applyAlignment="1">
      <alignment horizontal="center"/>
    </xf>
    <xf numFmtId="0" fontId="20" fillId="17" borderId="5" xfId="0" applyFont="1" applyFill="1" applyBorder="1" applyAlignment="1">
      <alignment horizontal="center"/>
    </xf>
    <xf numFmtId="0" fontId="20" fillId="17" borderId="11" xfId="0" applyFont="1" applyFill="1" applyBorder="1" applyAlignment="1">
      <alignment horizontal="center"/>
    </xf>
    <xf numFmtId="0" fontId="20" fillId="17" borderId="14" xfId="0" applyFont="1" applyFill="1" applyBorder="1" applyAlignment="1">
      <alignment horizontal="center"/>
    </xf>
    <xf numFmtId="0" fontId="20" fillId="17" borderId="15" xfId="0" applyFont="1" applyFill="1" applyBorder="1" applyAlignment="1">
      <alignment horizontal="center"/>
    </xf>
    <xf numFmtId="0" fontId="20" fillId="17" borderId="6" xfId="0" applyFont="1" applyFill="1" applyBorder="1" applyAlignment="1">
      <alignment horizontal="center"/>
    </xf>
    <xf numFmtId="0" fontId="21" fillId="17" borderId="0" xfId="0" applyFont="1" applyFill="1" applyAlignment="1">
      <alignment vertical="center" wrapText="1"/>
    </xf>
    <xf numFmtId="0" fontId="21" fillId="17" borderId="0" xfId="0" applyFont="1" applyFill="1" applyAlignment="1">
      <alignment horizontal="right" vertical="center" wrapText="1"/>
    </xf>
    <xf numFmtId="0" fontId="20" fillId="17" borderId="0" xfId="0" applyFont="1" applyFill="1" applyAlignment="1">
      <alignment vertical="center" wrapText="1"/>
    </xf>
    <xf numFmtId="14" fontId="20" fillId="17" borderId="0" xfId="0" applyNumberFormat="1" applyFont="1" applyFill="1" applyAlignment="1">
      <alignment horizontal="left"/>
    </xf>
    <xf numFmtId="0" fontId="29" fillId="14" borderId="1" xfId="0" applyFont="1" applyFill="1" applyBorder="1"/>
    <xf numFmtId="0" fontId="29" fillId="14" borderId="4" xfId="0" applyFont="1" applyFill="1" applyBorder="1" applyAlignment="1">
      <alignment horizontal="center" vertical="center" wrapText="1"/>
    </xf>
    <xf numFmtId="0" fontId="29" fillId="0" borderId="0" xfId="0" applyFont="1"/>
    <xf numFmtId="0" fontId="29" fillId="2" borderId="0" xfId="0" applyFont="1" applyFill="1"/>
    <xf numFmtId="0" fontId="29" fillId="5" borderId="4" xfId="0" applyFont="1" applyFill="1" applyBorder="1" applyAlignment="1">
      <alignment horizontal="center" vertical="center" wrapText="1"/>
    </xf>
    <xf numFmtId="0" fontId="29" fillId="15" borderId="4" xfId="0" applyFont="1" applyFill="1" applyBorder="1" applyAlignment="1">
      <alignment horizontal="center" vertical="center" wrapText="1"/>
    </xf>
    <xf numFmtId="0" fontId="57" fillId="0" borderId="0" xfId="0" applyFont="1"/>
    <xf numFmtId="0" fontId="22" fillId="5" borderId="2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vertical="center" wrapText="1"/>
    </xf>
    <xf numFmtId="49" fontId="35" fillId="5" borderId="1" xfId="0" applyNumberFormat="1" applyFont="1" applyFill="1" applyBorder="1" applyAlignment="1">
      <alignment horizontal="center"/>
    </xf>
    <xf numFmtId="49" fontId="22" fillId="5" borderId="7" xfId="0" applyNumberFormat="1" applyFont="1" applyFill="1" applyBorder="1" applyAlignment="1">
      <alignment horizontal="center"/>
    </xf>
    <xf numFmtId="49" fontId="35" fillId="5" borderId="7" xfId="0" applyNumberFormat="1" applyFont="1" applyFill="1" applyBorder="1" applyAlignment="1">
      <alignment horizontal="center"/>
    </xf>
    <xf numFmtId="0" fontId="22" fillId="5" borderId="1" xfId="0" applyFont="1" applyFill="1" applyBorder="1" applyAlignment="1">
      <alignment horizontal="left" vertical="center" wrapText="1"/>
    </xf>
    <xf numFmtId="16" fontId="22" fillId="5" borderId="2" xfId="0" applyNumberFormat="1" applyFont="1" applyFill="1" applyBorder="1" applyAlignment="1">
      <alignment horizontal="left" vertical="center" wrapText="1"/>
    </xf>
    <xf numFmtId="0" fontId="23" fillId="5" borderId="5" xfId="0" applyFont="1" applyFill="1" applyBorder="1"/>
    <xf numFmtId="0" fontId="23" fillId="5" borderId="6" xfId="0" applyFont="1" applyFill="1" applyBorder="1"/>
    <xf numFmtId="0" fontId="29" fillId="14" borderId="2" xfId="0" applyFont="1" applyFill="1" applyBorder="1" applyAlignment="1">
      <alignment horizontal="left" vertical="center" wrapText="1"/>
    </xf>
    <xf numFmtId="0" fontId="22" fillId="5" borderId="0" xfId="0" applyFont="1" applyFill="1" applyAlignment="1">
      <alignment horizontal="right" vertical="center" wrapText="1"/>
    </xf>
    <xf numFmtId="0" fontId="22" fillId="5" borderId="0" xfId="0" applyFont="1" applyFill="1" applyAlignment="1">
      <alignment horizontal="right"/>
    </xf>
    <xf numFmtId="0" fontId="56" fillId="5" borderId="0" xfId="0" applyFont="1" applyFill="1" applyAlignment="1">
      <alignment horizontal="right"/>
    </xf>
    <xf numFmtId="0" fontId="20" fillId="2" borderId="0" xfId="0" applyFont="1" applyFill="1" applyAlignment="1">
      <alignment vertical="center" wrapText="1"/>
    </xf>
    <xf numFmtId="0" fontId="20" fillId="9" borderId="6" xfId="0" applyFont="1" applyFill="1" applyBorder="1" applyAlignment="1">
      <alignment vertical="center" wrapText="1"/>
    </xf>
    <xf numFmtId="0" fontId="55" fillId="2" borderId="0" xfId="0" applyFont="1" applyFill="1"/>
    <xf numFmtId="0" fontId="56" fillId="2" borderId="0" xfId="0" applyFont="1" applyFill="1"/>
    <xf numFmtId="0" fontId="32" fillId="0" borderId="1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58" fillId="13" borderId="5" xfId="0" applyFont="1" applyFill="1" applyBorder="1" applyAlignment="1">
      <alignment horizontal="right" vertical="center" wrapText="1"/>
    </xf>
    <xf numFmtId="0" fontId="59" fillId="8" borderId="6" xfId="0" applyFont="1" applyFill="1" applyBorder="1" applyAlignment="1">
      <alignment vertical="center" wrapText="1"/>
    </xf>
    <xf numFmtId="0" fontId="32" fillId="13" borderId="6" xfId="0" applyFont="1" applyFill="1" applyBorder="1" applyAlignment="1">
      <alignment horizontal="center" vertical="center" wrapText="1"/>
    </xf>
    <xf numFmtId="0" fontId="58" fillId="13" borderId="6" xfId="0" applyFont="1" applyFill="1" applyBorder="1" applyAlignment="1">
      <alignment horizontal="center" vertical="center" wrapText="1"/>
    </xf>
    <xf numFmtId="0" fontId="60" fillId="13" borderId="6" xfId="0" applyFont="1" applyFill="1" applyBorder="1" applyAlignment="1">
      <alignment vertical="center" wrapText="1"/>
    </xf>
    <xf numFmtId="0" fontId="59" fillId="3" borderId="6" xfId="0" applyFont="1" applyFill="1" applyBorder="1" applyAlignment="1">
      <alignment vertical="center" wrapText="1"/>
    </xf>
    <xf numFmtId="0" fontId="59" fillId="6" borderId="6" xfId="0" applyFont="1" applyFill="1" applyBorder="1" applyAlignment="1">
      <alignment vertical="center" wrapText="1"/>
    </xf>
    <xf numFmtId="0" fontId="58" fillId="9" borderId="6" xfId="0" applyFont="1" applyFill="1" applyBorder="1" applyAlignment="1">
      <alignment vertical="center" wrapText="1"/>
    </xf>
    <xf numFmtId="0" fontId="22" fillId="14" borderId="24" xfId="0" applyFont="1" applyFill="1" applyBorder="1" applyAlignment="1">
      <alignment horizontal="center" vertical="center" wrapText="1"/>
    </xf>
    <xf numFmtId="0" fontId="22" fillId="14" borderId="7" xfId="0" applyFont="1" applyFill="1" applyBorder="1"/>
    <xf numFmtId="0" fontId="22" fillId="5" borderId="24" xfId="0" applyFont="1" applyFill="1" applyBorder="1" applyAlignment="1">
      <alignment horizontal="center" vertical="center" wrapText="1"/>
    </xf>
    <xf numFmtId="0" fontId="22" fillId="15" borderId="24" xfId="0" applyFont="1" applyFill="1" applyBorder="1" applyAlignment="1">
      <alignment horizontal="center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61" fillId="14" borderId="1" xfId="0" applyFont="1" applyFill="1" applyBorder="1" applyAlignment="1">
      <alignment horizontal="center" vertical="center" wrapText="1"/>
    </xf>
    <xf numFmtId="0" fontId="61" fillId="14" borderId="1" xfId="0" applyFont="1" applyFill="1" applyBorder="1"/>
    <xf numFmtId="0" fontId="61" fillId="5" borderId="10" xfId="0" applyFont="1" applyFill="1" applyBorder="1" applyAlignment="1">
      <alignment vertical="center" wrapText="1"/>
    </xf>
    <xf numFmtId="0" fontId="61" fillId="5" borderId="5" xfId="0" applyFont="1" applyFill="1" applyBorder="1" applyAlignment="1">
      <alignment vertical="center" wrapText="1"/>
    </xf>
    <xf numFmtId="0" fontId="61" fillId="5" borderId="6" xfId="0" applyFont="1" applyFill="1" applyBorder="1" applyAlignment="1">
      <alignment vertical="center" wrapText="1"/>
    </xf>
    <xf numFmtId="0" fontId="61" fillId="5" borderId="6" xfId="0" applyFont="1" applyFill="1" applyBorder="1" applyAlignment="1">
      <alignment horizontal="center" vertical="center" wrapText="1"/>
    </xf>
    <xf numFmtId="0" fontId="62" fillId="5" borderId="6" xfId="0" applyFont="1" applyFill="1" applyBorder="1" applyAlignment="1">
      <alignment horizontal="center" vertical="center" wrapText="1"/>
    </xf>
    <xf numFmtId="0" fontId="62" fillId="5" borderId="1" xfId="0" applyFont="1" applyFill="1" applyBorder="1" applyAlignment="1">
      <alignment horizontal="center" vertical="center" wrapText="1"/>
    </xf>
    <xf numFmtId="0" fontId="62" fillId="5" borderId="8" xfId="0" applyFont="1" applyFill="1" applyBorder="1"/>
    <xf numFmtId="0" fontId="62" fillId="5" borderId="7" xfId="0" applyFont="1" applyFill="1" applyBorder="1"/>
    <xf numFmtId="0" fontId="62" fillId="5" borderId="9" xfId="0" applyFont="1" applyFill="1" applyBorder="1"/>
    <xf numFmtId="0" fontId="62" fillId="5" borderId="1" xfId="0" applyFont="1" applyFill="1" applyBorder="1" applyAlignment="1">
      <alignment horizontal="right"/>
    </xf>
    <xf numFmtId="0" fontId="62" fillId="5" borderId="4" xfId="0" applyFont="1" applyFill="1" applyBorder="1" applyAlignment="1">
      <alignment horizontal="right"/>
    </xf>
    <xf numFmtId="16" fontId="61" fillId="5" borderId="10" xfId="0" applyNumberFormat="1" applyFont="1" applyFill="1" applyBorder="1" applyAlignment="1">
      <alignment horizontal="left" vertical="center" wrapText="1"/>
    </xf>
    <xf numFmtId="0" fontId="61" fillId="5" borderId="1" xfId="0" applyFont="1" applyFill="1" applyBorder="1" applyAlignment="1">
      <alignment vertical="center" wrapText="1"/>
    </xf>
    <xf numFmtId="49" fontId="63" fillId="5" borderId="7" xfId="0" applyNumberFormat="1" applyFont="1" applyFill="1" applyBorder="1" applyAlignment="1">
      <alignment horizontal="center"/>
    </xf>
    <xf numFmtId="16" fontId="61" fillId="15" borderId="5" xfId="0" applyNumberFormat="1" applyFont="1" applyFill="1" applyBorder="1" applyAlignment="1">
      <alignment horizontal="left" vertical="center" wrapText="1"/>
    </xf>
    <xf numFmtId="0" fontId="61" fillId="15" borderId="6" xfId="0" applyFont="1" applyFill="1" applyBorder="1" applyAlignment="1">
      <alignment vertical="center" wrapText="1"/>
    </xf>
    <xf numFmtId="0" fontId="61" fillId="15" borderId="6" xfId="0" applyFont="1" applyFill="1" applyBorder="1" applyAlignment="1">
      <alignment horizontal="center" vertical="center" wrapText="1"/>
    </xf>
    <xf numFmtId="0" fontId="62" fillId="15" borderId="6" xfId="0" applyFont="1" applyFill="1" applyBorder="1" applyAlignment="1">
      <alignment horizontal="center" vertical="center" wrapText="1"/>
    </xf>
    <xf numFmtId="0" fontId="62" fillId="15" borderId="1" xfId="0" applyFont="1" applyFill="1" applyBorder="1" applyAlignment="1">
      <alignment horizontal="center" vertical="center" wrapText="1"/>
    </xf>
    <xf numFmtId="49" fontId="63" fillId="15" borderId="7" xfId="0" applyNumberFormat="1" applyFont="1" applyFill="1" applyBorder="1" applyAlignment="1">
      <alignment horizontal="center"/>
    </xf>
    <xf numFmtId="0" fontId="62" fillId="15" borderId="8" xfId="0" applyFont="1" applyFill="1" applyBorder="1"/>
    <xf numFmtId="0" fontId="62" fillId="15" borderId="7" xfId="0" applyFont="1" applyFill="1" applyBorder="1"/>
    <xf numFmtId="0" fontId="62" fillId="15" borderId="1" xfId="0" applyFont="1" applyFill="1" applyBorder="1"/>
    <xf numFmtId="0" fontId="62" fillId="15" borderId="4" xfId="0" applyFont="1" applyFill="1" applyBorder="1"/>
    <xf numFmtId="0" fontId="57" fillId="14" borderId="3" xfId="0" applyFont="1" applyFill="1" applyBorder="1" applyAlignment="1">
      <alignment horizontal="left" vertical="center" wrapText="1"/>
    </xf>
    <xf numFmtId="0" fontId="57" fillId="14" borderId="4" xfId="0" applyFont="1" applyFill="1" applyBorder="1" applyAlignment="1">
      <alignment horizontal="left" vertical="center" wrapText="1"/>
    </xf>
    <xf numFmtId="0" fontId="61" fillId="2" borderId="0" xfId="0" applyFont="1" applyFill="1" applyAlignment="1">
      <alignment horizontal="center" vertical="center" wrapText="1"/>
    </xf>
    <xf numFmtId="0" fontId="61" fillId="0" borderId="0" xfId="0" applyFont="1"/>
    <xf numFmtId="0" fontId="61" fillId="2" borderId="0" xfId="0" applyFont="1" applyFill="1"/>
    <xf numFmtId="0" fontId="61" fillId="5" borderId="1" xfId="0" applyFont="1" applyFill="1" applyBorder="1" applyAlignment="1">
      <alignment horizontal="center" vertical="center" wrapText="1"/>
    </xf>
    <xf numFmtId="0" fontId="61" fillId="15" borderId="1" xfId="0" applyFont="1" applyFill="1" applyBorder="1" applyAlignment="1">
      <alignment horizontal="center" vertical="center" wrapText="1"/>
    </xf>
    <xf numFmtId="0" fontId="39" fillId="14" borderId="5" xfId="0" applyFont="1" applyFill="1" applyBorder="1" applyAlignment="1">
      <alignment horizontal="center" vertical="center" wrapText="1"/>
    </xf>
    <xf numFmtId="0" fontId="64" fillId="0" borderId="0" xfId="0" applyFont="1"/>
    <xf numFmtId="0" fontId="39" fillId="0" borderId="0" xfId="0" applyFont="1"/>
    <xf numFmtId="0" fontId="39" fillId="2" borderId="0" xfId="0" applyFont="1" applyFill="1"/>
    <xf numFmtId="0" fontId="39" fillId="14" borderId="5" xfId="0" applyFont="1" applyFill="1" applyBorder="1"/>
    <xf numFmtId="0" fontId="39" fillId="5" borderId="5" xfId="0" applyFont="1" applyFill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 wrapText="1"/>
    </xf>
    <xf numFmtId="16" fontId="39" fillId="14" borderId="1" xfId="0" applyNumberFormat="1" applyFont="1" applyFill="1" applyBorder="1" applyAlignment="1">
      <alignment horizontal="left" vertical="center" wrapText="1"/>
    </xf>
    <xf numFmtId="0" fontId="39" fillId="14" borderId="4" xfId="0" applyFont="1" applyFill="1" applyBorder="1" applyAlignment="1">
      <alignment vertical="center" wrapText="1"/>
    </xf>
    <xf numFmtId="0" fontId="39" fillId="14" borderId="4" xfId="0" applyFont="1" applyFill="1" applyBorder="1" applyAlignment="1">
      <alignment horizontal="center" vertical="center" wrapText="1"/>
    </xf>
    <xf numFmtId="0" fontId="64" fillId="14" borderId="4" xfId="0" applyFont="1" applyFill="1" applyBorder="1" applyAlignment="1">
      <alignment horizontal="center" vertical="center" wrapText="1"/>
    </xf>
    <xf numFmtId="0" fontId="64" fillId="14" borderId="1" xfId="0" applyFont="1" applyFill="1" applyBorder="1" applyAlignment="1">
      <alignment horizontal="center" vertical="center" wrapText="1"/>
    </xf>
    <xf numFmtId="49" fontId="65" fillId="14" borderId="7" xfId="0" applyNumberFormat="1" applyFont="1" applyFill="1" applyBorder="1" applyAlignment="1">
      <alignment horizontal="center"/>
    </xf>
    <xf numFmtId="0" fontId="64" fillId="14" borderId="8" xfId="0" applyFont="1" applyFill="1" applyBorder="1"/>
    <xf numFmtId="0" fontId="64" fillId="14" borderId="7" xfId="0" applyFont="1" applyFill="1" applyBorder="1"/>
    <xf numFmtId="0" fontId="64" fillId="14" borderId="2" xfId="0" applyFont="1" applyFill="1" applyBorder="1"/>
    <xf numFmtId="0" fontId="64" fillId="14" borderId="4" xfId="0" applyFont="1" applyFill="1" applyBorder="1" applyAlignment="1">
      <alignment horizontal="left"/>
    </xf>
    <xf numFmtId="0" fontId="64" fillId="14" borderId="1" xfId="0" applyFont="1" applyFill="1" applyBorder="1" applyAlignment="1">
      <alignment horizontal="right"/>
    </xf>
    <xf numFmtId="0" fontId="64" fillId="14" borderId="4" xfId="0" applyFont="1" applyFill="1" applyBorder="1" applyAlignment="1">
      <alignment horizontal="right"/>
    </xf>
    <xf numFmtId="16" fontId="39" fillId="15" borderId="5" xfId="0" applyNumberFormat="1" applyFont="1" applyFill="1" applyBorder="1" applyAlignment="1">
      <alignment horizontal="left" vertical="center" wrapText="1"/>
    </xf>
    <xf numFmtId="0" fontId="39" fillId="15" borderId="6" xfId="0" applyFont="1" applyFill="1" applyBorder="1" applyAlignment="1">
      <alignment vertical="center" wrapText="1"/>
    </xf>
    <xf numFmtId="0" fontId="39" fillId="15" borderId="6" xfId="0" applyFont="1" applyFill="1" applyBorder="1" applyAlignment="1">
      <alignment horizontal="center" vertical="center" wrapText="1"/>
    </xf>
    <xf numFmtId="0" fontId="64" fillId="15" borderId="6" xfId="0" applyFont="1" applyFill="1" applyBorder="1" applyAlignment="1">
      <alignment horizontal="center" vertical="center" wrapText="1"/>
    </xf>
    <xf numFmtId="0" fontId="64" fillId="15" borderId="1" xfId="0" applyFont="1" applyFill="1" applyBorder="1" applyAlignment="1">
      <alignment horizontal="center" vertical="center" wrapText="1"/>
    </xf>
    <xf numFmtId="0" fontId="64" fillId="15" borderId="8" xfId="0" applyFont="1" applyFill="1" applyBorder="1"/>
    <xf numFmtId="0" fontId="64" fillId="15" borderId="7" xfId="0" applyFont="1" applyFill="1" applyBorder="1"/>
    <xf numFmtId="0" fontId="64" fillId="15" borderId="4" xfId="0" applyFont="1" applyFill="1" applyBorder="1"/>
    <xf numFmtId="0" fontId="64" fillId="15" borderId="1" xfId="0" applyFont="1" applyFill="1" applyBorder="1"/>
    <xf numFmtId="49" fontId="65" fillId="15" borderId="7" xfId="0" applyNumberFormat="1" applyFont="1" applyFill="1" applyBorder="1" applyAlignment="1">
      <alignment horizontal="center"/>
    </xf>
    <xf numFmtId="0" fontId="64" fillId="15" borderId="9" xfId="0" applyFont="1" applyFill="1" applyBorder="1"/>
    <xf numFmtId="16" fontId="39" fillId="5" borderId="5" xfId="0" applyNumberFormat="1" applyFont="1" applyFill="1" applyBorder="1" applyAlignment="1">
      <alignment horizontal="left" vertical="center" wrapText="1"/>
    </xf>
    <xf numFmtId="0" fontId="39" fillId="5" borderId="6" xfId="0" applyFont="1" applyFill="1" applyBorder="1" applyAlignment="1">
      <alignment vertical="center" wrapText="1"/>
    </xf>
    <xf numFmtId="0" fontId="39" fillId="5" borderId="6" xfId="0" applyFont="1" applyFill="1" applyBorder="1" applyAlignment="1">
      <alignment horizontal="center" vertical="center" wrapText="1"/>
    </xf>
    <xf numFmtId="0" fontId="64" fillId="5" borderId="6" xfId="0" applyFont="1" applyFill="1" applyBorder="1" applyAlignment="1">
      <alignment horizontal="center" vertical="center" wrapText="1"/>
    </xf>
    <xf numFmtId="0" fontId="64" fillId="5" borderId="13" xfId="0" applyFont="1" applyFill="1" applyBorder="1" applyAlignment="1">
      <alignment horizontal="center" vertical="center" wrapText="1"/>
    </xf>
    <xf numFmtId="49" fontId="67" fillId="5" borderId="7" xfId="0" applyNumberFormat="1" applyFont="1" applyFill="1" applyBorder="1" applyAlignment="1">
      <alignment horizontal="center"/>
    </xf>
    <xf numFmtId="0" fontId="64" fillId="5" borderId="8" xfId="0" applyFont="1" applyFill="1" applyBorder="1"/>
    <xf numFmtId="0" fontId="64" fillId="5" borderId="7" xfId="0" applyFont="1" applyFill="1" applyBorder="1"/>
    <xf numFmtId="0" fontId="64" fillId="5" borderId="24" xfId="0" applyFont="1" applyFill="1" applyBorder="1"/>
    <xf numFmtId="0" fontId="64" fillId="5" borderId="1" xfId="0" applyFont="1" applyFill="1" applyBorder="1"/>
    <xf numFmtId="0" fontId="64" fillId="5" borderId="4" xfId="0" applyFont="1" applyFill="1" applyBorder="1"/>
    <xf numFmtId="0" fontId="39" fillId="14" borderId="1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 wrapText="1"/>
    </xf>
    <xf numFmtId="0" fontId="39" fillId="15" borderId="1" xfId="0" applyFont="1" applyFill="1" applyBorder="1" applyAlignment="1">
      <alignment horizontal="center" vertical="center" wrapText="1"/>
    </xf>
    <xf numFmtId="0" fontId="64" fillId="5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right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68" fillId="25" borderId="6" xfId="0" applyFont="1" applyFill="1" applyBorder="1" applyAlignment="1">
      <alignment vertical="center" wrapText="1"/>
    </xf>
    <xf numFmtId="0" fontId="69" fillId="7" borderId="6" xfId="0" applyFont="1" applyFill="1" applyBorder="1" applyAlignment="1">
      <alignment vertical="center" wrapText="1"/>
    </xf>
    <xf numFmtId="0" fontId="22" fillId="6" borderId="0" xfId="0" applyFont="1" applyFill="1" applyAlignment="1">
      <alignment horizontal="left" vertical="center"/>
    </xf>
    <xf numFmtId="0" fontId="2" fillId="0" borderId="0" xfId="0" applyFont="1"/>
    <xf numFmtId="0" fontId="20" fillId="0" borderId="0" xfId="0" applyFont="1"/>
    <xf numFmtId="16" fontId="21" fillId="2" borderId="0" xfId="0" applyNumberFormat="1" applyFont="1" applyFill="1" applyAlignment="1">
      <alignment horizontal="left" vertical="center" wrapText="1"/>
    </xf>
    <xf numFmtId="0" fontId="0" fillId="0" borderId="0" xfId="0"/>
    <xf numFmtId="0" fontId="22" fillId="6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37" fillId="14" borderId="2" xfId="0" applyFont="1" applyFill="1" applyBorder="1" applyAlignment="1">
      <alignment horizontal="left" vertical="center" wrapText="1"/>
    </xf>
    <xf numFmtId="0" fontId="37" fillId="14" borderId="3" xfId="0" applyFont="1" applyFill="1" applyBorder="1" applyAlignment="1">
      <alignment horizontal="left" vertical="center" wrapText="1"/>
    </xf>
    <xf numFmtId="0" fontId="37" fillId="14" borderId="4" xfId="0" applyFont="1" applyFill="1" applyBorder="1" applyAlignment="1">
      <alignment horizontal="left" vertical="center" wrapText="1"/>
    </xf>
    <xf numFmtId="0" fontId="22" fillId="14" borderId="2" xfId="0" applyFont="1" applyFill="1" applyBorder="1" applyAlignment="1">
      <alignment horizontal="left" vertical="center" wrapText="1"/>
    </xf>
    <xf numFmtId="0" fontId="22" fillId="14" borderId="3" xfId="0" applyFont="1" applyFill="1" applyBorder="1" applyAlignment="1">
      <alignment horizontal="left" vertical="center" wrapText="1"/>
    </xf>
    <xf numFmtId="0" fontId="22" fillId="14" borderId="4" xfId="0" applyFont="1" applyFill="1" applyBorder="1" applyAlignment="1">
      <alignment horizontal="left" vertical="center" wrapText="1"/>
    </xf>
    <xf numFmtId="0" fontId="22" fillId="6" borderId="2" xfId="0" applyFont="1" applyFill="1" applyBorder="1" applyAlignment="1">
      <alignment horizontal="left" wrapText="1"/>
    </xf>
    <xf numFmtId="0" fontId="22" fillId="6" borderId="3" xfId="0" applyFont="1" applyFill="1" applyBorder="1" applyAlignment="1">
      <alignment horizontal="left" wrapText="1"/>
    </xf>
    <xf numFmtId="0" fontId="22" fillId="6" borderId="2" xfId="0" applyFont="1" applyFill="1" applyBorder="1" applyAlignment="1">
      <alignment horizontal="center" wrapText="1"/>
    </xf>
    <xf numFmtId="0" fontId="22" fillId="6" borderId="3" xfId="0" applyFont="1" applyFill="1" applyBorder="1" applyAlignment="1">
      <alignment horizontal="center" wrapText="1"/>
    </xf>
    <xf numFmtId="0" fontId="22" fillId="6" borderId="4" xfId="0" applyFont="1" applyFill="1" applyBorder="1" applyAlignment="1">
      <alignment horizontal="center" wrapText="1"/>
    </xf>
    <xf numFmtId="0" fontId="29" fillId="14" borderId="2" xfId="0" applyFont="1" applyFill="1" applyBorder="1" applyAlignment="1">
      <alignment horizontal="left" vertical="center" wrapText="1"/>
    </xf>
    <xf numFmtId="0" fontId="57" fillId="0" borderId="3" xfId="0" applyFont="1" applyBorder="1" applyAlignment="1">
      <alignment horizontal="left" vertical="center" wrapText="1"/>
    </xf>
    <xf numFmtId="0" fontId="57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5" fillId="5" borderId="0" xfId="0" applyFont="1" applyFill="1" applyAlignment="1">
      <alignment horizontal="center"/>
    </xf>
    <xf numFmtId="0" fontId="55" fillId="5" borderId="0" xfId="0" applyFont="1" applyFill="1" applyAlignment="1">
      <alignment horizontal="left" vertical="center"/>
    </xf>
    <xf numFmtId="0" fontId="55" fillId="5" borderId="0" xfId="0" applyFont="1" applyFill="1" applyAlignment="1">
      <alignment horizontal="right" vertical="center"/>
    </xf>
    <xf numFmtId="0" fontId="56" fillId="5" borderId="0" xfId="0" applyFont="1" applyFill="1"/>
    <xf numFmtId="0" fontId="54" fillId="5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0" fontId="55" fillId="5" borderId="0" xfId="0" applyFont="1" applyFill="1" applyAlignment="1">
      <alignment horizontal="left"/>
    </xf>
    <xf numFmtId="0" fontId="56" fillId="5" borderId="0" xfId="0" applyFont="1" applyFill="1" applyAlignment="1">
      <alignment horizontal="left"/>
    </xf>
    <xf numFmtId="0" fontId="55" fillId="5" borderId="0" xfId="0" applyFont="1" applyFill="1"/>
    <xf numFmtId="0" fontId="55" fillId="5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0" fontId="19" fillId="0" borderId="0" xfId="0" applyFont="1"/>
    <xf numFmtId="0" fontId="20" fillId="22" borderId="2" xfId="0" applyFont="1" applyFill="1" applyBorder="1" applyAlignment="1">
      <alignment horizontal="center" vertical="center" wrapText="1"/>
    </xf>
    <xf numFmtId="0" fontId="20" fillId="22" borderId="4" xfId="0" applyFont="1" applyFill="1" applyBorder="1" applyAlignment="1">
      <alignment horizontal="center" vertical="center" wrapText="1"/>
    </xf>
    <xf numFmtId="0" fontId="20" fillId="19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20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/>
    <xf numFmtId="0" fontId="23" fillId="5" borderId="4" xfId="0" applyFont="1" applyFill="1" applyBorder="1"/>
    <xf numFmtId="0" fontId="55" fillId="5" borderId="2" xfId="0" applyFont="1" applyFill="1" applyBorder="1" applyAlignment="1">
      <alignment horizontal="center"/>
    </xf>
    <xf numFmtId="0" fontId="55" fillId="5" borderId="4" xfId="0" applyFont="1" applyFill="1" applyBorder="1" applyAlignment="1">
      <alignment horizontal="center"/>
    </xf>
    <xf numFmtId="0" fontId="55" fillId="5" borderId="7" xfId="0" applyFont="1" applyFill="1" applyBorder="1" applyAlignment="1">
      <alignment horizontal="center"/>
    </xf>
    <xf numFmtId="0" fontId="55" fillId="5" borderId="5" xfId="0" applyFont="1" applyFill="1" applyBorder="1" applyAlignment="1">
      <alignment horizontal="center"/>
    </xf>
    <xf numFmtId="0" fontId="55" fillId="5" borderId="3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left"/>
    </xf>
    <xf numFmtId="0" fontId="26" fillId="10" borderId="2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left"/>
    </xf>
    <xf numFmtId="0" fontId="23" fillId="6" borderId="0" xfId="0" applyFont="1" applyFill="1" applyAlignment="1">
      <alignment horizontal="left"/>
    </xf>
    <xf numFmtId="0" fontId="22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/>
    </xf>
    <xf numFmtId="0" fontId="22" fillId="6" borderId="0" xfId="0" applyFont="1" applyFill="1" applyAlignment="1">
      <alignment vertical="center"/>
    </xf>
    <xf numFmtId="0" fontId="22" fillId="6" borderId="0" xfId="0" applyFont="1" applyFill="1" applyAlignment="1">
      <alignment horizontal="right" vertical="center"/>
    </xf>
    <xf numFmtId="0" fontId="23" fillId="6" borderId="0" xfId="0" applyFont="1" applyFill="1"/>
    <xf numFmtId="0" fontId="22" fillId="6" borderId="0" xfId="0" applyFont="1" applyFill="1"/>
    <xf numFmtId="0" fontId="18" fillId="7" borderId="7" xfId="0" applyFont="1" applyFill="1" applyBorder="1" applyAlignment="1">
      <alignment horizontal="center"/>
    </xf>
    <xf numFmtId="0" fontId="18" fillId="7" borderId="5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20" fillId="2" borderId="0" xfId="0" applyFont="1" applyFill="1" applyAlignment="1">
      <alignment vertical="center" wrapText="1"/>
    </xf>
    <xf numFmtId="0" fontId="0" fillId="2" borderId="0" xfId="0" applyFill="1"/>
    <xf numFmtId="0" fontId="18" fillId="17" borderId="2" xfId="0" applyFont="1" applyFill="1" applyBorder="1" applyAlignment="1">
      <alignment horizontal="center"/>
    </xf>
    <xf numFmtId="0" fontId="18" fillId="17" borderId="4" xfId="0" applyFont="1" applyFill="1" applyBorder="1" applyAlignment="1">
      <alignment horizontal="center"/>
    </xf>
    <xf numFmtId="0" fontId="20" fillId="17" borderId="2" xfId="0" applyFont="1" applyFill="1" applyBorder="1" applyAlignment="1">
      <alignment horizontal="center"/>
    </xf>
    <xf numFmtId="0" fontId="20" fillId="17" borderId="4" xfId="0" applyFont="1" applyFill="1" applyBorder="1" applyAlignment="1">
      <alignment horizontal="center"/>
    </xf>
    <xf numFmtId="0" fontId="18" fillId="17" borderId="7" xfId="0" applyFont="1" applyFill="1" applyBorder="1" applyAlignment="1">
      <alignment horizontal="center"/>
    </xf>
    <xf numFmtId="0" fontId="18" fillId="17" borderId="5" xfId="0" applyFont="1" applyFill="1" applyBorder="1" applyAlignment="1">
      <alignment horizontal="center"/>
    </xf>
    <xf numFmtId="0" fontId="18" fillId="17" borderId="3" xfId="0" applyFont="1" applyFill="1" applyBorder="1" applyAlignment="1">
      <alignment horizontal="center"/>
    </xf>
    <xf numFmtId="0" fontId="20" fillId="17" borderId="7" xfId="0" applyFont="1" applyFill="1" applyBorder="1" applyAlignment="1">
      <alignment horizontal="center"/>
    </xf>
    <xf numFmtId="0" fontId="20" fillId="17" borderId="5" xfId="0" applyFont="1" applyFill="1" applyBorder="1" applyAlignment="1">
      <alignment horizontal="center"/>
    </xf>
    <xf numFmtId="0" fontId="20" fillId="17" borderId="3" xfId="0" applyFont="1" applyFill="1" applyBorder="1" applyAlignment="1">
      <alignment horizontal="center"/>
    </xf>
    <xf numFmtId="0" fontId="51" fillId="7" borderId="2" xfId="0" applyFont="1" applyFill="1" applyBorder="1" applyAlignment="1">
      <alignment horizontal="center"/>
    </xf>
    <xf numFmtId="0" fontId="51" fillId="7" borderId="3" xfId="0" applyFont="1" applyFill="1" applyBorder="1" applyAlignment="1">
      <alignment horizontal="center"/>
    </xf>
    <xf numFmtId="0" fontId="51" fillId="7" borderId="4" xfId="0" applyFont="1" applyFill="1" applyBorder="1" applyAlignment="1">
      <alignment horizontal="center"/>
    </xf>
    <xf numFmtId="0" fontId="39" fillId="14" borderId="2" xfId="0" applyFont="1" applyFill="1" applyBorder="1" applyAlignment="1">
      <alignment horizontal="left" vertical="center" wrapText="1"/>
    </xf>
    <xf numFmtId="0" fontId="39" fillId="14" borderId="3" xfId="0" applyFont="1" applyFill="1" applyBorder="1" applyAlignment="1">
      <alignment horizontal="left" vertical="center" wrapText="1"/>
    </xf>
    <xf numFmtId="0" fontId="39" fillId="14" borderId="4" xfId="0" applyFont="1" applyFill="1" applyBorder="1" applyAlignment="1">
      <alignment horizontal="left" vertical="center" wrapText="1"/>
    </xf>
    <xf numFmtId="0" fontId="51" fillId="7" borderId="2" xfId="0" applyFont="1" applyFill="1" applyBorder="1" applyAlignment="1">
      <alignment horizontal="left" wrapText="1"/>
    </xf>
    <xf numFmtId="0" fontId="51" fillId="7" borderId="3" xfId="0" applyFont="1" applyFill="1" applyBorder="1" applyAlignment="1">
      <alignment horizontal="left" wrapText="1"/>
    </xf>
    <xf numFmtId="0" fontId="51" fillId="7" borderId="2" xfId="0" applyFont="1" applyFill="1" applyBorder="1" applyAlignment="1">
      <alignment horizontal="center" wrapText="1"/>
    </xf>
    <xf numFmtId="0" fontId="51" fillId="7" borderId="3" xfId="0" applyFont="1" applyFill="1" applyBorder="1" applyAlignment="1">
      <alignment horizontal="center" wrapText="1"/>
    </xf>
    <xf numFmtId="0" fontId="51" fillId="7" borderId="4" xfId="0" applyFont="1" applyFill="1" applyBorder="1" applyAlignment="1">
      <alignment horizontal="center" wrapText="1"/>
    </xf>
    <xf numFmtId="0" fontId="51" fillId="7" borderId="2" xfId="0" applyFont="1" applyFill="1" applyBorder="1" applyAlignment="1">
      <alignment horizontal="center" vertical="center" wrapText="1"/>
    </xf>
    <xf numFmtId="0" fontId="51" fillId="7" borderId="3" xfId="0" applyFont="1" applyFill="1" applyBorder="1" applyAlignment="1">
      <alignment horizontal="center" vertical="center" wrapText="1"/>
    </xf>
    <xf numFmtId="0" fontId="51" fillId="7" borderId="4" xfId="0" applyFont="1" applyFill="1" applyBorder="1" applyAlignment="1">
      <alignment horizontal="center" vertical="center" wrapText="1"/>
    </xf>
    <xf numFmtId="0" fontId="39" fillId="17" borderId="2" xfId="0" applyFont="1" applyFill="1" applyBorder="1" applyAlignment="1">
      <alignment horizontal="center"/>
    </xf>
    <xf numFmtId="0" fontId="39" fillId="17" borderId="3" xfId="0" applyFont="1" applyFill="1" applyBorder="1" applyAlignment="1">
      <alignment horizontal="center"/>
    </xf>
    <xf numFmtId="0" fontId="39" fillId="17" borderId="4" xfId="0" applyFont="1" applyFill="1" applyBorder="1" applyAlignment="1">
      <alignment horizontal="center"/>
    </xf>
    <xf numFmtId="0" fontId="48" fillId="14" borderId="2" xfId="0" applyFont="1" applyFill="1" applyBorder="1" applyAlignment="1">
      <alignment horizontal="left" vertical="center" wrapText="1"/>
    </xf>
    <xf numFmtId="0" fontId="48" fillId="14" borderId="3" xfId="0" applyFont="1" applyFill="1" applyBorder="1" applyAlignment="1">
      <alignment horizontal="left" vertical="center" wrapText="1"/>
    </xf>
    <xf numFmtId="0" fontId="48" fillId="14" borderId="4" xfId="0" applyFont="1" applyFill="1" applyBorder="1" applyAlignment="1">
      <alignment horizontal="left" vertical="center" wrapText="1"/>
    </xf>
    <xf numFmtId="0" fontId="39" fillId="17" borderId="2" xfId="0" applyFont="1" applyFill="1" applyBorder="1" applyAlignment="1">
      <alignment horizontal="left" wrapText="1"/>
    </xf>
    <xf numFmtId="0" fontId="39" fillId="17" borderId="3" xfId="0" applyFont="1" applyFill="1" applyBorder="1" applyAlignment="1">
      <alignment horizontal="left" wrapText="1"/>
    </xf>
    <xf numFmtId="0" fontId="39" fillId="17" borderId="2" xfId="0" applyFont="1" applyFill="1" applyBorder="1" applyAlignment="1">
      <alignment horizontal="center" wrapText="1"/>
    </xf>
    <xf numFmtId="0" fontId="39" fillId="17" borderId="3" xfId="0" applyFont="1" applyFill="1" applyBorder="1" applyAlignment="1">
      <alignment horizontal="center" wrapText="1"/>
    </xf>
    <xf numFmtId="0" fontId="39" fillId="17" borderId="4" xfId="0" applyFont="1" applyFill="1" applyBorder="1" applyAlignment="1">
      <alignment horizontal="center" wrapText="1"/>
    </xf>
    <xf numFmtId="0" fontId="39" fillId="17" borderId="2" xfId="0" applyFont="1" applyFill="1" applyBorder="1" applyAlignment="1">
      <alignment horizontal="center" vertical="center" wrapText="1"/>
    </xf>
    <xf numFmtId="0" fontId="39" fillId="17" borderId="3" xfId="0" applyFont="1" applyFill="1" applyBorder="1" applyAlignment="1">
      <alignment horizontal="center" vertical="center" wrapText="1"/>
    </xf>
    <xf numFmtId="0" fontId="39" fillId="17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9" fillId="14" borderId="10" xfId="0" applyFont="1" applyFill="1" applyBorder="1" applyAlignment="1">
      <alignment horizontal="left" vertical="center" wrapText="1"/>
    </xf>
    <xf numFmtId="0" fontId="39" fillId="14" borderId="16" xfId="0" applyFont="1" applyFill="1" applyBorder="1" applyAlignment="1">
      <alignment horizontal="left" vertical="center" wrapText="1"/>
    </xf>
    <xf numFmtId="0" fontId="39" fillId="14" borderId="6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left" wrapText="1"/>
    </xf>
    <xf numFmtId="0" fontId="20" fillId="3" borderId="2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wrapText="1"/>
    </xf>
    <xf numFmtId="0" fontId="28" fillId="2" borderId="3" xfId="0" applyFont="1" applyFill="1" applyBorder="1" applyAlignment="1">
      <alignment horizontal="center" wrapText="1"/>
    </xf>
    <xf numFmtId="0" fontId="28" fillId="2" borderId="4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left" wrapText="1"/>
    </xf>
    <xf numFmtId="0" fontId="28" fillId="2" borderId="3" xfId="0" applyFont="1" applyFill="1" applyBorder="1" applyAlignment="1">
      <alignment horizontal="left" wrapText="1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30" fillId="14" borderId="2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wrapText="1"/>
    </xf>
    <xf numFmtId="0" fontId="20" fillId="2" borderId="3" xfId="0" applyFont="1" applyFill="1" applyBorder="1" applyAlignment="1">
      <alignment horizontal="left" wrapText="1"/>
    </xf>
    <xf numFmtId="0" fontId="20" fillId="2" borderId="2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49" fillId="0" borderId="3" xfId="0" applyFont="1" applyBorder="1" applyAlignment="1">
      <alignment horizontal="left" vertical="center" wrapText="1"/>
    </xf>
    <xf numFmtId="0" fontId="49" fillId="0" borderId="4" xfId="0" applyFont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wrapText="1"/>
    </xf>
    <xf numFmtId="0" fontId="22" fillId="8" borderId="3" xfId="0" applyFont="1" applyFill="1" applyBorder="1" applyAlignment="1">
      <alignment horizontal="left" wrapText="1"/>
    </xf>
    <xf numFmtId="0" fontId="22" fillId="8" borderId="2" xfId="0" applyFont="1" applyFill="1" applyBorder="1" applyAlignment="1">
      <alignment horizontal="center" wrapText="1"/>
    </xf>
    <xf numFmtId="0" fontId="22" fillId="8" borderId="3" xfId="0" applyFont="1" applyFill="1" applyBorder="1" applyAlignment="1">
      <alignment horizontal="center" wrapText="1"/>
    </xf>
    <xf numFmtId="0" fontId="22" fillId="8" borderId="4" xfId="0" applyFont="1" applyFill="1" applyBorder="1" applyAlignment="1">
      <alignment horizont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2" fillId="9" borderId="2" xfId="0" applyFont="1" applyFill="1" applyBorder="1" applyAlignment="1">
      <alignment horizontal="center"/>
    </xf>
    <xf numFmtId="0" fontId="23" fillId="9" borderId="3" xfId="0" applyFont="1" applyFill="1" applyBorder="1" applyAlignment="1">
      <alignment horizontal="center"/>
    </xf>
    <xf numFmtId="0" fontId="23" fillId="9" borderId="4" xfId="0" applyFont="1" applyFill="1" applyBorder="1" applyAlignment="1">
      <alignment horizontal="center"/>
    </xf>
    <xf numFmtId="0" fontId="22" fillId="9" borderId="2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left" wrapText="1"/>
    </xf>
    <xf numFmtId="0" fontId="22" fillId="9" borderId="3" xfId="0" applyFont="1" applyFill="1" applyBorder="1" applyAlignment="1">
      <alignment horizontal="left" wrapText="1"/>
    </xf>
    <xf numFmtId="0" fontId="22" fillId="9" borderId="2" xfId="0" applyFont="1" applyFill="1" applyBorder="1" applyAlignment="1">
      <alignment horizontal="center" wrapText="1"/>
    </xf>
    <xf numFmtId="0" fontId="22" fillId="9" borderId="3" xfId="0" applyFont="1" applyFill="1" applyBorder="1" applyAlignment="1">
      <alignment horizontal="center" wrapText="1"/>
    </xf>
    <xf numFmtId="0" fontId="22" fillId="9" borderId="4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2" fillId="14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0" fillId="5" borderId="2" xfId="0" applyFont="1" applyFill="1" applyBorder="1" applyAlignment="1">
      <alignment horizontal="center"/>
    </xf>
    <xf numFmtId="0" fontId="40" fillId="5" borderId="3" xfId="0" applyFont="1" applyFill="1" applyBorder="1" applyAlignment="1">
      <alignment horizontal="center"/>
    </xf>
    <xf numFmtId="0" fontId="40" fillId="5" borderId="4" xfId="0" applyFont="1" applyFill="1" applyBorder="1" applyAlignment="1">
      <alignment horizontal="center"/>
    </xf>
    <xf numFmtId="0" fontId="61" fillId="14" borderId="2" xfId="0" applyFont="1" applyFill="1" applyBorder="1" applyAlignment="1">
      <alignment horizontal="left" vertical="center" wrapText="1"/>
    </xf>
    <xf numFmtId="0" fontId="61" fillId="14" borderId="3" xfId="0" applyFont="1" applyFill="1" applyBorder="1" applyAlignment="1">
      <alignment horizontal="left" vertical="center" wrapText="1"/>
    </xf>
    <xf numFmtId="0" fontId="61" fillId="14" borderId="4" xfId="0" applyFont="1" applyFill="1" applyBorder="1" applyAlignment="1">
      <alignment horizontal="left" vertical="center" wrapText="1"/>
    </xf>
    <xf numFmtId="0" fontId="40" fillId="5" borderId="2" xfId="0" applyFont="1" applyFill="1" applyBorder="1" applyAlignment="1">
      <alignment horizontal="left" wrapText="1"/>
    </xf>
    <xf numFmtId="0" fontId="40" fillId="5" borderId="3" xfId="0" applyFont="1" applyFill="1" applyBorder="1" applyAlignment="1">
      <alignment horizontal="left" wrapText="1"/>
    </xf>
    <xf numFmtId="0" fontId="40" fillId="5" borderId="2" xfId="0" applyFont="1" applyFill="1" applyBorder="1" applyAlignment="1">
      <alignment horizontal="center" wrapText="1"/>
    </xf>
    <xf numFmtId="0" fontId="40" fillId="5" borderId="3" xfId="0" applyFont="1" applyFill="1" applyBorder="1" applyAlignment="1">
      <alignment horizontal="center" wrapText="1"/>
    </xf>
    <xf numFmtId="0" fontId="40" fillId="5" borderId="4" xfId="0" applyFont="1" applyFill="1" applyBorder="1" applyAlignment="1">
      <alignment horizontal="center" wrapText="1"/>
    </xf>
    <xf numFmtId="0" fontId="40" fillId="5" borderId="2" xfId="0" applyFont="1" applyFill="1" applyBorder="1" applyAlignment="1">
      <alignment horizontal="center" vertical="center" wrapText="1"/>
    </xf>
    <xf numFmtId="0" fontId="40" fillId="5" borderId="3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/>
    </xf>
    <xf numFmtId="0" fontId="22" fillId="9" borderId="4" xfId="0" applyFont="1" applyFill="1" applyBorder="1" applyAlignment="1">
      <alignment horizontal="center"/>
    </xf>
    <xf numFmtId="0" fontId="22" fillId="16" borderId="2" xfId="0" applyFont="1" applyFill="1" applyBorder="1" applyAlignment="1">
      <alignment horizontal="center"/>
    </xf>
    <xf numFmtId="0" fontId="22" fillId="16" borderId="3" xfId="0" applyFont="1" applyFill="1" applyBorder="1" applyAlignment="1">
      <alignment horizontal="center"/>
    </xf>
    <xf numFmtId="0" fontId="22" fillId="16" borderId="4" xfId="0" applyFont="1" applyFill="1" applyBorder="1" applyAlignment="1">
      <alignment horizontal="center"/>
    </xf>
    <xf numFmtId="0" fontId="22" fillId="16" borderId="2" xfId="0" applyFont="1" applyFill="1" applyBorder="1" applyAlignment="1">
      <alignment horizontal="left" wrapText="1"/>
    </xf>
    <xf numFmtId="0" fontId="22" fillId="16" borderId="3" xfId="0" applyFont="1" applyFill="1" applyBorder="1" applyAlignment="1">
      <alignment horizontal="left" wrapText="1"/>
    </xf>
    <xf numFmtId="0" fontId="22" fillId="16" borderId="2" xfId="0" applyFont="1" applyFill="1" applyBorder="1" applyAlignment="1">
      <alignment horizontal="center" wrapText="1"/>
    </xf>
    <xf numFmtId="0" fontId="22" fillId="16" borderId="3" xfId="0" applyFont="1" applyFill="1" applyBorder="1" applyAlignment="1">
      <alignment horizontal="center" wrapText="1"/>
    </xf>
    <xf numFmtId="0" fontId="22" fillId="16" borderId="4" xfId="0" applyFont="1" applyFill="1" applyBorder="1" applyAlignment="1">
      <alignment horizontal="center" wrapText="1"/>
    </xf>
    <xf numFmtId="0" fontId="22" fillId="16" borderId="2" xfId="0" applyFont="1" applyFill="1" applyBorder="1" applyAlignment="1">
      <alignment horizontal="center" vertical="center" wrapText="1"/>
    </xf>
    <xf numFmtId="0" fontId="22" fillId="16" borderId="3" xfId="0" applyFont="1" applyFill="1" applyBorder="1" applyAlignment="1">
      <alignment horizontal="center" vertical="center" wrapText="1"/>
    </xf>
    <xf numFmtId="0" fontId="22" fillId="16" borderId="4" xfId="0" applyFont="1" applyFill="1" applyBorder="1" applyAlignment="1">
      <alignment horizontal="center" vertical="center" wrapText="1"/>
    </xf>
    <xf numFmtId="0" fontId="41" fillId="14" borderId="2" xfId="0" applyFont="1" applyFill="1" applyBorder="1" applyAlignment="1">
      <alignment horizontal="left" vertical="center" wrapText="1"/>
    </xf>
    <xf numFmtId="0" fontId="41" fillId="14" borderId="3" xfId="0" applyFont="1" applyFill="1" applyBorder="1" applyAlignment="1">
      <alignment horizontal="left" vertical="center" wrapText="1"/>
    </xf>
    <xf numFmtId="0" fontId="41" fillId="14" borderId="4" xfId="0" applyFont="1" applyFill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48" fillId="14" borderId="10" xfId="0" applyFont="1" applyFill="1" applyBorder="1" applyAlignment="1">
      <alignment horizontal="left" vertical="center" wrapText="1"/>
    </xf>
    <xf numFmtId="0" fontId="48" fillId="14" borderId="16" xfId="0" applyFont="1" applyFill="1" applyBorder="1" applyAlignment="1">
      <alignment horizontal="left" vertical="center" wrapText="1"/>
    </xf>
    <xf numFmtId="0" fontId="48" fillId="14" borderId="6" xfId="0" applyFont="1" applyFill="1" applyBorder="1" applyAlignment="1">
      <alignment horizontal="left" vertical="center" wrapText="1"/>
    </xf>
    <xf numFmtId="0" fontId="30" fillId="3" borderId="2" xfId="0" applyFont="1" applyFill="1" applyBorder="1" applyAlignment="1">
      <alignment horizontal="left" wrapText="1"/>
    </xf>
    <xf numFmtId="0" fontId="30" fillId="3" borderId="3" xfId="0" applyFont="1" applyFill="1" applyBorder="1" applyAlignment="1">
      <alignment horizontal="left" wrapText="1"/>
    </xf>
    <xf numFmtId="0" fontId="30" fillId="3" borderId="2" xfId="0" applyFont="1" applyFill="1" applyBorder="1" applyAlignment="1">
      <alignment horizontal="center" wrapText="1"/>
    </xf>
    <xf numFmtId="0" fontId="30" fillId="3" borderId="3" xfId="0" applyFont="1" applyFill="1" applyBorder="1" applyAlignment="1">
      <alignment horizontal="center" wrapText="1"/>
    </xf>
    <xf numFmtId="0" fontId="30" fillId="3" borderId="4" xfId="0" applyFont="1" applyFill="1" applyBorder="1" applyAlignment="1">
      <alignment horizont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22" fillId="14" borderId="8" xfId="0" applyFont="1" applyFill="1" applyBorder="1" applyAlignment="1">
      <alignment horizontal="left" vertical="center" wrapText="1"/>
    </xf>
    <xf numFmtId="0" fontId="22" fillId="14" borderId="9" xfId="0" applyFont="1" applyFill="1" applyBorder="1" applyAlignment="1">
      <alignment horizontal="left" vertical="center" wrapText="1"/>
    </xf>
    <xf numFmtId="0" fontId="22" fillId="14" borderId="24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0" fontId="19" fillId="8" borderId="4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left" wrapText="1"/>
    </xf>
    <xf numFmtId="0" fontId="19" fillId="8" borderId="3" xfId="0" applyFont="1" applyFill="1" applyBorder="1" applyAlignment="1">
      <alignment horizontal="left" wrapText="1"/>
    </xf>
    <xf numFmtId="0" fontId="19" fillId="8" borderId="2" xfId="0" applyFont="1" applyFill="1" applyBorder="1" applyAlignment="1">
      <alignment horizontal="center" wrapText="1"/>
    </xf>
    <xf numFmtId="0" fontId="19" fillId="8" borderId="3" xfId="0" applyFont="1" applyFill="1" applyBorder="1" applyAlignment="1">
      <alignment horizontal="center" wrapText="1"/>
    </xf>
    <xf numFmtId="0" fontId="19" fillId="8" borderId="4" xfId="0" applyFont="1" applyFill="1" applyBorder="1" applyAlignment="1">
      <alignment horizont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16" fontId="20" fillId="2" borderId="0" xfId="0" applyNumberFormat="1" applyFont="1" applyFill="1" applyAlignment="1">
      <alignment horizontal="left" vertical="center" wrapText="1"/>
    </xf>
    <xf numFmtId="0" fontId="18" fillId="0" borderId="0" xfId="0" applyFont="1"/>
    <xf numFmtId="0" fontId="22" fillId="3" borderId="2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wrapText="1"/>
    </xf>
    <xf numFmtId="0" fontId="22" fillId="3" borderId="3" xfId="0" applyFont="1" applyFill="1" applyBorder="1" applyAlignment="1">
      <alignment horizontal="left" wrapText="1"/>
    </xf>
    <xf numFmtId="0" fontId="22" fillId="3" borderId="2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16" fontId="39" fillId="14" borderId="5" xfId="0" applyNumberFormat="1" applyFont="1" applyFill="1" applyBorder="1" applyAlignment="1">
      <alignment horizontal="left" vertical="center" wrapText="1"/>
    </xf>
    <xf numFmtId="0" fontId="39" fillId="14" borderId="6" xfId="0" applyFont="1" applyFill="1" applyBorder="1" applyAlignment="1">
      <alignment vertical="center" wrapText="1"/>
    </xf>
    <xf numFmtId="0" fontId="39" fillId="14" borderId="6" xfId="0" applyFont="1" applyFill="1" applyBorder="1" applyAlignment="1">
      <alignment horizontal="center" vertical="center" wrapText="1"/>
    </xf>
    <xf numFmtId="0" fontId="64" fillId="14" borderId="6" xfId="0" applyFont="1" applyFill="1" applyBorder="1" applyAlignment="1">
      <alignment horizontal="center" vertical="center" wrapText="1"/>
    </xf>
    <xf numFmtId="49" fontId="66" fillId="14" borderId="7" xfId="0" applyNumberFormat="1" applyFont="1" applyFill="1" applyBorder="1" applyAlignment="1">
      <alignment horizontal="center"/>
    </xf>
    <xf numFmtId="0" fontId="64" fillId="14" borderId="4" xfId="0" applyFont="1" applyFill="1" applyBorder="1"/>
    <xf numFmtId="0" fontId="64" fillId="14" borderId="1" xfId="0" applyFont="1" applyFill="1" applyBorder="1"/>
    <xf numFmtId="0" fontId="1" fillId="0" borderId="0" xfId="0" applyFont="1"/>
    <xf numFmtId="16" fontId="61" fillId="14" borderId="5" xfId="0" applyNumberFormat="1" applyFont="1" applyFill="1" applyBorder="1" applyAlignment="1">
      <alignment horizontal="left" vertical="center" wrapText="1"/>
    </xf>
    <xf numFmtId="0" fontId="61" fillId="14" borderId="6" xfId="0" applyFont="1" applyFill="1" applyBorder="1" applyAlignment="1">
      <alignment vertical="center" wrapText="1"/>
    </xf>
    <xf numFmtId="0" fontId="61" fillId="14" borderId="6" xfId="0" applyFont="1" applyFill="1" applyBorder="1" applyAlignment="1">
      <alignment horizontal="center" vertical="center" wrapText="1"/>
    </xf>
    <xf numFmtId="0" fontId="62" fillId="14" borderId="6" xfId="0" applyFont="1" applyFill="1" applyBorder="1" applyAlignment="1">
      <alignment horizontal="center" vertical="center" wrapText="1"/>
    </xf>
    <xf numFmtId="0" fontId="62" fillId="14" borderId="13" xfId="0" applyFont="1" applyFill="1" applyBorder="1" applyAlignment="1">
      <alignment horizontal="center" vertical="center" wrapText="1"/>
    </xf>
    <xf numFmtId="49" fontId="62" fillId="14" borderId="7" xfId="0" applyNumberFormat="1" applyFont="1" applyFill="1" applyBorder="1" applyAlignment="1">
      <alignment horizontal="center"/>
    </xf>
    <xf numFmtId="0" fontId="62" fillId="14" borderId="8" xfId="0" applyFont="1" applyFill="1" applyBorder="1"/>
    <xf numFmtId="0" fontId="62" fillId="14" borderId="7" xfId="0" applyFont="1" applyFill="1" applyBorder="1"/>
    <xf numFmtId="0" fontId="62" fillId="14" borderId="1" xfId="0" applyFont="1" applyFill="1" applyBorder="1"/>
    <xf numFmtId="0" fontId="62" fillId="14" borderId="9" xfId="0" applyFont="1" applyFill="1" applyBorder="1"/>
    <xf numFmtId="0" fontId="62" fillId="14" borderId="4" xfId="0" applyFont="1" applyFill="1" applyBorder="1"/>
    <xf numFmtId="0" fontId="62" fillId="15" borderId="13" xfId="0" applyFont="1" applyFill="1" applyBorder="1" applyAlignment="1">
      <alignment horizontal="center" vertical="center" wrapText="1"/>
    </xf>
    <xf numFmtId="0" fontId="71" fillId="15" borderId="6" xfId="0" applyFont="1" applyFill="1" applyBorder="1" applyAlignment="1">
      <alignment horizontal="center" vertical="center" wrapText="1"/>
    </xf>
    <xf numFmtId="16" fontId="41" fillId="15" borderId="5" xfId="0" applyNumberFormat="1" applyFont="1" applyFill="1" applyBorder="1" applyAlignment="1">
      <alignment horizontal="left" vertical="center" wrapText="1"/>
    </xf>
    <xf numFmtId="0" fontId="41" fillId="15" borderId="6" xfId="0" applyFont="1" applyFill="1" applyBorder="1" applyAlignment="1">
      <alignment vertical="center" wrapText="1"/>
    </xf>
    <xf numFmtId="0" fontId="41" fillId="15" borderId="6" xfId="0" applyFont="1" applyFill="1" applyBorder="1" applyAlignment="1">
      <alignment horizontal="center" vertical="center" wrapText="1"/>
    </xf>
    <xf numFmtId="0" fontId="71" fillId="15" borderId="13" xfId="0" applyFont="1" applyFill="1" applyBorder="1" applyAlignment="1">
      <alignment horizontal="center" vertical="center" wrapText="1"/>
    </xf>
    <xf numFmtId="49" fontId="72" fillId="15" borderId="7" xfId="0" applyNumberFormat="1" applyFont="1" applyFill="1" applyBorder="1" applyAlignment="1">
      <alignment horizontal="center"/>
    </xf>
    <xf numFmtId="0" fontId="71" fillId="15" borderId="8" xfId="0" applyFont="1" applyFill="1" applyBorder="1"/>
    <xf numFmtId="0" fontId="71" fillId="15" borderId="7" xfId="0" applyFont="1" applyFill="1" applyBorder="1"/>
    <xf numFmtId="0" fontId="71" fillId="15" borderId="1" xfId="0" applyFont="1" applyFill="1" applyBorder="1"/>
    <xf numFmtId="0" fontId="71" fillId="15" borderId="4" xfId="0" applyFont="1" applyFill="1" applyBorder="1"/>
    <xf numFmtId="49" fontId="70" fillId="5" borderId="7" xfId="0" applyNumberFormat="1" applyFont="1" applyFill="1" applyBorder="1" applyAlignment="1">
      <alignment horizontal="center"/>
    </xf>
    <xf numFmtId="0" fontId="23" fillId="6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CC3399"/>
      <color rgb="FFF2F2F2"/>
      <color rgb="FFA03A7C"/>
      <color rgb="FFFFCC00"/>
      <color rgb="FF000000"/>
      <color rgb="FF990099"/>
      <color rgb="FFFF3300"/>
      <color rgb="FFB43634"/>
      <color rgb="FFFF4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17253</xdr:colOff>
      <xdr:row>111</xdr:row>
      <xdr:rowOff>17253</xdr:rowOff>
    </xdr:from>
    <xdr:to>
      <xdr:col>2</xdr:col>
      <xdr:colOff>163291</xdr:colOff>
      <xdr:row>119</xdr:row>
      <xdr:rowOff>8015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7016C-1122-4ACA-984E-F39AA6D51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3" y="18520913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8625</xdr:colOff>
      <xdr:row>0</xdr:row>
      <xdr:rowOff>0</xdr:rowOff>
    </xdr:from>
    <xdr:to>
      <xdr:col>11</xdr:col>
      <xdr:colOff>51146</xdr:colOff>
      <xdr:row>7</xdr:row>
      <xdr:rowOff>171917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D98134-AA42-4898-9C32-CB8A774C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4157" y="0"/>
          <a:ext cx="1440000" cy="144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2</xdr:col>
      <xdr:colOff>542853</xdr:colOff>
      <xdr:row>38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005E70-A93A-4159-82ED-09F69E1F7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6672"/>
          <a:ext cx="1440000" cy="14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542853</xdr:colOff>
      <xdr:row>39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02DCA-9B1D-429E-9311-4332F9B13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2332"/>
          <a:ext cx="1440000" cy="14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2</xdr:col>
      <xdr:colOff>542853</xdr:colOff>
      <xdr:row>28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5237DF-F1D2-476C-B25C-CE1509CB6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7766"/>
          <a:ext cx="1440000" cy="14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542853</xdr:colOff>
      <xdr:row>36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26BCE-F10C-4039-BF68-FB8A05486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9638"/>
          <a:ext cx="1440000" cy="144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2</xdr:col>
      <xdr:colOff>542853</xdr:colOff>
      <xdr:row>35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FE3425-9E66-46E5-BA59-A53DD2CA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6672"/>
          <a:ext cx="1440000" cy="144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542853</xdr:colOff>
      <xdr:row>33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6DE0E2-1ED9-4B07-ABE7-50477F2F1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58264"/>
          <a:ext cx="1440000" cy="144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542853</xdr:colOff>
      <xdr:row>32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484870-849F-49CC-97AE-5493B695A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9638"/>
          <a:ext cx="1440000" cy="144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95F102-58EC-4253-8A6B-C602FE740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5404"/>
          <a:ext cx="1440000" cy="144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2</xdr:col>
      <xdr:colOff>542853</xdr:colOff>
      <xdr:row>26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B0CF72-835D-48CE-96F9-8782F9E05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6392"/>
          <a:ext cx="1440000" cy="144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E06B-B97C-4208-8693-A87598B31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9419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3</xdr:col>
      <xdr:colOff>215049</xdr:colOff>
      <xdr:row>64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B1C9E-AF64-4AC4-83DD-18A7246D4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7313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42</xdr:col>
      <xdr:colOff>603849</xdr:colOff>
      <xdr:row>0</xdr:row>
      <xdr:rowOff>0</xdr:rowOff>
    </xdr:from>
    <xdr:to>
      <xdr:col>45</xdr:col>
      <xdr:colOff>197796</xdr:colOff>
      <xdr:row>8</xdr:row>
      <xdr:rowOff>102906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5D0238-38F1-4F09-B70D-5CE4D2EF0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4724" y="0"/>
          <a:ext cx="1440000" cy="1440000"/>
        </a:xfrm>
        <a:prstGeom prst="rect">
          <a:avLst/>
        </a:prstGeom>
      </xdr:spPr>
    </xdr:pic>
    <xdr:clientData/>
  </xdr:twoCellAnchor>
  <xdr:oneCellAnchor>
    <xdr:from>
      <xdr:col>29</xdr:col>
      <xdr:colOff>609600</xdr:colOff>
      <xdr:row>25</xdr:row>
      <xdr:rowOff>19050</xdr:rowOff>
    </xdr:from>
    <xdr:ext cx="298150" cy="302284"/>
    <xdr:sp macro="" textlink="">
      <xdr:nvSpPr>
        <xdr:cNvPr id="4" name="AutoShape 9" descr="Bath Rugby">
          <a:extLst>
            <a:ext uri="{FF2B5EF4-FFF2-40B4-BE49-F238E27FC236}">
              <a16:creationId xmlns:a16="http://schemas.microsoft.com/office/drawing/2014/main" id="{1BC902DE-16C4-44A5-8ECC-6A6E9CD54A02}"/>
            </a:ext>
          </a:extLst>
        </xdr:cNvPr>
        <xdr:cNvSpPr>
          <a:spLocks noChangeAspect="1" noChangeArrowheads="1"/>
        </xdr:cNvSpPr>
      </xdr:nvSpPr>
      <xdr:spPr bwMode="auto">
        <a:xfrm>
          <a:off x="9839864" y="4823963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304800</xdr:colOff>
      <xdr:row>3</xdr:row>
      <xdr:rowOff>121130</xdr:rowOff>
    </xdr:to>
    <xdr:sp macro="" textlink="">
      <xdr:nvSpPr>
        <xdr:cNvPr id="5" name="AutoShape 1" descr="Bristol Bears">
          <a:extLst>
            <a:ext uri="{FF2B5EF4-FFF2-40B4-BE49-F238E27FC236}">
              <a16:creationId xmlns:a16="http://schemas.microsoft.com/office/drawing/2014/main" id="{E54B274A-1183-4EA0-88E0-AF530CEA1A5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79562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34506</xdr:colOff>
      <xdr:row>3</xdr:row>
      <xdr:rowOff>120770</xdr:rowOff>
    </xdr:from>
    <xdr:to>
      <xdr:col>17</xdr:col>
      <xdr:colOff>339306</xdr:colOff>
      <xdr:row>5</xdr:row>
      <xdr:rowOff>60743</xdr:rowOff>
    </xdr:to>
    <xdr:sp macro="" textlink="">
      <xdr:nvSpPr>
        <xdr:cNvPr id="6" name="AutoShape 2" descr="Exeter Chiefs">
          <a:extLst>
            <a:ext uri="{FF2B5EF4-FFF2-40B4-BE49-F238E27FC236}">
              <a16:creationId xmlns:a16="http://schemas.microsoft.com/office/drawing/2014/main" id="{99E38EC0-EF25-4AF2-8D8C-D39CC2EAD0EA}"/>
            </a:ext>
          </a:extLst>
        </xdr:cNvPr>
        <xdr:cNvSpPr>
          <a:spLocks noChangeAspect="1" noChangeArrowheads="1"/>
        </xdr:cNvSpPr>
      </xdr:nvSpPr>
      <xdr:spPr bwMode="auto">
        <a:xfrm>
          <a:off x="5046453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121129</xdr:rowOff>
    </xdr:to>
    <xdr:sp macro="" textlink="">
      <xdr:nvSpPr>
        <xdr:cNvPr id="7" name="AutoShape 3" descr="Harlequins">
          <a:extLst>
            <a:ext uri="{FF2B5EF4-FFF2-40B4-BE49-F238E27FC236}">
              <a16:creationId xmlns:a16="http://schemas.microsoft.com/office/drawing/2014/main" id="{EADF5C3B-CF9F-4D05-8894-C0042E30277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5</xdr:row>
      <xdr:rowOff>0</xdr:rowOff>
    </xdr:from>
    <xdr:to>
      <xdr:col>17</xdr:col>
      <xdr:colOff>304800</xdr:colOff>
      <xdr:row>6</xdr:row>
      <xdr:rowOff>121131</xdr:rowOff>
    </xdr:to>
    <xdr:sp macro="" textlink="">
      <xdr:nvSpPr>
        <xdr:cNvPr id="8" name="AutoShape 4" descr="Sale Sharks">
          <a:extLst>
            <a:ext uri="{FF2B5EF4-FFF2-40B4-BE49-F238E27FC236}">
              <a16:creationId xmlns:a16="http://schemas.microsoft.com/office/drawing/2014/main" id="{DF41A602-482E-407F-AE42-5870CED9EBE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304800</xdr:colOff>
      <xdr:row>7</xdr:row>
      <xdr:rowOff>121129</xdr:rowOff>
    </xdr:to>
    <xdr:sp macro="" textlink="">
      <xdr:nvSpPr>
        <xdr:cNvPr id="9" name="AutoShape 5" descr="Northampton Saints">
          <a:extLst>
            <a:ext uri="{FF2B5EF4-FFF2-40B4-BE49-F238E27FC236}">
              <a16:creationId xmlns:a16="http://schemas.microsoft.com/office/drawing/2014/main" id="{953AD812-E9DE-4262-82AD-CFBE7BCFD72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304800</xdr:colOff>
      <xdr:row>9</xdr:row>
      <xdr:rowOff>138382</xdr:rowOff>
    </xdr:to>
    <xdr:sp macro="" textlink="">
      <xdr:nvSpPr>
        <xdr:cNvPr id="10" name="AutoShape 7" descr="Leicester Tigers">
          <a:extLst>
            <a:ext uri="{FF2B5EF4-FFF2-40B4-BE49-F238E27FC236}">
              <a16:creationId xmlns:a16="http://schemas.microsoft.com/office/drawing/2014/main" id="{8756E0FD-5F93-4B4C-A5A1-A0A718630732}"/>
            </a:ext>
          </a:extLst>
        </xdr:cNvPr>
        <xdr:cNvSpPr>
          <a:spLocks noChangeAspect="1" noChangeArrowheads="1"/>
        </xdr:cNvSpPr>
      </xdr:nvSpPr>
      <xdr:spPr bwMode="auto">
        <a:xfrm>
          <a:off x="5011947" y="1518249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304800</xdr:colOff>
      <xdr:row>9</xdr:row>
      <xdr:rowOff>129755</xdr:rowOff>
    </xdr:to>
    <xdr:sp macro="" textlink="">
      <xdr:nvSpPr>
        <xdr:cNvPr id="11" name="AutoShape 8" descr="Newcastle Falcons">
          <a:extLst>
            <a:ext uri="{FF2B5EF4-FFF2-40B4-BE49-F238E27FC236}">
              <a16:creationId xmlns:a16="http://schemas.microsoft.com/office/drawing/2014/main" id="{4C132ADF-3030-426B-BC34-7BB6FA0F725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1518249"/>
          <a:ext cx="304800" cy="31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609600</xdr:colOff>
      <xdr:row>10</xdr:row>
      <xdr:rowOff>19050</xdr:rowOff>
    </xdr:from>
    <xdr:to>
      <xdr:col>17</xdr:col>
      <xdr:colOff>295275</xdr:colOff>
      <xdr:row>11</xdr:row>
      <xdr:rowOff>122926</xdr:rowOff>
    </xdr:to>
    <xdr:sp macro="" textlink="">
      <xdr:nvSpPr>
        <xdr:cNvPr id="12" name="AutoShape 9" descr="Bath Rugby">
          <a:extLst>
            <a:ext uri="{FF2B5EF4-FFF2-40B4-BE49-F238E27FC236}">
              <a16:creationId xmlns:a16="http://schemas.microsoft.com/office/drawing/2014/main" id="{8432D038-AC76-4B77-8BCB-C520247FFC40}"/>
            </a:ext>
          </a:extLst>
        </xdr:cNvPr>
        <xdr:cNvSpPr>
          <a:spLocks noChangeAspect="1" noChangeArrowheads="1"/>
        </xdr:cNvSpPr>
      </xdr:nvSpPr>
      <xdr:spPr bwMode="auto">
        <a:xfrm>
          <a:off x="5009072" y="1925488"/>
          <a:ext cx="298150" cy="302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405442</xdr:colOff>
      <xdr:row>8</xdr:row>
      <xdr:rowOff>8627</xdr:rowOff>
    </xdr:from>
    <xdr:to>
      <xdr:col>18</xdr:col>
      <xdr:colOff>89140</xdr:colOff>
      <xdr:row>9</xdr:row>
      <xdr:rowOff>138382</xdr:rowOff>
    </xdr:to>
    <xdr:sp macro="" textlink="">
      <xdr:nvSpPr>
        <xdr:cNvPr id="13" name="AutoShape 10" descr="Wasps">
          <a:extLst>
            <a:ext uri="{FF2B5EF4-FFF2-40B4-BE49-F238E27FC236}">
              <a16:creationId xmlns:a16="http://schemas.microsoft.com/office/drawing/2014/main" id="{96F3DBB6-FEA6-4738-BD19-5B82554F12A2}"/>
            </a:ext>
          </a:extLst>
        </xdr:cNvPr>
        <xdr:cNvSpPr>
          <a:spLocks noChangeAspect="1" noChangeArrowheads="1"/>
        </xdr:cNvSpPr>
      </xdr:nvSpPr>
      <xdr:spPr bwMode="auto">
        <a:xfrm>
          <a:off x="6469812" y="1526876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304800</xdr:colOff>
      <xdr:row>18</xdr:row>
      <xdr:rowOff>112504</xdr:rowOff>
    </xdr:to>
    <xdr:sp macro="" textlink="">
      <xdr:nvSpPr>
        <xdr:cNvPr id="14" name="AutoShape 11" descr="Gloucester Rugby">
          <a:extLst>
            <a:ext uri="{FF2B5EF4-FFF2-40B4-BE49-F238E27FC236}">
              <a16:creationId xmlns:a16="http://schemas.microsoft.com/office/drawing/2014/main" id="{20E941F0-EBE3-4088-AAC4-8EEC3246281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286664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336430</xdr:colOff>
      <xdr:row>8</xdr:row>
      <xdr:rowOff>0</xdr:rowOff>
    </xdr:from>
    <xdr:ext cx="304800" cy="302284"/>
    <xdr:sp macro="" textlink="">
      <xdr:nvSpPr>
        <xdr:cNvPr id="15" name="AutoShape 10" descr="Wasps">
          <a:extLst>
            <a:ext uri="{FF2B5EF4-FFF2-40B4-BE49-F238E27FC236}">
              <a16:creationId xmlns:a16="http://schemas.microsoft.com/office/drawing/2014/main" id="{94292B2B-BF54-4436-9697-A1D34308039E}"/>
            </a:ext>
          </a:extLst>
        </xdr:cNvPr>
        <xdr:cNvSpPr>
          <a:spLocks noChangeAspect="1" noChangeArrowheads="1"/>
        </xdr:cNvSpPr>
      </xdr:nvSpPr>
      <xdr:spPr bwMode="auto">
        <a:xfrm>
          <a:off x="5348377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304800" cy="302284"/>
    <xdr:sp macro="" textlink="">
      <xdr:nvSpPr>
        <xdr:cNvPr id="16" name="AutoShape 10" descr="Wasps">
          <a:extLst>
            <a:ext uri="{FF2B5EF4-FFF2-40B4-BE49-F238E27FC236}">
              <a16:creationId xmlns:a16="http://schemas.microsoft.com/office/drawing/2014/main" id="{FD5E6EFE-F537-4CCD-822C-146E7E04365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19064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304800" cy="302284"/>
    <xdr:sp macro="" textlink="">
      <xdr:nvSpPr>
        <xdr:cNvPr id="17" name="AutoShape 10" descr="Wasps">
          <a:extLst>
            <a:ext uri="{FF2B5EF4-FFF2-40B4-BE49-F238E27FC236}">
              <a16:creationId xmlns:a16="http://schemas.microsoft.com/office/drawing/2014/main" id="{5DB9C84F-956F-4B43-B7C3-06FE6CB77AB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19064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18" name="AutoShape 10" descr="Wasps">
          <a:extLst>
            <a:ext uri="{FF2B5EF4-FFF2-40B4-BE49-F238E27FC236}">
              <a16:creationId xmlns:a16="http://schemas.microsoft.com/office/drawing/2014/main" id="{B2B5FF95-6E35-4EC9-A8F3-D38E3069369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19" name="AutoShape 10" descr="Wasps">
          <a:extLst>
            <a:ext uri="{FF2B5EF4-FFF2-40B4-BE49-F238E27FC236}">
              <a16:creationId xmlns:a16="http://schemas.microsoft.com/office/drawing/2014/main" id="{21F29B25-49F3-4B8A-BC8F-4BBE145BE40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20" name="AutoShape 10" descr="Wasps">
          <a:extLst>
            <a:ext uri="{FF2B5EF4-FFF2-40B4-BE49-F238E27FC236}">
              <a16:creationId xmlns:a16="http://schemas.microsoft.com/office/drawing/2014/main" id="{4198BBDC-69F7-4C0E-9B9B-3258959F4B9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12</xdr:row>
      <xdr:rowOff>77638</xdr:rowOff>
    </xdr:from>
    <xdr:ext cx="304800" cy="302284"/>
    <xdr:sp macro="" textlink="">
      <xdr:nvSpPr>
        <xdr:cNvPr id="21" name="AutoShape 10" descr="Wasps">
          <a:extLst>
            <a:ext uri="{FF2B5EF4-FFF2-40B4-BE49-F238E27FC236}">
              <a16:creationId xmlns:a16="http://schemas.microsoft.com/office/drawing/2014/main" id="{1D586B52-8ABE-4790-A1BA-5018F848D0D8}"/>
            </a:ext>
          </a:extLst>
        </xdr:cNvPr>
        <xdr:cNvSpPr>
          <a:spLocks noChangeAspect="1" noChangeArrowheads="1"/>
        </xdr:cNvSpPr>
      </xdr:nvSpPr>
      <xdr:spPr bwMode="auto">
        <a:xfrm>
          <a:off x="5072332" y="2380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304800" cy="302284"/>
    <xdr:sp macro="" textlink="">
      <xdr:nvSpPr>
        <xdr:cNvPr id="22" name="AutoShape 10" descr="Wasps">
          <a:extLst>
            <a:ext uri="{FF2B5EF4-FFF2-40B4-BE49-F238E27FC236}">
              <a16:creationId xmlns:a16="http://schemas.microsoft.com/office/drawing/2014/main" id="{BC6D322D-EDB7-4917-B8B8-AACF7B17159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304800" cy="302284"/>
    <xdr:sp macro="" textlink="">
      <xdr:nvSpPr>
        <xdr:cNvPr id="23" name="AutoShape 10" descr="Wasps">
          <a:extLst>
            <a:ext uri="{FF2B5EF4-FFF2-40B4-BE49-F238E27FC236}">
              <a16:creationId xmlns:a16="http://schemas.microsoft.com/office/drawing/2014/main" id="{0CD5E54A-5E08-48B4-AE74-0533F415F6E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304800" cy="302284"/>
    <xdr:sp macro="" textlink="">
      <xdr:nvSpPr>
        <xdr:cNvPr id="24" name="AutoShape 10" descr="Wasps">
          <a:extLst>
            <a:ext uri="{FF2B5EF4-FFF2-40B4-BE49-F238E27FC236}">
              <a16:creationId xmlns:a16="http://schemas.microsoft.com/office/drawing/2014/main" id="{7D5153CC-A9D7-4858-AA72-40BA1D7EC11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304800" cy="302284"/>
    <xdr:sp macro="" textlink="">
      <xdr:nvSpPr>
        <xdr:cNvPr id="25" name="AutoShape 10" descr="Wasps">
          <a:extLst>
            <a:ext uri="{FF2B5EF4-FFF2-40B4-BE49-F238E27FC236}">
              <a16:creationId xmlns:a16="http://schemas.microsoft.com/office/drawing/2014/main" id="{F155C22C-D635-4F6C-A924-D06749C32CC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04800" cy="302284"/>
    <xdr:sp macro="" textlink="">
      <xdr:nvSpPr>
        <xdr:cNvPr id="26" name="AutoShape 10" descr="Wasps">
          <a:extLst>
            <a:ext uri="{FF2B5EF4-FFF2-40B4-BE49-F238E27FC236}">
              <a16:creationId xmlns:a16="http://schemas.microsoft.com/office/drawing/2014/main" id="{07FB6C7D-6FEE-46E9-A91D-C49CE763603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04800" cy="302284"/>
    <xdr:sp macro="" textlink="">
      <xdr:nvSpPr>
        <xdr:cNvPr id="27" name="AutoShape 10" descr="Wasps">
          <a:extLst>
            <a:ext uri="{FF2B5EF4-FFF2-40B4-BE49-F238E27FC236}">
              <a16:creationId xmlns:a16="http://schemas.microsoft.com/office/drawing/2014/main" id="{D9A48784-048E-4955-9531-004E5117CBF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04800" cy="302284"/>
    <xdr:sp macro="" textlink="">
      <xdr:nvSpPr>
        <xdr:cNvPr id="28" name="AutoShape 10" descr="Wasps">
          <a:extLst>
            <a:ext uri="{FF2B5EF4-FFF2-40B4-BE49-F238E27FC236}">
              <a16:creationId xmlns:a16="http://schemas.microsoft.com/office/drawing/2014/main" id="{37AA75FD-4B63-4283-AAC7-A81E32C1010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04800" cy="302284"/>
    <xdr:sp macro="" textlink="">
      <xdr:nvSpPr>
        <xdr:cNvPr id="29" name="AutoShape 10" descr="Wasps">
          <a:extLst>
            <a:ext uri="{FF2B5EF4-FFF2-40B4-BE49-F238E27FC236}">
              <a16:creationId xmlns:a16="http://schemas.microsoft.com/office/drawing/2014/main" id="{C49D8433-BC90-4DB7-B463-FFABFFD5237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2284"/>
    <xdr:sp macro="" textlink="">
      <xdr:nvSpPr>
        <xdr:cNvPr id="30" name="AutoShape 10" descr="Wasps">
          <a:extLst>
            <a:ext uri="{FF2B5EF4-FFF2-40B4-BE49-F238E27FC236}">
              <a16:creationId xmlns:a16="http://schemas.microsoft.com/office/drawing/2014/main" id="{2F09FA9B-CA55-4257-B54F-75F17923F1E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2284"/>
    <xdr:sp macro="" textlink="">
      <xdr:nvSpPr>
        <xdr:cNvPr id="31" name="AutoShape 10" descr="Wasps">
          <a:extLst>
            <a:ext uri="{FF2B5EF4-FFF2-40B4-BE49-F238E27FC236}">
              <a16:creationId xmlns:a16="http://schemas.microsoft.com/office/drawing/2014/main" id="{ABD8400B-89B7-417A-8900-66F14631C5B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32" name="AutoShape 10" descr="Wasps">
          <a:extLst>
            <a:ext uri="{FF2B5EF4-FFF2-40B4-BE49-F238E27FC236}">
              <a16:creationId xmlns:a16="http://schemas.microsoft.com/office/drawing/2014/main" id="{29149994-2B9D-49D5-83D4-BA1BA900C86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33" name="AutoShape 10" descr="Wasps">
          <a:extLst>
            <a:ext uri="{FF2B5EF4-FFF2-40B4-BE49-F238E27FC236}">
              <a16:creationId xmlns:a16="http://schemas.microsoft.com/office/drawing/2014/main" id="{EB7BDC00-3551-49CA-A9C5-22F5EAA7BE6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34" name="AutoShape 10" descr="Wasps">
          <a:extLst>
            <a:ext uri="{FF2B5EF4-FFF2-40B4-BE49-F238E27FC236}">
              <a16:creationId xmlns:a16="http://schemas.microsoft.com/office/drawing/2014/main" id="{4ABC1558-778D-4D57-B357-FE7672AE1B1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</xdr:row>
      <xdr:rowOff>0</xdr:rowOff>
    </xdr:from>
    <xdr:ext cx="304800" cy="303003"/>
    <xdr:sp macro="" textlink="">
      <xdr:nvSpPr>
        <xdr:cNvPr id="35" name="AutoShape 1" descr="Bristol Bears">
          <a:extLst>
            <a:ext uri="{FF2B5EF4-FFF2-40B4-BE49-F238E27FC236}">
              <a16:creationId xmlns:a16="http://schemas.microsoft.com/office/drawing/2014/main" id="{33C7689B-FA51-4478-8A44-C4768305EF28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</xdr:row>
      <xdr:rowOff>0</xdr:rowOff>
    </xdr:from>
    <xdr:ext cx="304800" cy="303002"/>
    <xdr:sp macro="" textlink="">
      <xdr:nvSpPr>
        <xdr:cNvPr id="36" name="AutoShape 2" descr="Exeter Chiefs">
          <a:extLst>
            <a:ext uri="{FF2B5EF4-FFF2-40B4-BE49-F238E27FC236}">
              <a16:creationId xmlns:a16="http://schemas.microsoft.com/office/drawing/2014/main" id="{98E9DEE1-3435-456C-95E7-29D4210E8510}"/>
            </a:ext>
          </a:extLst>
        </xdr:cNvPr>
        <xdr:cNvSpPr>
          <a:spLocks noChangeAspect="1" noChangeArrowheads="1"/>
        </xdr:cNvSpPr>
      </xdr:nvSpPr>
      <xdr:spPr bwMode="auto">
        <a:xfrm>
          <a:off x="9842740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3003"/>
    <xdr:sp macro="" textlink="">
      <xdr:nvSpPr>
        <xdr:cNvPr id="37" name="AutoShape 3" descr="Harlequins">
          <a:extLst>
            <a:ext uri="{FF2B5EF4-FFF2-40B4-BE49-F238E27FC236}">
              <a16:creationId xmlns:a16="http://schemas.microsoft.com/office/drawing/2014/main" id="{02FD4477-5B7A-4FEC-A586-F6B0ED9C82FA}"/>
            </a:ext>
          </a:extLst>
        </xdr:cNvPr>
        <xdr:cNvSpPr>
          <a:spLocks noChangeAspect="1" noChangeArrowheads="1"/>
        </xdr:cNvSpPr>
      </xdr:nvSpPr>
      <xdr:spPr bwMode="auto">
        <a:xfrm>
          <a:off x="9842740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3003"/>
    <xdr:sp macro="" textlink="">
      <xdr:nvSpPr>
        <xdr:cNvPr id="38" name="AutoShape 4" descr="Sale Sharks">
          <a:extLst>
            <a:ext uri="{FF2B5EF4-FFF2-40B4-BE49-F238E27FC236}">
              <a16:creationId xmlns:a16="http://schemas.microsoft.com/office/drawing/2014/main" id="{B7EF3957-2385-4BCB-B37E-55029E94B76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7</xdr:row>
      <xdr:rowOff>0</xdr:rowOff>
    </xdr:from>
    <xdr:ext cx="304800" cy="303003"/>
    <xdr:sp macro="" textlink="">
      <xdr:nvSpPr>
        <xdr:cNvPr id="39" name="AutoShape 5" descr="Northampton Saints">
          <a:extLst>
            <a:ext uri="{FF2B5EF4-FFF2-40B4-BE49-F238E27FC236}">
              <a16:creationId xmlns:a16="http://schemas.microsoft.com/office/drawing/2014/main" id="{758B00B4-3A15-418C-9B9E-B0FF009675AD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8</xdr:row>
      <xdr:rowOff>0</xdr:rowOff>
    </xdr:from>
    <xdr:ext cx="304800" cy="303003"/>
    <xdr:sp macro="" textlink="">
      <xdr:nvSpPr>
        <xdr:cNvPr id="40" name="AutoShape 6" descr="London Irish">
          <a:extLst>
            <a:ext uri="{FF2B5EF4-FFF2-40B4-BE49-F238E27FC236}">
              <a16:creationId xmlns:a16="http://schemas.microsoft.com/office/drawing/2014/main" id="{3C955A7E-C9E9-4B0A-BC18-39B2EACE7E2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3003"/>
    <xdr:sp macro="" textlink="">
      <xdr:nvSpPr>
        <xdr:cNvPr id="41" name="AutoShape 7" descr="Leicester Tigers">
          <a:extLst>
            <a:ext uri="{FF2B5EF4-FFF2-40B4-BE49-F238E27FC236}">
              <a16:creationId xmlns:a16="http://schemas.microsoft.com/office/drawing/2014/main" id="{A4ADAA0F-5D1B-4A9F-9AA7-B5AEA9D7463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3003"/>
    <xdr:sp macro="" textlink="">
      <xdr:nvSpPr>
        <xdr:cNvPr id="42" name="AutoShape 8" descr="Newcastle Falcons">
          <a:extLst>
            <a:ext uri="{FF2B5EF4-FFF2-40B4-BE49-F238E27FC236}">
              <a16:creationId xmlns:a16="http://schemas.microsoft.com/office/drawing/2014/main" id="{4663B1F4-8B5F-4075-9F69-CB23AC973ED4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295275" cy="303003"/>
    <xdr:sp macro="" textlink="">
      <xdr:nvSpPr>
        <xdr:cNvPr id="43" name="AutoShape 9" descr="Bath Rugby">
          <a:extLst>
            <a:ext uri="{FF2B5EF4-FFF2-40B4-BE49-F238E27FC236}">
              <a16:creationId xmlns:a16="http://schemas.microsoft.com/office/drawing/2014/main" id="{CB24C42E-4EB6-416D-AC6D-A5C34AE7D7C0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3002"/>
    <xdr:sp macro="" textlink="">
      <xdr:nvSpPr>
        <xdr:cNvPr id="44" name="AutoShape 10" descr="Wasps">
          <a:extLst>
            <a:ext uri="{FF2B5EF4-FFF2-40B4-BE49-F238E27FC236}">
              <a16:creationId xmlns:a16="http://schemas.microsoft.com/office/drawing/2014/main" id="{07A8A570-DB7B-4857-9FC4-B31A547D619F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336430</xdr:colOff>
      <xdr:row>9</xdr:row>
      <xdr:rowOff>0</xdr:rowOff>
    </xdr:from>
    <xdr:ext cx="304800" cy="302284"/>
    <xdr:sp macro="" textlink="">
      <xdr:nvSpPr>
        <xdr:cNvPr id="45" name="AutoShape 10" descr="Wasps">
          <a:extLst>
            <a:ext uri="{FF2B5EF4-FFF2-40B4-BE49-F238E27FC236}">
              <a16:creationId xmlns:a16="http://schemas.microsoft.com/office/drawing/2014/main" id="{EC9ADED7-6041-4C0A-8806-869036C7360B}"/>
            </a:ext>
          </a:extLst>
        </xdr:cNvPr>
        <xdr:cNvSpPr>
          <a:spLocks noChangeAspect="1" noChangeArrowheads="1"/>
        </xdr:cNvSpPr>
      </xdr:nvSpPr>
      <xdr:spPr bwMode="auto">
        <a:xfrm>
          <a:off x="10179170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10</xdr:row>
      <xdr:rowOff>0</xdr:rowOff>
    </xdr:from>
    <xdr:ext cx="304800" cy="302284"/>
    <xdr:sp macro="" textlink="">
      <xdr:nvSpPr>
        <xdr:cNvPr id="46" name="AutoShape 10" descr="Wasps">
          <a:extLst>
            <a:ext uri="{FF2B5EF4-FFF2-40B4-BE49-F238E27FC236}">
              <a16:creationId xmlns:a16="http://schemas.microsoft.com/office/drawing/2014/main" id="{0EB1BC73-C541-45AE-970A-ADBE9544CF35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9064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11</xdr:row>
      <xdr:rowOff>0</xdr:rowOff>
    </xdr:from>
    <xdr:ext cx="304800" cy="302284"/>
    <xdr:sp macro="" textlink="">
      <xdr:nvSpPr>
        <xdr:cNvPr id="47" name="AutoShape 10" descr="Wasps">
          <a:extLst>
            <a:ext uri="{FF2B5EF4-FFF2-40B4-BE49-F238E27FC236}">
              <a16:creationId xmlns:a16="http://schemas.microsoft.com/office/drawing/2014/main" id="{BF67DF1E-957E-46E3-85F6-8630DE3FFC6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11</xdr:row>
      <xdr:rowOff>0</xdr:rowOff>
    </xdr:from>
    <xdr:ext cx="304800" cy="302284"/>
    <xdr:sp macro="" textlink="">
      <xdr:nvSpPr>
        <xdr:cNvPr id="48" name="AutoShape 10" descr="Wasps">
          <a:extLst>
            <a:ext uri="{FF2B5EF4-FFF2-40B4-BE49-F238E27FC236}">
              <a16:creationId xmlns:a16="http://schemas.microsoft.com/office/drawing/2014/main" id="{1CF8D8A0-E5BD-434F-9B52-385256C39315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49" name="AutoShape 10" descr="Wasps">
          <a:extLst>
            <a:ext uri="{FF2B5EF4-FFF2-40B4-BE49-F238E27FC236}">
              <a16:creationId xmlns:a16="http://schemas.microsoft.com/office/drawing/2014/main" id="{10D71465-2BD0-4DFA-8D8A-50E085E16406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50" name="AutoShape 10" descr="Wasps">
          <a:extLst>
            <a:ext uri="{FF2B5EF4-FFF2-40B4-BE49-F238E27FC236}">
              <a16:creationId xmlns:a16="http://schemas.microsoft.com/office/drawing/2014/main" id="{DB818B45-F0EA-4BA2-AB5B-AA9376CA1453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51" name="AutoShape 10" descr="Wasps">
          <a:extLst>
            <a:ext uri="{FF2B5EF4-FFF2-40B4-BE49-F238E27FC236}">
              <a16:creationId xmlns:a16="http://schemas.microsoft.com/office/drawing/2014/main" id="{3BBB9E47-DC48-4364-BBD4-EE73C388999B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52" name="AutoShape 10" descr="Wasps">
          <a:extLst>
            <a:ext uri="{FF2B5EF4-FFF2-40B4-BE49-F238E27FC236}">
              <a16:creationId xmlns:a16="http://schemas.microsoft.com/office/drawing/2014/main" id="{4E15E622-FE3A-4A7C-8469-AC7452E7422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2284"/>
    <xdr:sp macro="" textlink="">
      <xdr:nvSpPr>
        <xdr:cNvPr id="53" name="AutoShape 10" descr="Wasps">
          <a:extLst>
            <a:ext uri="{FF2B5EF4-FFF2-40B4-BE49-F238E27FC236}">
              <a16:creationId xmlns:a16="http://schemas.microsoft.com/office/drawing/2014/main" id="{A3C83D6A-ABF1-4964-8719-7A29A6976D15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2284"/>
    <xdr:sp macro="" textlink="">
      <xdr:nvSpPr>
        <xdr:cNvPr id="54" name="AutoShape 10" descr="Wasps">
          <a:extLst>
            <a:ext uri="{FF2B5EF4-FFF2-40B4-BE49-F238E27FC236}">
              <a16:creationId xmlns:a16="http://schemas.microsoft.com/office/drawing/2014/main" id="{C3B59A7C-D35E-4B38-8F89-198420965112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55" name="AutoShape 10" descr="Wasps">
          <a:extLst>
            <a:ext uri="{FF2B5EF4-FFF2-40B4-BE49-F238E27FC236}">
              <a16:creationId xmlns:a16="http://schemas.microsoft.com/office/drawing/2014/main" id="{CDB4E282-9753-4A30-A2E3-6E95B89348E0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56" name="AutoShape 10" descr="Wasps">
          <a:extLst>
            <a:ext uri="{FF2B5EF4-FFF2-40B4-BE49-F238E27FC236}">
              <a16:creationId xmlns:a16="http://schemas.microsoft.com/office/drawing/2014/main" id="{B33A31E1-6404-49F7-B1A3-81672496EEF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57" name="AutoShape 10" descr="Wasps">
          <a:extLst>
            <a:ext uri="{FF2B5EF4-FFF2-40B4-BE49-F238E27FC236}">
              <a16:creationId xmlns:a16="http://schemas.microsoft.com/office/drawing/2014/main" id="{4097C7D3-A0C4-4346-A13C-5441AA6466F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58" name="AutoShape 10" descr="Wasps">
          <a:extLst>
            <a:ext uri="{FF2B5EF4-FFF2-40B4-BE49-F238E27FC236}">
              <a16:creationId xmlns:a16="http://schemas.microsoft.com/office/drawing/2014/main" id="{8CE23F44-DB48-4F80-9B21-A505FF83471E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59" name="AutoShape 10" descr="Wasps">
          <a:extLst>
            <a:ext uri="{FF2B5EF4-FFF2-40B4-BE49-F238E27FC236}">
              <a16:creationId xmlns:a16="http://schemas.microsoft.com/office/drawing/2014/main" id="{5B2B0281-F416-4BE9-A752-CE2BACF131F5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60" name="AutoShape 10" descr="Wasps">
          <a:extLst>
            <a:ext uri="{FF2B5EF4-FFF2-40B4-BE49-F238E27FC236}">
              <a16:creationId xmlns:a16="http://schemas.microsoft.com/office/drawing/2014/main" id="{D63D9028-F0B7-43AF-9C18-997C52912428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18</xdr:row>
      <xdr:rowOff>0</xdr:rowOff>
    </xdr:from>
    <xdr:ext cx="304800" cy="302284"/>
    <xdr:sp macro="" textlink="">
      <xdr:nvSpPr>
        <xdr:cNvPr id="61" name="AutoShape 10" descr="Wasps">
          <a:extLst>
            <a:ext uri="{FF2B5EF4-FFF2-40B4-BE49-F238E27FC236}">
              <a16:creationId xmlns:a16="http://schemas.microsoft.com/office/drawing/2014/main" id="{01702608-1D7C-41AE-81A4-6E547CE108C3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18</xdr:row>
      <xdr:rowOff>0</xdr:rowOff>
    </xdr:from>
    <xdr:ext cx="304800" cy="302284"/>
    <xdr:sp macro="" textlink="">
      <xdr:nvSpPr>
        <xdr:cNvPr id="62" name="AutoShape 10" descr="Wasps">
          <a:extLst>
            <a:ext uri="{FF2B5EF4-FFF2-40B4-BE49-F238E27FC236}">
              <a16:creationId xmlns:a16="http://schemas.microsoft.com/office/drawing/2014/main" id="{0D00064C-72BC-4933-9471-AD060FE5BBEE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3003"/>
    <xdr:sp macro="" textlink="">
      <xdr:nvSpPr>
        <xdr:cNvPr id="63" name="AutoShape 3" descr="Harlequins">
          <a:extLst>
            <a:ext uri="{FF2B5EF4-FFF2-40B4-BE49-F238E27FC236}">
              <a16:creationId xmlns:a16="http://schemas.microsoft.com/office/drawing/2014/main" id="{BDC39418-078F-4829-A7B1-AAE90A99F52D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42535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3003"/>
    <xdr:sp macro="" textlink="">
      <xdr:nvSpPr>
        <xdr:cNvPr id="64" name="AutoShape 4" descr="Sale Sharks">
          <a:extLst>
            <a:ext uri="{FF2B5EF4-FFF2-40B4-BE49-F238E27FC236}">
              <a16:creationId xmlns:a16="http://schemas.microsoft.com/office/drawing/2014/main" id="{75F466D6-4EFE-4EAD-A0AF-0A8EEBBC9A21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61513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3003"/>
    <xdr:sp macro="" textlink="">
      <xdr:nvSpPr>
        <xdr:cNvPr id="65" name="AutoShape 5" descr="Northampton Saints">
          <a:extLst>
            <a:ext uri="{FF2B5EF4-FFF2-40B4-BE49-F238E27FC236}">
              <a16:creationId xmlns:a16="http://schemas.microsoft.com/office/drawing/2014/main" id="{4B6E97B0-23AC-4D98-AC77-21CB3991677B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80491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3003"/>
    <xdr:sp macro="" textlink="">
      <xdr:nvSpPr>
        <xdr:cNvPr id="66" name="AutoShape 6" descr="London Irish">
          <a:extLst>
            <a:ext uri="{FF2B5EF4-FFF2-40B4-BE49-F238E27FC236}">
              <a16:creationId xmlns:a16="http://schemas.microsoft.com/office/drawing/2014/main" id="{6EA5D1B3-D857-49F1-A2DB-84A8E15674A1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99469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3003"/>
    <xdr:sp macro="" textlink="">
      <xdr:nvSpPr>
        <xdr:cNvPr id="67" name="AutoShape 7" descr="Leicester Tigers">
          <a:extLst>
            <a:ext uri="{FF2B5EF4-FFF2-40B4-BE49-F238E27FC236}">
              <a16:creationId xmlns:a16="http://schemas.microsoft.com/office/drawing/2014/main" id="{25168F8D-0BAD-42A0-AC48-4A04D2A43C6F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1844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3003"/>
    <xdr:sp macro="" textlink="">
      <xdr:nvSpPr>
        <xdr:cNvPr id="68" name="AutoShape 8" descr="Newcastle Falcons">
          <a:extLst>
            <a:ext uri="{FF2B5EF4-FFF2-40B4-BE49-F238E27FC236}">
              <a16:creationId xmlns:a16="http://schemas.microsoft.com/office/drawing/2014/main" id="{001AF572-2B44-4B6F-B9D0-EC0ABC73A4FE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1844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69" name="AutoShape 11" descr="Gloucester Rugby">
          <a:extLst>
            <a:ext uri="{FF2B5EF4-FFF2-40B4-BE49-F238E27FC236}">
              <a16:creationId xmlns:a16="http://schemas.microsoft.com/office/drawing/2014/main" id="{072F569D-A724-4C1E-9ACE-2CB1627562E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172530</xdr:colOff>
      <xdr:row>17</xdr:row>
      <xdr:rowOff>172528</xdr:rowOff>
    </xdr:from>
    <xdr:ext cx="304800" cy="302284"/>
    <xdr:sp macro="" textlink="">
      <xdr:nvSpPr>
        <xdr:cNvPr id="70" name="AutoShape 10" descr="Wasps">
          <a:extLst>
            <a:ext uri="{FF2B5EF4-FFF2-40B4-BE49-F238E27FC236}">
              <a16:creationId xmlns:a16="http://schemas.microsoft.com/office/drawing/2014/main" id="{AC55ED98-E009-40C5-8C45-85B0C806CE4D}"/>
            </a:ext>
          </a:extLst>
        </xdr:cNvPr>
        <xdr:cNvSpPr>
          <a:spLocks noChangeAspect="1" noChangeArrowheads="1"/>
        </xdr:cNvSpPr>
      </xdr:nvSpPr>
      <xdr:spPr bwMode="auto">
        <a:xfrm>
          <a:off x="6918387" y="34591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71" name="AutoShape 10" descr="Wasps">
          <a:extLst>
            <a:ext uri="{FF2B5EF4-FFF2-40B4-BE49-F238E27FC236}">
              <a16:creationId xmlns:a16="http://schemas.microsoft.com/office/drawing/2014/main" id="{CD8F00F5-523B-4024-AB50-A6FED2313C8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72" name="AutoShape 10" descr="Wasps">
          <a:extLst>
            <a:ext uri="{FF2B5EF4-FFF2-40B4-BE49-F238E27FC236}">
              <a16:creationId xmlns:a16="http://schemas.microsoft.com/office/drawing/2014/main" id="{CC491098-C8FF-423F-A9A2-030A2957D2F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3" name="AutoShape 10" descr="Wasps">
          <a:extLst>
            <a:ext uri="{FF2B5EF4-FFF2-40B4-BE49-F238E27FC236}">
              <a16:creationId xmlns:a16="http://schemas.microsoft.com/office/drawing/2014/main" id="{1A4E0553-C09F-4FE1-B0FB-C09C21C8A8C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4" name="AutoShape 10" descr="Wasps">
          <a:extLst>
            <a:ext uri="{FF2B5EF4-FFF2-40B4-BE49-F238E27FC236}">
              <a16:creationId xmlns:a16="http://schemas.microsoft.com/office/drawing/2014/main" id="{5E8C4E47-D250-4234-9B32-97B1A261E1C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5" name="AutoShape 10" descr="Wasps">
          <a:extLst>
            <a:ext uri="{FF2B5EF4-FFF2-40B4-BE49-F238E27FC236}">
              <a16:creationId xmlns:a16="http://schemas.microsoft.com/office/drawing/2014/main" id="{33928262-DB93-4989-8B0D-4FEAA65B1CB3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6" name="AutoShape 10" descr="Wasps">
          <a:extLst>
            <a:ext uri="{FF2B5EF4-FFF2-40B4-BE49-F238E27FC236}">
              <a16:creationId xmlns:a16="http://schemas.microsoft.com/office/drawing/2014/main" id="{F054A1B7-D8A0-414B-B2A8-1B51D82B274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77" name="AutoShape 10" descr="Wasps">
          <a:extLst>
            <a:ext uri="{FF2B5EF4-FFF2-40B4-BE49-F238E27FC236}">
              <a16:creationId xmlns:a16="http://schemas.microsoft.com/office/drawing/2014/main" id="{A1303209-5F7C-4D99-A99B-45A42F047EC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78" name="AutoShape 10" descr="Wasps">
          <a:extLst>
            <a:ext uri="{FF2B5EF4-FFF2-40B4-BE49-F238E27FC236}">
              <a16:creationId xmlns:a16="http://schemas.microsoft.com/office/drawing/2014/main" id="{8B79B079-F9C2-4CAE-A858-1A615447C23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79" name="AutoShape 10" descr="Wasps">
          <a:extLst>
            <a:ext uri="{FF2B5EF4-FFF2-40B4-BE49-F238E27FC236}">
              <a16:creationId xmlns:a16="http://schemas.microsoft.com/office/drawing/2014/main" id="{8CF94DBD-C303-4BD0-B78F-E406227B671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80" name="AutoShape 10" descr="Wasps">
          <a:extLst>
            <a:ext uri="{FF2B5EF4-FFF2-40B4-BE49-F238E27FC236}">
              <a16:creationId xmlns:a16="http://schemas.microsoft.com/office/drawing/2014/main" id="{B6D6B2C2-4957-4254-8497-97926A8D24C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81" name="AutoShape 10" descr="Wasps">
          <a:extLst>
            <a:ext uri="{FF2B5EF4-FFF2-40B4-BE49-F238E27FC236}">
              <a16:creationId xmlns:a16="http://schemas.microsoft.com/office/drawing/2014/main" id="{9287F6B0-49B3-4715-8C1E-FEE97B3F90E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82" name="AutoShape 10" descr="Wasps">
          <a:extLst>
            <a:ext uri="{FF2B5EF4-FFF2-40B4-BE49-F238E27FC236}">
              <a16:creationId xmlns:a16="http://schemas.microsoft.com/office/drawing/2014/main" id="{7869EE0E-5A4F-4D11-ABA0-20FE0003714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83" name="AutoShape 10" descr="Wasps">
          <a:extLst>
            <a:ext uri="{FF2B5EF4-FFF2-40B4-BE49-F238E27FC236}">
              <a16:creationId xmlns:a16="http://schemas.microsoft.com/office/drawing/2014/main" id="{B566364E-F3BC-4105-A7AF-165F5FDC788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84" name="AutoShape 10" descr="Wasps">
          <a:extLst>
            <a:ext uri="{FF2B5EF4-FFF2-40B4-BE49-F238E27FC236}">
              <a16:creationId xmlns:a16="http://schemas.microsoft.com/office/drawing/2014/main" id="{5964DEA4-E9F3-4861-94FB-C95C792FB2C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85" name="AutoShape 10" descr="Wasps">
          <a:extLst>
            <a:ext uri="{FF2B5EF4-FFF2-40B4-BE49-F238E27FC236}">
              <a16:creationId xmlns:a16="http://schemas.microsoft.com/office/drawing/2014/main" id="{BE0F9403-BFF4-4F5C-8F9D-37F68D48523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86" name="AutoShape 10" descr="Wasps">
          <a:extLst>
            <a:ext uri="{FF2B5EF4-FFF2-40B4-BE49-F238E27FC236}">
              <a16:creationId xmlns:a16="http://schemas.microsoft.com/office/drawing/2014/main" id="{B21C87CD-DEA3-4D90-B3B3-78A800523ED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87" name="AutoShape 10" descr="Wasps">
          <a:extLst>
            <a:ext uri="{FF2B5EF4-FFF2-40B4-BE49-F238E27FC236}">
              <a16:creationId xmlns:a16="http://schemas.microsoft.com/office/drawing/2014/main" id="{CD54C024-6A8B-4E40-822E-100F2C81BCA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88" name="AutoShape 10" descr="Wasps">
          <a:extLst>
            <a:ext uri="{FF2B5EF4-FFF2-40B4-BE49-F238E27FC236}">
              <a16:creationId xmlns:a16="http://schemas.microsoft.com/office/drawing/2014/main" id="{02A843EB-A301-4BB7-B822-15F36ACDE25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89" name="AutoShape 10" descr="Wasps">
          <a:extLst>
            <a:ext uri="{FF2B5EF4-FFF2-40B4-BE49-F238E27FC236}">
              <a16:creationId xmlns:a16="http://schemas.microsoft.com/office/drawing/2014/main" id="{676FC6ED-4F93-427B-B499-8042208C42F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90" name="AutoShape 11" descr="Gloucester Rugby">
          <a:extLst>
            <a:ext uri="{FF2B5EF4-FFF2-40B4-BE49-F238E27FC236}">
              <a16:creationId xmlns:a16="http://schemas.microsoft.com/office/drawing/2014/main" id="{349701CC-905E-414E-B6F6-705AF248FDA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304800" cy="302284"/>
    <xdr:sp macro="" textlink="">
      <xdr:nvSpPr>
        <xdr:cNvPr id="91" name="AutoShape 10" descr="Wasps">
          <a:extLst>
            <a:ext uri="{FF2B5EF4-FFF2-40B4-BE49-F238E27FC236}">
              <a16:creationId xmlns:a16="http://schemas.microsoft.com/office/drawing/2014/main" id="{64568FAD-6EC7-4C90-A8FD-E42FEA6D628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3742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304800" cy="302284"/>
    <xdr:sp macro="" textlink="">
      <xdr:nvSpPr>
        <xdr:cNvPr id="92" name="AutoShape 10" descr="Wasps">
          <a:extLst>
            <a:ext uri="{FF2B5EF4-FFF2-40B4-BE49-F238E27FC236}">
              <a16:creationId xmlns:a16="http://schemas.microsoft.com/office/drawing/2014/main" id="{E50BAEAD-1F08-4CB6-9EDF-2BE515B318A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3742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3" name="AutoShape 10" descr="Wasps">
          <a:extLst>
            <a:ext uri="{FF2B5EF4-FFF2-40B4-BE49-F238E27FC236}">
              <a16:creationId xmlns:a16="http://schemas.microsoft.com/office/drawing/2014/main" id="{849BBCA9-1CD0-4909-B978-15A99FD0387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4" name="AutoShape 10" descr="Wasps">
          <a:extLst>
            <a:ext uri="{FF2B5EF4-FFF2-40B4-BE49-F238E27FC236}">
              <a16:creationId xmlns:a16="http://schemas.microsoft.com/office/drawing/2014/main" id="{42582739-0221-4115-866C-231D6233455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5" name="AutoShape 10" descr="Wasps">
          <a:extLst>
            <a:ext uri="{FF2B5EF4-FFF2-40B4-BE49-F238E27FC236}">
              <a16:creationId xmlns:a16="http://schemas.microsoft.com/office/drawing/2014/main" id="{BB81C70F-9FFE-4DE8-B2E3-FCFACB99CD6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6" name="AutoShape 10" descr="Wasps">
          <a:extLst>
            <a:ext uri="{FF2B5EF4-FFF2-40B4-BE49-F238E27FC236}">
              <a16:creationId xmlns:a16="http://schemas.microsoft.com/office/drawing/2014/main" id="{77140743-6B29-4972-B926-334349E8F042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97" name="AutoShape 10" descr="Wasps">
          <a:extLst>
            <a:ext uri="{FF2B5EF4-FFF2-40B4-BE49-F238E27FC236}">
              <a16:creationId xmlns:a16="http://schemas.microsoft.com/office/drawing/2014/main" id="{1DBC52B4-BCF7-4700-B97A-E847951463E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98" name="AutoShape 10" descr="Wasps">
          <a:extLst>
            <a:ext uri="{FF2B5EF4-FFF2-40B4-BE49-F238E27FC236}">
              <a16:creationId xmlns:a16="http://schemas.microsoft.com/office/drawing/2014/main" id="{69BF3BB3-B42C-4CE8-BCEA-09BEAC61598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99" name="AutoShape 10" descr="Wasps">
          <a:extLst>
            <a:ext uri="{FF2B5EF4-FFF2-40B4-BE49-F238E27FC236}">
              <a16:creationId xmlns:a16="http://schemas.microsoft.com/office/drawing/2014/main" id="{A9EB9D7E-BA3B-4715-A0C4-A8D167F0E03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00" name="AutoShape 10" descr="Wasps">
          <a:extLst>
            <a:ext uri="{FF2B5EF4-FFF2-40B4-BE49-F238E27FC236}">
              <a16:creationId xmlns:a16="http://schemas.microsoft.com/office/drawing/2014/main" id="{5D6B7A51-15CC-458C-B154-620CFDBD375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01" name="AutoShape 10" descr="Wasps">
          <a:extLst>
            <a:ext uri="{FF2B5EF4-FFF2-40B4-BE49-F238E27FC236}">
              <a16:creationId xmlns:a16="http://schemas.microsoft.com/office/drawing/2014/main" id="{8C22C940-AF4D-4E10-BCB1-A38D1A2F18B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02" name="AutoShape 10" descr="Wasps">
          <a:extLst>
            <a:ext uri="{FF2B5EF4-FFF2-40B4-BE49-F238E27FC236}">
              <a16:creationId xmlns:a16="http://schemas.microsoft.com/office/drawing/2014/main" id="{4B9F9505-8FD6-46F5-AAA2-5929C3F3497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03" name="AutoShape 10" descr="Wasps">
          <a:extLst>
            <a:ext uri="{FF2B5EF4-FFF2-40B4-BE49-F238E27FC236}">
              <a16:creationId xmlns:a16="http://schemas.microsoft.com/office/drawing/2014/main" id="{045D15A9-32E6-455B-B5FC-2DDE7F60ED1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04" name="AutoShape 10" descr="Wasps">
          <a:extLst>
            <a:ext uri="{FF2B5EF4-FFF2-40B4-BE49-F238E27FC236}">
              <a16:creationId xmlns:a16="http://schemas.microsoft.com/office/drawing/2014/main" id="{05BDCAB6-461A-4549-A628-7BED8CE65152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05" name="AutoShape 10" descr="Wasps">
          <a:extLst>
            <a:ext uri="{FF2B5EF4-FFF2-40B4-BE49-F238E27FC236}">
              <a16:creationId xmlns:a16="http://schemas.microsoft.com/office/drawing/2014/main" id="{7923DB0B-8F08-4E7B-99CE-EFB2CD82A2A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06" name="AutoShape 10" descr="Wasps">
          <a:extLst>
            <a:ext uri="{FF2B5EF4-FFF2-40B4-BE49-F238E27FC236}">
              <a16:creationId xmlns:a16="http://schemas.microsoft.com/office/drawing/2014/main" id="{CEB2C144-C74B-4504-BC76-9F5030AEBDC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07" name="AutoShape 10" descr="Wasps">
          <a:extLst>
            <a:ext uri="{FF2B5EF4-FFF2-40B4-BE49-F238E27FC236}">
              <a16:creationId xmlns:a16="http://schemas.microsoft.com/office/drawing/2014/main" id="{7C023EE9-C3BF-47F0-8507-E44B9818015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08" name="AutoShape 10" descr="Wasps">
          <a:extLst>
            <a:ext uri="{FF2B5EF4-FFF2-40B4-BE49-F238E27FC236}">
              <a16:creationId xmlns:a16="http://schemas.microsoft.com/office/drawing/2014/main" id="{F8A396A6-371F-48D6-9271-458D6053C2A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09" name="AutoShape 10" descr="Wasps">
          <a:extLst>
            <a:ext uri="{FF2B5EF4-FFF2-40B4-BE49-F238E27FC236}">
              <a16:creationId xmlns:a16="http://schemas.microsoft.com/office/drawing/2014/main" id="{53DDD917-060B-40BC-9892-5DA25EBE344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110" name="AutoShape 1" descr="Bristol Bears">
          <a:extLst>
            <a:ext uri="{FF2B5EF4-FFF2-40B4-BE49-F238E27FC236}">
              <a16:creationId xmlns:a16="http://schemas.microsoft.com/office/drawing/2014/main" id="{9F5F8C5B-249A-405C-A8E5-8F911AE5F5A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304800" cy="302284"/>
    <xdr:sp macro="" textlink="">
      <xdr:nvSpPr>
        <xdr:cNvPr id="111" name="AutoShape 2" descr="Exeter Chiefs">
          <a:extLst>
            <a:ext uri="{FF2B5EF4-FFF2-40B4-BE49-F238E27FC236}">
              <a16:creationId xmlns:a16="http://schemas.microsoft.com/office/drawing/2014/main" id="{F1052464-D751-40F6-8637-8DA94E9140B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304800" cy="302284"/>
    <xdr:sp macro="" textlink="">
      <xdr:nvSpPr>
        <xdr:cNvPr id="112" name="AutoShape 3" descr="Harlequins">
          <a:extLst>
            <a:ext uri="{FF2B5EF4-FFF2-40B4-BE49-F238E27FC236}">
              <a16:creationId xmlns:a16="http://schemas.microsoft.com/office/drawing/2014/main" id="{489B5665-5949-4C54-94D2-042D37E1A5A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04800" cy="302284"/>
    <xdr:sp macro="" textlink="">
      <xdr:nvSpPr>
        <xdr:cNvPr id="113" name="AutoShape 4" descr="Sale Sharks">
          <a:extLst>
            <a:ext uri="{FF2B5EF4-FFF2-40B4-BE49-F238E27FC236}">
              <a16:creationId xmlns:a16="http://schemas.microsoft.com/office/drawing/2014/main" id="{F79387CC-9522-4396-911F-ACB3E82CFA8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04800" cy="302284"/>
    <xdr:sp macro="" textlink="">
      <xdr:nvSpPr>
        <xdr:cNvPr id="114" name="AutoShape 5" descr="Northampton Saints">
          <a:extLst>
            <a:ext uri="{FF2B5EF4-FFF2-40B4-BE49-F238E27FC236}">
              <a16:creationId xmlns:a16="http://schemas.microsoft.com/office/drawing/2014/main" id="{8965E0DE-DDA8-4C1C-9D54-FEA3FDD906D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2284"/>
    <xdr:sp macro="" textlink="">
      <xdr:nvSpPr>
        <xdr:cNvPr id="115" name="AutoShape 6" descr="London Irish">
          <a:extLst>
            <a:ext uri="{FF2B5EF4-FFF2-40B4-BE49-F238E27FC236}">
              <a16:creationId xmlns:a16="http://schemas.microsoft.com/office/drawing/2014/main" id="{3D32B791-9D38-41CD-B52A-161BEC8E3A4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116" name="AutoShape 7" descr="Leicester Tigers">
          <a:extLst>
            <a:ext uri="{FF2B5EF4-FFF2-40B4-BE49-F238E27FC236}">
              <a16:creationId xmlns:a16="http://schemas.microsoft.com/office/drawing/2014/main" id="{935D78A6-73E6-4DBE-9311-A111701994A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23</xdr:row>
      <xdr:rowOff>19050</xdr:rowOff>
    </xdr:from>
    <xdr:ext cx="298150" cy="302284"/>
    <xdr:sp macro="" textlink="">
      <xdr:nvSpPr>
        <xdr:cNvPr id="117" name="AutoShape 9" descr="Bath Rugby">
          <a:extLst>
            <a:ext uri="{FF2B5EF4-FFF2-40B4-BE49-F238E27FC236}">
              <a16:creationId xmlns:a16="http://schemas.microsoft.com/office/drawing/2014/main" id="{BEAE2AE0-E21D-4244-91BC-C6B2A1E8567C}"/>
            </a:ext>
          </a:extLst>
        </xdr:cNvPr>
        <xdr:cNvSpPr>
          <a:spLocks noChangeAspect="1" noChangeArrowheads="1"/>
        </xdr:cNvSpPr>
      </xdr:nvSpPr>
      <xdr:spPr bwMode="auto">
        <a:xfrm>
          <a:off x="5009072" y="444440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18" name="AutoShape 1" descr="Bristol Bears">
          <a:extLst>
            <a:ext uri="{FF2B5EF4-FFF2-40B4-BE49-F238E27FC236}">
              <a16:creationId xmlns:a16="http://schemas.microsoft.com/office/drawing/2014/main" id="{52EC2E68-5781-4DA0-B342-007B6AEA9A7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19" name="AutoShape 2" descr="Exeter Chiefs">
          <a:extLst>
            <a:ext uri="{FF2B5EF4-FFF2-40B4-BE49-F238E27FC236}">
              <a16:creationId xmlns:a16="http://schemas.microsoft.com/office/drawing/2014/main" id="{75E6D4DF-0936-4CE5-8FB3-DE59CDEAA16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20" name="AutoShape 3" descr="Harlequins">
          <a:extLst>
            <a:ext uri="{FF2B5EF4-FFF2-40B4-BE49-F238E27FC236}">
              <a16:creationId xmlns:a16="http://schemas.microsoft.com/office/drawing/2014/main" id="{09B072E5-2AFA-40C2-904B-11017928114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121" name="AutoShape 4" descr="Sale Sharks">
          <a:extLst>
            <a:ext uri="{FF2B5EF4-FFF2-40B4-BE49-F238E27FC236}">
              <a16:creationId xmlns:a16="http://schemas.microsoft.com/office/drawing/2014/main" id="{E12C4170-3C58-4339-8670-2A67A44889C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122" name="AutoShape 5" descr="Northampton Saints">
          <a:extLst>
            <a:ext uri="{FF2B5EF4-FFF2-40B4-BE49-F238E27FC236}">
              <a16:creationId xmlns:a16="http://schemas.microsoft.com/office/drawing/2014/main" id="{C0607ED6-760D-429D-974C-98403FB650E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123" name="AutoShape 6" descr="London Irish">
          <a:extLst>
            <a:ext uri="{FF2B5EF4-FFF2-40B4-BE49-F238E27FC236}">
              <a16:creationId xmlns:a16="http://schemas.microsoft.com/office/drawing/2014/main" id="{9912569C-D14B-47FD-BBA8-37A218D43A5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124" name="AutoShape 7" descr="Leicester Tigers">
          <a:extLst>
            <a:ext uri="{FF2B5EF4-FFF2-40B4-BE49-F238E27FC236}">
              <a16:creationId xmlns:a16="http://schemas.microsoft.com/office/drawing/2014/main" id="{CCFC8D68-B502-4CDB-A00C-851FD50F3C9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125" name="AutoShape 8" descr="Newcastle Falcons">
          <a:extLst>
            <a:ext uri="{FF2B5EF4-FFF2-40B4-BE49-F238E27FC236}">
              <a16:creationId xmlns:a16="http://schemas.microsoft.com/office/drawing/2014/main" id="{BED8934D-C76F-45D5-8AFA-8F32E077582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26" name="AutoShape 1" descr="Bristol Bears">
          <a:extLst>
            <a:ext uri="{FF2B5EF4-FFF2-40B4-BE49-F238E27FC236}">
              <a16:creationId xmlns:a16="http://schemas.microsoft.com/office/drawing/2014/main" id="{3A2489E0-345F-42D7-8C3D-1B878F4BEFE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27" name="AutoShape 2" descr="Exeter Chiefs">
          <a:extLst>
            <a:ext uri="{FF2B5EF4-FFF2-40B4-BE49-F238E27FC236}">
              <a16:creationId xmlns:a16="http://schemas.microsoft.com/office/drawing/2014/main" id="{E75D30E7-B8DB-47FD-8534-4BBF209A89D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28" name="AutoShape 3" descr="Harlequins">
          <a:extLst>
            <a:ext uri="{FF2B5EF4-FFF2-40B4-BE49-F238E27FC236}">
              <a16:creationId xmlns:a16="http://schemas.microsoft.com/office/drawing/2014/main" id="{D01BDF67-97C7-479F-B173-20C4D2CAFBE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29" name="AutoShape 4" descr="Sale Sharks">
          <a:extLst>
            <a:ext uri="{FF2B5EF4-FFF2-40B4-BE49-F238E27FC236}">
              <a16:creationId xmlns:a16="http://schemas.microsoft.com/office/drawing/2014/main" id="{757FC6F6-0D6C-4FAF-A0B1-CA5317AF2D9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30" name="AutoShape 5" descr="Northampton Saints">
          <a:extLst>
            <a:ext uri="{FF2B5EF4-FFF2-40B4-BE49-F238E27FC236}">
              <a16:creationId xmlns:a16="http://schemas.microsoft.com/office/drawing/2014/main" id="{C62AE80D-48AC-4550-AD5C-222C21FB327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31" name="AutoShape 6" descr="London Irish">
          <a:extLst>
            <a:ext uri="{FF2B5EF4-FFF2-40B4-BE49-F238E27FC236}">
              <a16:creationId xmlns:a16="http://schemas.microsoft.com/office/drawing/2014/main" id="{7A690A51-41FD-497D-9D82-0A509E85D10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32" name="AutoShape 7" descr="Leicester Tigers">
          <a:extLst>
            <a:ext uri="{FF2B5EF4-FFF2-40B4-BE49-F238E27FC236}">
              <a16:creationId xmlns:a16="http://schemas.microsoft.com/office/drawing/2014/main" id="{7CACCC51-A280-45B9-A334-D96FE7C22F3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33" name="AutoShape 8" descr="Newcastle Falcons">
          <a:extLst>
            <a:ext uri="{FF2B5EF4-FFF2-40B4-BE49-F238E27FC236}">
              <a16:creationId xmlns:a16="http://schemas.microsoft.com/office/drawing/2014/main" id="{BC9378E8-4955-4967-A515-D296CD2249C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34" name="AutoShape 10" descr="Wasps">
          <a:extLst>
            <a:ext uri="{FF2B5EF4-FFF2-40B4-BE49-F238E27FC236}">
              <a16:creationId xmlns:a16="http://schemas.microsoft.com/office/drawing/2014/main" id="{BB8B7C30-8B2C-4B50-BFD2-295B9BE26D7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2284"/>
    <xdr:sp macro="" textlink="">
      <xdr:nvSpPr>
        <xdr:cNvPr id="135" name="AutoShape 3" descr="Harlequins">
          <a:extLst>
            <a:ext uri="{FF2B5EF4-FFF2-40B4-BE49-F238E27FC236}">
              <a16:creationId xmlns:a16="http://schemas.microsoft.com/office/drawing/2014/main" id="{952B0D24-2FC6-4564-AC7C-7119EEC05DEE}"/>
            </a:ext>
          </a:extLst>
        </xdr:cNvPr>
        <xdr:cNvSpPr>
          <a:spLocks noChangeAspect="1" noChangeArrowheads="1"/>
        </xdr:cNvSpPr>
      </xdr:nvSpPr>
      <xdr:spPr bwMode="auto">
        <a:xfrm>
          <a:off x="9842740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2284"/>
    <xdr:sp macro="" textlink="">
      <xdr:nvSpPr>
        <xdr:cNvPr id="136" name="AutoShape 4" descr="Sale Sharks">
          <a:extLst>
            <a:ext uri="{FF2B5EF4-FFF2-40B4-BE49-F238E27FC236}">
              <a16:creationId xmlns:a16="http://schemas.microsoft.com/office/drawing/2014/main" id="{C62C0BBE-090D-4D86-9BE2-F58FCF60CC3F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7</xdr:row>
      <xdr:rowOff>0</xdr:rowOff>
    </xdr:from>
    <xdr:ext cx="304800" cy="302284"/>
    <xdr:sp macro="" textlink="">
      <xdr:nvSpPr>
        <xdr:cNvPr id="137" name="AutoShape 5" descr="Northampton Saints">
          <a:extLst>
            <a:ext uri="{FF2B5EF4-FFF2-40B4-BE49-F238E27FC236}">
              <a16:creationId xmlns:a16="http://schemas.microsoft.com/office/drawing/2014/main" id="{B33330A3-E242-4689-A098-198D7B42639A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8</xdr:row>
      <xdr:rowOff>0</xdr:rowOff>
    </xdr:from>
    <xdr:ext cx="304800" cy="302284"/>
    <xdr:sp macro="" textlink="">
      <xdr:nvSpPr>
        <xdr:cNvPr id="138" name="AutoShape 6" descr="London Irish">
          <a:extLst>
            <a:ext uri="{FF2B5EF4-FFF2-40B4-BE49-F238E27FC236}">
              <a16:creationId xmlns:a16="http://schemas.microsoft.com/office/drawing/2014/main" id="{26523B9E-0071-498B-BAAD-B5AA177543E3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2284"/>
    <xdr:sp macro="" textlink="">
      <xdr:nvSpPr>
        <xdr:cNvPr id="139" name="AutoShape 7" descr="Leicester Tigers">
          <a:extLst>
            <a:ext uri="{FF2B5EF4-FFF2-40B4-BE49-F238E27FC236}">
              <a16:creationId xmlns:a16="http://schemas.microsoft.com/office/drawing/2014/main" id="{A6C35B53-ADDA-4F40-B021-C3E44DA4712D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2284"/>
    <xdr:sp macro="" textlink="">
      <xdr:nvSpPr>
        <xdr:cNvPr id="140" name="AutoShape 8" descr="Newcastle Falcons">
          <a:extLst>
            <a:ext uri="{FF2B5EF4-FFF2-40B4-BE49-F238E27FC236}">
              <a16:creationId xmlns:a16="http://schemas.microsoft.com/office/drawing/2014/main" id="{F426C9EB-4BA5-45F1-A909-F8259876AE0E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11</xdr:row>
      <xdr:rowOff>19050</xdr:rowOff>
    </xdr:from>
    <xdr:ext cx="298150" cy="302284"/>
    <xdr:sp macro="" textlink="">
      <xdr:nvSpPr>
        <xdr:cNvPr id="141" name="AutoShape 9" descr="Bath Rugby">
          <a:extLst>
            <a:ext uri="{FF2B5EF4-FFF2-40B4-BE49-F238E27FC236}">
              <a16:creationId xmlns:a16="http://schemas.microsoft.com/office/drawing/2014/main" id="{9DAFDC46-FB6D-4504-A994-BEDC3D140AC1}"/>
            </a:ext>
          </a:extLst>
        </xdr:cNvPr>
        <xdr:cNvSpPr>
          <a:spLocks noChangeAspect="1" noChangeArrowheads="1"/>
        </xdr:cNvSpPr>
      </xdr:nvSpPr>
      <xdr:spPr bwMode="auto">
        <a:xfrm>
          <a:off x="9839864" y="2123895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51759</xdr:colOff>
      <xdr:row>9</xdr:row>
      <xdr:rowOff>0</xdr:rowOff>
    </xdr:from>
    <xdr:ext cx="304800" cy="302284"/>
    <xdr:sp macro="" textlink="">
      <xdr:nvSpPr>
        <xdr:cNvPr id="142" name="AutoShape 10" descr="Wasps">
          <a:extLst>
            <a:ext uri="{FF2B5EF4-FFF2-40B4-BE49-F238E27FC236}">
              <a16:creationId xmlns:a16="http://schemas.microsoft.com/office/drawing/2014/main" id="{1A8DA4B8-0261-4C7A-B784-BC87FA73CF26}"/>
            </a:ext>
          </a:extLst>
        </xdr:cNvPr>
        <xdr:cNvSpPr>
          <a:spLocks noChangeAspect="1" noChangeArrowheads="1"/>
        </xdr:cNvSpPr>
      </xdr:nvSpPr>
      <xdr:spPr bwMode="auto">
        <a:xfrm>
          <a:off x="9894499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143" name="AutoShape 1" descr="Bristol Bears">
          <a:extLst>
            <a:ext uri="{FF2B5EF4-FFF2-40B4-BE49-F238E27FC236}">
              <a16:creationId xmlns:a16="http://schemas.microsoft.com/office/drawing/2014/main" id="{665A26C7-77A9-4370-B902-C3A712C119AB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2284"/>
    <xdr:sp macro="" textlink="">
      <xdr:nvSpPr>
        <xdr:cNvPr id="144" name="AutoShape 2" descr="Exeter Chiefs">
          <a:extLst>
            <a:ext uri="{FF2B5EF4-FFF2-40B4-BE49-F238E27FC236}">
              <a16:creationId xmlns:a16="http://schemas.microsoft.com/office/drawing/2014/main" id="{795C1885-D8A0-4503-866B-FC5655F5E2A4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145" name="AutoShape 3" descr="Harlequins">
          <a:extLst>
            <a:ext uri="{FF2B5EF4-FFF2-40B4-BE49-F238E27FC236}">
              <a16:creationId xmlns:a16="http://schemas.microsoft.com/office/drawing/2014/main" id="{EC719060-FF58-400C-B184-5371BF228F7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146" name="AutoShape 4" descr="Sale Sharks">
          <a:extLst>
            <a:ext uri="{FF2B5EF4-FFF2-40B4-BE49-F238E27FC236}">
              <a16:creationId xmlns:a16="http://schemas.microsoft.com/office/drawing/2014/main" id="{1E3366E8-3E70-418F-AA7B-00529D9FC1B5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147" name="AutoShape 5" descr="Northampton Saints">
          <a:extLst>
            <a:ext uri="{FF2B5EF4-FFF2-40B4-BE49-F238E27FC236}">
              <a16:creationId xmlns:a16="http://schemas.microsoft.com/office/drawing/2014/main" id="{F45C4B34-E15F-4613-8975-DCCD763AAB3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148" name="AutoShape 3" descr="Harlequins">
          <a:extLst>
            <a:ext uri="{FF2B5EF4-FFF2-40B4-BE49-F238E27FC236}">
              <a16:creationId xmlns:a16="http://schemas.microsoft.com/office/drawing/2014/main" id="{3F8429D8-EE4B-4159-B28B-A3D69E1EC894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2284"/>
    <xdr:sp macro="" textlink="">
      <xdr:nvSpPr>
        <xdr:cNvPr id="149" name="AutoShape 4" descr="Sale Sharks">
          <a:extLst>
            <a:ext uri="{FF2B5EF4-FFF2-40B4-BE49-F238E27FC236}">
              <a16:creationId xmlns:a16="http://schemas.microsoft.com/office/drawing/2014/main" id="{4DBE3119-2583-4920-9585-2FFD4478B8E1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2284"/>
    <xdr:sp macro="" textlink="">
      <xdr:nvSpPr>
        <xdr:cNvPr id="150" name="AutoShape 5" descr="Northampton Saints">
          <a:extLst>
            <a:ext uri="{FF2B5EF4-FFF2-40B4-BE49-F238E27FC236}">
              <a16:creationId xmlns:a16="http://schemas.microsoft.com/office/drawing/2014/main" id="{030893DE-B67C-4AB3-B6B4-5C6097AC5AC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2284"/>
    <xdr:sp macro="" textlink="">
      <xdr:nvSpPr>
        <xdr:cNvPr id="151" name="AutoShape 6" descr="London Irish">
          <a:extLst>
            <a:ext uri="{FF2B5EF4-FFF2-40B4-BE49-F238E27FC236}">
              <a16:creationId xmlns:a16="http://schemas.microsoft.com/office/drawing/2014/main" id="{7D547AF2-DD0A-412A-BEA8-E87FBC994B6A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2284"/>
    <xdr:sp macro="" textlink="">
      <xdr:nvSpPr>
        <xdr:cNvPr id="152" name="AutoShape 7" descr="Leicester Tigers">
          <a:extLst>
            <a:ext uri="{FF2B5EF4-FFF2-40B4-BE49-F238E27FC236}">
              <a16:creationId xmlns:a16="http://schemas.microsoft.com/office/drawing/2014/main" id="{11F3F12E-E08F-4D13-8395-A717F3736A4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184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2284"/>
    <xdr:sp macro="" textlink="">
      <xdr:nvSpPr>
        <xdr:cNvPr id="153" name="AutoShape 8" descr="Newcastle Falcons">
          <a:extLst>
            <a:ext uri="{FF2B5EF4-FFF2-40B4-BE49-F238E27FC236}">
              <a16:creationId xmlns:a16="http://schemas.microsoft.com/office/drawing/2014/main" id="{F5258FFB-D034-442A-BAFF-B76E903204C1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184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19</xdr:row>
      <xdr:rowOff>19050</xdr:rowOff>
    </xdr:from>
    <xdr:ext cx="298150" cy="302284"/>
    <xdr:sp macro="" textlink="">
      <xdr:nvSpPr>
        <xdr:cNvPr id="154" name="AutoShape 9" descr="Bath Rugby">
          <a:extLst>
            <a:ext uri="{FF2B5EF4-FFF2-40B4-BE49-F238E27FC236}">
              <a16:creationId xmlns:a16="http://schemas.microsoft.com/office/drawing/2014/main" id="{8F8F2E15-853D-4C47-B789-077747EDD6AF}"/>
            </a:ext>
          </a:extLst>
        </xdr:cNvPr>
        <xdr:cNvSpPr>
          <a:spLocks noChangeAspect="1" noChangeArrowheads="1"/>
        </xdr:cNvSpPr>
      </xdr:nvSpPr>
      <xdr:spPr bwMode="auto">
        <a:xfrm>
          <a:off x="5009072" y="368527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155" name="AutoShape 10" descr="Wasps">
          <a:extLst>
            <a:ext uri="{FF2B5EF4-FFF2-40B4-BE49-F238E27FC236}">
              <a16:creationId xmlns:a16="http://schemas.microsoft.com/office/drawing/2014/main" id="{B910BA17-5EEF-43BF-BDC7-7CEF6FAB825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156" name="AutoShape 10" descr="Wasps">
          <a:extLst>
            <a:ext uri="{FF2B5EF4-FFF2-40B4-BE49-F238E27FC236}">
              <a16:creationId xmlns:a16="http://schemas.microsoft.com/office/drawing/2014/main" id="{7C0DD67B-383E-457D-9F71-26091D128C7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57" name="AutoShape 10" descr="Wasps">
          <a:extLst>
            <a:ext uri="{FF2B5EF4-FFF2-40B4-BE49-F238E27FC236}">
              <a16:creationId xmlns:a16="http://schemas.microsoft.com/office/drawing/2014/main" id="{218727B5-28F0-489B-97BF-5A96599C526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58" name="AutoShape 10" descr="Wasps">
          <a:extLst>
            <a:ext uri="{FF2B5EF4-FFF2-40B4-BE49-F238E27FC236}">
              <a16:creationId xmlns:a16="http://schemas.microsoft.com/office/drawing/2014/main" id="{6752A2CC-3216-4363-8319-F4FD74364D1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59" name="AutoShape 10" descr="Wasps">
          <a:extLst>
            <a:ext uri="{FF2B5EF4-FFF2-40B4-BE49-F238E27FC236}">
              <a16:creationId xmlns:a16="http://schemas.microsoft.com/office/drawing/2014/main" id="{E4AB2FFD-B6FA-4A03-A003-93A2924AE903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21</xdr:row>
      <xdr:rowOff>77638</xdr:rowOff>
    </xdr:from>
    <xdr:ext cx="304800" cy="302284"/>
    <xdr:sp macro="" textlink="">
      <xdr:nvSpPr>
        <xdr:cNvPr id="160" name="AutoShape 10" descr="Wasps">
          <a:extLst>
            <a:ext uri="{FF2B5EF4-FFF2-40B4-BE49-F238E27FC236}">
              <a16:creationId xmlns:a16="http://schemas.microsoft.com/office/drawing/2014/main" id="{DE0C9EBE-8CD1-458E-B79A-27B861B6D05D}"/>
            </a:ext>
          </a:extLst>
        </xdr:cNvPr>
        <xdr:cNvSpPr>
          <a:spLocks noChangeAspect="1" noChangeArrowheads="1"/>
        </xdr:cNvSpPr>
      </xdr:nvSpPr>
      <xdr:spPr bwMode="auto">
        <a:xfrm>
          <a:off x="5072332" y="412342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61" name="AutoShape 10" descr="Wasps">
          <a:extLst>
            <a:ext uri="{FF2B5EF4-FFF2-40B4-BE49-F238E27FC236}">
              <a16:creationId xmlns:a16="http://schemas.microsoft.com/office/drawing/2014/main" id="{E752E2B5-A8A5-4C66-B080-7B5A7DB19E3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62" name="AutoShape 10" descr="Wasps">
          <a:extLst>
            <a:ext uri="{FF2B5EF4-FFF2-40B4-BE49-F238E27FC236}">
              <a16:creationId xmlns:a16="http://schemas.microsoft.com/office/drawing/2014/main" id="{6B8CDB9B-9E22-438E-ACC7-B35F8275234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63" name="AutoShape 10" descr="Wasps">
          <a:extLst>
            <a:ext uri="{FF2B5EF4-FFF2-40B4-BE49-F238E27FC236}">
              <a16:creationId xmlns:a16="http://schemas.microsoft.com/office/drawing/2014/main" id="{A9810A9B-1794-4AE4-A887-4DAEFFE7B29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64" name="AutoShape 10" descr="Wasps">
          <a:extLst>
            <a:ext uri="{FF2B5EF4-FFF2-40B4-BE49-F238E27FC236}">
              <a16:creationId xmlns:a16="http://schemas.microsoft.com/office/drawing/2014/main" id="{540DC4C6-57C5-42F7-B77B-D7766104462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165" name="AutoShape 10" descr="Wasps">
          <a:extLst>
            <a:ext uri="{FF2B5EF4-FFF2-40B4-BE49-F238E27FC236}">
              <a16:creationId xmlns:a16="http://schemas.microsoft.com/office/drawing/2014/main" id="{BE0C9C5B-B0C1-4A39-A9CD-2518966B3D8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166" name="AutoShape 10" descr="Wasps">
          <a:extLst>
            <a:ext uri="{FF2B5EF4-FFF2-40B4-BE49-F238E27FC236}">
              <a16:creationId xmlns:a16="http://schemas.microsoft.com/office/drawing/2014/main" id="{7869D453-628F-4A41-898C-77D49A41F4D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167" name="AutoShape 10" descr="Wasps">
          <a:extLst>
            <a:ext uri="{FF2B5EF4-FFF2-40B4-BE49-F238E27FC236}">
              <a16:creationId xmlns:a16="http://schemas.microsoft.com/office/drawing/2014/main" id="{05B3A3E3-F243-4A12-ABCE-F718D45D41A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168" name="AutoShape 10" descr="Wasps">
          <a:extLst>
            <a:ext uri="{FF2B5EF4-FFF2-40B4-BE49-F238E27FC236}">
              <a16:creationId xmlns:a16="http://schemas.microsoft.com/office/drawing/2014/main" id="{83577A04-C782-4CD7-B232-503E9D65728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169" name="AutoShape 10" descr="Wasps">
          <a:extLst>
            <a:ext uri="{FF2B5EF4-FFF2-40B4-BE49-F238E27FC236}">
              <a16:creationId xmlns:a16="http://schemas.microsoft.com/office/drawing/2014/main" id="{A12BF8AF-699E-4DAF-9515-31C7C34F3B5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170" name="AutoShape 10" descr="Wasps">
          <a:extLst>
            <a:ext uri="{FF2B5EF4-FFF2-40B4-BE49-F238E27FC236}">
              <a16:creationId xmlns:a16="http://schemas.microsoft.com/office/drawing/2014/main" id="{AAA36DB0-2DD2-47D5-8DEE-89989DFEEEF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71" name="AutoShape 1" descr="Bristol Bears">
          <a:extLst>
            <a:ext uri="{FF2B5EF4-FFF2-40B4-BE49-F238E27FC236}">
              <a16:creationId xmlns:a16="http://schemas.microsoft.com/office/drawing/2014/main" id="{E0A6D50B-5111-4AA0-9D95-20F29482B4B2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72" name="AutoShape 2" descr="Exeter Chiefs">
          <a:extLst>
            <a:ext uri="{FF2B5EF4-FFF2-40B4-BE49-F238E27FC236}">
              <a16:creationId xmlns:a16="http://schemas.microsoft.com/office/drawing/2014/main" id="{0CAB84B5-6F7D-47E6-91A8-FCF7B0B2D98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73" name="AutoShape 3" descr="Harlequins">
          <a:extLst>
            <a:ext uri="{FF2B5EF4-FFF2-40B4-BE49-F238E27FC236}">
              <a16:creationId xmlns:a16="http://schemas.microsoft.com/office/drawing/2014/main" id="{4F550D1B-A660-4A9E-AC28-44CDBFA5C93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174" name="AutoShape 10" descr="Wasps">
          <a:extLst>
            <a:ext uri="{FF2B5EF4-FFF2-40B4-BE49-F238E27FC236}">
              <a16:creationId xmlns:a16="http://schemas.microsoft.com/office/drawing/2014/main" id="{A68EA80A-C576-49D3-B2D4-F02C18699F9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175" name="AutoShape 10" descr="Wasps">
          <a:extLst>
            <a:ext uri="{FF2B5EF4-FFF2-40B4-BE49-F238E27FC236}">
              <a16:creationId xmlns:a16="http://schemas.microsoft.com/office/drawing/2014/main" id="{1CA898D0-0140-4473-8507-A14E55D89BB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76" name="AutoShape 10" descr="Wasps">
          <a:extLst>
            <a:ext uri="{FF2B5EF4-FFF2-40B4-BE49-F238E27FC236}">
              <a16:creationId xmlns:a16="http://schemas.microsoft.com/office/drawing/2014/main" id="{14087FE0-1533-48D0-B90D-C51C33BDBD8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77" name="AutoShape 10" descr="Wasps">
          <a:extLst>
            <a:ext uri="{FF2B5EF4-FFF2-40B4-BE49-F238E27FC236}">
              <a16:creationId xmlns:a16="http://schemas.microsoft.com/office/drawing/2014/main" id="{AAA77805-A4DB-4A92-A021-AA5D4AFC025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78" name="AutoShape 10" descr="Wasps">
          <a:extLst>
            <a:ext uri="{FF2B5EF4-FFF2-40B4-BE49-F238E27FC236}">
              <a16:creationId xmlns:a16="http://schemas.microsoft.com/office/drawing/2014/main" id="{3BA13D5A-DD4F-4E97-B97B-78D27EF0F66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79" name="AutoShape 10" descr="Wasps">
          <a:extLst>
            <a:ext uri="{FF2B5EF4-FFF2-40B4-BE49-F238E27FC236}">
              <a16:creationId xmlns:a16="http://schemas.microsoft.com/office/drawing/2014/main" id="{D1990A86-1123-4023-9788-EF10D088D25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80" name="AutoShape 10" descr="Wasps">
          <a:extLst>
            <a:ext uri="{FF2B5EF4-FFF2-40B4-BE49-F238E27FC236}">
              <a16:creationId xmlns:a16="http://schemas.microsoft.com/office/drawing/2014/main" id="{2A870C7E-15D3-4606-872A-D5F7089B89C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81" name="AutoShape 10" descr="Wasps">
          <a:extLst>
            <a:ext uri="{FF2B5EF4-FFF2-40B4-BE49-F238E27FC236}">
              <a16:creationId xmlns:a16="http://schemas.microsoft.com/office/drawing/2014/main" id="{97AABB85-C3A9-427E-B5BF-6B6AC3D4C5A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82" name="AutoShape 10" descr="Wasps">
          <a:extLst>
            <a:ext uri="{FF2B5EF4-FFF2-40B4-BE49-F238E27FC236}">
              <a16:creationId xmlns:a16="http://schemas.microsoft.com/office/drawing/2014/main" id="{B2CEE653-6F52-4AAA-8A1D-17C230A4A1C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83" name="AutoShape 10" descr="Wasps">
          <a:extLst>
            <a:ext uri="{FF2B5EF4-FFF2-40B4-BE49-F238E27FC236}">
              <a16:creationId xmlns:a16="http://schemas.microsoft.com/office/drawing/2014/main" id="{593801D2-21DD-4156-9B97-8FB33FEB921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84" name="AutoShape 10" descr="Wasps">
          <a:extLst>
            <a:ext uri="{FF2B5EF4-FFF2-40B4-BE49-F238E27FC236}">
              <a16:creationId xmlns:a16="http://schemas.microsoft.com/office/drawing/2014/main" id="{0D8CED68-F508-42A2-91B0-6553412EFB8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85" name="AutoShape 10" descr="Wasps">
          <a:extLst>
            <a:ext uri="{FF2B5EF4-FFF2-40B4-BE49-F238E27FC236}">
              <a16:creationId xmlns:a16="http://schemas.microsoft.com/office/drawing/2014/main" id="{3A5745CE-92F0-49F2-9527-AFA9F432A313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86" name="AutoShape 10" descr="Wasps">
          <a:extLst>
            <a:ext uri="{FF2B5EF4-FFF2-40B4-BE49-F238E27FC236}">
              <a16:creationId xmlns:a16="http://schemas.microsoft.com/office/drawing/2014/main" id="{4624CA9C-0316-47FA-9139-A90E653C94E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87" name="AutoShape 10" descr="Wasps">
          <a:extLst>
            <a:ext uri="{FF2B5EF4-FFF2-40B4-BE49-F238E27FC236}">
              <a16:creationId xmlns:a16="http://schemas.microsoft.com/office/drawing/2014/main" id="{DFC2881E-58FE-436D-A87F-90394E8A3C1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88" name="AutoShape 10" descr="Wasps">
          <a:extLst>
            <a:ext uri="{FF2B5EF4-FFF2-40B4-BE49-F238E27FC236}">
              <a16:creationId xmlns:a16="http://schemas.microsoft.com/office/drawing/2014/main" id="{25E2A499-FD80-4B9B-A765-9AB3CF42FDB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89" name="AutoShape 10" descr="Wasps">
          <a:extLst>
            <a:ext uri="{FF2B5EF4-FFF2-40B4-BE49-F238E27FC236}">
              <a16:creationId xmlns:a16="http://schemas.microsoft.com/office/drawing/2014/main" id="{779D8102-439C-4CA0-A1AE-F0AF1A444BC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33</xdr:row>
      <xdr:rowOff>19050</xdr:rowOff>
    </xdr:from>
    <xdr:ext cx="298150" cy="302284"/>
    <xdr:sp macro="" textlink="">
      <xdr:nvSpPr>
        <xdr:cNvPr id="190" name="AutoShape 9" descr="Bath Rugby">
          <a:extLst>
            <a:ext uri="{FF2B5EF4-FFF2-40B4-BE49-F238E27FC236}">
              <a16:creationId xmlns:a16="http://schemas.microsoft.com/office/drawing/2014/main" id="{B47C7498-9A63-49B1-9E80-AC110B917BAC}"/>
            </a:ext>
          </a:extLst>
        </xdr:cNvPr>
        <xdr:cNvSpPr>
          <a:spLocks noChangeAspect="1" noChangeArrowheads="1"/>
        </xdr:cNvSpPr>
      </xdr:nvSpPr>
      <xdr:spPr bwMode="auto">
        <a:xfrm>
          <a:off x="5009072" y="634221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91" name="AutoShape 1" descr="Bristol Bears">
          <a:extLst>
            <a:ext uri="{FF2B5EF4-FFF2-40B4-BE49-F238E27FC236}">
              <a16:creationId xmlns:a16="http://schemas.microsoft.com/office/drawing/2014/main" id="{ACB55D0B-9F40-4D6D-814C-D1CEFA5FF87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92" name="AutoShape 2" descr="Exeter Chiefs">
          <a:extLst>
            <a:ext uri="{FF2B5EF4-FFF2-40B4-BE49-F238E27FC236}">
              <a16:creationId xmlns:a16="http://schemas.microsoft.com/office/drawing/2014/main" id="{E83C6C38-4F88-4766-A904-8881F5BCE483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93" name="AutoShape 3" descr="Harlequins">
          <a:extLst>
            <a:ext uri="{FF2B5EF4-FFF2-40B4-BE49-F238E27FC236}">
              <a16:creationId xmlns:a16="http://schemas.microsoft.com/office/drawing/2014/main" id="{332F8F79-3AC7-4AA7-A838-3915F6B8500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94" name="AutoShape 4" descr="Sale Sharks">
          <a:extLst>
            <a:ext uri="{FF2B5EF4-FFF2-40B4-BE49-F238E27FC236}">
              <a16:creationId xmlns:a16="http://schemas.microsoft.com/office/drawing/2014/main" id="{3A6EB71A-A6FB-4D3E-9E22-F5F1E3AD12F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95" name="AutoShape 5" descr="Northampton Saints">
          <a:extLst>
            <a:ext uri="{FF2B5EF4-FFF2-40B4-BE49-F238E27FC236}">
              <a16:creationId xmlns:a16="http://schemas.microsoft.com/office/drawing/2014/main" id="{816EB7C2-18D7-4CBB-B669-5F46C5E8BDF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96" name="AutoShape 6" descr="London Irish">
          <a:extLst>
            <a:ext uri="{FF2B5EF4-FFF2-40B4-BE49-F238E27FC236}">
              <a16:creationId xmlns:a16="http://schemas.microsoft.com/office/drawing/2014/main" id="{44FCE515-BC8B-4A2F-9B92-CD9750BB4AA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29</xdr:row>
      <xdr:rowOff>19050</xdr:rowOff>
    </xdr:from>
    <xdr:ext cx="298150" cy="302284"/>
    <xdr:sp macro="" textlink="">
      <xdr:nvSpPr>
        <xdr:cNvPr id="197" name="AutoShape 9" descr="Bath Rugby">
          <a:extLst>
            <a:ext uri="{FF2B5EF4-FFF2-40B4-BE49-F238E27FC236}">
              <a16:creationId xmlns:a16="http://schemas.microsoft.com/office/drawing/2014/main" id="{F5CD10D5-8FEF-476F-BFD0-E7F283B45267}"/>
            </a:ext>
          </a:extLst>
        </xdr:cNvPr>
        <xdr:cNvSpPr>
          <a:spLocks noChangeAspect="1" noChangeArrowheads="1"/>
        </xdr:cNvSpPr>
      </xdr:nvSpPr>
      <xdr:spPr bwMode="auto">
        <a:xfrm>
          <a:off x="5009072" y="558308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198" name="AutoShape 10" descr="Wasps">
          <a:extLst>
            <a:ext uri="{FF2B5EF4-FFF2-40B4-BE49-F238E27FC236}">
              <a16:creationId xmlns:a16="http://schemas.microsoft.com/office/drawing/2014/main" id="{986AE48E-ACDD-43F1-8695-31D5A792D4D3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199" name="AutoShape 10" descr="Wasps">
          <a:extLst>
            <a:ext uri="{FF2B5EF4-FFF2-40B4-BE49-F238E27FC236}">
              <a16:creationId xmlns:a16="http://schemas.microsoft.com/office/drawing/2014/main" id="{8AEFD6FD-7FB6-49B0-9D50-0BE35AA27CA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00" name="AutoShape 10" descr="Wasps">
          <a:extLst>
            <a:ext uri="{FF2B5EF4-FFF2-40B4-BE49-F238E27FC236}">
              <a16:creationId xmlns:a16="http://schemas.microsoft.com/office/drawing/2014/main" id="{65831671-A4CB-4051-9560-1A034188C4D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01" name="AutoShape 10" descr="Wasps">
          <a:extLst>
            <a:ext uri="{FF2B5EF4-FFF2-40B4-BE49-F238E27FC236}">
              <a16:creationId xmlns:a16="http://schemas.microsoft.com/office/drawing/2014/main" id="{C1D7AA48-FCE2-4486-AB1D-1494FB830F0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02" name="AutoShape 10" descr="Wasps">
          <a:extLst>
            <a:ext uri="{FF2B5EF4-FFF2-40B4-BE49-F238E27FC236}">
              <a16:creationId xmlns:a16="http://schemas.microsoft.com/office/drawing/2014/main" id="{7F996A22-C0D3-45C7-9528-B85161B5E54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31</xdr:row>
      <xdr:rowOff>77638</xdr:rowOff>
    </xdr:from>
    <xdr:ext cx="304800" cy="302284"/>
    <xdr:sp macro="" textlink="">
      <xdr:nvSpPr>
        <xdr:cNvPr id="203" name="AutoShape 10" descr="Wasps">
          <a:extLst>
            <a:ext uri="{FF2B5EF4-FFF2-40B4-BE49-F238E27FC236}">
              <a16:creationId xmlns:a16="http://schemas.microsoft.com/office/drawing/2014/main" id="{57D7ED4B-BBE0-4C17-B8E7-A9F3B463842B}"/>
            </a:ext>
          </a:extLst>
        </xdr:cNvPr>
        <xdr:cNvSpPr>
          <a:spLocks noChangeAspect="1" noChangeArrowheads="1"/>
        </xdr:cNvSpPr>
      </xdr:nvSpPr>
      <xdr:spPr bwMode="auto">
        <a:xfrm>
          <a:off x="5072332" y="60212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204" name="AutoShape 10" descr="Wasps">
          <a:extLst>
            <a:ext uri="{FF2B5EF4-FFF2-40B4-BE49-F238E27FC236}">
              <a16:creationId xmlns:a16="http://schemas.microsoft.com/office/drawing/2014/main" id="{7D499F7C-9194-479E-BD8A-2F95AE6B742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205" name="AutoShape 10" descr="Wasps">
          <a:extLst>
            <a:ext uri="{FF2B5EF4-FFF2-40B4-BE49-F238E27FC236}">
              <a16:creationId xmlns:a16="http://schemas.microsoft.com/office/drawing/2014/main" id="{B4D00D76-6C01-456F-89DF-019B6F8E9BF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06" name="AutoShape 10" descr="Wasps">
          <a:extLst>
            <a:ext uri="{FF2B5EF4-FFF2-40B4-BE49-F238E27FC236}">
              <a16:creationId xmlns:a16="http://schemas.microsoft.com/office/drawing/2014/main" id="{743C862F-6BD1-4C2F-8162-441A190E3E3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07" name="AutoShape 10" descr="Wasps">
          <a:extLst>
            <a:ext uri="{FF2B5EF4-FFF2-40B4-BE49-F238E27FC236}">
              <a16:creationId xmlns:a16="http://schemas.microsoft.com/office/drawing/2014/main" id="{C7A0929F-E6D9-4DE1-BC55-D086D31D2C6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208" name="AutoShape 10" descr="Wasps">
          <a:extLst>
            <a:ext uri="{FF2B5EF4-FFF2-40B4-BE49-F238E27FC236}">
              <a16:creationId xmlns:a16="http://schemas.microsoft.com/office/drawing/2014/main" id="{BAB6C778-2CCC-4CB7-AC29-0CEC132D466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209" name="AutoShape 10" descr="Wasps">
          <a:extLst>
            <a:ext uri="{FF2B5EF4-FFF2-40B4-BE49-F238E27FC236}">
              <a16:creationId xmlns:a16="http://schemas.microsoft.com/office/drawing/2014/main" id="{48F2AFF1-8198-4392-A05E-F22170137B0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10" name="AutoShape 10" descr="Wasps">
          <a:extLst>
            <a:ext uri="{FF2B5EF4-FFF2-40B4-BE49-F238E27FC236}">
              <a16:creationId xmlns:a16="http://schemas.microsoft.com/office/drawing/2014/main" id="{7E3B3F36-8DBF-41B4-AE4A-D043C3AE7F6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11" name="AutoShape 10" descr="Wasps">
          <a:extLst>
            <a:ext uri="{FF2B5EF4-FFF2-40B4-BE49-F238E27FC236}">
              <a16:creationId xmlns:a16="http://schemas.microsoft.com/office/drawing/2014/main" id="{415F0853-FB6D-4BB8-B4A4-8DF556A9150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12" name="AutoShape 10" descr="Wasps">
          <a:extLst>
            <a:ext uri="{FF2B5EF4-FFF2-40B4-BE49-F238E27FC236}">
              <a16:creationId xmlns:a16="http://schemas.microsoft.com/office/drawing/2014/main" id="{55AAE22B-A68D-42D1-9408-902CEF6FB91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13" name="AutoShape 10" descr="Wasps">
          <a:extLst>
            <a:ext uri="{FF2B5EF4-FFF2-40B4-BE49-F238E27FC236}">
              <a16:creationId xmlns:a16="http://schemas.microsoft.com/office/drawing/2014/main" id="{77B68D26-F8EA-4747-86E1-F111C9E92F3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14" name="AutoShape 1" descr="Bristol Bears">
          <a:extLst>
            <a:ext uri="{FF2B5EF4-FFF2-40B4-BE49-F238E27FC236}">
              <a16:creationId xmlns:a16="http://schemas.microsoft.com/office/drawing/2014/main" id="{3CFCC873-F478-4EB3-BD32-D9D9EF1686B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1258</xdr:colOff>
      <xdr:row>30</xdr:row>
      <xdr:rowOff>188523</xdr:rowOff>
    </xdr:from>
    <xdr:ext cx="302284" cy="304800"/>
    <xdr:sp macro="" textlink="">
      <xdr:nvSpPr>
        <xdr:cNvPr id="215" name="AutoShape 2" descr="Exeter Chiefs">
          <a:extLst>
            <a:ext uri="{FF2B5EF4-FFF2-40B4-BE49-F238E27FC236}">
              <a16:creationId xmlns:a16="http://schemas.microsoft.com/office/drawing/2014/main" id="{80851B72-1F5D-4525-8EA8-71215898833D}"/>
            </a:ext>
          </a:extLst>
        </xdr:cNvPr>
        <xdr:cNvSpPr>
          <a:spLocks noChangeAspect="1" noChangeArrowheads="1"/>
        </xdr:cNvSpPr>
      </xdr:nvSpPr>
      <xdr:spPr bwMode="auto">
        <a:xfrm rot="16200000"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16" name="AutoShape 3" descr="Harlequins">
          <a:extLst>
            <a:ext uri="{FF2B5EF4-FFF2-40B4-BE49-F238E27FC236}">
              <a16:creationId xmlns:a16="http://schemas.microsoft.com/office/drawing/2014/main" id="{66988990-9194-45BD-ABD3-42196436574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217" name="AutoShape 4" descr="Sale Sharks">
          <a:extLst>
            <a:ext uri="{FF2B5EF4-FFF2-40B4-BE49-F238E27FC236}">
              <a16:creationId xmlns:a16="http://schemas.microsoft.com/office/drawing/2014/main" id="{9318341B-3178-4069-AA1D-E12DB92F6F1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18" name="AutoShape 5" descr="Northampton Saints">
          <a:extLst>
            <a:ext uri="{FF2B5EF4-FFF2-40B4-BE49-F238E27FC236}">
              <a16:creationId xmlns:a16="http://schemas.microsoft.com/office/drawing/2014/main" id="{7A5B7108-6A61-4C1B-BC00-8469570567B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19" name="AutoShape 6" descr="London Irish">
          <a:extLst>
            <a:ext uri="{FF2B5EF4-FFF2-40B4-BE49-F238E27FC236}">
              <a16:creationId xmlns:a16="http://schemas.microsoft.com/office/drawing/2014/main" id="{26E5C4D2-07CD-45F3-BCB3-55403D87D98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</xdr:row>
      <xdr:rowOff>0</xdr:rowOff>
    </xdr:from>
    <xdr:ext cx="304800" cy="302284"/>
    <xdr:sp macro="" textlink="">
      <xdr:nvSpPr>
        <xdr:cNvPr id="220" name="AutoShape 1" descr="Bristol Bears">
          <a:extLst>
            <a:ext uri="{FF2B5EF4-FFF2-40B4-BE49-F238E27FC236}">
              <a16:creationId xmlns:a16="http://schemas.microsoft.com/office/drawing/2014/main" id="{C9957518-BB41-493A-B3C3-8ECC201B35A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34506</xdr:colOff>
      <xdr:row>4</xdr:row>
      <xdr:rowOff>120770</xdr:rowOff>
    </xdr:from>
    <xdr:ext cx="304800" cy="302284"/>
    <xdr:sp macro="" textlink="">
      <xdr:nvSpPr>
        <xdr:cNvPr id="221" name="AutoShape 2" descr="Exeter Chiefs">
          <a:extLst>
            <a:ext uri="{FF2B5EF4-FFF2-40B4-BE49-F238E27FC236}">
              <a16:creationId xmlns:a16="http://schemas.microsoft.com/office/drawing/2014/main" id="{0734E7B8-C9D5-4CFD-AA40-6D4AB12D510A}"/>
            </a:ext>
          </a:extLst>
        </xdr:cNvPr>
        <xdr:cNvSpPr>
          <a:spLocks noChangeAspect="1" noChangeArrowheads="1"/>
        </xdr:cNvSpPr>
      </xdr:nvSpPr>
      <xdr:spPr bwMode="auto">
        <a:xfrm>
          <a:off x="9877246" y="8798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2284"/>
    <xdr:sp macro="" textlink="">
      <xdr:nvSpPr>
        <xdr:cNvPr id="222" name="AutoShape 3" descr="Harlequins">
          <a:extLst>
            <a:ext uri="{FF2B5EF4-FFF2-40B4-BE49-F238E27FC236}">
              <a16:creationId xmlns:a16="http://schemas.microsoft.com/office/drawing/2014/main" id="{735A2CCE-7037-4852-9A5B-30B43F2F370D}"/>
            </a:ext>
          </a:extLst>
        </xdr:cNvPr>
        <xdr:cNvSpPr>
          <a:spLocks noChangeAspect="1" noChangeArrowheads="1"/>
        </xdr:cNvSpPr>
      </xdr:nvSpPr>
      <xdr:spPr bwMode="auto">
        <a:xfrm>
          <a:off x="9842740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2284"/>
    <xdr:sp macro="" textlink="">
      <xdr:nvSpPr>
        <xdr:cNvPr id="223" name="AutoShape 4" descr="Sale Sharks">
          <a:extLst>
            <a:ext uri="{FF2B5EF4-FFF2-40B4-BE49-F238E27FC236}">
              <a16:creationId xmlns:a16="http://schemas.microsoft.com/office/drawing/2014/main" id="{87FA1E40-39F3-40DE-8756-7B523B6F7228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7</xdr:row>
      <xdr:rowOff>0</xdr:rowOff>
    </xdr:from>
    <xdr:ext cx="304800" cy="302284"/>
    <xdr:sp macro="" textlink="">
      <xdr:nvSpPr>
        <xdr:cNvPr id="224" name="AutoShape 5" descr="Northampton Saints">
          <a:extLst>
            <a:ext uri="{FF2B5EF4-FFF2-40B4-BE49-F238E27FC236}">
              <a16:creationId xmlns:a16="http://schemas.microsoft.com/office/drawing/2014/main" id="{28DAA6A0-C2E8-4F84-B84A-C6F16C97F5AD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225" name="AutoShape 1" descr="Bristol Bears">
          <a:extLst>
            <a:ext uri="{FF2B5EF4-FFF2-40B4-BE49-F238E27FC236}">
              <a16:creationId xmlns:a16="http://schemas.microsoft.com/office/drawing/2014/main" id="{229D9AE4-82DB-4F43-8F21-27F21261D17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34506</xdr:colOff>
      <xdr:row>14</xdr:row>
      <xdr:rowOff>120770</xdr:rowOff>
    </xdr:from>
    <xdr:ext cx="304800" cy="302284"/>
    <xdr:sp macro="" textlink="">
      <xdr:nvSpPr>
        <xdr:cNvPr id="226" name="AutoShape 2" descr="Exeter Chiefs">
          <a:extLst>
            <a:ext uri="{FF2B5EF4-FFF2-40B4-BE49-F238E27FC236}">
              <a16:creationId xmlns:a16="http://schemas.microsoft.com/office/drawing/2014/main" id="{E2745D01-C3C7-4B7A-8F55-4833B0799914}"/>
            </a:ext>
          </a:extLst>
        </xdr:cNvPr>
        <xdr:cNvSpPr>
          <a:spLocks noChangeAspect="1" noChangeArrowheads="1"/>
        </xdr:cNvSpPr>
      </xdr:nvSpPr>
      <xdr:spPr bwMode="auto">
        <a:xfrm>
          <a:off x="9877246" y="28208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227" name="AutoShape 3" descr="Harlequins">
          <a:extLst>
            <a:ext uri="{FF2B5EF4-FFF2-40B4-BE49-F238E27FC236}">
              <a16:creationId xmlns:a16="http://schemas.microsoft.com/office/drawing/2014/main" id="{113F2027-CABB-44A0-BD76-8BD296FA47BA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228" name="AutoShape 4" descr="Sale Sharks">
          <a:extLst>
            <a:ext uri="{FF2B5EF4-FFF2-40B4-BE49-F238E27FC236}">
              <a16:creationId xmlns:a16="http://schemas.microsoft.com/office/drawing/2014/main" id="{612B1F10-F65E-4E01-8F5F-54ABCC97D287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229" name="AutoShape 5" descr="Northampton Saints">
          <a:extLst>
            <a:ext uri="{FF2B5EF4-FFF2-40B4-BE49-F238E27FC236}">
              <a16:creationId xmlns:a16="http://schemas.microsoft.com/office/drawing/2014/main" id="{8535DC34-7DC4-4322-B793-89C7052BA6D8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21</xdr:row>
      <xdr:rowOff>0</xdr:rowOff>
    </xdr:from>
    <xdr:ext cx="304800" cy="302284"/>
    <xdr:sp macro="" textlink="">
      <xdr:nvSpPr>
        <xdr:cNvPr id="230" name="AutoShape 1" descr="Bristol Bears">
          <a:extLst>
            <a:ext uri="{FF2B5EF4-FFF2-40B4-BE49-F238E27FC236}">
              <a16:creationId xmlns:a16="http://schemas.microsoft.com/office/drawing/2014/main" id="{56A13C68-3590-4168-A33E-16638648A75A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1258</xdr:colOff>
      <xdr:row>22</xdr:row>
      <xdr:rowOff>188523</xdr:rowOff>
    </xdr:from>
    <xdr:ext cx="302284" cy="304800"/>
    <xdr:sp macro="" textlink="">
      <xdr:nvSpPr>
        <xdr:cNvPr id="231" name="AutoShape 3" descr="Harlequins">
          <a:extLst>
            <a:ext uri="{FF2B5EF4-FFF2-40B4-BE49-F238E27FC236}">
              <a16:creationId xmlns:a16="http://schemas.microsoft.com/office/drawing/2014/main" id="{1D770368-456A-4CF9-BB1F-0092BC2C9134}"/>
            </a:ext>
          </a:extLst>
        </xdr:cNvPr>
        <xdr:cNvSpPr>
          <a:spLocks noChangeAspect="1" noChangeArrowheads="1"/>
        </xdr:cNvSpPr>
      </xdr:nvSpPr>
      <xdr:spPr bwMode="auto">
        <a:xfrm rot="14539737">
          <a:off x="9842740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542853</xdr:colOff>
      <xdr:row>33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9819A8-C452-4350-8729-DC84880A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9638"/>
          <a:ext cx="1440000" cy="1440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111533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1F3A7-AFD0-4D2C-964A-3E47C0F84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4309"/>
          <a:ext cx="1440000" cy="1440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542853</xdr:colOff>
      <xdr:row>33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9ABADA-996C-4358-A435-F2CEBCCE7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75517"/>
          <a:ext cx="1440000" cy="1440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EEFC19-3B56-49A5-A8D7-BA9742698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9419"/>
          <a:ext cx="14400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2</xdr:col>
      <xdr:colOff>206423</xdr:colOff>
      <xdr:row>28</xdr:row>
      <xdr:rowOff>163290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901C6D-DDEC-448D-A0C2-F1BEC62DD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815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474452</xdr:colOff>
      <xdr:row>0</xdr:row>
      <xdr:rowOff>43132</xdr:rowOff>
    </xdr:from>
    <xdr:to>
      <xdr:col>20</xdr:col>
      <xdr:colOff>51146</xdr:colOff>
      <xdr:row>7</xdr:row>
      <xdr:rowOff>154664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336758-B2BB-456C-A038-989C15B21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199" y="43132"/>
          <a:ext cx="14400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3</xdr:col>
      <xdr:colOff>249555</xdr:colOff>
      <xdr:row>45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6AFEC-4A32-4025-9721-3AE5EF07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23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41</xdr:col>
      <xdr:colOff>603849</xdr:colOff>
      <xdr:row>0</xdr:row>
      <xdr:rowOff>0</xdr:rowOff>
    </xdr:from>
    <xdr:to>
      <xdr:col>44</xdr:col>
      <xdr:colOff>197797</xdr:colOff>
      <xdr:row>9</xdr:row>
      <xdr:rowOff>163291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D910BF-888C-4692-975B-83208540E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1940" y="0"/>
          <a:ext cx="1440000" cy="1621155"/>
        </a:xfrm>
        <a:prstGeom prst="rect">
          <a:avLst/>
        </a:prstGeom>
      </xdr:spPr>
    </xdr:pic>
    <xdr:clientData/>
  </xdr:twoCellAnchor>
  <xdr:oneCellAnchor>
    <xdr:from>
      <xdr:col>4</xdr:col>
      <xdr:colOff>161026</xdr:colOff>
      <xdr:row>48</xdr:row>
      <xdr:rowOff>131193</xdr:rowOff>
    </xdr:from>
    <xdr:ext cx="298150" cy="302284"/>
    <xdr:sp macro="" textlink="">
      <xdr:nvSpPr>
        <xdr:cNvPr id="4" name="AutoShape 9" descr="Bath Rugby">
          <a:extLst>
            <a:ext uri="{FF2B5EF4-FFF2-40B4-BE49-F238E27FC236}">
              <a16:creationId xmlns:a16="http://schemas.microsoft.com/office/drawing/2014/main" id="{BAB0F7EE-391F-447B-8560-0FDF500ABFDD}"/>
            </a:ext>
          </a:extLst>
        </xdr:cNvPr>
        <xdr:cNvSpPr>
          <a:spLocks noChangeAspect="1" noChangeArrowheads="1"/>
        </xdr:cNvSpPr>
      </xdr:nvSpPr>
      <xdr:spPr bwMode="auto">
        <a:xfrm>
          <a:off x="1627517" y="8326287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2</xdr:row>
      <xdr:rowOff>0</xdr:rowOff>
    </xdr:from>
    <xdr:to>
      <xdr:col>16</xdr:col>
      <xdr:colOff>304800</xdr:colOff>
      <xdr:row>3</xdr:row>
      <xdr:rowOff>129756</xdr:rowOff>
    </xdr:to>
    <xdr:sp macro="" textlink="">
      <xdr:nvSpPr>
        <xdr:cNvPr id="5" name="AutoShape 1" descr="Bristol Bears">
          <a:extLst>
            <a:ext uri="{FF2B5EF4-FFF2-40B4-BE49-F238E27FC236}">
              <a16:creationId xmlns:a16="http://schemas.microsoft.com/office/drawing/2014/main" id="{F60507F4-0EDB-4338-BCF7-BF5ECB92EAC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6071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34506</xdr:colOff>
      <xdr:row>3</xdr:row>
      <xdr:rowOff>120770</xdr:rowOff>
    </xdr:from>
    <xdr:to>
      <xdr:col>16</xdr:col>
      <xdr:colOff>339306</xdr:colOff>
      <xdr:row>5</xdr:row>
      <xdr:rowOff>77995</xdr:rowOff>
    </xdr:to>
    <xdr:sp macro="" textlink="">
      <xdr:nvSpPr>
        <xdr:cNvPr id="6" name="AutoShape 2" descr="Exeter Chiefs">
          <a:extLst>
            <a:ext uri="{FF2B5EF4-FFF2-40B4-BE49-F238E27FC236}">
              <a16:creationId xmlns:a16="http://schemas.microsoft.com/office/drawing/2014/main" id="{9427F657-83EA-415F-A669-DEB1622AA92B}"/>
            </a:ext>
          </a:extLst>
        </xdr:cNvPr>
        <xdr:cNvSpPr>
          <a:spLocks noChangeAspect="1" noChangeArrowheads="1"/>
        </xdr:cNvSpPr>
      </xdr:nvSpPr>
      <xdr:spPr bwMode="auto">
        <a:xfrm>
          <a:off x="4986068" y="871268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304800</xdr:colOff>
      <xdr:row>5</xdr:row>
      <xdr:rowOff>129755</xdr:rowOff>
    </xdr:to>
    <xdr:sp macro="" textlink="">
      <xdr:nvSpPr>
        <xdr:cNvPr id="7" name="AutoShape 3" descr="Harlequins">
          <a:extLst>
            <a:ext uri="{FF2B5EF4-FFF2-40B4-BE49-F238E27FC236}">
              <a16:creationId xmlns:a16="http://schemas.microsoft.com/office/drawing/2014/main" id="{F3078867-19BC-4B27-AB32-6F81299293F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940279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304800</xdr:colOff>
      <xdr:row>6</xdr:row>
      <xdr:rowOff>129759</xdr:rowOff>
    </xdr:to>
    <xdr:sp macro="" textlink="">
      <xdr:nvSpPr>
        <xdr:cNvPr id="8" name="AutoShape 4" descr="Sale Sharks">
          <a:extLst>
            <a:ext uri="{FF2B5EF4-FFF2-40B4-BE49-F238E27FC236}">
              <a16:creationId xmlns:a16="http://schemas.microsoft.com/office/drawing/2014/main" id="{B2593CC8-3F44-4A4C-A857-BA16FC5EB58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1130060"/>
          <a:ext cx="304800" cy="310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34506</xdr:colOff>
      <xdr:row>6</xdr:row>
      <xdr:rowOff>0</xdr:rowOff>
    </xdr:from>
    <xdr:to>
      <xdr:col>16</xdr:col>
      <xdr:colOff>339306</xdr:colOff>
      <xdr:row>7</xdr:row>
      <xdr:rowOff>129755</xdr:rowOff>
    </xdr:to>
    <xdr:sp macro="" textlink="">
      <xdr:nvSpPr>
        <xdr:cNvPr id="9" name="AutoShape 5" descr="Northampton Saints">
          <a:extLst>
            <a:ext uri="{FF2B5EF4-FFF2-40B4-BE49-F238E27FC236}">
              <a16:creationId xmlns:a16="http://schemas.microsoft.com/office/drawing/2014/main" id="{2F98886A-E5E5-490D-A6BA-5CE2A3059328}"/>
            </a:ext>
          </a:extLst>
        </xdr:cNvPr>
        <xdr:cNvSpPr>
          <a:spLocks noChangeAspect="1" noChangeArrowheads="1"/>
        </xdr:cNvSpPr>
      </xdr:nvSpPr>
      <xdr:spPr bwMode="auto">
        <a:xfrm>
          <a:off x="4675517" y="1138687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304800</xdr:colOff>
      <xdr:row>7</xdr:row>
      <xdr:rowOff>138382</xdr:rowOff>
    </xdr:to>
    <xdr:sp macro="" textlink="">
      <xdr:nvSpPr>
        <xdr:cNvPr id="10" name="AutoShape 7" descr="Leicester Tigers">
          <a:extLst>
            <a:ext uri="{FF2B5EF4-FFF2-40B4-BE49-F238E27FC236}">
              <a16:creationId xmlns:a16="http://schemas.microsoft.com/office/drawing/2014/main" id="{527ACDC1-8ADD-44B4-9E14-E5A1C8FF72A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1699404"/>
          <a:ext cx="304800" cy="32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304800</xdr:colOff>
      <xdr:row>7</xdr:row>
      <xdr:rowOff>129755</xdr:rowOff>
    </xdr:to>
    <xdr:sp macro="" textlink="">
      <xdr:nvSpPr>
        <xdr:cNvPr id="11" name="AutoShape 8" descr="Newcastle Falcons">
          <a:extLst>
            <a:ext uri="{FF2B5EF4-FFF2-40B4-BE49-F238E27FC236}">
              <a16:creationId xmlns:a16="http://schemas.microsoft.com/office/drawing/2014/main" id="{314DE798-B633-478C-B074-13E2D4EFDDC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1699404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609600</xdr:colOff>
      <xdr:row>10</xdr:row>
      <xdr:rowOff>19050</xdr:rowOff>
    </xdr:from>
    <xdr:to>
      <xdr:col>16</xdr:col>
      <xdr:colOff>295275</xdr:colOff>
      <xdr:row>11</xdr:row>
      <xdr:rowOff>131552</xdr:rowOff>
    </xdr:to>
    <xdr:sp macro="" textlink="">
      <xdr:nvSpPr>
        <xdr:cNvPr id="12" name="AutoShape 9" descr="Bath Rugby">
          <a:extLst>
            <a:ext uri="{FF2B5EF4-FFF2-40B4-BE49-F238E27FC236}">
              <a16:creationId xmlns:a16="http://schemas.microsoft.com/office/drawing/2014/main" id="{47F968A8-2A56-4C60-8D01-1C72066A3F98}"/>
            </a:ext>
          </a:extLst>
        </xdr:cNvPr>
        <xdr:cNvSpPr>
          <a:spLocks noChangeAspect="1" noChangeArrowheads="1"/>
        </xdr:cNvSpPr>
      </xdr:nvSpPr>
      <xdr:spPr bwMode="auto">
        <a:xfrm>
          <a:off x="4948687" y="2106642"/>
          <a:ext cx="298150" cy="302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405442</xdr:colOff>
      <xdr:row>6</xdr:row>
      <xdr:rowOff>8627</xdr:rowOff>
    </xdr:from>
    <xdr:to>
      <xdr:col>17</xdr:col>
      <xdr:colOff>54634</xdr:colOff>
      <xdr:row>7</xdr:row>
      <xdr:rowOff>138382</xdr:rowOff>
    </xdr:to>
    <xdr:sp macro="" textlink="">
      <xdr:nvSpPr>
        <xdr:cNvPr id="13" name="AutoShape 10" descr="Wasps">
          <a:extLst>
            <a:ext uri="{FF2B5EF4-FFF2-40B4-BE49-F238E27FC236}">
              <a16:creationId xmlns:a16="http://schemas.microsoft.com/office/drawing/2014/main" id="{D6B5F59D-112A-4EEA-86C6-BA8258613838}"/>
            </a:ext>
          </a:extLst>
        </xdr:cNvPr>
        <xdr:cNvSpPr>
          <a:spLocks noChangeAspect="1" noChangeArrowheads="1"/>
        </xdr:cNvSpPr>
      </xdr:nvSpPr>
      <xdr:spPr bwMode="auto">
        <a:xfrm>
          <a:off x="5357004" y="1708031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304800</xdr:colOff>
      <xdr:row>14</xdr:row>
      <xdr:rowOff>129758</xdr:rowOff>
    </xdr:to>
    <xdr:sp macro="" textlink="">
      <xdr:nvSpPr>
        <xdr:cNvPr id="14" name="AutoShape 11" descr="Gloucester Rugby">
          <a:extLst>
            <a:ext uri="{FF2B5EF4-FFF2-40B4-BE49-F238E27FC236}">
              <a16:creationId xmlns:a16="http://schemas.microsoft.com/office/drawing/2014/main" id="{73B4DDD9-C15C-4E9D-97C5-940F7A600A4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476445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336430</xdr:colOff>
      <xdr:row>6</xdr:row>
      <xdr:rowOff>0</xdr:rowOff>
    </xdr:from>
    <xdr:ext cx="304800" cy="302284"/>
    <xdr:sp macro="" textlink="">
      <xdr:nvSpPr>
        <xdr:cNvPr id="15" name="AutoShape 10" descr="Wasps">
          <a:extLst>
            <a:ext uri="{FF2B5EF4-FFF2-40B4-BE49-F238E27FC236}">
              <a16:creationId xmlns:a16="http://schemas.microsoft.com/office/drawing/2014/main" id="{FBFAE4FD-D54C-44E8-83F7-C45FC63D5D70}"/>
            </a:ext>
          </a:extLst>
        </xdr:cNvPr>
        <xdr:cNvSpPr>
          <a:spLocks noChangeAspect="1" noChangeArrowheads="1"/>
        </xdr:cNvSpPr>
      </xdr:nvSpPr>
      <xdr:spPr bwMode="auto">
        <a:xfrm>
          <a:off x="5287992" y="1699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304800" cy="302284"/>
    <xdr:sp macro="" textlink="">
      <xdr:nvSpPr>
        <xdr:cNvPr id="16" name="AutoShape 10" descr="Wasps">
          <a:extLst>
            <a:ext uri="{FF2B5EF4-FFF2-40B4-BE49-F238E27FC236}">
              <a16:creationId xmlns:a16="http://schemas.microsoft.com/office/drawing/2014/main" id="{B724D6CD-5741-4AEF-A5C7-7B9BBD89A113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304800" cy="302284"/>
    <xdr:sp macro="" textlink="">
      <xdr:nvSpPr>
        <xdr:cNvPr id="17" name="AutoShape 10" descr="Wasps">
          <a:extLst>
            <a:ext uri="{FF2B5EF4-FFF2-40B4-BE49-F238E27FC236}">
              <a16:creationId xmlns:a16="http://schemas.microsoft.com/office/drawing/2014/main" id="{6C413164-D276-4789-A6F8-A1CD26AD4B8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02284"/>
    <xdr:sp macro="" textlink="">
      <xdr:nvSpPr>
        <xdr:cNvPr id="18" name="AutoShape 10" descr="Wasps">
          <a:extLst>
            <a:ext uri="{FF2B5EF4-FFF2-40B4-BE49-F238E27FC236}">
              <a16:creationId xmlns:a16="http://schemas.microsoft.com/office/drawing/2014/main" id="{450DE5E9-1EFF-45F8-9188-EFF6A487AF5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02284"/>
    <xdr:sp macro="" textlink="">
      <xdr:nvSpPr>
        <xdr:cNvPr id="19" name="AutoShape 10" descr="Wasps">
          <a:extLst>
            <a:ext uri="{FF2B5EF4-FFF2-40B4-BE49-F238E27FC236}">
              <a16:creationId xmlns:a16="http://schemas.microsoft.com/office/drawing/2014/main" id="{C45C042C-17F0-418E-99DA-93E3F26F393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02284"/>
    <xdr:sp macro="" textlink="">
      <xdr:nvSpPr>
        <xdr:cNvPr id="20" name="AutoShape 10" descr="Wasps">
          <a:extLst>
            <a:ext uri="{FF2B5EF4-FFF2-40B4-BE49-F238E27FC236}">
              <a16:creationId xmlns:a16="http://schemas.microsoft.com/office/drawing/2014/main" id="{1E2F0FB4-607E-4E6A-8B31-57F5BC698AF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10</xdr:row>
      <xdr:rowOff>77638</xdr:rowOff>
    </xdr:from>
    <xdr:ext cx="304800" cy="302284"/>
    <xdr:sp macro="" textlink="">
      <xdr:nvSpPr>
        <xdr:cNvPr id="21" name="AutoShape 10" descr="Wasps">
          <a:extLst>
            <a:ext uri="{FF2B5EF4-FFF2-40B4-BE49-F238E27FC236}">
              <a16:creationId xmlns:a16="http://schemas.microsoft.com/office/drawing/2014/main" id="{9E0C87A7-EEDA-4808-BCEA-9D360B68335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5620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10</xdr:row>
      <xdr:rowOff>0</xdr:rowOff>
    </xdr:from>
    <xdr:ext cx="304800" cy="302284"/>
    <xdr:sp macro="" textlink="">
      <xdr:nvSpPr>
        <xdr:cNvPr id="22" name="AutoShape 10" descr="Wasps">
          <a:extLst>
            <a:ext uri="{FF2B5EF4-FFF2-40B4-BE49-F238E27FC236}">
              <a16:creationId xmlns:a16="http://schemas.microsoft.com/office/drawing/2014/main" id="{82D1BF54-A269-4EBA-B67F-5DD21F0C1B4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4844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10</xdr:row>
      <xdr:rowOff>0</xdr:rowOff>
    </xdr:from>
    <xdr:ext cx="304800" cy="302284"/>
    <xdr:sp macro="" textlink="">
      <xdr:nvSpPr>
        <xdr:cNvPr id="23" name="AutoShape 10" descr="Wasps">
          <a:extLst>
            <a:ext uri="{FF2B5EF4-FFF2-40B4-BE49-F238E27FC236}">
              <a16:creationId xmlns:a16="http://schemas.microsoft.com/office/drawing/2014/main" id="{90914AEE-3B1E-4C92-A8CA-38587D185DD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4844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0</xdr:rowOff>
    </xdr:from>
    <xdr:ext cx="304800" cy="302284"/>
    <xdr:sp macro="" textlink="">
      <xdr:nvSpPr>
        <xdr:cNvPr id="24" name="AutoShape 10" descr="Wasps">
          <a:extLst>
            <a:ext uri="{FF2B5EF4-FFF2-40B4-BE49-F238E27FC236}">
              <a16:creationId xmlns:a16="http://schemas.microsoft.com/office/drawing/2014/main" id="{C4B9DFE6-8295-4B3A-BF3F-E1A5EA5133D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0</xdr:rowOff>
    </xdr:from>
    <xdr:ext cx="304800" cy="302284"/>
    <xdr:sp macro="" textlink="">
      <xdr:nvSpPr>
        <xdr:cNvPr id="25" name="AutoShape 10" descr="Wasps">
          <a:extLst>
            <a:ext uri="{FF2B5EF4-FFF2-40B4-BE49-F238E27FC236}">
              <a16:creationId xmlns:a16="http://schemas.microsoft.com/office/drawing/2014/main" id="{5B55FF05-5E6D-4357-ABB3-E4F5E16F20A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304800" cy="302284"/>
    <xdr:sp macro="" textlink="">
      <xdr:nvSpPr>
        <xdr:cNvPr id="26" name="AutoShape 10" descr="Wasps">
          <a:extLst>
            <a:ext uri="{FF2B5EF4-FFF2-40B4-BE49-F238E27FC236}">
              <a16:creationId xmlns:a16="http://schemas.microsoft.com/office/drawing/2014/main" id="{EE768C94-E0E9-43D3-9E98-430A05FB99C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304800" cy="302284"/>
    <xdr:sp macro="" textlink="">
      <xdr:nvSpPr>
        <xdr:cNvPr id="27" name="AutoShape 10" descr="Wasps">
          <a:extLst>
            <a:ext uri="{FF2B5EF4-FFF2-40B4-BE49-F238E27FC236}">
              <a16:creationId xmlns:a16="http://schemas.microsoft.com/office/drawing/2014/main" id="{42953F6A-E1DE-422E-A238-7B7FBF038F1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28" name="AutoShape 10" descr="Wasps">
          <a:extLst>
            <a:ext uri="{FF2B5EF4-FFF2-40B4-BE49-F238E27FC236}">
              <a16:creationId xmlns:a16="http://schemas.microsoft.com/office/drawing/2014/main" id="{5ACA47C2-8379-4781-BD25-07493B41689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29" name="AutoShape 10" descr="Wasps">
          <a:extLst>
            <a:ext uri="{FF2B5EF4-FFF2-40B4-BE49-F238E27FC236}">
              <a16:creationId xmlns:a16="http://schemas.microsoft.com/office/drawing/2014/main" id="{D70431A0-1F8B-4E7C-86BA-CB01C9A2C06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30" name="AutoShape 10" descr="Wasps">
          <a:extLst>
            <a:ext uri="{FF2B5EF4-FFF2-40B4-BE49-F238E27FC236}">
              <a16:creationId xmlns:a16="http://schemas.microsoft.com/office/drawing/2014/main" id="{305D3594-EF24-4A41-A946-498C336DCE7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31" name="AutoShape 10" descr="Wasps">
          <a:extLst>
            <a:ext uri="{FF2B5EF4-FFF2-40B4-BE49-F238E27FC236}">
              <a16:creationId xmlns:a16="http://schemas.microsoft.com/office/drawing/2014/main" id="{851CD22D-9E21-4906-ACEF-123DBDE559F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32" name="AutoShape 10" descr="Wasps">
          <a:extLst>
            <a:ext uri="{FF2B5EF4-FFF2-40B4-BE49-F238E27FC236}">
              <a16:creationId xmlns:a16="http://schemas.microsoft.com/office/drawing/2014/main" id="{AB7A4D66-CC89-42C2-8D78-90F6FC17BCC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33" name="AutoShape 10" descr="Wasps">
          <a:extLst>
            <a:ext uri="{FF2B5EF4-FFF2-40B4-BE49-F238E27FC236}">
              <a16:creationId xmlns:a16="http://schemas.microsoft.com/office/drawing/2014/main" id="{A2170771-ACAA-49DB-8ECA-5BB15B737A7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34" name="AutoShape 10" descr="Wasps">
          <a:extLst>
            <a:ext uri="{FF2B5EF4-FFF2-40B4-BE49-F238E27FC236}">
              <a16:creationId xmlns:a16="http://schemas.microsoft.com/office/drawing/2014/main" id="{1631B94D-6365-410B-A96C-3B7D6719438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</xdr:row>
      <xdr:rowOff>0</xdr:rowOff>
    </xdr:from>
    <xdr:ext cx="304800" cy="303003"/>
    <xdr:sp macro="" textlink="">
      <xdr:nvSpPr>
        <xdr:cNvPr id="35" name="AutoShape 1" descr="Bristol Bears">
          <a:extLst>
            <a:ext uri="{FF2B5EF4-FFF2-40B4-BE49-F238E27FC236}">
              <a16:creationId xmlns:a16="http://schemas.microsoft.com/office/drawing/2014/main" id="{302B1E46-8C12-41E8-82F5-020296C57ED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75049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</xdr:row>
      <xdr:rowOff>0</xdr:rowOff>
    </xdr:from>
    <xdr:ext cx="304800" cy="303002"/>
    <xdr:sp macro="" textlink="">
      <xdr:nvSpPr>
        <xdr:cNvPr id="36" name="AutoShape 2" descr="Exeter Chiefs">
          <a:extLst>
            <a:ext uri="{FF2B5EF4-FFF2-40B4-BE49-F238E27FC236}">
              <a16:creationId xmlns:a16="http://schemas.microsoft.com/office/drawing/2014/main" id="{55304CB7-D410-4D3C-BEE8-AF5C9D4C2D65}"/>
            </a:ext>
          </a:extLst>
        </xdr:cNvPr>
        <xdr:cNvSpPr>
          <a:spLocks noChangeAspect="1" noChangeArrowheads="1"/>
        </xdr:cNvSpPr>
      </xdr:nvSpPr>
      <xdr:spPr bwMode="auto">
        <a:xfrm>
          <a:off x="9765102" y="940279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3003"/>
    <xdr:sp macro="" textlink="">
      <xdr:nvSpPr>
        <xdr:cNvPr id="37" name="AutoShape 3" descr="Harlequins">
          <a:extLst>
            <a:ext uri="{FF2B5EF4-FFF2-40B4-BE49-F238E27FC236}">
              <a16:creationId xmlns:a16="http://schemas.microsoft.com/office/drawing/2014/main" id="{A064ECA7-E36F-4FFA-8B30-375A32060FA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13006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03003"/>
    <xdr:sp macro="" textlink="">
      <xdr:nvSpPr>
        <xdr:cNvPr id="38" name="AutoShape 4" descr="Sale Sharks">
          <a:extLst>
            <a:ext uri="{FF2B5EF4-FFF2-40B4-BE49-F238E27FC236}">
              <a16:creationId xmlns:a16="http://schemas.microsoft.com/office/drawing/2014/main" id="{951175F2-B1CA-4A6B-93FC-2D4E26AE203E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31984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3003"/>
    <xdr:sp macro="" textlink="">
      <xdr:nvSpPr>
        <xdr:cNvPr id="39" name="AutoShape 5" descr="Northampton Saints">
          <a:extLst>
            <a:ext uri="{FF2B5EF4-FFF2-40B4-BE49-F238E27FC236}">
              <a16:creationId xmlns:a16="http://schemas.microsoft.com/office/drawing/2014/main" id="{B8CF8B4B-25D3-4336-8A47-4721A896FE52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50962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3003"/>
    <xdr:sp macro="" textlink="">
      <xdr:nvSpPr>
        <xdr:cNvPr id="40" name="AutoShape 6" descr="London Irish">
          <a:extLst>
            <a:ext uri="{FF2B5EF4-FFF2-40B4-BE49-F238E27FC236}">
              <a16:creationId xmlns:a16="http://schemas.microsoft.com/office/drawing/2014/main" id="{773EAE1B-4BA1-4D16-A342-D58E6275F160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69940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3003"/>
    <xdr:sp macro="" textlink="">
      <xdr:nvSpPr>
        <xdr:cNvPr id="41" name="AutoShape 7" descr="Leicester Tigers">
          <a:extLst>
            <a:ext uri="{FF2B5EF4-FFF2-40B4-BE49-F238E27FC236}">
              <a16:creationId xmlns:a16="http://schemas.microsoft.com/office/drawing/2014/main" id="{05270F63-004B-4B33-9CF3-40AB27E6ED33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3003"/>
    <xdr:sp macro="" textlink="">
      <xdr:nvSpPr>
        <xdr:cNvPr id="42" name="AutoShape 8" descr="Newcastle Falcons">
          <a:extLst>
            <a:ext uri="{FF2B5EF4-FFF2-40B4-BE49-F238E27FC236}">
              <a16:creationId xmlns:a16="http://schemas.microsoft.com/office/drawing/2014/main" id="{927D9915-123A-457A-9548-015AE06CDE87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295275" cy="303003"/>
    <xdr:sp macro="" textlink="">
      <xdr:nvSpPr>
        <xdr:cNvPr id="43" name="AutoShape 9" descr="Bath Rugby">
          <a:extLst>
            <a:ext uri="{FF2B5EF4-FFF2-40B4-BE49-F238E27FC236}">
              <a16:creationId xmlns:a16="http://schemas.microsoft.com/office/drawing/2014/main" id="{624BC666-7F2E-4586-8ADB-971F0146E23A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3002"/>
    <xdr:sp macro="" textlink="">
      <xdr:nvSpPr>
        <xdr:cNvPr id="44" name="AutoShape 10" descr="Wasps">
          <a:extLst>
            <a:ext uri="{FF2B5EF4-FFF2-40B4-BE49-F238E27FC236}">
              <a16:creationId xmlns:a16="http://schemas.microsoft.com/office/drawing/2014/main" id="{F13B6E07-51B3-443A-A671-5751F1A7F67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336430</xdr:colOff>
      <xdr:row>7</xdr:row>
      <xdr:rowOff>0</xdr:rowOff>
    </xdr:from>
    <xdr:ext cx="304800" cy="302284"/>
    <xdr:sp macro="" textlink="">
      <xdr:nvSpPr>
        <xdr:cNvPr id="45" name="AutoShape 10" descr="Wasps">
          <a:extLst>
            <a:ext uri="{FF2B5EF4-FFF2-40B4-BE49-F238E27FC236}">
              <a16:creationId xmlns:a16="http://schemas.microsoft.com/office/drawing/2014/main" id="{6AF858BB-9D00-479C-8798-81A17E302B67}"/>
            </a:ext>
          </a:extLst>
        </xdr:cNvPr>
        <xdr:cNvSpPr>
          <a:spLocks noChangeAspect="1" noChangeArrowheads="1"/>
        </xdr:cNvSpPr>
      </xdr:nvSpPr>
      <xdr:spPr bwMode="auto">
        <a:xfrm>
          <a:off x="10101532" y="1889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304800" cy="302284"/>
    <xdr:sp macro="" textlink="">
      <xdr:nvSpPr>
        <xdr:cNvPr id="46" name="AutoShape 10" descr="Wasps">
          <a:extLst>
            <a:ext uri="{FF2B5EF4-FFF2-40B4-BE49-F238E27FC236}">
              <a16:creationId xmlns:a16="http://schemas.microsoft.com/office/drawing/2014/main" id="{D686EE2A-82CF-4D92-A03C-9B5A8BB82941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2284"/>
    <xdr:sp macro="" textlink="">
      <xdr:nvSpPr>
        <xdr:cNvPr id="47" name="AutoShape 10" descr="Wasps">
          <a:extLst>
            <a:ext uri="{FF2B5EF4-FFF2-40B4-BE49-F238E27FC236}">
              <a16:creationId xmlns:a16="http://schemas.microsoft.com/office/drawing/2014/main" id="{097DFDF4-1843-4A52-9BF1-7034EA7F0C02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2284"/>
    <xdr:sp macro="" textlink="">
      <xdr:nvSpPr>
        <xdr:cNvPr id="48" name="AutoShape 10" descr="Wasps">
          <a:extLst>
            <a:ext uri="{FF2B5EF4-FFF2-40B4-BE49-F238E27FC236}">
              <a16:creationId xmlns:a16="http://schemas.microsoft.com/office/drawing/2014/main" id="{AD7C71D8-3D20-47CA-AC98-F0FDB8E0A935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49" name="AutoShape 10" descr="Wasps">
          <a:extLst>
            <a:ext uri="{FF2B5EF4-FFF2-40B4-BE49-F238E27FC236}">
              <a16:creationId xmlns:a16="http://schemas.microsoft.com/office/drawing/2014/main" id="{18B3AFB4-4D55-471E-889B-6A56BA2A553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50" name="AutoShape 10" descr="Wasps">
          <a:extLst>
            <a:ext uri="{FF2B5EF4-FFF2-40B4-BE49-F238E27FC236}">
              <a16:creationId xmlns:a16="http://schemas.microsoft.com/office/drawing/2014/main" id="{4B1C497A-7B8A-461A-A52B-18368B464FD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51" name="AutoShape 10" descr="Wasps">
          <a:extLst>
            <a:ext uri="{FF2B5EF4-FFF2-40B4-BE49-F238E27FC236}">
              <a16:creationId xmlns:a16="http://schemas.microsoft.com/office/drawing/2014/main" id="{31BDA11E-63CB-4872-9647-3EC51F22443A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52" name="AutoShape 10" descr="Wasps">
          <a:extLst>
            <a:ext uri="{FF2B5EF4-FFF2-40B4-BE49-F238E27FC236}">
              <a16:creationId xmlns:a16="http://schemas.microsoft.com/office/drawing/2014/main" id="{DB8173FA-2495-4CB5-959A-B772D301901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304800" cy="302284"/>
    <xdr:sp macro="" textlink="">
      <xdr:nvSpPr>
        <xdr:cNvPr id="53" name="AutoShape 10" descr="Wasps">
          <a:extLst>
            <a:ext uri="{FF2B5EF4-FFF2-40B4-BE49-F238E27FC236}">
              <a16:creationId xmlns:a16="http://schemas.microsoft.com/office/drawing/2014/main" id="{382DF4DB-943C-4ACA-A1E3-C848CBA51E2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304800" cy="302284"/>
    <xdr:sp macro="" textlink="">
      <xdr:nvSpPr>
        <xdr:cNvPr id="54" name="AutoShape 10" descr="Wasps">
          <a:extLst>
            <a:ext uri="{FF2B5EF4-FFF2-40B4-BE49-F238E27FC236}">
              <a16:creationId xmlns:a16="http://schemas.microsoft.com/office/drawing/2014/main" id="{79658C7F-771C-440E-AE2E-B79F9AAFB88E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55" name="AutoShape 10" descr="Wasps">
          <a:extLst>
            <a:ext uri="{FF2B5EF4-FFF2-40B4-BE49-F238E27FC236}">
              <a16:creationId xmlns:a16="http://schemas.microsoft.com/office/drawing/2014/main" id="{E029EDEA-CC00-4E5D-B0E1-64056371A50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56" name="AutoShape 10" descr="Wasps">
          <a:extLst>
            <a:ext uri="{FF2B5EF4-FFF2-40B4-BE49-F238E27FC236}">
              <a16:creationId xmlns:a16="http://schemas.microsoft.com/office/drawing/2014/main" id="{D97AF20C-4D3C-45B2-A6EC-9FDF1707E9B6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2284"/>
    <xdr:sp macro="" textlink="">
      <xdr:nvSpPr>
        <xdr:cNvPr id="57" name="AutoShape 10" descr="Wasps">
          <a:extLst>
            <a:ext uri="{FF2B5EF4-FFF2-40B4-BE49-F238E27FC236}">
              <a16:creationId xmlns:a16="http://schemas.microsoft.com/office/drawing/2014/main" id="{E1CFABBE-2050-4D44-A55D-40989DF3ED3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2284"/>
    <xdr:sp macro="" textlink="">
      <xdr:nvSpPr>
        <xdr:cNvPr id="58" name="AutoShape 10" descr="Wasps">
          <a:extLst>
            <a:ext uri="{FF2B5EF4-FFF2-40B4-BE49-F238E27FC236}">
              <a16:creationId xmlns:a16="http://schemas.microsoft.com/office/drawing/2014/main" id="{3F90632E-3D06-450E-9F55-4B1DD929E7DA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59" name="AutoShape 10" descr="Wasps">
          <a:extLst>
            <a:ext uri="{FF2B5EF4-FFF2-40B4-BE49-F238E27FC236}">
              <a16:creationId xmlns:a16="http://schemas.microsoft.com/office/drawing/2014/main" id="{056573C8-01AA-4B36-82F4-590C9F21966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60" name="AutoShape 10" descr="Wasps">
          <a:extLst>
            <a:ext uri="{FF2B5EF4-FFF2-40B4-BE49-F238E27FC236}">
              <a16:creationId xmlns:a16="http://schemas.microsoft.com/office/drawing/2014/main" id="{1A34402F-E317-4DF3-86DB-198298F46D3F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61" name="AutoShape 10" descr="Wasps">
          <a:extLst>
            <a:ext uri="{FF2B5EF4-FFF2-40B4-BE49-F238E27FC236}">
              <a16:creationId xmlns:a16="http://schemas.microsoft.com/office/drawing/2014/main" id="{6D59C0BC-C0B7-42A8-BEC1-39A8D289B63D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6748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62" name="AutoShape 10" descr="Wasps">
          <a:extLst>
            <a:ext uri="{FF2B5EF4-FFF2-40B4-BE49-F238E27FC236}">
              <a16:creationId xmlns:a16="http://schemas.microsoft.com/office/drawing/2014/main" id="{784932A9-BE0B-44C8-8DB5-851EBEF49DB7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6748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03003"/>
    <xdr:sp macro="" textlink="">
      <xdr:nvSpPr>
        <xdr:cNvPr id="63" name="AutoShape 3" descr="Harlequins">
          <a:extLst>
            <a:ext uri="{FF2B5EF4-FFF2-40B4-BE49-F238E27FC236}">
              <a16:creationId xmlns:a16="http://schemas.microsoft.com/office/drawing/2014/main" id="{DE6C81BC-EFDC-4D31-8AC0-66B6AA64939D}"/>
            </a:ext>
          </a:extLst>
        </xdr:cNvPr>
        <xdr:cNvSpPr>
          <a:spLocks noChangeAspect="1" noChangeArrowheads="1"/>
        </xdr:cNvSpPr>
      </xdr:nvSpPr>
      <xdr:spPr bwMode="auto">
        <a:xfrm>
          <a:off x="9765102" y="466689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3003"/>
    <xdr:sp macro="" textlink="">
      <xdr:nvSpPr>
        <xdr:cNvPr id="64" name="AutoShape 4" descr="Sale Sharks">
          <a:extLst>
            <a:ext uri="{FF2B5EF4-FFF2-40B4-BE49-F238E27FC236}">
              <a16:creationId xmlns:a16="http://schemas.microsoft.com/office/drawing/2014/main" id="{EDD537DF-5483-4A29-AA17-CC665C23F41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486529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304800" cy="303003"/>
    <xdr:sp macro="" textlink="">
      <xdr:nvSpPr>
        <xdr:cNvPr id="65" name="AutoShape 5" descr="Northampton Saints">
          <a:extLst>
            <a:ext uri="{FF2B5EF4-FFF2-40B4-BE49-F238E27FC236}">
              <a16:creationId xmlns:a16="http://schemas.microsoft.com/office/drawing/2014/main" id="{FD3F281C-B924-4C3A-8DED-D4558BA017C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0637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304800" cy="303003"/>
    <xdr:sp macro="" textlink="">
      <xdr:nvSpPr>
        <xdr:cNvPr id="66" name="AutoShape 6" descr="London Irish">
          <a:extLst>
            <a:ext uri="{FF2B5EF4-FFF2-40B4-BE49-F238E27FC236}">
              <a16:creationId xmlns:a16="http://schemas.microsoft.com/office/drawing/2014/main" id="{80AA77F2-4BC4-4EE2-BFD1-54B7A1B5D60B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26211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3003"/>
    <xdr:sp macro="" textlink="">
      <xdr:nvSpPr>
        <xdr:cNvPr id="67" name="AutoShape 7" descr="Leicester Tigers">
          <a:extLst>
            <a:ext uri="{FF2B5EF4-FFF2-40B4-BE49-F238E27FC236}">
              <a16:creationId xmlns:a16="http://schemas.microsoft.com/office/drawing/2014/main" id="{F1370F0D-0C70-478C-BDFA-8E2C0545704F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4605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3003"/>
    <xdr:sp macro="" textlink="">
      <xdr:nvSpPr>
        <xdr:cNvPr id="68" name="AutoShape 8" descr="Newcastle Falcons">
          <a:extLst>
            <a:ext uri="{FF2B5EF4-FFF2-40B4-BE49-F238E27FC236}">
              <a16:creationId xmlns:a16="http://schemas.microsoft.com/office/drawing/2014/main" id="{FA820F9E-9591-4A33-AE4F-BC6BC5A07B4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4605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69" name="AutoShape 11" descr="Gloucester Rugby">
          <a:extLst>
            <a:ext uri="{FF2B5EF4-FFF2-40B4-BE49-F238E27FC236}">
              <a16:creationId xmlns:a16="http://schemas.microsoft.com/office/drawing/2014/main" id="{35DEF340-881D-44FC-B8CF-F5D2D035596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172530</xdr:colOff>
      <xdr:row>13</xdr:row>
      <xdr:rowOff>172528</xdr:rowOff>
    </xdr:from>
    <xdr:ext cx="304800" cy="302284"/>
    <xdr:sp macro="" textlink="">
      <xdr:nvSpPr>
        <xdr:cNvPr id="70" name="AutoShape 10" descr="Wasps">
          <a:extLst>
            <a:ext uri="{FF2B5EF4-FFF2-40B4-BE49-F238E27FC236}">
              <a16:creationId xmlns:a16="http://schemas.microsoft.com/office/drawing/2014/main" id="{456389B6-F27A-4D8A-866B-5949CA27536E}"/>
            </a:ext>
          </a:extLst>
        </xdr:cNvPr>
        <xdr:cNvSpPr>
          <a:spLocks noChangeAspect="1" noChangeArrowheads="1"/>
        </xdr:cNvSpPr>
      </xdr:nvSpPr>
      <xdr:spPr bwMode="auto">
        <a:xfrm>
          <a:off x="6858002" y="364897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15</xdr:row>
      <xdr:rowOff>0</xdr:rowOff>
    </xdr:from>
    <xdr:ext cx="304800" cy="302284"/>
    <xdr:sp macro="" textlink="">
      <xdr:nvSpPr>
        <xdr:cNvPr id="71" name="AutoShape 10" descr="Wasps">
          <a:extLst>
            <a:ext uri="{FF2B5EF4-FFF2-40B4-BE49-F238E27FC236}">
              <a16:creationId xmlns:a16="http://schemas.microsoft.com/office/drawing/2014/main" id="{1E997F64-902F-49ED-A6F5-A124EB2C789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8732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15</xdr:row>
      <xdr:rowOff>0</xdr:rowOff>
    </xdr:from>
    <xdr:ext cx="304800" cy="302284"/>
    <xdr:sp macro="" textlink="">
      <xdr:nvSpPr>
        <xdr:cNvPr id="72" name="AutoShape 10" descr="Wasps">
          <a:extLst>
            <a:ext uri="{FF2B5EF4-FFF2-40B4-BE49-F238E27FC236}">
              <a16:creationId xmlns:a16="http://schemas.microsoft.com/office/drawing/2014/main" id="{84A4164A-F451-4420-953C-E0068FBF8CF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8732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73" name="AutoShape 10" descr="Wasps">
          <a:extLst>
            <a:ext uri="{FF2B5EF4-FFF2-40B4-BE49-F238E27FC236}">
              <a16:creationId xmlns:a16="http://schemas.microsoft.com/office/drawing/2014/main" id="{49637DF9-005A-4A9D-B288-F5EE5C1AB00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74" name="AutoShape 10" descr="Wasps">
          <a:extLst>
            <a:ext uri="{FF2B5EF4-FFF2-40B4-BE49-F238E27FC236}">
              <a16:creationId xmlns:a16="http://schemas.microsoft.com/office/drawing/2014/main" id="{35DA3ECB-A53D-4A4A-B3F3-30E71A478DC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75" name="AutoShape 10" descr="Wasps">
          <a:extLst>
            <a:ext uri="{FF2B5EF4-FFF2-40B4-BE49-F238E27FC236}">
              <a16:creationId xmlns:a16="http://schemas.microsoft.com/office/drawing/2014/main" id="{95EDD4EB-B790-4851-9D21-54299B8BA70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76" name="AutoShape 10" descr="Wasps">
          <a:extLst>
            <a:ext uri="{FF2B5EF4-FFF2-40B4-BE49-F238E27FC236}">
              <a16:creationId xmlns:a16="http://schemas.microsoft.com/office/drawing/2014/main" id="{4707DBF9-7D25-4AFE-ADC0-9E3ADA90667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77" name="AutoShape 10" descr="Wasps">
          <a:extLst>
            <a:ext uri="{FF2B5EF4-FFF2-40B4-BE49-F238E27FC236}">
              <a16:creationId xmlns:a16="http://schemas.microsoft.com/office/drawing/2014/main" id="{B807BE37-0583-4817-B6B3-6F9F9203F2D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78" name="AutoShape 10" descr="Wasps">
          <a:extLst>
            <a:ext uri="{FF2B5EF4-FFF2-40B4-BE49-F238E27FC236}">
              <a16:creationId xmlns:a16="http://schemas.microsoft.com/office/drawing/2014/main" id="{FA52B989-3EC2-49E0-8162-5FDFF7438E2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79" name="AutoShape 10" descr="Wasps">
          <a:extLst>
            <a:ext uri="{FF2B5EF4-FFF2-40B4-BE49-F238E27FC236}">
              <a16:creationId xmlns:a16="http://schemas.microsoft.com/office/drawing/2014/main" id="{1795EB20-D747-417B-8B4F-DA790BD8F38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80" name="AutoShape 10" descr="Wasps">
          <a:extLst>
            <a:ext uri="{FF2B5EF4-FFF2-40B4-BE49-F238E27FC236}">
              <a16:creationId xmlns:a16="http://schemas.microsoft.com/office/drawing/2014/main" id="{8C049C4A-C531-43D0-A645-8E83AE58FC7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81" name="AutoShape 10" descr="Wasps">
          <a:extLst>
            <a:ext uri="{FF2B5EF4-FFF2-40B4-BE49-F238E27FC236}">
              <a16:creationId xmlns:a16="http://schemas.microsoft.com/office/drawing/2014/main" id="{F8FD6EBA-EA94-45AF-83B2-7F698A70C28A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82" name="AutoShape 10" descr="Wasps">
          <a:extLst>
            <a:ext uri="{FF2B5EF4-FFF2-40B4-BE49-F238E27FC236}">
              <a16:creationId xmlns:a16="http://schemas.microsoft.com/office/drawing/2014/main" id="{EEA85F4C-FD88-4495-B56D-B298DE64FA1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3" name="AutoShape 10" descr="Wasps">
          <a:extLst>
            <a:ext uri="{FF2B5EF4-FFF2-40B4-BE49-F238E27FC236}">
              <a16:creationId xmlns:a16="http://schemas.microsoft.com/office/drawing/2014/main" id="{A9EBDD36-B6A9-4F49-9240-E3EAF955B5A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4" name="AutoShape 10" descr="Wasps">
          <a:extLst>
            <a:ext uri="{FF2B5EF4-FFF2-40B4-BE49-F238E27FC236}">
              <a16:creationId xmlns:a16="http://schemas.microsoft.com/office/drawing/2014/main" id="{D5A802DF-B950-4454-B66A-82E722F5A0A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5" name="AutoShape 10" descr="Wasps">
          <a:extLst>
            <a:ext uri="{FF2B5EF4-FFF2-40B4-BE49-F238E27FC236}">
              <a16:creationId xmlns:a16="http://schemas.microsoft.com/office/drawing/2014/main" id="{DB51B8CE-BA41-4CFE-8CE5-AD939006C67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6" name="AutoShape 10" descr="Wasps">
          <a:extLst>
            <a:ext uri="{FF2B5EF4-FFF2-40B4-BE49-F238E27FC236}">
              <a16:creationId xmlns:a16="http://schemas.microsoft.com/office/drawing/2014/main" id="{30C28E51-BDAC-48DB-A50A-E3035431F01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7" name="AutoShape 10" descr="Wasps">
          <a:extLst>
            <a:ext uri="{FF2B5EF4-FFF2-40B4-BE49-F238E27FC236}">
              <a16:creationId xmlns:a16="http://schemas.microsoft.com/office/drawing/2014/main" id="{81F5BAF7-AFD0-4791-92A6-C95F4832F83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8" name="AutoShape 10" descr="Wasps">
          <a:extLst>
            <a:ext uri="{FF2B5EF4-FFF2-40B4-BE49-F238E27FC236}">
              <a16:creationId xmlns:a16="http://schemas.microsoft.com/office/drawing/2014/main" id="{AF1819DA-FFF8-403C-8FB2-07C45232D9F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9" name="AutoShape 10" descr="Wasps">
          <a:extLst>
            <a:ext uri="{FF2B5EF4-FFF2-40B4-BE49-F238E27FC236}">
              <a16:creationId xmlns:a16="http://schemas.microsoft.com/office/drawing/2014/main" id="{8865DC1D-660B-4930-919D-72F14AF2E7A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0" name="AutoShape 11" descr="Gloucester Rugby">
          <a:extLst>
            <a:ext uri="{FF2B5EF4-FFF2-40B4-BE49-F238E27FC236}">
              <a16:creationId xmlns:a16="http://schemas.microsoft.com/office/drawing/2014/main" id="{FC1D9A71-9605-4FFB-BD30-F429E836551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1" name="AutoShape 10" descr="Wasps">
          <a:extLst>
            <a:ext uri="{FF2B5EF4-FFF2-40B4-BE49-F238E27FC236}">
              <a16:creationId xmlns:a16="http://schemas.microsoft.com/office/drawing/2014/main" id="{89DE240E-67A8-42C4-8ABB-302025E514C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6589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2" name="AutoShape 10" descr="Wasps">
          <a:extLst>
            <a:ext uri="{FF2B5EF4-FFF2-40B4-BE49-F238E27FC236}">
              <a16:creationId xmlns:a16="http://schemas.microsoft.com/office/drawing/2014/main" id="{89E0B8EB-FE25-4967-A81A-CD25AE77B5E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6589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3" name="AutoShape 10" descr="Wasps">
          <a:extLst>
            <a:ext uri="{FF2B5EF4-FFF2-40B4-BE49-F238E27FC236}">
              <a16:creationId xmlns:a16="http://schemas.microsoft.com/office/drawing/2014/main" id="{5FD0EC0F-59F4-46AB-8AA6-645490C888B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4" name="AutoShape 10" descr="Wasps">
          <a:extLst>
            <a:ext uri="{FF2B5EF4-FFF2-40B4-BE49-F238E27FC236}">
              <a16:creationId xmlns:a16="http://schemas.microsoft.com/office/drawing/2014/main" id="{FF03D46D-BCDD-4649-B2E3-A9D0188D884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5" name="AutoShape 10" descr="Wasps">
          <a:extLst>
            <a:ext uri="{FF2B5EF4-FFF2-40B4-BE49-F238E27FC236}">
              <a16:creationId xmlns:a16="http://schemas.microsoft.com/office/drawing/2014/main" id="{4AE7CFF5-2532-4AAE-9F9E-0906075D1F43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6" name="AutoShape 10" descr="Wasps">
          <a:extLst>
            <a:ext uri="{FF2B5EF4-FFF2-40B4-BE49-F238E27FC236}">
              <a16:creationId xmlns:a16="http://schemas.microsoft.com/office/drawing/2014/main" id="{9472E16D-0992-473B-BEA9-CA925AA202A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7" name="AutoShape 10" descr="Wasps">
          <a:extLst>
            <a:ext uri="{FF2B5EF4-FFF2-40B4-BE49-F238E27FC236}">
              <a16:creationId xmlns:a16="http://schemas.microsoft.com/office/drawing/2014/main" id="{AE1D2533-3DBD-4404-83F3-2D9A5167F3E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8" name="AutoShape 10" descr="Wasps">
          <a:extLst>
            <a:ext uri="{FF2B5EF4-FFF2-40B4-BE49-F238E27FC236}">
              <a16:creationId xmlns:a16="http://schemas.microsoft.com/office/drawing/2014/main" id="{C633BA49-3306-4386-8A4D-5086F01B2E5A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9" name="AutoShape 10" descr="Wasps">
          <a:extLst>
            <a:ext uri="{FF2B5EF4-FFF2-40B4-BE49-F238E27FC236}">
              <a16:creationId xmlns:a16="http://schemas.microsoft.com/office/drawing/2014/main" id="{9C49C898-0416-4D2A-9EC5-DA81AC6A2D7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0" name="AutoShape 10" descr="Wasps">
          <a:extLst>
            <a:ext uri="{FF2B5EF4-FFF2-40B4-BE49-F238E27FC236}">
              <a16:creationId xmlns:a16="http://schemas.microsoft.com/office/drawing/2014/main" id="{A5EFE9CC-611D-4FC0-B487-29FAB2C416A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1" name="AutoShape 10" descr="Wasps">
          <a:extLst>
            <a:ext uri="{FF2B5EF4-FFF2-40B4-BE49-F238E27FC236}">
              <a16:creationId xmlns:a16="http://schemas.microsoft.com/office/drawing/2014/main" id="{7C62909E-6823-4FF3-A23C-1CAFCD0042F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2" name="AutoShape 10" descr="Wasps">
          <a:extLst>
            <a:ext uri="{FF2B5EF4-FFF2-40B4-BE49-F238E27FC236}">
              <a16:creationId xmlns:a16="http://schemas.microsoft.com/office/drawing/2014/main" id="{7557B841-31FB-41A6-8EF1-127A45A981B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3" name="AutoShape 10" descr="Wasps">
          <a:extLst>
            <a:ext uri="{FF2B5EF4-FFF2-40B4-BE49-F238E27FC236}">
              <a16:creationId xmlns:a16="http://schemas.microsoft.com/office/drawing/2014/main" id="{CE01CF0F-42D4-4ADB-9BE9-99866C68811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4" name="AutoShape 10" descr="Wasps">
          <a:extLst>
            <a:ext uri="{FF2B5EF4-FFF2-40B4-BE49-F238E27FC236}">
              <a16:creationId xmlns:a16="http://schemas.microsoft.com/office/drawing/2014/main" id="{6038D5F8-6A5B-4BFB-9FD0-8643EEEDB44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5" name="AutoShape 10" descr="Wasps">
          <a:extLst>
            <a:ext uri="{FF2B5EF4-FFF2-40B4-BE49-F238E27FC236}">
              <a16:creationId xmlns:a16="http://schemas.microsoft.com/office/drawing/2014/main" id="{2DBED8AC-D3DB-4FB7-85FE-7583E0E71243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6" name="AutoShape 10" descr="Wasps">
          <a:extLst>
            <a:ext uri="{FF2B5EF4-FFF2-40B4-BE49-F238E27FC236}">
              <a16:creationId xmlns:a16="http://schemas.microsoft.com/office/drawing/2014/main" id="{3E4C7E70-E2F8-4407-BCB1-CD7D7D18E6A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7" name="AutoShape 10" descr="Wasps">
          <a:extLst>
            <a:ext uri="{FF2B5EF4-FFF2-40B4-BE49-F238E27FC236}">
              <a16:creationId xmlns:a16="http://schemas.microsoft.com/office/drawing/2014/main" id="{C9FC2EA7-1E9A-4C12-92C2-012FC023424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8" name="AutoShape 10" descr="Wasps">
          <a:extLst>
            <a:ext uri="{FF2B5EF4-FFF2-40B4-BE49-F238E27FC236}">
              <a16:creationId xmlns:a16="http://schemas.microsoft.com/office/drawing/2014/main" id="{DE66DB56-DEE3-4642-BD7C-6759CA07AF3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9" name="AutoShape 10" descr="Wasps">
          <a:extLst>
            <a:ext uri="{FF2B5EF4-FFF2-40B4-BE49-F238E27FC236}">
              <a16:creationId xmlns:a16="http://schemas.microsoft.com/office/drawing/2014/main" id="{CEE1A8C7-8DBE-40F1-8E13-247AD2D08F0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02284"/>
    <xdr:sp macro="" textlink="">
      <xdr:nvSpPr>
        <xdr:cNvPr id="110" name="AutoShape 1" descr="Bristol Bears">
          <a:extLst>
            <a:ext uri="{FF2B5EF4-FFF2-40B4-BE49-F238E27FC236}">
              <a16:creationId xmlns:a16="http://schemas.microsoft.com/office/drawing/2014/main" id="{012E1C31-2207-4E7F-A143-123518FA726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10</xdr:row>
      <xdr:rowOff>0</xdr:rowOff>
    </xdr:from>
    <xdr:ext cx="304800" cy="302284"/>
    <xdr:sp macro="" textlink="">
      <xdr:nvSpPr>
        <xdr:cNvPr id="111" name="AutoShape 2" descr="Exeter Chiefs">
          <a:extLst>
            <a:ext uri="{FF2B5EF4-FFF2-40B4-BE49-F238E27FC236}">
              <a16:creationId xmlns:a16="http://schemas.microsoft.com/office/drawing/2014/main" id="{B8DD1643-005A-4768-9D82-70B9F93236D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4844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0</xdr:rowOff>
    </xdr:from>
    <xdr:ext cx="304800" cy="302284"/>
    <xdr:sp macro="" textlink="">
      <xdr:nvSpPr>
        <xdr:cNvPr id="112" name="AutoShape 3" descr="Harlequins">
          <a:extLst>
            <a:ext uri="{FF2B5EF4-FFF2-40B4-BE49-F238E27FC236}">
              <a16:creationId xmlns:a16="http://schemas.microsoft.com/office/drawing/2014/main" id="{F698BE8A-D31B-4CB1-8989-EC0049AA6AB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304800" cy="302284"/>
    <xdr:sp macro="" textlink="">
      <xdr:nvSpPr>
        <xdr:cNvPr id="113" name="AutoShape 4" descr="Sale Sharks">
          <a:extLst>
            <a:ext uri="{FF2B5EF4-FFF2-40B4-BE49-F238E27FC236}">
              <a16:creationId xmlns:a16="http://schemas.microsoft.com/office/drawing/2014/main" id="{B44D1FC7-4AF5-4DD5-B82D-653900F30A4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114" name="AutoShape 5" descr="Northampton Saints">
          <a:extLst>
            <a:ext uri="{FF2B5EF4-FFF2-40B4-BE49-F238E27FC236}">
              <a16:creationId xmlns:a16="http://schemas.microsoft.com/office/drawing/2014/main" id="{EF85EB03-37C6-4A1E-8C4A-1CDEB8FB73E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115" name="AutoShape 6" descr="London Irish">
          <a:extLst>
            <a:ext uri="{FF2B5EF4-FFF2-40B4-BE49-F238E27FC236}">
              <a16:creationId xmlns:a16="http://schemas.microsoft.com/office/drawing/2014/main" id="{3B84818D-780E-4E73-8ABE-6C968749A88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116" name="AutoShape 7" descr="Leicester Tigers">
          <a:extLst>
            <a:ext uri="{FF2B5EF4-FFF2-40B4-BE49-F238E27FC236}">
              <a16:creationId xmlns:a16="http://schemas.microsoft.com/office/drawing/2014/main" id="{EB26E509-6B2D-4813-BCAB-B5C1C9CE18AA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31</xdr:row>
      <xdr:rowOff>19050</xdr:rowOff>
    </xdr:from>
    <xdr:ext cx="298150" cy="302284"/>
    <xdr:sp macro="" textlink="">
      <xdr:nvSpPr>
        <xdr:cNvPr id="117" name="AutoShape 9" descr="Bath Rugby">
          <a:extLst>
            <a:ext uri="{FF2B5EF4-FFF2-40B4-BE49-F238E27FC236}">
              <a16:creationId xmlns:a16="http://schemas.microsoft.com/office/drawing/2014/main" id="{1483D042-A8BB-4DD3-A436-2A92CA988B3F}"/>
            </a:ext>
          </a:extLst>
        </xdr:cNvPr>
        <xdr:cNvSpPr>
          <a:spLocks noChangeAspect="1" noChangeArrowheads="1"/>
        </xdr:cNvSpPr>
      </xdr:nvSpPr>
      <xdr:spPr bwMode="auto">
        <a:xfrm>
          <a:off x="4948687" y="468594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118" name="AutoShape 1" descr="Bristol Bears">
          <a:extLst>
            <a:ext uri="{FF2B5EF4-FFF2-40B4-BE49-F238E27FC236}">
              <a16:creationId xmlns:a16="http://schemas.microsoft.com/office/drawing/2014/main" id="{96DA0C7A-AC8F-46D0-A7F7-88EA90C952A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119" name="AutoShape 2" descr="Exeter Chiefs">
          <a:extLst>
            <a:ext uri="{FF2B5EF4-FFF2-40B4-BE49-F238E27FC236}">
              <a16:creationId xmlns:a16="http://schemas.microsoft.com/office/drawing/2014/main" id="{575455B9-866C-42F1-A09E-F179D9D3D1E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120" name="AutoShape 3" descr="Harlequins">
          <a:extLst>
            <a:ext uri="{FF2B5EF4-FFF2-40B4-BE49-F238E27FC236}">
              <a16:creationId xmlns:a16="http://schemas.microsoft.com/office/drawing/2014/main" id="{4C94C5A5-5FA7-477F-BDA1-C0E23CD94C5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121" name="AutoShape 4" descr="Sale Sharks">
          <a:extLst>
            <a:ext uri="{FF2B5EF4-FFF2-40B4-BE49-F238E27FC236}">
              <a16:creationId xmlns:a16="http://schemas.microsoft.com/office/drawing/2014/main" id="{25FB0F44-7281-4D4E-8292-8FFF39FA533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22" name="AutoShape 5" descr="Northampton Saints">
          <a:extLst>
            <a:ext uri="{FF2B5EF4-FFF2-40B4-BE49-F238E27FC236}">
              <a16:creationId xmlns:a16="http://schemas.microsoft.com/office/drawing/2014/main" id="{A90C2DE8-7E52-4AE4-9F1F-A423E8E7ADC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23" name="AutoShape 6" descr="London Irish">
          <a:extLst>
            <a:ext uri="{FF2B5EF4-FFF2-40B4-BE49-F238E27FC236}">
              <a16:creationId xmlns:a16="http://schemas.microsoft.com/office/drawing/2014/main" id="{BF7004E1-AC48-4485-BFCB-48DED936734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24" name="AutoShape 7" descr="Leicester Tigers">
          <a:extLst>
            <a:ext uri="{FF2B5EF4-FFF2-40B4-BE49-F238E27FC236}">
              <a16:creationId xmlns:a16="http://schemas.microsoft.com/office/drawing/2014/main" id="{4628040F-190F-4550-AB2C-603AEF9FD09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25" name="AutoShape 8" descr="Newcastle Falcons">
          <a:extLst>
            <a:ext uri="{FF2B5EF4-FFF2-40B4-BE49-F238E27FC236}">
              <a16:creationId xmlns:a16="http://schemas.microsoft.com/office/drawing/2014/main" id="{4B04AD9F-5ADA-44FD-907B-7AC68420B14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26" name="AutoShape 1" descr="Bristol Bears">
          <a:extLst>
            <a:ext uri="{FF2B5EF4-FFF2-40B4-BE49-F238E27FC236}">
              <a16:creationId xmlns:a16="http://schemas.microsoft.com/office/drawing/2014/main" id="{8AEC714B-430B-4DBE-9BE5-90A69CCD108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27" name="AutoShape 2" descr="Exeter Chiefs">
          <a:extLst>
            <a:ext uri="{FF2B5EF4-FFF2-40B4-BE49-F238E27FC236}">
              <a16:creationId xmlns:a16="http://schemas.microsoft.com/office/drawing/2014/main" id="{C03BDA71-A6FB-4E2F-BA29-45AD569C1D9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28" name="AutoShape 3" descr="Harlequins">
          <a:extLst>
            <a:ext uri="{FF2B5EF4-FFF2-40B4-BE49-F238E27FC236}">
              <a16:creationId xmlns:a16="http://schemas.microsoft.com/office/drawing/2014/main" id="{B366CE6D-B5F6-45BF-B59A-73A7BADB81A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29" name="AutoShape 4" descr="Sale Sharks">
          <a:extLst>
            <a:ext uri="{FF2B5EF4-FFF2-40B4-BE49-F238E27FC236}">
              <a16:creationId xmlns:a16="http://schemas.microsoft.com/office/drawing/2014/main" id="{D99EBA95-69EF-479C-A9DE-9570F491CB3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30" name="AutoShape 5" descr="Northampton Saints">
          <a:extLst>
            <a:ext uri="{FF2B5EF4-FFF2-40B4-BE49-F238E27FC236}">
              <a16:creationId xmlns:a16="http://schemas.microsoft.com/office/drawing/2014/main" id="{BB6E68DE-5443-42C0-AC43-E03961A0BFF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31" name="AutoShape 6" descr="London Irish">
          <a:extLst>
            <a:ext uri="{FF2B5EF4-FFF2-40B4-BE49-F238E27FC236}">
              <a16:creationId xmlns:a16="http://schemas.microsoft.com/office/drawing/2014/main" id="{52B84096-671D-461B-B82C-5D16F69990B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32" name="AutoShape 7" descr="Leicester Tigers">
          <a:extLst>
            <a:ext uri="{FF2B5EF4-FFF2-40B4-BE49-F238E27FC236}">
              <a16:creationId xmlns:a16="http://schemas.microsoft.com/office/drawing/2014/main" id="{4AF82071-2605-45FA-9ED0-33C9764AE45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33" name="AutoShape 8" descr="Newcastle Falcons">
          <a:extLst>
            <a:ext uri="{FF2B5EF4-FFF2-40B4-BE49-F238E27FC236}">
              <a16:creationId xmlns:a16="http://schemas.microsoft.com/office/drawing/2014/main" id="{F6F33A3A-6148-4E51-9976-6AE9AC66998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34" name="AutoShape 10" descr="Wasps">
          <a:extLst>
            <a:ext uri="{FF2B5EF4-FFF2-40B4-BE49-F238E27FC236}">
              <a16:creationId xmlns:a16="http://schemas.microsoft.com/office/drawing/2014/main" id="{4D5E3DCE-760B-4EE9-AFE3-E98584F3AEB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2284"/>
    <xdr:sp macro="" textlink="">
      <xdr:nvSpPr>
        <xdr:cNvPr id="135" name="AutoShape 3" descr="Harlequins">
          <a:extLst>
            <a:ext uri="{FF2B5EF4-FFF2-40B4-BE49-F238E27FC236}">
              <a16:creationId xmlns:a16="http://schemas.microsoft.com/office/drawing/2014/main" id="{2B9D7992-49D6-44B2-A9A8-F5F095FF6C9B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130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02284"/>
    <xdr:sp macro="" textlink="">
      <xdr:nvSpPr>
        <xdr:cNvPr id="136" name="AutoShape 4" descr="Sale Sharks">
          <a:extLst>
            <a:ext uri="{FF2B5EF4-FFF2-40B4-BE49-F238E27FC236}">
              <a16:creationId xmlns:a16="http://schemas.microsoft.com/office/drawing/2014/main" id="{362A8843-D1ED-45BC-8C89-DB94D50EDD57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319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137" name="AutoShape 5" descr="Northampton Saints">
          <a:extLst>
            <a:ext uri="{FF2B5EF4-FFF2-40B4-BE49-F238E27FC236}">
              <a16:creationId xmlns:a16="http://schemas.microsoft.com/office/drawing/2014/main" id="{9C3C33E4-EDA4-44B7-B206-B15EB1CC0DF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509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138" name="AutoShape 6" descr="London Irish">
          <a:extLst>
            <a:ext uri="{FF2B5EF4-FFF2-40B4-BE49-F238E27FC236}">
              <a16:creationId xmlns:a16="http://schemas.microsoft.com/office/drawing/2014/main" id="{F3536594-5236-4BB7-900C-BE25B2502F6B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699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139" name="AutoShape 7" descr="Leicester Tigers">
          <a:extLst>
            <a:ext uri="{FF2B5EF4-FFF2-40B4-BE49-F238E27FC236}">
              <a16:creationId xmlns:a16="http://schemas.microsoft.com/office/drawing/2014/main" id="{B5CC3D8E-16C2-4412-8FD3-B56BAD6F61D5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140" name="AutoShape 8" descr="Newcastle Falcons">
          <a:extLst>
            <a:ext uri="{FF2B5EF4-FFF2-40B4-BE49-F238E27FC236}">
              <a16:creationId xmlns:a16="http://schemas.microsoft.com/office/drawing/2014/main" id="{2D19099C-AEFA-48DA-B0CF-7E7A91682235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609600</xdr:colOff>
      <xdr:row>11</xdr:row>
      <xdr:rowOff>19050</xdr:rowOff>
    </xdr:from>
    <xdr:ext cx="298150" cy="302284"/>
    <xdr:sp macro="" textlink="">
      <xdr:nvSpPr>
        <xdr:cNvPr id="141" name="AutoShape 9" descr="Bath Rugby">
          <a:extLst>
            <a:ext uri="{FF2B5EF4-FFF2-40B4-BE49-F238E27FC236}">
              <a16:creationId xmlns:a16="http://schemas.microsoft.com/office/drawing/2014/main" id="{4A082D2E-9B01-41D5-8C51-64C188FE0C01}"/>
            </a:ext>
          </a:extLst>
        </xdr:cNvPr>
        <xdr:cNvSpPr>
          <a:spLocks noChangeAspect="1" noChangeArrowheads="1"/>
        </xdr:cNvSpPr>
      </xdr:nvSpPr>
      <xdr:spPr bwMode="auto">
        <a:xfrm>
          <a:off x="9762226" y="2305050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51759</xdr:colOff>
      <xdr:row>7</xdr:row>
      <xdr:rowOff>0</xdr:rowOff>
    </xdr:from>
    <xdr:ext cx="304800" cy="302284"/>
    <xdr:sp macro="" textlink="">
      <xdr:nvSpPr>
        <xdr:cNvPr id="142" name="AutoShape 10" descr="Wasps">
          <a:extLst>
            <a:ext uri="{FF2B5EF4-FFF2-40B4-BE49-F238E27FC236}">
              <a16:creationId xmlns:a16="http://schemas.microsoft.com/office/drawing/2014/main" id="{3B504A33-5668-4299-AA9B-CB6610FB036D}"/>
            </a:ext>
          </a:extLst>
        </xdr:cNvPr>
        <xdr:cNvSpPr>
          <a:spLocks noChangeAspect="1" noChangeArrowheads="1"/>
        </xdr:cNvSpPr>
      </xdr:nvSpPr>
      <xdr:spPr bwMode="auto">
        <a:xfrm>
          <a:off x="9816861" y="1889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143" name="AutoShape 1" descr="Bristol Bears">
          <a:extLst>
            <a:ext uri="{FF2B5EF4-FFF2-40B4-BE49-F238E27FC236}">
              <a16:creationId xmlns:a16="http://schemas.microsoft.com/office/drawing/2014/main" id="{BD868451-CDEA-4664-8B05-A04CE7C5B72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304800" cy="302284"/>
    <xdr:sp macro="" textlink="">
      <xdr:nvSpPr>
        <xdr:cNvPr id="144" name="AutoShape 2" descr="Exeter Chiefs">
          <a:extLst>
            <a:ext uri="{FF2B5EF4-FFF2-40B4-BE49-F238E27FC236}">
              <a16:creationId xmlns:a16="http://schemas.microsoft.com/office/drawing/2014/main" id="{3C5DA2C6-A84C-45ED-B10C-DCD1A0E045A7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145" name="AutoShape 3" descr="Harlequins">
          <a:extLst>
            <a:ext uri="{FF2B5EF4-FFF2-40B4-BE49-F238E27FC236}">
              <a16:creationId xmlns:a16="http://schemas.microsoft.com/office/drawing/2014/main" id="{AE67F43E-76AB-45BE-8014-8420AA876EA6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2284"/>
    <xdr:sp macro="" textlink="">
      <xdr:nvSpPr>
        <xdr:cNvPr id="146" name="AutoShape 4" descr="Sale Sharks">
          <a:extLst>
            <a:ext uri="{FF2B5EF4-FFF2-40B4-BE49-F238E27FC236}">
              <a16:creationId xmlns:a16="http://schemas.microsoft.com/office/drawing/2014/main" id="{D62E81F0-18DB-4B11-AE89-C51255523F65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147" name="AutoShape 5" descr="Northampton Saints">
          <a:extLst>
            <a:ext uri="{FF2B5EF4-FFF2-40B4-BE49-F238E27FC236}">
              <a16:creationId xmlns:a16="http://schemas.microsoft.com/office/drawing/2014/main" id="{26E6649F-1D7D-4E4A-830C-9114067613C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02284"/>
    <xdr:sp macro="" textlink="">
      <xdr:nvSpPr>
        <xdr:cNvPr id="148" name="AutoShape 3" descr="Harlequins">
          <a:extLst>
            <a:ext uri="{FF2B5EF4-FFF2-40B4-BE49-F238E27FC236}">
              <a16:creationId xmlns:a16="http://schemas.microsoft.com/office/drawing/2014/main" id="{85BFC62E-7473-41F9-88E1-7B22AA1DF0CB}"/>
            </a:ext>
          </a:extLst>
        </xdr:cNvPr>
        <xdr:cNvSpPr>
          <a:spLocks noChangeAspect="1" noChangeArrowheads="1"/>
        </xdr:cNvSpPr>
      </xdr:nvSpPr>
      <xdr:spPr bwMode="auto">
        <a:xfrm>
          <a:off x="976510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2284"/>
    <xdr:sp macro="" textlink="">
      <xdr:nvSpPr>
        <xdr:cNvPr id="149" name="AutoShape 4" descr="Sale Sharks">
          <a:extLst>
            <a:ext uri="{FF2B5EF4-FFF2-40B4-BE49-F238E27FC236}">
              <a16:creationId xmlns:a16="http://schemas.microsoft.com/office/drawing/2014/main" id="{3FC2B5F2-6F88-4C4B-97C4-E20AFFFAD34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304800" cy="302284"/>
    <xdr:sp macro="" textlink="">
      <xdr:nvSpPr>
        <xdr:cNvPr id="150" name="AutoShape 5" descr="Northampton Saints">
          <a:extLst>
            <a:ext uri="{FF2B5EF4-FFF2-40B4-BE49-F238E27FC236}">
              <a16:creationId xmlns:a16="http://schemas.microsoft.com/office/drawing/2014/main" id="{7BF5B8D1-FA3A-46A5-BA43-C7E3B87E02BF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304800" cy="302284"/>
    <xdr:sp macro="" textlink="">
      <xdr:nvSpPr>
        <xdr:cNvPr id="151" name="AutoShape 6" descr="London Irish">
          <a:extLst>
            <a:ext uri="{FF2B5EF4-FFF2-40B4-BE49-F238E27FC236}">
              <a16:creationId xmlns:a16="http://schemas.microsoft.com/office/drawing/2014/main" id="{F1183D7C-759E-43F9-BD04-B5847D55910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2284"/>
    <xdr:sp macro="" textlink="">
      <xdr:nvSpPr>
        <xdr:cNvPr id="152" name="AutoShape 7" descr="Leicester Tigers">
          <a:extLst>
            <a:ext uri="{FF2B5EF4-FFF2-40B4-BE49-F238E27FC236}">
              <a16:creationId xmlns:a16="http://schemas.microsoft.com/office/drawing/2014/main" id="{07C9325C-5BFC-4A24-B1CD-74F42D422C46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4605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2284"/>
    <xdr:sp macro="" textlink="">
      <xdr:nvSpPr>
        <xdr:cNvPr id="153" name="AutoShape 8" descr="Newcastle Falcons">
          <a:extLst>
            <a:ext uri="{FF2B5EF4-FFF2-40B4-BE49-F238E27FC236}">
              <a16:creationId xmlns:a16="http://schemas.microsoft.com/office/drawing/2014/main" id="{CBA2F0BA-5BA6-4A96-95D1-E48F5C359672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4605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19</xdr:row>
      <xdr:rowOff>19050</xdr:rowOff>
    </xdr:from>
    <xdr:ext cx="298150" cy="302284"/>
    <xdr:sp macro="" textlink="">
      <xdr:nvSpPr>
        <xdr:cNvPr id="154" name="AutoShape 9" descr="Bath Rugby">
          <a:extLst>
            <a:ext uri="{FF2B5EF4-FFF2-40B4-BE49-F238E27FC236}">
              <a16:creationId xmlns:a16="http://schemas.microsoft.com/office/drawing/2014/main" id="{9D3C2E62-9590-403F-9735-E1F1E832CEED}"/>
            </a:ext>
          </a:extLst>
        </xdr:cNvPr>
        <xdr:cNvSpPr>
          <a:spLocks noChangeAspect="1" noChangeArrowheads="1"/>
        </xdr:cNvSpPr>
      </xdr:nvSpPr>
      <xdr:spPr bwMode="auto">
        <a:xfrm>
          <a:off x="4948687" y="3892310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15</xdr:row>
      <xdr:rowOff>0</xdr:rowOff>
    </xdr:from>
    <xdr:ext cx="304800" cy="302284"/>
    <xdr:sp macro="" textlink="">
      <xdr:nvSpPr>
        <xdr:cNvPr id="155" name="AutoShape 10" descr="Wasps">
          <a:extLst>
            <a:ext uri="{FF2B5EF4-FFF2-40B4-BE49-F238E27FC236}">
              <a16:creationId xmlns:a16="http://schemas.microsoft.com/office/drawing/2014/main" id="{2F2366B5-D24B-41BB-B7C5-D65653E7DDD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8732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232913</xdr:colOff>
      <xdr:row>17</xdr:row>
      <xdr:rowOff>69012</xdr:rowOff>
    </xdr:from>
    <xdr:ext cx="304800" cy="302284"/>
    <xdr:sp macro="" textlink="">
      <xdr:nvSpPr>
        <xdr:cNvPr id="156" name="AutoShape 10" descr="Wasps">
          <a:extLst>
            <a:ext uri="{FF2B5EF4-FFF2-40B4-BE49-F238E27FC236}">
              <a16:creationId xmlns:a16="http://schemas.microsoft.com/office/drawing/2014/main" id="{9A223BFD-0CEB-426F-B212-15B54622CB5A}"/>
            </a:ext>
          </a:extLst>
        </xdr:cNvPr>
        <xdr:cNvSpPr>
          <a:spLocks noChangeAspect="1" noChangeArrowheads="1"/>
        </xdr:cNvSpPr>
      </xdr:nvSpPr>
      <xdr:spPr bwMode="auto">
        <a:xfrm>
          <a:off x="4873924" y="32952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157" name="AutoShape 10" descr="Wasps">
          <a:extLst>
            <a:ext uri="{FF2B5EF4-FFF2-40B4-BE49-F238E27FC236}">
              <a16:creationId xmlns:a16="http://schemas.microsoft.com/office/drawing/2014/main" id="{7DCE7A1F-1DF0-4550-97E6-ED5DB8DEB93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158" name="AutoShape 10" descr="Wasps">
          <a:extLst>
            <a:ext uri="{FF2B5EF4-FFF2-40B4-BE49-F238E27FC236}">
              <a16:creationId xmlns:a16="http://schemas.microsoft.com/office/drawing/2014/main" id="{90E9614D-F86B-4AEE-85CC-7D39633B5E0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159" name="AutoShape 10" descr="Wasps">
          <a:extLst>
            <a:ext uri="{FF2B5EF4-FFF2-40B4-BE49-F238E27FC236}">
              <a16:creationId xmlns:a16="http://schemas.microsoft.com/office/drawing/2014/main" id="{494441BC-1452-42F5-A424-0F03D46001B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17</xdr:row>
      <xdr:rowOff>77638</xdr:rowOff>
    </xdr:from>
    <xdr:ext cx="304800" cy="302284"/>
    <xdr:sp macro="" textlink="">
      <xdr:nvSpPr>
        <xdr:cNvPr id="160" name="AutoShape 10" descr="Wasps">
          <a:extLst>
            <a:ext uri="{FF2B5EF4-FFF2-40B4-BE49-F238E27FC236}">
              <a16:creationId xmlns:a16="http://schemas.microsoft.com/office/drawing/2014/main" id="{58ABC7E5-1140-4C15-A4DE-5808605EF23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347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161" name="AutoShape 10" descr="Wasps">
          <a:extLst>
            <a:ext uri="{FF2B5EF4-FFF2-40B4-BE49-F238E27FC236}">
              <a16:creationId xmlns:a16="http://schemas.microsoft.com/office/drawing/2014/main" id="{F2E854B4-5C9D-403A-AE76-E4D2424A343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162" name="AutoShape 10" descr="Wasps">
          <a:extLst>
            <a:ext uri="{FF2B5EF4-FFF2-40B4-BE49-F238E27FC236}">
              <a16:creationId xmlns:a16="http://schemas.microsoft.com/office/drawing/2014/main" id="{84B2CA0D-6D12-42DF-A377-BF6512FEF13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163" name="AutoShape 10" descr="Wasps">
          <a:extLst>
            <a:ext uri="{FF2B5EF4-FFF2-40B4-BE49-F238E27FC236}">
              <a16:creationId xmlns:a16="http://schemas.microsoft.com/office/drawing/2014/main" id="{56ABE7A5-0D32-49A3-A0C9-B15DD5684EC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164" name="AutoShape 10" descr="Wasps">
          <a:extLst>
            <a:ext uri="{FF2B5EF4-FFF2-40B4-BE49-F238E27FC236}">
              <a16:creationId xmlns:a16="http://schemas.microsoft.com/office/drawing/2014/main" id="{5F12DC7B-219B-47F7-9B36-F0B80E0727A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165" name="AutoShape 10" descr="Wasps">
          <a:extLst>
            <a:ext uri="{FF2B5EF4-FFF2-40B4-BE49-F238E27FC236}">
              <a16:creationId xmlns:a16="http://schemas.microsoft.com/office/drawing/2014/main" id="{96E102E0-3DEC-4AB6-B35B-A1BA8DE939E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166" name="AutoShape 10" descr="Wasps">
          <a:extLst>
            <a:ext uri="{FF2B5EF4-FFF2-40B4-BE49-F238E27FC236}">
              <a16:creationId xmlns:a16="http://schemas.microsoft.com/office/drawing/2014/main" id="{3BCD96AC-E7EA-4449-B98E-ED3E7C0D28B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67" name="AutoShape 10" descr="Wasps">
          <a:extLst>
            <a:ext uri="{FF2B5EF4-FFF2-40B4-BE49-F238E27FC236}">
              <a16:creationId xmlns:a16="http://schemas.microsoft.com/office/drawing/2014/main" id="{7FCA0A73-FEA1-4944-9B0F-6E1CCA8E6BD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68" name="AutoShape 10" descr="Wasps">
          <a:extLst>
            <a:ext uri="{FF2B5EF4-FFF2-40B4-BE49-F238E27FC236}">
              <a16:creationId xmlns:a16="http://schemas.microsoft.com/office/drawing/2014/main" id="{2376D513-0798-474A-AD02-6A272E599F23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69" name="AutoShape 10" descr="Wasps">
          <a:extLst>
            <a:ext uri="{FF2B5EF4-FFF2-40B4-BE49-F238E27FC236}">
              <a16:creationId xmlns:a16="http://schemas.microsoft.com/office/drawing/2014/main" id="{A30A361E-7D49-446C-B26C-695CE2ABD7F3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70" name="AutoShape 10" descr="Wasps">
          <a:extLst>
            <a:ext uri="{FF2B5EF4-FFF2-40B4-BE49-F238E27FC236}">
              <a16:creationId xmlns:a16="http://schemas.microsoft.com/office/drawing/2014/main" id="{486F3907-E553-4CDC-B789-7A48A7FC737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171" name="AutoShape 1" descr="Bristol Bears">
          <a:extLst>
            <a:ext uri="{FF2B5EF4-FFF2-40B4-BE49-F238E27FC236}">
              <a16:creationId xmlns:a16="http://schemas.microsoft.com/office/drawing/2014/main" id="{12410EF6-606F-4476-BC6C-23E8CFC2EF1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172" name="AutoShape 2" descr="Exeter Chiefs">
          <a:extLst>
            <a:ext uri="{FF2B5EF4-FFF2-40B4-BE49-F238E27FC236}">
              <a16:creationId xmlns:a16="http://schemas.microsoft.com/office/drawing/2014/main" id="{ABD53AAD-95D1-4711-AED0-392C4E865DA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173" name="AutoShape 3" descr="Harlequins">
          <a:extLst>
            <a:ext uri="{FF2B5EF4-FFF2-40B4-BE49-F238E27FC236}">
              <a16:creationId xmlns:a16="http://schemas.microsoft.com/office/drawing/2014/main" id="{10ACA9B6-8646-44F0-AB95-03A32D49A83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4" name="AutoShape 10" descr="Wasps">
          <a:extLst>
            <a:ext uri="{FF2B5EF4-FFF2-40B4-BE49-F238E27FC236}">
              <a16:creationId xmlns:a16="http://schemas.microsoft.com/office/drawing/2014/main" id="{7B148EDB-7C91-45D2-97E3-4E7472EE123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8573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5" name="AutoShape 10" descr="Wasps">
          <a:extLst>
            <a:ext uri="{FF2B5EF4-FFF2-40B4-BE49-F238E27FC236}">
              <a16:creationId xmlns:a16="http://schemas.microsoft.com/office/drawing/2014/main" id="{59D69992-B269-4889-97F5-29A0DB7E112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8573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6" name="AutoShape 10" descr="Wasps">
          <a:extLst>
            <a:ext uri="{FF2B5EF4-FFF2-40B4-BE49-F238E27FC236}">
              <a16:creationId xmlns:a16="http://schemas.microsoft.com/office/drawing/2014/main" id="{957C5B4B-30BA-43DD-871A-9029D35181F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7" name="AutoShape 10" descr="Wasps">
          <a:extLst>
            <a:ext uri="{FF2B5EF4-FFF2-40B4-BE49-F238E27FC236}">
              <a16:creationId xmlns:a16="http://schemas.microsoft.com/office/drawing/2014/main" id="{F6E5341A-CC2C-4E26-B653-095B4002B3B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8" name="AutoShape 10" descr="Wasps">
          <a:extLst>
            <a:ext uri="{FF2B5EF4-FFF2-40B4-BE49-F238E27FC236}">
              <a16:creationId xmlns:a16="http://schemas.microsoft.com/office/drawing/2014/main" id="{8C72C3C5-97C2-4CF9-B801-8D5336FC5D0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9" name="AutoShape 10" descr="Wasps">
          <a:extLst>
            <a:ext uri="{FF2B5EF4-FFF2-40B4-BE49-F238E27FC236}">
              <a16:creationId xmlns:a16="http://schemas.microsoft.com/office/drawing/2014/main" id="{5C17EC8E-45EA-4D48-B461-A01DC34735F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0" name="AutoShape 10" descr="Wasps">
          <a:extLst>
            <a:ext uri="{FF2B5EF4-FFF2-40B4-BE49-F238E27FC236}">
              <a16:creationId xmlns:a16="http://schemas.microsoft.com/office/drawing/2014/main" id="{7F9E058A-3995-424F-8CDD-9AD2A4754ED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1" name="AutoShape 10" descr="Wasps">
          <a:extLst>
            <a:ext uri="{FF2B5EF4-FFF2-40B4-BE49-F238E27FC236}">
              <a16:creationId xmlns:a16="http://schemas.microsoft.com/office/drawing/2014/main" id="{44C413A0-37EA-44FD-9221-6154748E3A4A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2" name="AutoShape 10" descr="Wasps">
          <a:extLst>
            <a:ext uri="{FF2B5EF4-FFF2-40B4-BE49-F238E27FC236}">
              <a16:creationId xmlns:a16="http://schemas.microsoft.com/office/drawing/2014/main" id="{9FABC338-2230-4023-ACB4-920CB94FBD8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3" name="AutoShape 10" descr="Wasps">
          <a:extLst>
            <a:ext uri="{FF2B5EF4-FFF2-40B4-BE49-F238E27FC236}">
              <a16:creationId xmlns:a16="http://schemas.microsoft.com/office/drawing/2014/main" id="{85BE062A-8A79-4011-B185-3D638B3CD34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4" name="AutoShape 10" descr="Wasps">
          <a:extLst>
            <a:ext uri="{FF2B5EF4-FFF2-40B4-BE49-F238E27FC236}">
              <a16:creationId xmlns:a16="http://schemas.microsoft.com/office/drawing/2014/main" id="{5AB62055-A9AA-4B78-A866-8EFD3EBA5F4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5" name="AutoShape 10" descr="Wasps">
          <a:extLst>
            <a:ext uri="{FF2B5EF4-FFF2-40B4-BE49-F238E27FC236}">
              <a16:creationId xmlns:a16="http://schemas.microsoft.com/office/drawing/2014/main" id="{CE57ADF8-4E78-4665-822A-48294A80265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6" name="AutoShape 10" descr="Wasps">
          <a:extLst>
            <a:ext uri="{FF2B5EF4-FFF2-40B4-BE49-F238E27FC236}">
              <a16:creationId xmlns:a16="http://schemas.microsoft.com/office/drawing/2014/main" id="{CFDB16F0-C7FC-40A7-98A1-8457A420E74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7" name="AutoShape 10" descr="Wasps">
          <a:extLst>
            <a:ext uri="{FF2B5EF4-FFF2-40B4-BE49-F238E27FC236}">
              <a16:creationId xmlns:a16="http://schemas.microsoft.com/office/drawing/2014/main" id="{1ADB4EDA-9C95-4029-8F4E-CB90CCDCA46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8" name="AutoShape 10" descr="Wasps">
          <a:extLst>
            <a:ext uri="{FF2B5EF4-FFF2-40B4-BE49-F238E27FC236}">
              <a16:creationId xmlns:a16="http://schemas.microsoft.com/office/drawing/2014/main" id="{623300DD-0FAA-4FD2-9EA4-A46F93F6781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9" name="AutoShape 10" descr="Wasps">
          <a:extLst>
            <a:ext uri="{FF2B5EF4-FFF2-40B4-BE49-F238E27FC236}">
              <a16:creationId xmlns:a16="http://schemas.microsoft.com/office/drawing/2014/main" id="{B98C844C-1CC8-41FB-A17D-7177F6F1217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39</xdr:row>
      <xdr:rowOff>19050</xdr:rowOff>
    </xdr:from>
    <xdr:ext cx="298150" cy="302284"/>
    <xdr:sp macro="" textlink="">
      <xdr:nvSpPr>
        <xdr:cNvPr id="190" name="AutoShape 9" descr="Bath Rugby">
          <a:extLst>
            <a:ext uri="{FF2B5EF4-FFF2-40B4-BE49-F238E27FC236}">
              <a16:creationId xmlns:a16="http://schemas.microsoft.com/office/drawing/2014/main" id="{D2FD2B22-8FFA-48A5-AD9F-BF925EA082DB}"/>
            </a:ext>
          </a:extLst>
        </xdr:cNvPr>
        <xdr:cNvSpPr>
          <a:spLocks noChangeAspect="1" noChangeArrowheads="1"/>
        </xdr:cNvSpPr>
      </xdr:nvSpPr>
      <xdr:spPr bwMode="auto">
        <a:xfrm>
          <a:off x="4948687" y="667001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1" name="AutoShape 1" descr="Bristol Bears">
          <a:extLst>
            <a:ext uri="{FF2B5EF4-FFF2-40B4-BE49-F238E27FC236}">
              <a16:creationId xmlns:a16="http://schemas.microsoft.com/office/drawing/2014/main" id="{AEBAFF88-B645-49D2-8D01-5CA9F9D7977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2" name="AutoShape 2" descr="Exeter Chiefs">
          <a:extLst>
            <a:ext uri="{FF2B5EF4-FFF2-40B4-BE49-F238E27FC236}">
              <a16:creationId xmlns:a16="http://schemas.microsoft.com/office/drawing/2014/main" id="{77215DA5-3DED-4C31-B16D-E6A4C047CE2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3" name="AutoShape 3" descr="Harlequins">
          <a:extLst>
            <a:ext uri="{FF2B5EF4-FFF2-40B4-BE49-F238E27FC236}">
              <a16:creationId xmlns:a16="http://schemas.microsoft.com/office/drawing/2014/main" id="{C810022D-EED4-4396-921F-54EB8E15C4E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4" name="AutoShape 4" descr="Sale Sharks">
          <a:extLst>
            <a:ext uri="{FF2B5EF4-FFF2-40B4-BE49-F238E27FC236}">
              <a16:creationId xmlns:a16="http://schemas.microsoft.com/office/drawing/2014/main" id="{E94BF535-B6EF-4380-BB5E-FEB81883CCA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5" name="AutoShape 5" descr="Northampton Saints">
          <a:extLst>
            <a:ext uri="{FF2B5EF4-FFF2-40B4-BE49-F238E27FC236}">
              <a16:creationId xmlns:a16="http://schemas.microsoft.com/office/drawing/2014/main" id="{70CE91E8-A6EC-4366-970F-708C48CF496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6" name="AutoShape 6" descr="London Irish">
          <a:extLst>
            <a:ext uri="{FF2B5EF4-FFF2-40B4-BE49-F238E27FC236}">
              <a16:creationId xmlns:a16="http://schemas.microsoft.com/office/drawing/2014/main" id="{3561FB91-4CFD-440A-8800-A4053AADF9C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37</xdr:row>
      <xdr:rowOff>19050</xdr:rowOff>
    </xdr:from>
    <xdr:ext cx="298150" cy="302284"/>
    <xdr:sp macro="" textlink="">
      <xdr:nvSpPr>
        <xdr:cNvPr id="197" name="AutoShape 9" descr="Bath Rugby">
          <a:extLst>
            <a:ext uri="{FF2B5EF4-FFF2-40B4-BE49-F238E27FC236}">
              <a16:creationId xmlns:a16="http://schemas.microsoft.com/office/drawing/2014/main" id="{68E01FD9-C9AA-42B7-AA68-89639209287E}"/>
            </a:ext>
          </a:extLst>
        </xdr:cNvPr>
        <xdr:cNvSpPr>
          <a:spLocks noChangeAspect="1" noChangeArrowheads="1"/>
        </xdr:cNvSpPr>
      </xdr:nvSpPr>
      <xdr:spPr bwMode="auto">
        <a:xfrm>
          <a:off x="4948687" y="587638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8" name="AutoShape 10" descr="Wasps">
          <a:extLst>
            <a:ext uri="{FF2B5EF4-FFF2-40B4-BE49-F238E27FC236}">
              <a16:creationId xmlns:a16="http://schemas.microsoft.com/office/drawing/2014/main" id="{C2ED85CC-1D5E-48E8-B6BE-54668202514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8573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9" name="AutoShape 10" descr="Wasps">
          <a:extLst>
            <a:ext uri="{FF2B5EF4-FFF2-40B4-BE49-F238E27FC236}">
              <a16:creationId xmlns:a16="http://schemas.microsoft.com/office/drawing/2014/main" id="{6B895722-29A3-493F-AC50-6B25F059967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8573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0" name="AutoShape 10" descr="Wasps">
          <a:extLst>
            <a:ext uri="{FF2B5EF4-FFF2-40B4-BE49-F238E27FC236}">
              <a16:creationId xmlns:a16="http://schemas.microsoft.com/office/drawing/2014/main" id="{84F4C676-A89D-4FC8-8C9B-2F291DA8939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1" name="AutoShape 10" descr="Wasps">
          <a:extLst>
            <a:ext uri="{FF2B5EF4-FFF2-40B4-BE49-F238E27FC236}">
              <a16:creationId xmlns:a16="http://schemas.microsoft.com/office/drawing/2014/main" id="{E0E817D7-496D-4E31-8D87-82B92F1654C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2" name="AutoShape 10" descr="Wasps">
          <a:extLst>
            <a:ext uri="{FF2B5EF4-FFF2-40B4-BE49-F238E27FC236}">
              <a16:creationId xmlns:a16="http://schemas.microsoft.com/office/drawing/2014/main" id="{8583736A-ED79-4433-8189-9B3772A18D9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21</xdr:row>
      <xdr:rowOff>0</xdr:rowOff>
    </xdr:from>
    <xdr:ext cx="304800" cy="302284"/>
    <xdr:sp macro="" textlink="">
      <xdr:nvSpPr>
        <xdr:cNvPr id="203" name="AutoShape 10" descr="Wasps">
          <a:extLst>
            <a:ext uri="{FF2B5EF4-FFF2-40B4-BE49-F238E27FC236}">
              <a16:creationId xmlns:a16="http://schemas.microsoft.com/office/drawing/2014/main" id="{8E08CB97-18D7-4D6C-8276-E423F9C7BDE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31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4" name="AutoShape 10" descr="Wasps">
          <a:extLst>
            <a:ext uri="{FF2B5EF4-FFF2-40B4-BE49-F238E27FC236}">
              <a16:creationId xmlns:a16="http://schemas.microsoft.com/office/drawing/2014/main" id="{629584E5-026C-41C0-B67E-E7546400069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5" name="AutoShape 10" descr="Wasps">
          <a:extLst>
            <a:ext uri="{FF2B5EF4-FFF2-40B4-BE49-F238E27FC236}">
              <a16:creationId xmlns:a16="http://schemas.microsoft.com/office/drawing/2014/main" id="{AD317039-646D-4B93-9BA7-6E8AC2612BB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6" name="AutoShape 10" descr="Wasps">
          <a:extLst>
            <a:ext uri="{FF2B5EF4-FFF2-40B4-BE49-F238E27FC236}">
              <a16:creationId xmlns:a16="http://schemas.microsoft.com/office/drawing/2014/main" id="{FF5C9D8F-2D08-4CDE-9C3D-A8A6DF67843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7" name="AutoShape 10" descr="Wasps">
          <a:extLst>
            <a:ext uri="{FF2B5EF4-FFF2-40B4-BE49-F238E27FC236}">
              <a16:creationId xmlns:a16="http://schemas.microsoft.com/office/drawing/2014/main" id="{951A22F1-F492-4CCA-B39F-D59E51548B1A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8" name="AutoShape 10" descr="Wasps">
          <a:extLst>
            <a:ext uri="{FF2B5EF4-FFF2-40B4-BE49-F238E27FC236}">
              <a16:creationId xmlns:a16="http://schemas.microsoft.com/office/drawing/2014/main" id="{AD09A7DA-8BCA-4BCD-A3FC-7C6A426DD89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9" name="AutoShape 10" descr="Wasps">
          <a:extLst>
            <a:ext uri="{FF2B5EF4-FFF2-40B4-BE49-F238E27FC236}">
              <a16:creationId xmlns:a16="http://schemas.microsoft.com/office/drawing/2014/main" id="{3AE8FC74-17C2-4C88-BBDB-0F5E083CE6D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0" name="AutoShape 10" descr="Wasps">
          <a:extLst>
            <a:ext uri="{FF2B5EF4-FFF2-40B4-BE49-F238E27FC236}">
              <a16:creationId xmlns:a16="http://schemas.microsoft.com/office/drawing/2014/main" id="{7CB0AA48-CEE6-43E2-96F3-2A6939C9E00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1" name="AutoShape 10" descr="Wasps">
          <a:extLst>
            <a:ext uri="{FF2B5EF4-FFF2-40B4-BE49-F238E27FC236}">
              <a16:creationId xmlns:a16="http://schemas.microsoft.com/office/drawing/2014/main" id="{15502BF6-865E-4183-B2DD-6E260D7EA6B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2" name="AutoShape 10" descr="Wasps">
          <a:extLst>
            <a:ext uri="{FF2B5EF4-FFF2-40B4-BE49-F238E27FC236}">
              <a16:creationId xmlns:a16="http://schemas.microsoft.com/office/drawing/2014/main" id="{05917EEA-A2AE-4CAC-AC58-74F17F8EA48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3" name="AutoShape 10" descr="Wasps">
          <a:extLst>
            <a:ext uri="{FF2B5EF4-FFF2-40B4-BE49-F238E27FC236}">
              <a16:creationId xmlns:a16="http://schemas.microsoft.com/office/drawing/2014/main" id="{833ACE0D-AB20-4B25-BCFA-D7B770E4CA4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4" name="AutoShape 1" descr="Bristol Bears">
          <a:extLst>
            <a:ext uri="{FF2B5EF4-FFF2-40B4-BE49-F238E27FC236}">
              <a16:creationId xmlns:a16="http://schemas.microsoft.com/office/drawing/2014/main" id="{6EE4AD1E-FC59-4FD3-B93F-5A364976E9B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1258</xdr:colOff>
      <xdr:row>21</xdr:row>
      <xdr:rowOff>0</xdr:rowOff>
    </xdr:from>
    <xdr:ext cx="302284" cy="304800"/>
    <xdr:sp macro="" textlink="">
      <xdr:nvSpPr>
        <xdr:cNvPr id="215" name="AutoShape 2" descr="Exeter Chiefs">
          <a:extLst>
            <a:ext uri="{FF2B5EF4-FFF2-40B4-BE49-F238E27FC236}">
              <a16:creationId xmlns:a16="http://schemas.microsoft.com/office/drawing/2014/main" id="{FF7EB1D4-25C8-4D4D-A591-D852A8C4CB79}"/>
            </a:ext>
          </a:extLst>
        </xdr:cNvPr>
        <xdr:cNvSpPr>
          <a:spLocks noChangeAspect="1" noChangeArrowheads="1"/>
        </xdr:cNvSpPr>
      </xdr:nvSpPr>
      <xdr:spPr bwMode="auto">
        <a:xfrm rot="16200000">
          <a:off x="4951562" y="624552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6" name="AutoShape 3" descr="Harlequins">
          <a:extLst>
            <a:ext uri="{FF2B5EF4-FFF2-40B4-BE49-F238E27FC236}">
              <a16:creationId xmlns:a16="http://schemas.microsoft.com/office/drawing/2014/main" id="{26AAF92C-ED04-4528-BB01-6B74B2CC954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7" name="AutoShape 4" descr="Sale Sharks">
          <a:extLst>
            <a:ext uri="{FF2B5EF4-FFF2-40B4-BE49-F238E27FC236}">
              <a16:creationId xmlns:a16="http://schemas.microsoft.com/office/drawing/2014/main" id="{7E4B2228-2251-4890-A828-A91E6AABB66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8" name="AutoShape 5" descr="Northampton Saints">
          <a:extLst>
            <a:ext uri="{FF2B5EF4-FFF2-40B4-BE49-F238E27FC236}">
              <a16:creationId xmlns:a16="http://schemas.microsoft.com/office/drawing/2014/main" id="{CD46F62A-5854-4EEF-90AA-AB39D28556F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9" name="AutoShape 6" descr="London Irish">
          <a:extLst>
            <a:ext uri="{FF2B5EF4-FFF2-40B4-BE49-F238E27FC236}">
              <a16:creationId xmlns:a16="http://schemas.microsoft.com/office/drawing/2014/main" id="{86E9C806-F738-43C0-97E8-08D5D49B7C2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</xdr:row>
      <xdr:rowOff>0</xdr:rowOff>
    </xdr:from>
    <xdr:ext cx="304800" cy="302284"/>
    <xdr:sp macro="" textlink="">
      <xdr:nvSpPr>
        <xdr:cNvPr id="220" name="AutoShape 1" descr="Bristol Bears">
          <a:extLst>
            <a:ext uri="{FF2B5EF4-FFF2-40B4-BE49-F238E27FC236}">
              <a16:creationId xmlns:a16="http://schemas.microsoft.com/office/drawing/2014/main" id="{08E0DC90-DACF-4113-9E05-4F46A6B48DE9}"/>
            </a:ext>
          </a:extLst>
        </xdr:cNvPr>
        <xdr:cNvSpPr>
          <a:spLocks noChangeAspect="1" noChangeArrowheads="1"/>
        </xdr:cNvSpPr>
      </xdr:nvSpPr>
      <xdr:spPr bwMode="auto">
        <a:xfrm>
          <a:off x="9765102" y="750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4</xdr:row>
      <xdr:rowOff>120770</xdr:rowOff>
    </xdr:from>
    <xdr:ext cx="304800" cy="302284"/>
    <xdr:sp macro="" textlink="">
      <xdr:nvSpPr>
        <xdr:cNvPr id="221" name="AutoShape 2" descr="Exeter Chiefs">
          <a:extLst>
            <a:ext uri="{FF2B5EF4-FFF2-40B4-BE49-F238E27FC236}">
              <a16:creationId xmlns:a16="http://schemas.microsoft.com/office/drawing/2014/main" id="{68029811-D12B-421B-BD42-B8F4FA1EE76D}"/>
            </a:ext>
          </a:extLst>
        </xdr:cNvPr>
        <xdr:cNvSpPr>
          <a:spLocks noChangeAspect="1" noChangeArrowheads="1"/>
        </xdr:cNvSpPr>
      </xdr:nvSpPr>
      <xdr:spPr bwMode="auto">
        <a:xfrm>
          <a:off x="9799608" y="10610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2284"/>
    <xdr:sp macro="" textlink="">
      <xdr:nvSpPr>
        <xdr:cNvPr id="222" name="AutoShape 3" descr="Harlequins">
          <a:extLst>
            <a:ext uri="{FF2B5EF4-FFF2-40B4-BE49-F238E27FC236}">
              <a16:creationId xmlns:a16="http://schemas.microsoft.com/office/drawing/2014/main" id="{510179D5-7623-455B-B25C-6528E4FAE6B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130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02284"/>
    <xdr:sp macro="" textlink="">
      <xdr:nvSpPr>
        <xdr:cNvPr id="223" name="AutoShape 4" descr="Sale Sharks">
          <a:extLst>
            <a:ext uri="{FF2B5EF4-FFF2-40B4-BE49-F238E27FC236}">
              <a16:creationId xmlns:a16="http://schemas.microsoft.com/office/drawing/2014/main" id="{2208C94B-4378-420E-9B65-ABCF566033C1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319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224" name="AutoShape 5" descr="Northampton Saints">
          <a:extLst>
            <a:ext uri="{FF2B5EF4-FFF2-40B4-BE49-F238E27FC236}">
              <a16:creationId xmlns:a16="http://schemas.microsoft.com/office/drawing/2014/main" id="{1EA8C36D-1968-4B4D-8DAF-C3A88F947957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509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225" name="AutoShape 1" descr="Bristol Bears">
          <a:extLst>
            <a:ext uri="{FF2B5EF4-FFF2-40B4-BE49-F238E27FC236}">
              <a16:creationId xmlns:a16="http://schemas.microsoft.com/office/drawing/2014/main" id="{3AA29E4C-F2CB-41C0-BAD0-55D6C22C190A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12</xdr:row>
      <xdr:rowOff>120770</xdr:rowOff>
    </xdr:from>
    <xdr:ext cx="304800" cy="302284"/>
    <xdr:sp macro="" textlink="">
      <xdr:nvSpPr>
        <xdr:cNvPr id="226" name="AutoShape 2" descr="Exeter Chiefs">
          <a:extLst>
            <a:ext uri="{FF2B5EF4-FFF2-40B4-BE49-F238E27FC236}">
              <a16:creationId xmlns:a16="http://schemas.microsoft.com/office/drawing/2014/main" id="{EE2488C9-FD68-4FFE-A29F-819E64EB19A4}"/>
            </a:ext>
          </a:extLst>
        </xdr:cNvPr>
        <xdr:cNvSpPr>
          <a:spLocks noChangeAspect="1" noChangeArrowheads="1"/>
        </xdr:cNvSpPr>
      </xdr:nvSpPr>
      <xdr:spPr bwMode="auto">
        <a:xfrm>
          <a:off x="9799608" y="300199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227" name="AutoShape 3" descr="Harlequins">
          <a:extLst>
            <a:ext uri="{FF2B5EF4-FFF2-40B4-BE49-F238E27FC236}">
              <a16:creationId xmlns:a16="http://schemas.microsoft.com/office/drawing/2014/main" id="{038833F3-9E8A-415C-86ED-870AFCB95DE6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2284"/>
    <xdr:sp macro="" textlink="">
      <xdr:nvSpPr>
        <xdr:cNvPr id="228" name="AutoShape 4" descr="Sale Sharks">
          <a:extLst>
            <a:ext uri="{FF2B5EF4-FFF2-40B4-BE49-F238E27FC236}">
              <a16:creationId xmlns:a16="http://schemas.microsoft.com/office/drawing/2014/main" id="{2267538A-BBAA-4E0D-B460-4189680BA63D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229" name="AutoShape 5" descr="Northampton Saints">
          <a:extLst>
            <a:ext uri="{FF2B5EF4-FFF2-40B4-BE49-F238E27FC236}">
              <a16:creationId xmlns:a16="http://schemas.microsoft.com/office/drawing/2014/main" id="{64598E26-B1FF-47FC-920C-9DA6D0555A79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304800" cy="302284"/>
    <xdr:sp macro="" textlink="">
      <xdr:nvSpPr>
        <xdr:cNvPr id="230" name="AutoShape 1" descr="Bristol Bears">
          <a:extLst>
            <a:ext uri="{FF2B5EF4-FFF2-40B4-BE49-F238E27FC236}">
              <a16:creationId xmlns:a16="http://schemas.microsoft.com/office/drawing/2014/main" id="{1A48615F-4222-449E-B90C-95322986CF2D}"/>
            </a:ext>
          </a:extLst>
        </xdr:cNvPr>
        <xdr:cNvSpPr>
          <a:spLocks noChangeAspect="1" noChangeArrowheads="1"/>
        </xdr:cNvSpPr>
      </xdr:nvSpPr>
      <xdr:spPr bwMode="auto">
        <a:xfrm>
          <a:off x="976510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1258</xdr:colOff>
      <xdr:row>18</xdr:row>
      <xdr:rowOff>188523</xdr:rowOff>
    </xdr:from>
    <xdr:ext cx="302284" cy="304800"/>
    <xdr:sp macro="" textlink="">
      <xdr:nvSpPr>
        <xdr:cNvPr id="231" name="AutoShape 3" descr="Harlequins">
          <a:extLst>
            <a:ext uri="{FF2B5EF4-FFF2-40B4-BE49-F238E27FC236}">
              <a16:creationId xmlns:a16="http://schemas.microsoft.com/office/drawing/2014/main" id="{3C4E166F-24DB-45A6-9561-3E6851BD8884}"/>
            </a:ext>
          </a:extLst>
        </xdr:cNvPr>
        <xdr:cNvSpPr>
          <a:spLocks noChangeAspect="1" noChangeArrowheads="1"/>
        </xdr:cNvSpPr>
      </xdr:nvSpPr>
      <xdr:spPr bwMode="auto">
        <a:xfrm rot="14539737">
          <a:off x="9765102" y="46582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19537"/>
    <xdr:sp macro="" textlink="">
      <xdr:nvSpPr>
        <xdr:cNvPr id="232" name="AutoShape 1" descr="Bristol Bears">
          <a:extLst>
            <a:ext uri="{FF2B5EF4-FFF2-40B4-BE49-F238E27FC236}">
              <a16:creationId xmlns:a16="http://schemas.microsoft.com/office/drawing/2014/main" id="{16B21C7E-FFEA-47F3-8280-26247BA2E36F}"/>
            </a:ext>
          </a:extLst>
        </xdr:cNvPr>
        <xdr:cNvSpPr>
          <a:spLocks noChangeAspect="1" noChangeArrowheads="1"/>
        </xdr:cNvSpPr>
      </xdr:nvSpPr>
      <xdr:spPr bwMode="auto">
        <a:xfrm>
          <a:off x="4641011" y="379562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34506</xdr:colOff>
      <xdr:row>10</xdr:row>
      <xdr:rowOff>120770</xdr:rowOff>
    </xdr:from>
    <xdr:ext cx="304800" cy="336789"/>
    <xdr:sp macro="" textlink="">
      <xdr:nvSpPr>
        <xdr:cNvPr id="233" name="AutoShape 2" descr="Exeter Chiefs">
          <a:extLst>
            <a:ext uri="{FF2B5EF4-FFF2-40B4-BE49-F238E27FC236}">
              <a16:creationId xmlns:a16="http://schemas.microsoft.com/office/drawing/2014/main" id="{4AC8FB10-82AD-4C61-976E-919EE6780856}"/>
            </a:ext>
          </a:extLst>
        </xdr:cNvPr>
        <xdr:cNvSpPr>
          <a:spLocks noChangeAspect="1" noChangeArrowheads="1"/>
        </xdr:cNvSpPr>
      </xdr:nvSpPr>
      <xdr:spPr bwMode="auto">
        <a:xfrm>
          <a:off x="4675517" y="690113"/>
          <a:ext cx="304800" cy="33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0</xdr:rowOff>
    </xdr:from>
    <xdr:ext cx="304800" cy="319536"/>
    <xdr:sp macro="" textlink="">
      <xdr:nvSpPr>
        <xdr:cNvPr id="234" name="AutoShape 3" descr="Harlequins">
          <a:extLst>
            <a:ext uri="{FF2B5EF4-FFF2-40B4-BE49-F238E27FC236}">
              <a16:creationId xmlns:a16="http://schemas.microsoft.com/office/drawing/2014/main" id="{FF6AF23F-5C37-4D51-8389-843730D181F5}"/>
            </a:ext>
          </a:extLst>
        </xdr:cNvPr>
        <xdr:cNvSpPr>
          <a:spLocks noChangeAspect="1" noChangeArrowheads="1"/>
        </xdr:cNvSpPr>
      </xdr:nvSpPr>
      <xdr:spPr bwMode="auto">
        <a:xfrm>
          <a:off x="4641011" y="759125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304800" cy="319539"/>
    <xdr:sp macro="" textlink="">
      <xdr:nvSpPr>
        <xdr:cNvPr id="235" name="AutoShape 4" descr="Sale Sharks">
          <a:extLst>
            <a:ext uri="{FF2B5EF4-FFF2-40B4-BE49-F238E27FC236}">
              <a16:creationId xmlns:a16="http://schemas.microsoft.com/office/drawing/2014/main" id="{164C63C2-CDBB-4F7B-B19E-C344AA0024B2}"/>
            </a:ext>
          </a:extLst>
        </xdr:cNvPr>
        <xdr:cNvSpPr>
          <a:spLocks noChangeAspect="1" noChangeArrowheads="1"/>
        </xdr:cNvSpPr>
      </xdr:nvSpPr>
      <xdr:spPr bwMode="auto">
        <a:xfrm>
          <a:off x="4641011" y="948906"/>
          <a:ext cx="304800" cy="31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19537"/>
    <xdr:sp macro="" textlink="">
      <xdr:nvSpPr>
        <xdr:cNvPr id="236" name="AutoShape 1" descr="Bristol Bears">
          <a:extLst>
            <a:ext uri="{FF2B5EF4-FFF2-40B4-BE49-F238E27FC236}">
              <a16:creationId xmlns:a16="http://schemas.microsoft.com/office/drawing/2014/main" id="{CC40FFB5-33CD-424B-906B-F812D0BAFB36}"/>
            </a:ext>
          </a:extLst>
        </xdr:cNvPr>
        <xdr:cNvSpPr>
          <a:spLocks noChangeAspect="1" noChangeArrowheads="1"/>
        </xdr:cNvSpPr>
      </xdr:nvSpPr>
      <xdr:spPr bwMode="auto">
        <a:xfrm>
          <a:off x="4641011" y="379562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34506</xdr:colOff>
      <xdr:row>17</xdr:row>
      <xdr:rowOff>120770</xdr:rowOff>
    </xdr:from>
    <xdr:ext cx="304800" cy="336789"/>
    <xdr:sp macro="" textlink="">
      <xdr:nvSpPr>
        <xdr:cNvPr id="237" name="AutoShape 2" descr="Exeter Chiefs">
          <a:extLst>
            <a:ext uri="{FF2B5EF4-FFF2-40B4-BE49-F238E27FC236}">
              <a16:creationId xmlns:a16="http://schemas.microsoft.com/office/drawing/2014/main" id="{C46B1B1A-E2D0-4A9A-8ADC-B0705C514424}"/>
            </a:ext>
          </a:extLst>
        </xdr:cNvPr>
        <xdr:cNvSpPr>
          <a:spLocks noChangeAspect="1" noChangeArrowheads="1"/>
        </xdr:cNvSpPr>
      </xdr:nvSpPr>
      <xdr:spPr bwMode="auto">
        <a:xfrm>
          <a:off x="4675517" y="690113"/>
          <a:ext cx="304800" cy="33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19536"/>
    <xdr:sp macro="" textlink="">
      <xdr:nvSpPr>
        <xdr:cNvPr id="238" name="AutoShape 3" descr="Harlequins">
          <a:extLst>
            <a:ext uri="{FF2B5EF4-FFF2-40B4-BE49-F238E27FC236}">
              <a16:creationId xmlns:a16="http://schemas.microsoft.com/office/drawing/2014/main" id="{EA3CD702-20E4-4444-A24A-0F314B40CA72}"/>
            </a:ext>
          </a:extLst>
        </xdr:cNvPr>
        <xdr:cNvSpPr>
          <a:spLocks noChangeAspect="1" noChangeArrowheads="1"/>
        </xdr:cNvSpPr>
      </xdr:nvSpPr>
      <xdr:spPr bwMode="auto">
        <a:xfrm>
          <a:off x="4641011" y="759125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19539"/>
    <xdr:sp macro="" textlink="">
      <xdr:nvSpPr>
        <xdr:cNvPr id="239" name="AutoShape 4" descr="Sale Sharks">
          <a:extLst>
            <a:ext uri="{FF2B5EF4-FFF2-40B4-BE49-F238E27FC236}">
              <a16:creationId xmlns:a16="http://schemas.microsoft.com/office/drawing/2014/main" id="{C46561E3-EDF1-47EA-A7BA-E9B57759B18A}"/>
            </a:ext>
          </a:extLst>
        </xdr:cNvPr>
        <xdr:cNvSpPr>
          <a:spLocks noChangeAspect="1" noChangeArrowheads="1"/>
        </xdr:cNvSpPr>
      </xdr:nvSpPr>
      <xdr:spPr bwMode="auto">
        <a:xfrm>
          <a:off x="4641011" y="948906"/>
          <a:ext cx="304800" cy="31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</xdr:row>
      <xdr:rowOff>0</xdr:rowOff>
    </xdr:from>
    <xdr:ext cx="304800" cy="319537"/>
    <xdr:sp macro="" textlink="">
      <xdr:nvSpPr>
        <xdr:cNvPr id="240" name="AutoShape 1" descr="Bristol Bears">
          <a:extLst>
            <a:ext uri="{FF2B5EF4-FFF2-40B4-BE49-F238E27FC236}">
              <a16:creationId xmlns:a16="http://schemas.microsoft.com/office/drawing/2014/main" id="{E5CFC397-E7DC-48AC-961E-7BDF0D6A4FCC}"/>
            </a:ext>
          </a:extLst>
        </xdr:cNvPr>
        <xdr:cNvSpPr>
          <a:spLocks noChangeAspect="1" noChangeArrowheads="1"/>
        </xdr:cNvSpPr>
      </xdr:nvSpPr>
      <xdr:spPr bwMode="auto">
        <a:xfrm>
          <a:off x="4641011" y="379562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4</xdr:row>
      <xdr:rowOff>120770</xdr:rowOff>
    </xdr:from>
    <xdr:ext cx="304800" cy="336789"/>
    <xdr:sp macro="" textlink="">
      <xdr:nvSpPr>
        <xdr:cNvPr id="241" name="AutoShape 2" descr="Exeter Chiefs">
          <a:extLst>
            <a:ext uri="{FF2B5EF4-FFF2-40B4-BE49-F238E27FC236}">
              <a16:creationId xmlns:a16="http://schemas.microsoft.com/office/drawing/2014/main" id="{47ED0054-E733-41C1-8FB4-3CB06136E43C}"/>
            </a:ext>
          </a:extLst>
        </xdr:cNvPr>
        <xdr:cNvSpPr>
          <a:spLocks noChangeAspect="1" noChangeArrowheads="1"/>
        </xdr:cNvSpPr>
      </xdr:nvSpPr>
      <xdr:spPr bwMode="auto">
        <a:xfrm>
          <a:off x="4675517" y="690113"/>
          <a:ext cx="304800" cy="33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19536"/>
    <xdr:sp macro="" textlink="">
      <xdr:nvSpPr>
        <xdr:cNvPr id="242" name="AutoShape 3" descr="Harlequins">
          <a:extLst>
            <a:ext uri="{FF2B5EF4-FFF2-40B4-BE49-F238E27FC236}">
              <a16:creationId xmlns:a16="http://schemas.microsoft.com/office/drawing/2014/main" id="{C24C8645-892D-4D48-B95C-5D6D24C7E242}"/>
            </a:ext>
          </a:extLst>
        </xdr:cNvPr>
        <xdr:cNvSpPr>
          <a:spLocks noChangeAspect="1" noChangeArrowheads="1"/>
        </xdr:cNvSpPr>
      </xdr:nvSpPr>
      <xdr:spPr bwMode="auto">
        <a:xfrm>
          <a:off x="4641011" y="759125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19539"/>
    <xdr:sp macro="" textlink="">
      <xdr:nvSpPr>
        <xdr:cNvPr id="243" name="AutoShape 4" descr="Sale Sharks">
          <a:extLst>
            <a:ext uri="{FF2B5EF4-FFF2-40B4-BE49-F238E27FC236}">
              <a16:creationId xmlns:a16="http://schemas.microsoft.com/office/drawing/2014/main" id="{B3D83E54-AEE4-4D9B-AEC8-15D326CC1454}"/>
            </a:ext>
          </a:extLst>
        </xdr:cNvPr>
        <xdr:cNvSpPr>
          <a:spLocks noChangeAspect="1" noChangeArrowheads="1"/>
        </xdr:cNvSpPr>
      </xdr:nvSpPr>
      <xdr:spPr bwMode="auto">
        <a:xfrm>
          <a:off x="4641011" y="948906"/>
          <a:ext cx="304800" cy="31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19537"/>
    <xdr:sp macro="" textlink="">
      <xdr:nvSpPr>
        <xdr:cNvPr id="244" name="AutoShape 1" descr="Bristol Bears">
          <a:extLst>
            <a:ext uri="{FF2B5EF4-FFF2-40B4-BE49-F238E27FC236}">
              <a16:creationId xmlns:a16="http://schemas.microsoft.com/office/drawing/2014/main" id="{5316CC3B-0411-46B3-9102-26AF9D577C4C}"/>
            </a:ext>
          </a:extLst>
        </xdr:cNvPr>
        <xdr:cNvSpPr>
          <a:spLocks noChangeAspect="1" noChangeArrowheads="1"/>
        </xdr:cNvSpPr>
      </xdr:nvSpPr>
      <xdr:spPr bwMode="auto">
        <a:xfrm>
          <a:off x="4641011" y="379562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12</xdr:row>
      <xdr:rowOff>120770</xdr:rowOff>
    </xdr:from>
    <xdr:ext cx="304800" cy="336789"/>
    <xdr:sp macro="" textlink="">
      <xdr:nvSpPr>
        <xdr:cNvPr id="245" name="AutoShape 2" descr="Exeter Chiefs">
          <a:extLst>
            <a:ext uri="{FF2B5EF4-FFF2-40B4-BE49-F238E27FC236}">
              <a16:creationId xmlns:a16="http://schemas.microsoft.com/office/drawing/2014/main" id="{53A2205F-7F63-4188-81BC-7D95F9B4C87B}"/>
            </a:ext>
          </a:extLst>
        </xdr:cNvPr>
        <xdr:cNvSpPr>
          <a:spLocks noChangeAspect="1" noChangeArrowheads="1"/>
        </xdr:cNvSpPr>
      </xdr:nvSpPr>
      <xdr:spPr bwMode="auto">
        <a:xfrm>
          <a:off x="4675517" y="690113"/>
          <a:ext cx="304800" cy="33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19536"/>
    <xdr:sp macro="" textlink="">
      <xdr:nvSpPr>
        <xdr:cNvPr id="246" name="AutoShape 3" descr="Harlequins">
          <a:extLst>
            <a:ext uri="{FF2B5EF4-FFF2-40B4-BE49-F238E27FC236}">
              <a16:creationId xmlns:a16="http://schemas.microsoft.com/office/drawing/2014/main" id="{92302FF2-4903-4CAC-AC17-6FE823E4A004}"/>
            </a:ext>
          </a:extLst>
        </xdr:cNvPr>
        <xdr:cNvSpPr>
          <a:spLocks noChangeAspect="1" noChangeArrowheads="1"/>
        </xdr:cNvSpPr>
      </xdr:nvSpPr>
      <xdr:spPr bwMode="auto">
        <a:xfrm>
          <a:off x="4641011" y="759125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19539"/>
    <xdr:sp macro="" textlink="">
      <xdr:nvSpPr>
        <xdr:cNvPr id="247" name="AutoShape 4" descr="Sale Sharks">
          <a:extLst>
            <a:ext uri="{FF2B5EF4-FFF2-40B4-BE49-F238E27FC236}">
              <a16:creationId xmlns:a16="http://schemas.microsoft.com/office/drawing/2014/main" id="{94208059-1860-4CBC-BA24-1CA88EF7B985}"/>
            </a:ext>
          </a:extLst>
        </xdr:cNvPr>
        <xdr:cNvSpPr>
          <a:spLocks noChangeAspect="1" noChangeArrowheads="1"/>
        </xdr:cNvSpPr>
      </xdr:nvSpPr>
      <xdr:spPr bwMode="auto">
        <a:xfrm>
          <a:off x="4641011" y="948906"/>
          <a:ext cx="304800" cy="31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242797</xdr:colOff>
      <xdr:row>57</xdr:row>
      <xdr:rowOff>59128</xdr:rowOff>
    </xdr:from>
    <xdr:ext cx="319537" cy="304800"/>
    <xdr:sp macro="" textlink="">
      <xdr:nvSpPr>
        <xdr:cNvPr id="248" name="AutoShape 1" descr="Bristol Bears">
          <a:extLst>
            <a:ext uri="{FF2B5EF4-FFF2-40B4-BE49-F238E27FC236}">
              <a16:creationId xmlns:a16="http://schemas.microsoft.com/office/drawing/2014/main" id="{389D4516-5656-4A2D-9B4D-56BAA55F0212}"/>
            </a:ext>
          </a:extLst>
        </xdr:cNvPr>
        <xdr:cNvSpPr>
          <a:spLocks noChangeAspect="1" noChangeArrowheads="1"/>
        </xdr:cNvSpPr>
      </xdr:nvSpPr>
      <xdr:spPr bwMode="auto">
        <a:xfrm rot="13800530">
          <a:off x="250166" y="9877246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18</xdr:row>
      <xdr:rowOff>120770</xdr:rowOff>
    </xdr:from>
    <xdr:ext cx="304800" cy="336789"/>
    <xdr:sp macro="" textlink="">
      <xdr:nvSpPr>
        <xdr:cNvPr id="249" name="AutoShape 2" descr="Exeter Chiefs">
          <a:extLst>
            <a:ext uri="{FF2B5EF4-FFF2-40B4-BE49-F238E27FC236}">
              <a16:creationId xmlns:a16="http://schemas.microsoft.com/office/drawing/2014/main" id="{BE93B9B2-8E70-4011-BED0-DAC94E75891D}"/>
            </a:ext>
          </a:extLst>
        </xdr:cNvPr>
        <xdr:cNvSpPr>
          <a:spLocks noChangeAspect="1" noChangeArrowheads="1"/>
        </xdr:cNvSpPr>
      </xdr:nvSpPr>
      <xdr:spPr bwMode="auto">
        <a:xfrm>
          <a:off x="4675517" y="690113"/>
          <a:ext cx="304800" cy="33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19536"/>
    <xdr:sp macro="" textlink="">
      <xdr:nvSpPr>
        <xdr:cNvPr id="250" name="AutoShape 3" descr="Harlequins">
          <a:extLst>
            <a:ext uri="{FF2B5EF4-FFF2-40B4-BE49-F238E27FC236}">
              <a16:creationId xmlns:a16="http://schemas.microsoft.com/office/drawing/2014/main" id="{1E31B1D7-B3FC-4192-AB68-B845543C89B4}"/>
            </a:ext>
          </a:extLst>
        </xdr:cNvPr>
        <xdr:cNvSpPr>
          <a:spLocks noChangeAspect="1" noChangeArrowheads="1"/>
        </xdr:cNvSpPr>
      </xdr:nvSpPr>
      <xdr:spPr bwMode="auto">
        <a:xfrm>
          <a:off x="4641011" y="759125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19539"/>
    <xdr:sp macro="" textlink="">
      <xdr:nvSpPr>
        <xdr:cNvPr id="251" name="AutoShape 4" descr="Sale Sharks">
          <a:extLst>
            <a:ext uri="{FF2B5EF4-FFF2-40B4-BE49-F238E27FC236}">
              <a16:creationId xmlns:a16="http://schemas.microsoft.com/office/drawing/2014/main" id="{63855C18-DE2E-4B61-8F68-8FA404AE7A29}"/>
            </a:ext>
          </a:extLst>
        </xdr:cNvPr>
        <xdr:cNvSpPr>
          <a:spLocks noChangeAspect="1" noChangeArrowheads="1"/>
        </xdr:cNvSpPr>
      </xdr:nvSpPr>
      <xdr:spPr bwMode="auto">
        <a:xfrm>
          <a:off x="4641011" y="948906"/>
          <a:ext cx="304800" cy="31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8626</xdr:rowOff>
    </xdr:from>
    <xdr:to>
      <xdr:col>2</xdr:col>
      <xdr:colOff>163291</xdr:colOff>
      <xdr:row>25</xdr:row>
      <xdr:rowOff>180543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C1E1F-3626-450A-9E5F-0A41951CE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209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8627</xdr:colOff>
      <xdr:row>0</xdr:row>
      <xdr:rowOff>43133</xdr:rowOff>
    </xdr:from>
    <xdr:to>
      <xdr:col>20</xdr:col>
      <xdr:colOff>206423</xdr:colOff>
      <xdr:row>7</xdr:row>
      <xdr:rowOff>128786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EE4CA6-F9A1-4AA9-BA80-064FE25D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355" y="43133"/>
          <a:ext cx="14400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268319</xdr:colOff>
      <xdr:row>92</xdr:row>
      <xdr:rowOff>76738</xdr:rowOff>
    </xdr:from>
    <xdr:ext cx="303002" cy="304800"/>
    <xdr:sp macro="" textlink="">
      <xdr:nvSpPr>
        <xdr:cNvPr id="309" name="AutoShape 10" descr="Wasps">
          <a:extLst>
            <a:ext uri="{FF2B5EF4-FFF2-40B4-BE49-F238E27FC236}">
              <a16:creationId xmlns:a16="http://schemas.microsoft.com/office/drawing/2014/main" id="{6BACF33C-7A11-4F9A-9A0F-B1D5866C7270}"/>
            </a:ext>
          </a:extLst>
        </xdr:cNvPr>
        <xdr:cNvSpPr>
          <a:spLocks noChangeAspect="1" noChangeArrowheads="1"/>
        </xdr:cNvSpPr>
      </xdr:nvSpPr>
      <xdr:spPr bwMode="auto">
        <a:xfrm rot="15385171">
          <a:off x="4028537" y="14337101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25</xdr:row>
      <xdr:rowOff>19050</xdr:rowOff>
    </xdr:from>
    <xdr:ext cx="298150" cy="302284"/>
    <xdr:sp macro="" textlink="">
      <xdr:nvSpPr>
        <xdr:cNvPr id="2" name="AutoShape 9" descr="Bath Rugby">
          <a:extLst>
            <a:ext uri="{FF2B5EF4-FFF2-40B4-BE49-F238E27FC236}">
              <a16:creationId xmlns:a16="http://schemas.microsoft.com/office/drawing/2014/main" id="{BFDBF63E-2A3B-44EE-96F1-89D2305B492A}"/>
            </a:ext>
          </a:extLst>
        </xdr:cNvPr>
        <xdr:cNvSpPr>
          <a:spLocks noChangeAspect="1" noChangeArrowheads="1"/>
        </xdr:cNvSpPr>
      </xdr:nvSpPr>
      <xdr:spPr bwMode="auto">
        <a:xfrm>
          <a:off x="11263223" y="476357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304800</xdr:colOff>
      <xdr:row>3</xdr:row>
      <xdr:rowOff>121130</xdr:rowOff>
    </xdr:to>
    <xdr:sp macro="" textlink="">
      <xdr:nvSpPr>
        <xdr:cNvPr id="3" name="AutoShape 1" descr="Bristol Bears">
          <a:extLst>
            <a:ext uri="{FF2B5EF4-FFF2-40B4-BE49-F238E27FC236}">
              <a16:creationId xmlns:a16="http://schemas.microsoft.com/office/drawing/2014/main" id="{9BB0740C-48F0-4663-B9BB-CB2E4277F74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34505</xdr:colOff>
      <xdr:row>8</xdr:row>
      <xdr:rowOff>17252</xdr:rowOff>
    </xdr:from>
    <xdr:to>
      <xdr:col>17</xdr:col>
      <xdr:colOff>339305</xdr:colOff>
      <xdr:row>9</xdr:row>
      <xdr:rowOff>138381</xdr:rowOff>
    </xdr:to>
    <xdr:sp macro="" textlink="">
      <xdr:nvSpPr>
        <xdr:cNvPr id="4" name="AutoShape 2" descr="Exeter Chiefs">
          <a:extLst>
            <a:ext uri="{FF2B5EF4-FFF2-40B4-BE49-F238E27FC236}">
              <a16:creationId xmlns:a16="http://schemas.microsoft.com/office/drawing/2014/main" id="{BCCFC058-4535-44A3-9FB6-4BBD765BA70C}"/>
            </a:ext>
          </a:extLst>
        </xdr:cNvPr>
        <xdr:cNvSpPr>
          <a:spLocks noChangeAspect="1" noChangeArrowheads="1"/>
        </xdr:cNvSpPr>
      </xdr:nvSpPr>
      <xdr:spPr bwMode="auto">
        <a:xfrm>
          <a:off x="6996022" y="1535501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6</xdr:row>
      <xdr:rowOff>112503</xdr:rowOff>
    </xdr:to>
    <xdr:sp macro="" textlink="">
      <xdr:nvSpPr>
        <xdr:cNvPr id="5" name="AutoShape 3" descr="Harlequins">
          <a:extLst>
            <a:ext uri="{FF2B5EF4-FFF2-40B4-BE49-F238E27FC236}">
              <a16:creationId xmlns:a16="http://schemas.microsoft.com/office/drawing/2014/main" id="{DCF16B4B-CDB6-4295-AB09-82246AC25A4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5</xdr:row>
      <xdr:rowOff>0</xdr:rowOff>
    </xdr:from>
    <xdr:to>
      <xdr:col>17</xdr:col>
      <xdr:colOff>304800</xdr:colOff>
      <xdr:row>6</xdr:row>
      <xdr:rowOff>121130</xdr:rowOff>
    </xdr:to>
    <xdr:sp macro="" textlink="">
      <xdr:nvSpPr>
        <xdr:cNvPr id="6" name="AutoShape 4" descr="Sale Sharks">
          <a:extLst>
            <a:ext uri="{FF2B5EF4-FFF2-40B4-BE49-F238E27FC236}">
              <a16:creationId xmlns:a16="http://schemas.microsoft.com/office/drawing/2014/main" id="{E7EC01FC-6619-489B-971F-E48F0584A06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304800</xdr:colOff>
      <xdr:row>14</xdr:row>
      <xdr:rowOff>112503</xdr:rowOff>
    </xdr:to>
    <xdr:sp macro="" textlink="">
      <xdr:nvSpPr>
        <xdr:cNvPr id="7" name="AutoShape 5" descr="Northampton Saints">
          <a:extLst>
            <a:ext uri="{FF2B5EF4-FFF2-40B4-BE49-F238E27FC236}">
              <a16:creationId xmlns:a16="http://schemas.microsoft.com/office/drawing/2014/main" id="{98E12932-A3FB-4FFF-B400-D4B7FCA8032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304800</xdr:colOff>
      <xdr:row>15</xdr:row>
      <xdr:rowOff>112502</xdr:rowOff>
    </xdr:to>
    <xdr:sp macro="" textlink="">
      <xdr:nvSpPr>
        <xdr:cNvPr id="8" name="AutoShape 6" descr="London Irish">
          <a:extLst>
            <a:ext uri="{FF2B5EF4-FFF2-40B4-BE49-F238E27FC236}">
              <a16:creationId xmlns:a16="http://schemas.microsoft.com/office/drawing/2014/main" id="{E7766E4C-7F82-4642-B387-7F564FAACAE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304800</xdr:colOff>
      <xdr:row>16</xdr:row>
      <xdr:rowOff>112504</xdr:rowOff>
    </xdr:to>
    <xdr:sp macro="" textlink="">
      <xdr:nvSpPr>
        <xdr:cNvPr id="9" name="AutoShape 7" descr="Leicester Tigers">
          <a:extLst>
            <a:ext uri="{FF2B5EF4-FFF2-40B4-BE49-F238E27FC236}">
              <a16:creationId xmlns:a16="http://schemas.microsoft.com/office/drawing/2014/main" id="{FDC4D2E3-DAE3-43A7-9324-FFC6A8023BD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304800</xdr:colOff>
      <xdr:row>17</xdr:row>
      <xdr:rowOff>112503</xdr:rowOff>
    </xdr:to>
    <xdr:sp macro="" textlink="">
      <xdr:nvSpPr>
        <xdr:cNvPr id="10" name="AutoShape 8" descr="Newcastle Falcons">
          <a:extLst>
            <a:ext uri="{FF2B5EF4-FFF2-40B4-BE49-F238E27FC236}">
              <a16:creationId xmlns:a16="http://schemas.microsoft.com/office/drawing/2014/main" id="{F9E92B8D-D4E4-4509-AA14-4376964C2DD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609600</xdr:colOff>
      <xdr:row>18</xdr:row>
      <xdr:rowOff>19050</xdr:rowOff>
    </xdr:from>
    <xdr:to>
      <xdr:col>17</xdr:col>
      <xdr:colOff>295275</xdr:colOff>
      <xdr:row>19</xdr:row>
      <xdr:rowOff>140178</xdr:rowOff>
    </xdr:to>
    <xdr:sp macro="" textlink="">
      <xdr:nvSpPr>
        <xdr:cNvPr id="11" name="AutoShape 9" descr="Bath Rugby">
          <a:extLst>
            <a:ext uri="{FF2B5EF4-FFF2-40B4-BE49-F238E27FC236}">
              <a16:creationId xmlns:a16="http://schemas.microsoft.com/office/drawing/2014/main" id="{B47EA36B-AB67-4ACD-9C72-59456121202C}"/>
            </a:ext>
          </a:extLst>
        </xdr:cNvPr>
        <xdr:cNvSpPr>
          <a:spLocks noChangeAspect="1" noChangeArrowheads="1"/>
        </xdr:cNvSpPr>
      </xdr:nvSpPr>
      <xdr:spPr bwMode="auto">
        <a:xfrm>
          <a:off x="6596332" y="191686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304800</xdr:colOff>
      <xdr:row>19</xdr:row>
      <xdr:rowOff>112502</xdr:rowOff>
    </xdr:to>
    <xdr:sp macro="" textlink="">
      <xdr:nvSpPr>
        <xdr:cNvPr id="12" name="AutoShape 10" descr="Wasps">
          <a:extLst>
            <a:ext uri="{FF2B5EF4-FFF2-40B4-BE49-F238E27FC236}">
              <a16:creationId xmlns:a16="http://schemas.microsoft.com/office/drawing/2014/main" id="{FB6FB8A9-9881-4DC0-8AD1-0F355B291D6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304800</xdr:colOff>
      <xdr:row>36</xdr:row>
      <xdr:rowOff>121129</xdr:rowOff>
    </xdr:to>
    <xdr:sp macro="" textlink="">
      <xdr:nvSpPr>
        <xdr:cNvPr id="13" name="AutoShape 11" descr="Gloucester Rugby">
          <a:extLst>
            <a:ext uri="{FF2B5EF4-FFF2-40B4-BE49-F238E27FC236}">
              <a16:creationId xmlns:a16="http://schemas.microsoft.com/office/drawing/2014/main" id="{3A5BF314-0B73-42B1-8C3F-E8E4F745E34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336430</xdr:colOff>
      <xdr:row>17</xdr:row>
      <xdr:rowOff>163903</xdr:rowOff>
    </xdr:from>
    <xdr:ext cx="304800" cy="302284"/>
    <xdr:sp macro="" textlink="">
      <xdr:nvSpPr>
        <xdr:cNvPr id="14" name="AutoShape 10" descr="Wasps">
          <a:extLst>
            <a:ext uri="{FF2B5EF4-FFF2-40B4-BE49-F238E27FC236}">
              <a16:creationId xmlns:a16="http://schemas.microsoft.com/office/drawing/2014/main" id="{44005504-CEEE-4FC9-A28B-C2C85AC15E33}"/>
            </a:ext>
          </a:extLst>
        </xdr:cNvPr>
        <xdr:cNvSpPr>
          <a:spLocks noChangeAspect="1" noChangeArrowheads="1"/>
        </xdr:cNvSpPr>
      </xdr:nvSpPr>
      <xdr:spPr bwMode="auto">
        <a:xfrm>
          <a:off x="6935638" y="22514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5" name="AutoShape 10" descr="Wasps">
          <a:extLst>
            <a:ext uri="{FF2B5EF4-FFF2-40B4-BE49-F238E27FC236}">
              <a16:creationId xmlns:a16="http://schemas.microsoft.com/office/drawing/2014/main" id="{4857D8D6-BF22-4F5B-A9C2-72C992EF7BD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6" name="AutoShape 10" descr="Wasps">
          <a:extLst>
            <a:ext uri="{FF2B5EF4-FFF2-40B4-BE49-F238E27FC236}">
              <a16:creationId xmlns:a16="http://schemas.microsoft.com/office/drawing/2014/main" id="{BFDDF88E-1E71-4133-BD3C-2EF4C67CF74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7" name="AutoShape 10" descr="Wasps">
          <a:extLst>
            <a:ext uri="{FF2B5EF4-FFF2-40B4-BE49-F238E27FC236}">
              <a16:creationId xmlns:a16="http://schemas.microsoft.com/office/drawing/2014/main" id="{E5EE8577-6910-4A57-A888-EB47C5AC174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8" name="AutoShape 10" descr="Wasps">
          <a:extLst>
            <a:ext uri="{FF2B5EF4-FFF2-40B4-BE49-F238E27FC236}">
              <a16:creationId xmlns:a16="http://schemas.microsoft.com/office/drawing/2014/main" id="{8221994D-65E6-46C2-A1CF-B4781EFBA63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9" name="AutoShape 10" descr="Wasps">
          <a:extLst>
            <a:ext uri="{FF2B5EF4-FFF2-40B4-BE49-F238E27FC236}">
              <a16:creationId xmlns:a16="http://schemas.microsoft.com/office/drawing/2014/main" id="{C45817C6-C81C-4C49-9790-B5477F26FB7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8627</xdr:colOff>
      <xdr:row>21</xdr:row>
      <xdr:rowOff>94891</xdr:rowOff>
    </xdr:from>
    <xdr:ext cx="304800" cy="302284"/>
    <xdr:sp macro="" textlink="">
      <xdr:nvSpPr>
        <xdr:cNvPr id="20" name="AutoShape 10" descr="Wasps">
          <a:extLst>
            <a:ext uri="{FF2B5EF4-FFF2-40B4-BE49-F238E27FC236}">
              <a16:creationId xmlns:a16="http://schemas.microsoft.com/office/drawing/2014/main" id="{7CE79CB1-7424-476B-B395-43AA7C9A9E85}"/>
            </a:ext>
          </a:extLst>
        </xdr:cNvPr>
        <xdr:cNvSpPr>
          <a:spLocks noChangeAspect="1" noChangeArrowheads="1"/>
        </xdr:cNvSpPr>
      </xdr:nvSpPr>
      <xdr:spPr bwMode="auto">
        <a:xfrm>
          <a:off x="6607835" y="29416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21" name="AutoShape 10" descr="Wasps">
          <a:extLst>
            <a:ext uri="{FF2B5EF4-FFF2-40B4-BE49-F238E27FC236}">
              <a16:creationId xmlns:a16="http://schemas.microsoft.com/office/drawing/2014/main" id="{504B40A1-E248-486E-AF97-CCD81C9EDF5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22" name="AutoShape 10" descr="Wasps">
          <a:extLst>
            <a:ext uri="{FF2B5EF4-FFF2-40B4-BE49-F238E27FC236}">
              <a16:creationId xmlns:a16="http://schemas.microsoft.com/office/drawing/2014/main" id="{4542411A-BF5F-4248-9CFA-E27D6F467C0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23" name="AutoShape 10" descr="Wasps">
          <a:extLst>
            <a:ext uri="{FF2B5EF4-FFF2-40B4-BE49-F238E27FC236}">
              <a16:creationId xmlns:a16="http://schemas.microsoft.com/office/drawing/2014/main" id="{14095615-FCA7-4D6A-AB89-FC1C3913727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24" name="AutoShape 10" descr="Wasps">
          <a:extLst>
            <a:ext uri="{FF2B5EF4-FFF2-40B4-BE49-F238E27FC236}">
              <a16:creationId xmlns:a16="http://schemas.microsoft.com/office/drawing/2014/main" id="{0B2522BC-A400-4D3A-BF27-E473A78FA31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25" name="AutoShape 10" descr="Wasps">
          <a:extLst>
            <a:ext uri="{FF2B5EF4-FFF2-40B4-BE49-F238E27FC236}">
              <a16:creationId xmlns:a16="http://schemas.microsoft.com/office/drawing/2014/main" id="{A1F450BA-938B-4508-9668-734EF27775E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26" name="AutoShape 10" descr="Wasps">
          <a:extLst>
            <a:ext uri="{FF2B5EF4-FFF2-40B4-BE49-F238E27FC236}">
              <a16:creationId xmlns:a16="http://schemas.microsoft.com/office/drawing/2014/main" id="{D72D2D59-F81E-4DC2-9FA4-6A9C111D103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27" name="AutoShape 10" descr="Wasps">
          <a:extLst>
            <a:ext uri="{FF2B5EF4-FFF2-40B4-BE49-F238E27FC236}">
              <a16:creationId xmlns:a16="http://schemas.microsoft.com/office/drawing/2014/main" id="{72824E3E-2DDF-45CF-A031-F89786111CC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28" name="AutoShape 10" descr="Wasps">
          <a:extLst>
            <a:ext uri="{FF2B5EF4-FFF2-40B4-BE49-F238E27FC236}">
              <a16:creationId xmlns:a16="http://schemas.microsoft.com/office/drawing/2014/main" id="{F059AEEB-9E8B-453F-81FA-750D61F8A69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9" name="AutoShape 10" descr="Wasps">
          <a:extLst>
            <a:ext uri="{FF2B5EF4-FFF2-40B4-BE49-F238E27FC236}">
              <a16:creationId xmlns:a16="http://schemas.microsoft.com/office/drawing/2014/main" id="{0231CAD0-FE7D-4784-A1E0-45244B69F6C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30" name="AutoShape 10" descr="Wasps">
          <a:extLst>
            <a:ext uri="{FF2B5EF4-FFF2-40B4-BE49-F238E27FC236}">
              <a16:creationId xmlns:a16="http://schemas.microsoft.com/office/drawing/2014/main" id="{E2D138B5-CDF8-4EB9-9845-18B43098C5B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31" name="AutoShape 10" descr="Wasps">
          <a:extLst>
            <a:ext uri="{FF2B5EF4-FFF2-40B4-BE49-F238E27FC236}">
              <a16:creationId xmlns:a16="http://schemas.microsoft.com/office/drawing/2014/main" id="{CD8A9EF9-7ED4-4793-AB14-5B3459C004C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32" name="AutoShape 10" descr="Wasps">
          <a:extLst>
            <a:ext uri="{FF2B5EF4-FFF2-40B4-BE49-F238E27FC236}">
              <a16:creationId xmlns:a16="http://schemas.microsoft.com/office/drawing/2014/main" id="{C39AA525-BEE4-4B1D-B16F-2EE9D401D9E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33" name="AutoShape 10" descr="Wasps">
          <a:extLst>
            <a:ext uri="{FF2B5EF4-FFF2-40B4-BE49-F238E27FC236}">
              <a16:creationId xmlns:a16="http://schemas.microsoft.com/office/drawing/2014/main" id="{4FF7F59C-6D42-4DDF-B362-95FC5A55AD6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</xdr:row>
      <xdr:rowOff>0</xdr:rowOff>
    </xdr:from>
    <xdr:ext cx="304800" cy="303003"/>
    <xdr:sp macro="" textlink="">
      <xdr:nvSpPr>
        <xdr:cNvPr id="34" name="AutoShape 1" descr="Bristol Bears">
          <a:extLst>
            <a:ext uri="{FF2B5EF4-FFF2-40B4-BE49-F238E27FC236}">
              <a16:creationId xmlns:a16="http://schemas.microsoft.com/office/drawing/2014/main" id="{FDCF51AC-5EE5-464C-8BB4-0B8B76E77C3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</xdr:row>
      <xdr:rowOff>0</xdr:rowOff>
    </xdr:from>
    <xdr:ext cx="304800" cy="303002"/>
    <xdr:sp macro="" textlink="">
      <xdr:nvSpPr>
        <xdr:cNvPr id="35" name="AutoShape 2" descr="Exeter Chiefs">
          <a:extLst>
            <a:ext uri="{FF2B5EF4-FFF2-40B4-BE49-F238E27FC236}">
              <a16:creationId xmlns:a16="http://schemas.microsoft.com/office/drawing/2014/main" id="{C3D01FD3-2334-4D34-81AC-EA90802B7ABB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3003"/>
    <xdr:sp macro="" textlink="">
      <xdr:nvSpPr>
        <xdr:cNvPr id="36" name="AutoShape 3" descr="Harlequins">
          <a:extLst>
            <a:ext uri="{FF2B5EF4-FFF2-40B4-BE49-F238E27FC236}">
              <a16:creationId xmlns:a16="http://schemas.microsoft.com/office/drawing/2014/main" id="{CC61ADC6-D580-4ADD-9031-0FC6F3AE23C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3003"/>
    <xdr:sp macro="" textlink="">
      <xdr:nvSpPr>
        <xdr:cNvPr id="37" name="AutoShape 4" descr="Sale Sharks">
          <a:extLst>
            <a:ext uri="{FF2B5EF4-FFF2-40B4-BE49-F238E27FC236}">
              <a16:creationId xmlns:a16="http://schemas.microsoft.com/office/drawing/2014/main" id="{D1B39B6B-3380-4696-B8AB-E524F4B69CA4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3003"/>
    <xdr:sp macro="" textlink="">
      <xdr:nvSpPr>
        <xdr:cNvPr id="38" name="AutoShape 5" descr="Northampton Saints">
          <a:extLst>
            <a:ext uri="{FF2B5EF4-FFF2-40B4-BE49-F238E27FC236}">
              <a16:creationId xmlns:a16="http://schemas.microsoft.com/office/drawing/2014/main" id="{AA9ECE9A-E4F4-4430-A6A1-D4DCEEC83A1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3003"/>
    <xdr:sp macro="" textlink="">
      <xdr:nvSpPr>
        <xdr:cNvPr id="39" name="AutoShape 6" descr="London Irish">
          <a:extLst>
            <a:ext uri="{FF2B5EF4-FFF2-40B4-BE49-F238E27FC236}">
              <a16:creationId xmlns:a16="http://schemas.microsoft.com/office/drawing/2014/main" id="{ADA94237-5B82-4BAD-A0BF-D185B46C134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3003"/>
    <xdr:sp macro="" textlink="">
      <xdr:nvSpPr>
        <xdr:cNvPr id="40" name="AutoShape 7" descr="Leicester Tigers">
          <a:extLst>
            <a:ext uri="{FF2B5EF4-FFF2-40B4-BE49-F238E27FC236}">
              <a16:creationId xmlns:a16="http://schemas.microsoft.com/office/drawing/2014/main" id="{E83F81B3-4C20-47F9-9AA4-DFC655214B1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3003"/>
    <xdr:sp macro="" textlink="">
      <xdr:nvSpPr>
        <xdr:cNvPr id="41" name="AutoShape 8" descr="Newcastle Falcons">
          <a:extLst>
            <a:ext uri="{FF2B5EF4-FFF2-40B4-BE49-F238E27FC236}">
              <a16:creationId xmlns:a16="http://schemas.microsoft.com/office/drawing/2014/main" id="{A14FEAEA-169B-4759-9A43-E6E3AC5F1CF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89781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19050</xdr:rowOff>
    </xdr:from>
    <xdr:ext cx="295275" cy="303003"/>
    <xdr:sp macro="" textlink="">
      <xdr:nvSpPr>
        <xdr:cNvPr id="42" name="AutoShape 9" descr="Bath Rugby">
          <a:extLst>
            <a:ext uri="{FF2B5EF4-FFF2-40B4-BE49-F238E27FC236}">
              <a16:creationId xmlns:a16="http://schemas.microsoft.com/office/drawing/2014/main" id="{E6ADFAB1-C835-4692-B3FA-CF240644ADB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916861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18</xdr:row>
      <xdr:rowOff>0</xdr:rowOff>
    </xdr:from>
    <xdr:ext cx="304800" cy="303002"/>
    <xdr:sp macro="" textlink="">
      <xdr:nvSpPr>
        <xdr:cNvPr id="43" name="AutoShape 10" descr="Wasps">
          <a:extLst>
            <a:ext uri="{FF2B5EF4-FFF2-40B4-BE49-F238E27FC236}">
              <a16:creationId xmlns:a16="http://schemas.microsoft.com/office/drawing/2014/main" id="{1AE31D7E-EA7A-4929-B2B0-94BC25D7A10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27737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336430</xdr:colOff>
      <xdr:row>18</xdr:row>
      <xdr:rowOff>163903</xdr:rowOff>
    </xdr:from>
    <xdr:ext cx="304800" cy="302284"/>
    <xdr:sp macro="" textlink="">
      <xdr:nvSpPr>
        <xdr:cNvPr id="44" name="AutoShape 10" descr="Wasps">
          <a:extLst>
            <a:ext uri="{FF2B5EF4-FFF2-40B4-BE49-F238E27FC236}">
              <a16:creationId xmlns:a16="http://schemas.microsoft.com/office/drawing/2014/main" id="{135BD010-93C6-4358-8453-93782375D4E9}"/>
            </a:ext>
          </a:extLst>
        </xdr:cNvPr>
        <xdr:cNvSpPr>
          <a:spLocks noChangeAspect="1" noChangeArrowheads="1"/>
        </xdr:cNvSpPr>
      </xdr:nvSpPr>
      <xdr:spPr bwMode="auto">
        <a:xfrm>
          <a:off x="11602528" y="24412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20</xdr:row>
      <xdr:rowOff>0</xdr:rowOff>
    </xdr:from>
    <xdr:ext cx="304800" cy="302284"/>
    <xdr:sp macro="" textlink="">
      <xdr:nvSpPr>
        <xdr:cNvPr id="45" name="AutoShape 10" descr="Wasps">
          <a:extLst>
            <a:ext uri="{FF2B5EF4-FFF2-40B4-BE49-F238E27FC236}">
              <a16:creationId xmlns:a16="http://schemas.microsoft.com/office/drawing/2014/main" id="{B67B552A-4DCB-43E2-9D1A-977CD62A1B9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21</xdr:row>
      <xdr:rowOff>0</xdr:rowOff>
    </xdr:from>
    <xdr:ext cx="304800" cy="302284"/>
    <xdr:sp macro="" textlink="">
      <xdr:nvSpPr>
        <xdr:cNvPr id="46" name="AutoShape 10" descr="Wasps">
          <a:extLst>
            <a:ext uri="{FF2B5EF4-FFF2-40B4-BE49-F238E27FC236}">
              <a16:creationId xmlns:a16="http://schemas.microsoft.com/office/drawing/2014/main" id="{7928BAE2-60B4-4B96-8393-FE5F314CFD0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21</xdr:row>
      <xdr:rowOff>0</xdr:rowOff>
    </xdr:from>
    <xdr:ext cx="304800" cy="302284"/>
    <xdr:sp macro="" textlink="">
      <xdr:nvSpPr>
        <xdr:cNvPr id="47" name="AutoShape 10" descr="Wasps">
          <a:extLst>
            <a:ext uri="{FF2B5EF4-FFF2-40B4-BE49-F238E27FC236}">
              <a16:creationId xmlns:a16="http://schemas.microsoft.com/office/drawing/2014/main" id="{83D5B353-7253-41CD-9879-253242982C43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48" name="AutoShape 10" descr="Wasps">
          <a:extLst>
            <a:ext uri="{FF2B5EF4-FFF2-40B4-BE49-F238E27FC236}">
              <a16:creationId xmlns:a16="http://schemas.microsoft.com/office/drawing/2014/main" id="{A016056B-7CF9-4D55-873E-CF2E74B47EB3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49" name="AutoShape 10" descr="Wasps">
          <a:extLst>
            <a:ext uri="{FF2B5EF4-FFF2-40B4-BE49-F238E27FC236}">
              <a16:creationId xmlns:a16="http://schemas.microsoft.com/office/drawing/2014/main" id="{FED969EF-08FD-4F3C-B1EF-5FF5D534A89F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50" name="AutoShape 10" descr="Wasps">
          <a:extLst>
            <a:ext uri="{FF2B5EF4-FFF2-40B4-BE49-F238E27FC236}">
              <a16:creationId xmlns:a16="http://schemas.microsoft.com/office/drawing/2014/main" id="{E62FCA17-DD9E-4E92-9CA1-297AE53B381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51" name="AutoShape 10" descr="Wasps">
          <a:extLst>
            <a:ext uri="{FF2B5EF4-FFF2-40B4-BE49-F238E27FC236}">
              <a16:creationId xmlns:a16="http://schemas.microsoft.com/office/drawing/2014/main" id="{8AA7D9F0-FDB6-452C-A49F-BB55ADECDDD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2284"/>
    <xdr:sp macro="" textlink="">
      <xdr:nvSpPr>
        <xdr:cNvPr id="52" name="AutoShape 10" descr="Wasps">
          <a:extLst>
            <a:ext uri="{FF2B5EF4-FFF2-40B4-BE49-F238E27FC236}">
              <a16:creationId xmlns:a16="http://schemas.microsoft.com/office/drawing/2014/main" id="{49CF60E2-9404-4593-A30A-9F82DBBBAEF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2284"/>
    <xdr:sp macro="" textlink="">
      <xdr:nvSpPr>
        <xdr:cNvPr id="53" name="AutoShape 10" descr="Wasps">
          <a:extLst>
            <a:ext uri="{FF2B5EF4-FFF2-40B4-BE49-F238E27FC236}">
              <a16:creationId xmlns:a16="http://schemas.microsoft.com/office/drawing/2014/main" id="{AD7E4FFA-B2EE-4E29-BB59-BF5260B3885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2284"/>
    <xdr:sp macro="" textlink="">
      <xdr:nvSpPr>
        <xdr:cNvPr id="54" name="AutoShape 10" descr="Wasps">
          <a:extLst>
            <a:ext uri="{FF2B5EF4-FFF2-40B4-BE49-F238E27FC236}">
              <a16:creationId xmlns:a16="http://schemas.microsoft.com/office/drawing/2014/main" id="{F189FCE2-0B68-443A-AC5F-93FCD88CAB2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2284"/>
    <xdr:sp macro="" textlink="">
      <xdr:nvSpPr>
        <xdr:cNvPr id="55" name="AutoShape 10" descr="Wasps">
          <a:extLst>
            <a:ext uri="{FF2B5EF4-FFF2-40B4-BE49-F238E27FC236}">
              <a16:creationId xmlns:a16="http://schemas.microsoft.com/office/drawing/2014/main" id="{5E75D486-614B-41E1-88DB-DD1844E257C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2284"/>
    <xdr:sp macro="" textlink="">
      <xdr:nvSpPr>
        <xdr:cNvPr id="56" name="AutoShape 10" descr="Wasps">
          <a:extLst>
            <a:ext uri="{FF2B5EF4-FFF2-40B4-BE49-F238E27FC236}">
              <a16:creationId xmlns:a16="http://schemas.microsoft.com/office/drawing/2014/main" id="{CB5B22F6-69A5-4823-AF0D-2A6F810C6BC4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2284"/>
    <xdr:sp macro="" textlink="">
      <xdr:nvSpPr>
        <xdr:cNvPr id="57" name="AutoShape 10" descr="Wasps">
          <a:extLst>
            <a:ext uri="{FF2B5EF4-FFF2-40B4-BE49-F238E27FC236}">
              <a16:creationId xmlns:a16="http://schemas.microsoft.com/office/drawing/2014/main" id="{0F40CD84-A44A-4185-B78C-4A07A7AC95D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302284"/>
    <xdr:sp macro="" textlink="">
      <xdr:nvSpPr>
        <xdr:cNvPr id="58" name="AutoShape 10" descr="Wasps">
          <a:extLst>
            <a:ext uri="{FF2B5EF4-FFF2-40B4-BE49-F238E27FC236}">
              <a16:creationId xmlns:a16="http://schemas.microsoft.com/office/drawing/2014/main" id="{4029DFDE-E9E6-4ADC-847E-F476FBAC998A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302284"/>
    <xdr:sp macro="" textlink="">
      <xdr:nvSpPr>
        <xdr:cNvPr id="59" name="AutoShape 10" descr="Wasps">
          <a:extLst>
            <a:ext uri="{FF2B5EF4-FFF2-40B4-BE49-F238E27FC236}">
              <a16:creationId xmlns:a16="http://schemas.microsoft.com/office/drawing/2014/main" id="{1627CE04-1DDF-442B-BBA9-6134CF6CBEE4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302284"/>
    <xdr:sp macro="" textlink="">
      <xdr:nvSpPr>
        <xdr:cNvPr id="60" name="AutoShape 10" descr="Wasps">
          <a:extLst>
            <a:ext uri="{FF2B5EF4-FFF2-40B4-BE49-F238E27FC236}">
              <a16:creationId xmlns:a16="http://schemas.microsoft.com/office/drawing/2014/main" id="{B875D23C-D2E2-47EA-A30E-BCA2DA9B0D2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302284"/>
    <xdr:sp macro="" textlink="">
      <xdr:nvSpPr>
        <xdr:cNvPr id="61" name="AutoShape 10" descr="Wasps">
          <a:extLst>
            <a:ext uri="{FF2B5EF4-FFF2-40B4-BE49-F238E27FC236}">
              <a16:creationId xmlns:a16="http://schemas.microsoft.com/office/drawing/2014/main" id="{1746FE98-20E5-43F8-A623-54AF44C8CA8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302284"/>
    <xdr:sp macro="" textlink="">
      <xdr:nvSpPr>
        <xdr:cNvPr id="62" name="AutoShape 10" descr="Wasps">
          <a:extLst>
            <a:ext uri="{FF2B5EF4-FFF2-40B4-BE49-F238E27FC236}">
              <a16:creationId xmlns:a16="http://schemas.microsoft.com/office/drawing/2014/main" id="{24CFA6C5-5AA9-4BB5-B73D-1DA6671337F8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302284"/>
    <xdr:sp macro="" textlink="">
      <xdr:nvSpPr>
        <xdr:cNvPr id="63" name="AutoShape 10" descr="Wasps">
          <a:extLst>
            <a:ext uri="{FF2B5EF4-FFF2-40B4-BE49-F238E27FC236}">
              <a16:creationId xmlns:a16="http://schemas.microsoft.com/office/drawing/2014/main" id="{5659D250-5095-408B-B1AD-33FA8A8206DB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304800" cy="302284"/>
    <xdr:sp macro="" textlink="">
      <xdr:nvSpPr>
        <xdr:cNvPr id="64" name="AutoShape 10" descr="Wasps">
          <a:extLst>
            <a:ext uri="{FF2B5EF4-FFF2-40B4-BE49-F238E27FC236}">
              <a16:creationId xmlns:a16="http://schemas.microsoft.com/office/drawing/2014/main" id="{5537F08A-60AF-4876-AD22-347E23BD6EB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3002"/>
    <xdr:sp macro="" textlink="">
      <xdr:nvSpPr>
        <xdr:cNvPr id="65" name="AutoShape 2" descr="Exeter Chiefs">
          <a:extLst>
            <a:ext uri="{FF2B5EF4-FFF2-40B4-BE49-F238E27FC236}">
              <a16:creationId xmlns:a16="http://schemas.microsoft.com/office/drawing/2014/main" id="{2FDE5FF0-7D9D-45B5-BB06-7356735AAA2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3003"/>
    <xdr:sp macro="" textlink="">
      <xdr:nvSpPr>
        <xdr:cNvPr id="66" name="AutoShape 3" descr="Harlequins">
          <a:extLst>
            <a:ext uri="{FF2B5EF4-FFF2-40B4-BE49-F238E27FC236}">
              <a16:creationId xmlns:a16="http://schemas.microsoft.com/office/drawing/2014/main" id="{3D2AB523-FFAF-4B87-9940-74EA4FEC67F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88321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3003"/>
    <xdr:sp macro="" textlink="">
      <xdr:nvSpPr>
        <xdr:cNvPr id="67" name="AutoShape 4" descr="Sale Sharks">
          <a:extLst>
            <a:ext uri="{FF2B5EF4-FFF2-40B4-BE49-F238E27FC236}">
              <a16:creationId xmlns:a16="http://schemas.microsoft.com/office/drawing/2014/main" id="{E2EB0C57-C6CF-4330-8296-6387D868FBEF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07299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3003"/>
    <xdr:sp macro="" textlink="">
      <xdr:nvSpPr>
        <xdr:cNvPr id="68" name="AutoShape 5" descr="Northampton Saints">
          <a:extLst>
            <a:ext uri="{FF2B5EF4-FFF2-40B4-BE49-F238E27FC236}">
              <a16:creationId xmlns:a16="http://schemas.microsoft.com/office/drawing/2014/main" id="{CB11FF99-68B3-4206-A9F4-598AF18AE29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26277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3003"/>
    <xdr:sp macro="" textlink="">
      <xdr:nvSpPr>
        <xdr:cNvPr id="69" name="AutoShape 6" descr="London Irish">
          <a:extLst>
            <a:ext uri="{FF2B5EF4-FFF2-40B4-BE49-F238E27FC236}">
              <a16:creationId xmlns:a16="http://schemas.microsoft.com/office/drawing/2014/main" id="{0CED14E1-F0B2-4E07-A2C5-0BFEEC12099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45255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3003"/>
    <xdr:sp macro="" textlink="">
      <xdr:nvSpPr>
        <xdr:cNvPr id="70" name="AutoShape 7" descr="Leicester Tigers">
          <a:extLst>
            <a:ext uri="{FF2B5EF4-FFF2-40B4-BE49-F238E27FC236}">
              <a16:creationId xmlns:a16="http://schemas.microsoft.com/office/drawing/2014/main" id="{33EACD39-87E2-41E9-953A-6FF2885CBD3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642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0</xdr:rowOff>
    </xdr:from>
    <xdr:ext cx="304800" cy="303003"/>
    <xdr:sp macro="" textlink="">
      <xdr:nvSpPr>
        <xdr:cNvPr id="71" name="AutoShape 8" descr="Newcastle Falcons">
          <a:extLst>
            <a:ext uri="{FF2B5EF4-FFF2-40B4-BE49-F238E27FC236}">
              <a16:creationId xmlns:a16="http://schemas.microsoft.com/office/drawing/2014/main" id="{DC9D782E-5623-4F76-B1BA-AF935A862B5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8321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2284"/>
    <xdr:sp macro="" textlink="">
      <xdr:nvSpPr>
        <xdr:cNvPr id="72" name="AutoShape 11" descr="Gloucester Rugby">
          <a:extLst>
            <a:ext uri="{FF2B5EF4-FFF2-40B4-BE49-F238E27FC236}">
              <a16:creationId xmlns:a16="http://schemas.microsoft.com/office/drawing/2014/main" id="{2DF82811-DF83-45AD-87F1-AC82ECF49B4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172530</xdr:colOff>
      <xdr:row>37</xdr:row>
      <xdr:rowOff>172528</xdr:rowOff>
    </xdr:from>
    <xdr:ext cx="304800" cy="302284"/>
    <xdr:sp macro="" textlink="">
      <xdr:nvSpPr>
        <xdr:cNvPr id="73" name="AutoShape 10" descr="Wasps">
          <a:extLst>
            <a:ext uri="{FF2B5EF4-FFF2-40B4-BE49-F238E27FC236}">
              <a16:creationId xmlns:a16="http://schemas.microsoft.com/office/drawing/2014/main" id="{D037F7F8-2B30-41A5-8FA9-0DAA96109AF1}"/>
            </a:ext>
          </a:extLst>
        </xdr:cNvPr>
        <xdr:cNvSpPr>
          <a:spLocks noChangeAspect="1" noChangeArrowheads="1"/>
        </xdr:cNvSpPr>
      </xdr:nvSpPr>
      <xdr:spPr bwMode="auto">
        <a:xfrm>
          <a:off x="8264107" y="491705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304800" cy="302284"/>
    <xdr:sp macro="" textlink="">
      <xdr:nvSpPr>
        <xdr:cNvPr id="74" name="AutoShape 10" descr="Wasps">
          <a:extLst>
            <a:ext uri="{FF2B5EF4-FFF2-40B4-BE49-F238E27FC236}">
              <a16:creationId xmlns:a16="http://schemas.microsoft.com/office/drawing/2014/main" id="{FB30BCF7-050B-4346-886F-811D52A7719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304800" cy="302284"/>
    <xdr:sp macro="" textlink="">
      <xdr:nvSpPr>
        <xdr:cNvPr id="75" name="AutoShape 10" descr="Wasps">
          <a:extLst>
            <a:ext uri="{FF2B5EF4-FFF2-40B4-BE49-F238E27FC236}">
              <a16:creationId xmlns:a16="http://schemas.microsoft.com/office/drawing/2014/main" id="{12179B76-E6CC-423A-8DA4-33238606F25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76" name="AutoShape 10" descr="Wasps">
          <a:extLst>
            <a:ext uri="{FF2B5EF4-FFF2-40B4-BE49-F238E27FC236}">
              <a16:creationId xmlns:a16="http://schemas.microsoft.com/office/drawing/2014/main" id="{2D67FC4F-9B22-419C-81F4-58AAFA0C5AD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77" name="AutoShape 10" descr="Wasps">
          <a:extLst>
            <a:ext uri="{FF2B5EF4-FFF2-40B4-BE49-F238E27FC236}">
              <a16:creationId xmlns:a16="http://schemas.microsoft.com/office/drawing/2014/main" id="{E8F63D27-AF6B-4ABA-8226-F6E5D8C5F06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78" name="AutoShape 10" descr="Wasps">
          <a:extLst>
            <a:ext uri="{FF2B5EF4-FFF2-40B4-BE49-F238E27FC236}">
              <a16:creationId xmlns:a16="http://schemas.microsoft.com/office/drawing/2014/main" id="{507871AC-08F9-4F89-A3CB-E4DD0045EEA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79" name="AutoShape 10" descr="Wasps">
          <a:extLst>
            <a:ext uri="{FF2B5EF4-FFF2-40B4-BE49-F238E27FC236}">
              <a16:creationId xmlns:a16="http://schemas.microsoft.com/office/drawing/2014/main" id="{459F5DD6-5B8C-4747-9A1F-19B4448570B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0</xdr:rowOff>
    </xdr:from>
    <xdr:ext cx="304800" cy="302284"/>
    <xdr:sp macro="" textlink="">
      <xdr:nvSpPr>
        <xdr:cNvPr id="80" name="AutoShape 10" descr="Wasps">
          <a:extLst>
            <a:ext uri="{FF2B5EF4-FFF2-40B4-BE49-F238E27FC236}">
              <a16:creationId xmlns:a16="http://schemas.microsoft.com/office/drawing/2014/main" id="{FD88B560-F918-49D2-A568-F6E9AE8290C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0</xdr:rowOff>
    </xdr:from>
    <xdr:ext cx="304800" cy="302284"/>
    <xdr:sp macro="" textlink="">
      <xdr:nvSpPr>
        <xdr:cNvPr id="81" name="AutoShape 10" descr="Wasps">
          <a:extLst>
            <a:ext uri="{FF2B5EF4-FFF2-40B4-BE49-F238E27FC236}">
              <a16:creationId xmlns:a16="http://schemas.microsoft.com/office/drawing/2014/main" id="{B8628D34-2B73-4303-9D95-B8760DAC749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82" name="AutoShape 10" descr="Wasps">
          <a:extLst>
            <a:ext uri="{FF2B5EF4-FFF2-40B4-BE49-F238E27FC236}">
              <a16:creationId xmlns:a16="http://schemas.microsoft.com/office/drawing/2014/main" id="{15AE3226-A7C0-4DAC-93C4-340FBD214C8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83" name="AutoShape 10" descr="Wasps">
          <a:extLst>
            <a:ext uri="{FF2B5EF4-FFF2-40B4-BE49-F238E27FC236}">
              <a16:creationId xmlns:a16="http://schemas.microsoft.com/office/drawing/2014/main" id="{521007D0-80CA-486C-A012-3BE4285690E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84" name="AutoShape 10" descr="Wasps">
          <a:extLst>
            <a:ext uri="{FF2B5EF4-FFF2-40B4-BE49-F238E27FC236}">
              <a16:creationId xmlns:a16="http://schemas.microsoft.com/office/drawing/2014/main" id="{3D8BE3D3-1AE3-44CF-AAA3-1FA5800DFB3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85" name="AutoShape 10" descr="Wasps">
          <a:extLst>
            <a:ext uri="{FF2B5EF4-FFF2-40B4-BE49-F238E27FC236}">
              <a16:creationId xmlns:a16="http://schemas.microsoft.com/office/drawing/2014/main" id="{C6DED202-3964-4940-A4FE-6C310228605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86" name="AutoShape 10" descr="Wasps">
          <a:extLst>
            <a:ext uri="{FF2B5EF4-FFF2-40B4-BE49-F238E27FC236}">
              <a16:creationId xmlns:a16="http://schemas.microsoft.com/office/drawing/2014/main" id="{94D359A6-DCE1-4FAB-BD6D-50E33DEBC06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87" name="AutoShape 10" descr="Wasps">
          <a:extLst>
            <a:ext uri="{FF2B5EF4-FFF2-40B4-BE49-F238E27FC236}">
              <a16:creationId xmlns:a16="http://schemas.microsoft.com/office/drawing/2014/main" id="{DFCA575B-24FE-46B1-8CB1-B8EF601B9A9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88" name="AutoShape 10" descr="Wasps">
          <a:extLst>
            <a:ext uri="{FF2B5EF4-FFF2-40B4-BE49-F238E27FC236}">
              <a16:creationId xmlns:a16="http://schemas.microsoft.com/office/drawing/2014/main" id="{3FDD61A5-B919-4625-97DF-EB2F20B5737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89" name="AutoShape 10" descr="Wasps">
          <a:extLst>
            <a:ext uri="{FF2B5EF4-FFF2-40B4-BE49-F238E27FC236}">
              <a16:creationId xmlns:a16="http://schemas.microsoft.com/office/drawing/2014/main" id="{338D4800-F78A-4417-890F-641DB2669F8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90" name="AutoShape 10" descr="Wasps">
          <a:extLst>
            <a:ext uri="{FF2B5EF4-FFF2-40B4-BE49-F238E27FC236}">
              <a16:creationId xmlns:a16="http://schemas.microsoft.com/office/drawing/2014/main" id="{4D8BA69E-BB12-4FF8-9335-CA23446B34C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91" name="AutoShape 10" descr="Wasps">
          <a:extLst>
            <a:ext uri="{FF2B5EF4-FFF2-40B4-BE49-F238E27FC236}">
              <a16:creationId xmlns:a16="http://schemas.microsoft.com/office/drawing/2014/main" id="{647238ED-8E42-4F55-A197-A38CE10335C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53</xdr:row>
      <xdr:rowOff>0</xdr:rowOff>
    </xdr:from>
    <xdr:ext cx="304800" cy="302284"/>
    <xdr:sp macro="" textlink="">
      <xdr:nvSpPr>
        <xdr:cNvPr id="92" name="AutoShape 10" descr="Wasps">
          <a:extLst>
            <a:ext uri="{FF2B5EF4-FFF2-40B4-BE49-F238E27FC236}">
              <a16:creationId xmlns:a16="http://schemas.microsoft.com/office/drawing/2014/main" id="{B04A0F57-A37B-4804-9349-16065F48A35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3" name="AutoShape 11" descr="Gloucester Rugby">
          <a:extLst>
            <a:ext uri="{FF2B5EF4-FFF2-40B4-BE49-F238E27FC236}">
              <a16:creationId xmlns:a16="http://schemas.microsoft.com/office/drawing/2014/main" id="{ECE0F417-168F-41EF-8E20-14DDAB3DD64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4890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4" name="AutoShape 10" descr="Wasps">
          <a:extLst>
            <a:ext uri="{FF2B5EF4-FFF2-40B4-BE49-F238E27FC236}">
              <a16:creationId xmlns:a16="http://schemas.microsoft.com/office/drawing/2014/main" id="{173EE5D1-EA5B-4F59-B957-68EC1A3084F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5" name="AutoShape 10" descr="Wasps">
          <a:extLst>
            <a:ext uri="{FF2B5EF4-FFF2-40B4-BE49-F238E27FC236}">
              <a16:creationId xmlns:a16="http://schemas.microsoft.com/office/drawing/2014/main" id="{C17B737F-1C7B-477D-8E38-1790DC020D7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6" name="AutoShape 10" descr="Wasps">
          <a:extLst>
            <a:ext uri="{FF2B5EF4-FFF2-40B4-BE49-F238E27FC236}">
              <a16:creationId xmlns:a16="http://schemas.microsoft.com/office/drawing/2014/main" id="{43354379-EC46-4E33-92CB-89E5D548596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7" name="AutoShape 10" descr="Wasps">
          <a:extLst>
            <a:ext uri="{FF2B5EF4-FFF2-40B4-BE49-F238E27FC236}">
              <a16:creationId xmlns:a16="http://schemas.microsoft.com/office/drawing/2014/main" id="{6C2B82DD-4858-4458-9B19-DDFA87A21FC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8" name="AutoShape 10" descr="Wasps">
          <a:extLst>
            <a:ext uri="{FF2B5EF4-FFF2-40B4-BE49-F238E27FC236}">
              <a16:creationId xmlns:a16="http://schemas.microsoft.com/office/drawing/2014/main" id="{357906E0-EBFE-4EBE-A04E-857348E1778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9" name="AutoShape 10" descr="Wasps">
          <a:extLst>
            <a:ext uri="{FF2B5EF4-FFF2-40B4-BE49-F238E27FC236}">
              <a16:creationId xmlns:a16="http://schemas.microsoft.com/office/drawing/2014/main" id="{734D24AD-48A5-45BE-A74E-C81C170800F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0" name="AutoShape 10" descr="Wasps">
          <a:extLst>
            <a:ext uri="{FF2B5EF4-FFF2-40B4-BE49-F238E27FC236}">
              <a16:creationId xmlns:a16="http://schemas.microsoft.com/office/drawing/2014/main" id="{76FFDCBC-C413-4D80-B94C-4BA0079D6A8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1" name="AutoShape 10" descr="Wasps">
          <a:extLst>
            <a:ext uri="{FF2B5EF4-FFF2-40B4-BE49-F238E27FC236}">
              <a16:creationId xmlns:a16="http://schemas.microsoft.com/office/drawing/2014/main" id="{50FE63CE-D8CA-4299-BE83-D79D7471FB9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2" name="AutoShape 10" descr="Wasps">
          <a:extLst>
            <a:ext uri="{FF2B5EF4-FFF2-40B4-BE49-F238E27FC236}">
              <a16:creationId xmlns:a16="http://schemas.microsoft.com/office/drawing/2014/main" id="{9AC9D46D-E4F8-4ACB-8FBB-11A0F525D74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3" name="AutoShape 10" descr="Wasps">
          <a:extLst>
            <a:ext uri="{FF2B5EF4-FFF2-40B4-BE49-F238E27FC236}">
              <a16:creationId xmlns:a16="http://schemas.microsoft.com/office/drawing/2014/main" id="{D9EA6FAD-F026-4071-ABA3-840CB214798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4" name="AutoShape 10" descr="Wasps">
          <a:extLst>
            <a:ext uri="{FF2B5EF4-FFF2-40B4-BE49-F238E27FC236}">
              <a16:creationId xmlns:a16="http://schemas.microsoft.com/office/drawing/2014/main" id="{90134C45-3051-4AFB-BEE3-86514E17461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5" name="AutoShape 10" descr="Wasps">
          <a:extLst>
            <a:ext uri="{FF2B5EF4-FFF2-40B4-BE49-F238E27FC236}">
              <a16:creationId xmlns:a16="http://schemas.microsoft.com/office/drawing/2014/main" id="{DEFC933B-D94C-4F36-A710-A7CAD0B02D9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6" name="AutoShape 10" descr="Wasps">
          <a:extLst>
            <a:ext uri="{FF2B5EF4-FFF2-40B4-BE49-F238E27FC236}">
              <a16:creationId xmlns:a16="http://schemas.microsoft.com/office/drawing/2014/main" id="{8648B3BF-3918-4712-A4B1-6D9DBA64ED8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7" name="AutoShape 10" descr="Wasps">
          <a:extLst>
            <a:ext uri="{FF2B5EF4-FFF2-40B4-BE49-F238E27FC236}">
              <a16:creationId xmlns:a16="http://schemas.microsoft.com/office/drawing/2014/main" id="{693B2D0D-7194-4996-BA7D-0EC34D6C439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8" name="AutoShape 10" descr="Wasps">
          <a:extLst>
            <a:ext uri="{FF2B5EF4-FFF2-40B4-BE49-F238E27FC236}">
              <a16:creationId xmlns:a16="http://schemas.microsoft.com/office/drawing/2014/main" id="{99B7B51F-4EEF-4F01-96F5-6BF1754A00F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9" name="AutoShape 10" descr="Wasps">
          <a:extLst>
            <a:ext uri="{FF2B5EF4-FFF2-40B4-BE49-F238E27FC236}">
              <a16:creationId xmlns:a16="http://schemas.microsoft.com/office/drawing/2014/main" id="{7CB212B7-69D7-45D9-B44D-1126B878F0C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10" name="AutoShape 10" descr="Wasps">
          <a:extLst>
            <a:ext uri="{FF2B5EF4-FFF2-40B4-BE49-F238E27FC236}">
              <a16:creationId xmlns:a16="http://schemas.microsoft.com/office/drawing/2014/main" id="{82733A63-7F34-4AE7-A702-CFFDC1AD60B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11" name="AutoShape 10" descr="Wasps">
          <a:extLst>
            <a:ext uri="{FF2B5EF4-FFF2-40B4-BE49-F238E27FC236}">
              <a16:creationId xmlns:a16="http://schemas.microsoft.com/office/drawing/2014/main" id="{692B901D-9200-4A44-AAE3-B16846AD4E4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12" name="AutoShape 10" descr="Wasps">
          <a:extLst>
            <a:ext uri="{FF2B5EF4-FFF2-40B4-BE49-F238E27FC236}">
              <a16:creationId xmlns:a16="http://schemas.microsoft.com/office/drawing/2014/main" id="{F884E503-C88A-4B3D-81BC-762889ADEBB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2992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13" name="AutoShape 1" descr="Bristol Bears">
          <a:extLst>
            <a:ext uri="{FF2B5EF4-FFF2-40B4-BE49-F238E27FC236}">
              <a16:creationId xmlns:a16="http://schemas.microsoft.com/office/drawing/2014/main" id="{A3F69B22-6CA7-4EDC-87FB-0DE8B765D32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112143</xdr:rowOff>
    </xdr:from>
    <xdr:ext cx="304800" cy="302284"/>
    <xdr:sp macro="" textlink="">
      <xdr:nvSpPr>
        <xdr:cNvPr id="114" name="AutoShape 2" descr="Exeter Chiefs">
          <a:extLst>
            <a:ext uri="{FF2B5EF4-FFF2-40B4-BE49-F238E27FC236}">
              <a16:creationId xmlns:a16="http://schemas.microsoft.com/office/drawing/2014/main" id="{B6063627-506A-4D4F-91B2-AE9C7479BC2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2873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115" name="AutoShape 3" descr="Harlequins">
          <a:extLst>
            <a:ext uri="{FF2B5EF4-FFF2-40B4-BE49-F238E27FC236}">
              <a16:creationId xmlns:a16="http://schemas.microsoft.com/office/drawing/2014/main" id="{7E2DFBDA-B9FD-476A-B9A9-1255E3B3B90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116" name="AutoShape 4" descr="Sale Sharks">
          <a:extLst>
            <a:ext uri="{FF2B5EF4-FFF2-40B4-BE49-F238E27FC236}">
              <a16:creationId xmlns:a16="http://schemas.microsoft.com/office/drawing/2014/main" id="{223237ED-9B14-4FEC-A04A-0177CF807F3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17" name="AutoShape 5" descr="Northampton Saints">
          <a:extLst>
            <a:ext uri="{FF2B5EF4-FFF2-40B4-BE49-F238E27FC236}">
              <a16:creationId xmlns:a16="http://schemas.microsoft.com/office/drawing/2014/main" id="{C4CB4840-C608-4802-96DD-525E7450FFD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18" name="AutoShape 6" descr="London Irish">
          <a:extLst>
            <a:ext uri="{FF2B5EF4-FFF2-40B4-BE49-F238E27FC236}">
              <a16:creationId xmlns:a16="http://schemas.microsoft.com/office/drawing/2014/main" id="{023FA790-9290-4D41-859D-8DA8A3D1B13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19" name="AutoShape 7" descr="Leicester Tigers">
          <a:extLst>
            <a:ext uri="{FF2B5EF4-FFF2-40B4-BE49-F238E27FC236}">
              <a16:creationId xmlns:a16="http://schemas.microsoft.com/office/drawing/2014/main" id="{2C0C6B73-42DF-4FC0-A644-B8E26C72249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20" name="AutoShape 8" descr="Newcastle Falcons">
          <a:extLst>
            <a:ext uri="{FF2B5EF4-FFF2-40B4-BE49-F238E27FC236}">
              <a16:creationId xmlns:a16="http://schemas.microsoft.com/office/drawing/2014/main" id="{EE3E1CB5-F4A8-4B3F-A1C1-A08EB000D04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26</xdr:row>
      <xdr:rowOff>0</xdr:rowOff>
    </xdr:from>
    <xdr:ext cx="298150" cy="302284"/>
    <xdr:sp macro="" textlink="">
      <xdr:nvSpPr>
        <xdr:cNvPr id="121" name="AutoShape 9" descr="Bath Rugby">
          <a:extLst>
            <a:ext uri="{FF2B5EF4-FFF2-40B4-BE49-F238E27FC236}">
              <a16:creationId xmlns:a16="http://schemas.microsoft.com/office/drawing/2014/main" id="{C0A30072-4B0A-42FC-BB21-5017974C562C}"/>
            </a:ext>
          </a:extLst>
        </xdr:cNvPr>
        <xdr:cNvSpPr>
          <a:spLocks noChangeAspect="1" noChangeArrowheads="1"/>
        </xdr:cNvSpPr>
      </xdr:nvSpPr>
      <xdr:spPr bwMode="auto">
        <a:xfrm>
          <a:off x="6596332" y="438401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122" name="AutoShape 1" descr="Bristol Bears">
          <a:extLst>
            <a:ext uri="{FF2B5EF4-FFF2-40B4-BE49-F238E27FC236}">
              <a16:creationId xmlns:a16="http://schemas.microsoft.com/office/drawing/2014/main" id="{3BE3F105-5A45-4D60-9F21-27B8F28F927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0</xdr:rowOff>
    </xdr:from>
    <xdr:ext cx="304800" cy="302284"/>
    <xdr:sp macro="" textlink="">
      <xdr:nvSpPr>
        <xdr:cNvPr id="123" name="AutoShape 2" descr="Exeter Chiefs">
          <a:extLst>
            <a:ext uri="{FF2B5EF4-FFF2-40B4-BE49-F238E27FC236}">
              <a16:creationId xmlns:a16="http://schemas.microsoft.com/office/drawing/2014/main" id="{5238E35D-4A5D-4F89-93F5-5349798D65F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124" name="AutoShape 3" descr="Harlequins">
          <a:extLst>
            <a:ext uri="{FF2B5EF4-FFF2-40B4-BE49-F238E27FC236}">
              <a16:creationId xmlns:a16="http://schemas.microsoft.com/office/drawing/2014/main" id="{6C912FF9-126F-4AB6-9AB4-1E7173A8176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125" name="AutoShape 4" descr="Sale Sharks">
          <a:extLst>
            <a:ext uri="{FF2B5EF4-FFF2-40B4-BE49-F238E27FC236}">
              <a16:creationId xmlns:a16="http://schemas.microsoft.com/office/drawing/2014/main" id="{370A4987-7BFF-40FA-BE1B-B07EC270718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126" name="AutoShape 5" descr="Northampton Saints">
          <a:extLst>
            <a:ext uri="{FF2B5EF4-FFF2-40B4-BE49-F238E27FC236}">
              <a16:creationId xmlns:a16="http://schemas.microsoft.com/office/drawing/2014/main" id="{E7A40324-73A1-43FC-8595-F58E8BF22F9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127" name="AutoShape 6" descr="London Irish">
          <a:extLst>
            <a:ext uri="{FF2B5EF4-FFF2-40B4-BE49-F238E27FC236}">
              <a16:creationId xmlns:a16="http://schemas.microsoft.com/office/drawing/2014/main" id="{5447A752-4479-430B-9E94-67CEBF262E9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128" name="AutoShape 7" descr="Leicester Tigers">
          <a:extLst>
            <a:ext uri="{FF2B5EF4-FFF2-40B4-BE49-F238E27FC236}">
              <a16:creationId xmlns:a16="http://schemas.microsoft.com/office/drawing/2014/main" id="{8A03FBC4-6B24-41BA-9FE7-47BCE07EEB9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53</xdr:row>
      <xdr:rowOff>0</xdr:rowOff>
    </xdr:from>
    <xdr:ext cx="304800" cy="302284"/>
    <xdr:sp macro="" textlink="">
      <xdr:nvSpPr>
        <xdr:cNvPr id="129" name="AutoShape 8" descr="Newcastle Falcons">
          <a:extLst>
            <a:ext uri="{FF2B5EF4-FFF2-40B4-BE49-F238E27FC236}">
              <a16:creationId xmlns:a16="http://schemas.microsoft.com/office/drawing/2014/main" id="{D3CE7FC5-F809-4C82-8451-C1A21247C81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0" name="AutoShape 1" descr="Bristol Bears">
          <a:extLst>
            <a:ext uri="{FF2B5EF4-FFF2-40B4-BE49-F238E27FC236}">
              <a16:creationId xmlns:a16="http://schemas.microsoft.com/office/drawing/2014/main" id="{0E407A7A-C07F-4414-99F5-B50BEE19B0C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1" name="AutoShape 2" descr="Exeter Chiefs">
          <a:extLst>
            <a:ext uri="{FF2B5EF4-FFF2-40B4-BE49-F238E27FC236}">
              <a16:creationId xmlns:a16="http://schemas.microsoft.com/office/drawing/2014/main" id="{6618890A-682D-4838-8DE6-FE7BA881F1B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2" name="AutoShape 3" descr="Harlequins">
          <a:extLst>
            <a:ext uri="{FF2B5EF4-FFF2-40B4-BE49-F238E27FC236}">
              <a16:creationId xmlns:a16="http://schemas.microsoft.com/office/drawing/2014/main" id="{9ACA7961-F86A-41A9-958A-724CB3BEFF0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3" name="AutoShape 4" descr="Sale Sharks">
          <a:extLst>
            <a:ext uri="{FF2B5EF4-FFF2-40B4-BE49-F238E27FC236}">
              <a16:creationId xmlns:a16="http://schemas.microsoft.com/office/drawing/2014/main" id="{438D4C1D-E526-4945-A195-9D14015411C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4" name="AutoShape 5" descr="Northampton Saints">
          <a:extLst>
            <a:ext uri="{FF2B5EF4-FFF2-40B4-BE49-F238E27FC236}">
              <a16:creationId xmlns:a16="http://schemas.microsoft.com/office/drawing/2014/main" id="{AFB38F6C-7D54-4D9C-96F2-1D4E9951CBC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5" name="AutoShape 6" descr="London Irish">
          <a:extLst>
            <a:ext uri="{FF2B5EF4-FFF2-40B4-BE49-F238E27FC236}">
              <a16:creationId xmlns:a16="http://schemas.microsoft.com/office/drawing/2014/main" id="{DE61CC5F-95FB-45B4-9C4D-DCFEA41CBC1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6" name="AutoShape 7" descr="Leicester Tigers">
          <a:extLst>
            <a:ext uri="{FF2B5EF4-FFF2-40B4-BE49-F238E27FC236}">
              <a16:creationId xmlns:a16="http://schemas.microsoft.com/office/drawing/2014/main" id="{BAEBC6F5-905E-43BE-9529-3553D8B3B15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7" name="AutoShape 8" descr="Newcastle Falcons">
          <a:extLst>
            <a:ext uri="{FF2B5EF4-FFF2-40B4-BE49-F238E27FC236}">
              <a16:creationId xmlns:a16="http://schemas.microsoft.com/office/drawing/2014/main" id="{0E08C0F5-90CD-4CEC-B6C0-9C9CE3B3EC8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2992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31630</xdr:colOff>
      <xdr:row>50</xdr:row>
      <xdr:rowOff>19050</xdr:rowOff>
    </xdr:from>
    <xdr:ext cx="298150" cy="302284"/>
    <xdr:sp macro="" textlink="">
      <xdr:nvSpPr>
        <xdr:cNvPr id="138" name="AutoShape 9" descr="Bath Rugby">
          <a:extLst>
            <a:ext uri="{FF2B5EF4-FFF2-40B4-BE49-F238E27FC236}">
              <a16:creationId xmlns:a16="http://schemas.microsoft.com/office/drawing/2014/main" id="{F19EBFE5-671E-4686-B9F1-48EC9326F8A6}"/>
            </a:ext>
          </a:extLst>
        </xdr:cNvPr>
        <xdr:cNvSpPr>
          <a:spLocks noChangeAspect="1" noChangeArrowheads="1"/>
        </xdr:cNvSpPr>
      </xdr:nvSpPr>
      <xdr:spPr bwMode="auto">
        <a:xfrm>
          <a:off x="7260566" y="8369420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9" name="AutoShape 10" descr="Wasps">
          <a:extLst>
            <a:ext uri="{FF2B5EF4-FFF2-40B4-BE49-F238E27FC236}">
              <a16:creationId xmlns:a16="http://schemas.microsoft.com/office/drawing/2014/main" id="{2B200D00-942A-49D6-871C-91BF56B3DE9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6788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</xdr:row>
      <xdr:rowOff>0</xdr:rowOff>
    </xdr:from>
    <xdr:ext cx="304800" cy="302284"/>
    <xdr:sp macro="" textlink="">
      <xdr:nvSpPr>
        <xdr:cNvPr id="140" name="AutoShape 1" descr="Bristol Bears">
          <a:extLst>
            <a:ext uri="{FF2B5EF4-FFF2-40B4-BE49-F238E27FC236}">
              <a16:creationId xmlns:a16="http://schemas.microsoft.com/office/drawing/2014/main" id="{E94BD7A2-C0BB-41C9-BB8F-CB69479E995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</xdr:row>
      <xdr:rowOff>0</xdr:rowOff>
    </xdr:from>
    <xdr:ext cx="304800" cy="302284"/>
    <xdr:sp macro="" textlink="">
      <xdr:nvSpPr>
        <xdr:cNvPr id="141" name="AutoShape 2" descr="Exeter Chiefs">
          <a:extLst>
            <a:ext uri="{FF2B5EF4-FFF2-40B4-BE49-F238E27FC236}">
              <a16:creationId xmlns:a16="http://schemas.microsoft.com/office/drawing/2014/main" id="{2C4A5F75-2195-49FC-97B2-8A2B6C62E4B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2284"/>
    <xdr:sp macro="" textlink="">
      <xdr:nvSpPr>
        <xdr:cNvPr id="142" name="AutoShape 3" descr="Harlequins">
          <a:extLst>
            <a:ext uri="{FF2B5EF4-FFF2-40B4-BE49-F238E27FC236}">
              <a16:creationId xmlns:a16="http://schemas.microsoft.com/office/drawing/2014/main" id="{56DCAB92-B44C-4943-8EAC-7F5B3E65D13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2284"/>
    <xdr:sp macro="" textlink="">
      <xdr:nvSpPr>
        <xdr:cNvPr id="143" name="AutoShape 4" descr="Sale Sharks">
          <a:extLst>
            <a:ext uri="{FF2B5EF4-FFF2-40B4-BE49-F238E27FC236}">
              <a16:creationId xmlns:a16="http://schemas.microsoft.com/office/drawing/2014/main" id="{2C6A96F1-6926-483C-B25C-083F17AF5DB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144" name="AutoShape 5" descr="Northampton Saints">
          <a:extLst>
            <a:ext uri="{FF2B5EF4-FFF2-40B4-BE49-F238E27FC236}">
              <a16:creationId xmlns:a16="http://schemas.microsoft.com/office/drawing/2014/main" id="{066A4FBD-C4DD-40FA-9754-6CB9D4DA1FA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2284"/>
    <xdr:sp macro="" textlink="">
      <xdr:nvSpPr>
        <xdr:cNvPr id="145" name="AutoShape 6" descr="London Irish">
          <a:extLst>
            <a:ext uri="{FF2B5EF4-FFF2-40B4-BE49-F238E27FC236}">
              <a16:creationId xmlns:a16="http://schemas.microsoft.com/office/drawing/2014/main" id="{2F025D8F-D57B-4CE4-86F6-0DD130B7A87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146" name="AutoShape 7" descr="Leicester Tigers">
          <a:extLst>
            <a:ext uri="{FF2B5EF4-FFF2-40B4-BE49-F238E27FC236}">
              <a16:creationId xmlns:a16="http://schemas.microsoft.com/office/drawing/2014/main" id="{A77615CF-40D5-44E7-91A7-E0F3B24158E3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147" name="AutoShape 8" descr="Newcastle Falcons">
          <a:extLst>
            <a:ext uri="{FF2B5EF4-FFF2-40B4-BE49-F238E27FC236}">
              <a16:creationId xmlns:a16="http://schemas.microsoft.com/office/drawing/2014/main" id="{5F37E146-7BF1-4D47-8EED-B44A9D82B3D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11</xdr:row>
      <xdr:rowOff>19050</xdr:rowOff>
    </xdr:from>
    <xdr:ext cx="298150" cy="302284"/>
    <xdr:sp macro="" textlink="">
      <xdr:nvSpPr>
        <xdr:cNvPr id="148" name="AutoShape 9" descr="Bath Rugby">
          <a:extLst>
            <a:ext uri="{FF2B5EF4-FFF2-40B4-BE49-F238E27FC236}">
              <a16:creationId xmlns:a16="http://schemas.microsoft.com/office/drawing/2014/main" id="{10C762D1-C8F0-4F32-AE1A-9093B3C2A25A}"/>
            </a:ext>
          </a:extLst>
        </xdr:cNvPr>
        <xdr:cNvSpPr>
          <a:spLocks noChangeAspect="1" noChangeArrowheads="1"/>
        </xdr:cNvSpPr>
      </xdr:nvSpPr>
      <xdr:spPr bwMode="auto">
        <a:xfrm>
          <a:off x="11263223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51759</xdr:colOff>
      <xdr:row>17</xdr:row>
      <xdr:rowOff>181156</xdr:rowOff>
    </xdr:from>
    <xdr:ext cx="304800" cy="302284"/>
    <xdr:sp macro="" textlink="">
      <xdr:nvSpPr>
        <xdr:cNvPr id="149" name="AutoShape 10" descr="Wasps">
          <a:extLst>
            <a:ext uri="{FF2B5EF4-FFF2-40B4-BE49-F238E27FC236}">
              <a16:creationId xmlns:a16="http://schemas.microsoft.com/office/drawing/2014/main" id="{776F75DE-A241-48DD-8DFD-5C9CE2CD50AA}"/>
            </a:ext>
          </a:extLst>
        </xdr:cNvPr>
        <xdr:cNvSpPr>
          <a:spLocks noChangeAspect="1" noChangeArrowheads="1"/>
        </xdr:cNvSpPr>
      </xdr:nvSpPr>
      <xdr:spPr bwMode="auto">
        <a:xfrm>
          <a:off x="11317857" y="226874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150" name="AutoShape 1" descr="Bristol Bears">
          <a:extLst>
            <a:ext uri="{FF2B5EF4-FFF2-40B4-BE49-F238E27FC236}">
              <a16:creationId xmlns:a16="http://schemas.microsoft.com/office/drawing/2014/main" id="{736014B6-2DD6-4F43-95C5-91AA1A79FEC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2284"/>
    <xdr:sp macro="" textlink="">
      <xdr:nvSpPr>
        <xdr:cNvPr id="151" name="AutoShape 2" descr="Exeter Chiefs">
          <a:extLst>
            <a:ext uri="{FF2B5EF4-FFF2-40B4-BE49-F238E27FC236}">
              <a16:creationId xmlns:a16="http://schemas.microsoft.com/office/drawing/2014/main" id="{488FE15C-8D6A-4C9B-A304-41DDBB340A2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2284"/>
    <xdr:sp macro="" textlink="">
      <xdr:nvSpPr>
        <xdr:cNvPr id="152" name="AutoShape 3" descr="Harlequins">
          <a:extLst>
            <a:ext uri="{FF2B5EF4-FFF2-40B4-BE49-F238E27FC236}">
              <a16:creationId xmlns:a16="http://schemas.microsoft.com/office/drawing/2014/main" id="{EAF5FC43-5EB4-41CC-891D-3D538C50A72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2284"/>
    <xdr:sp macro="" textlink="">
      <xdr:nvSpPr>
        <xdr:cNvPr id="153" name="AutoShape 4" descr="Sale Sharks">
          <a:extLst>
            <a:ext uri="{FF2B5EF4-FFF2-40B4-BE49-F238E27FC236}">
              <a16:creationId xmlns:a16="http://schemas.microsoft.com/office/drawing/2014/main" id="{B695B684-35D8-4DDD-9FD4-B2A6CB5EE5A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302284"/>
    <xdr:sp macro="" textlink="">
      <xdr:nvSpPr>
        <xdr:cNvPr id="154" name="AutoShape 5" descr="Northampton Saints">
          <a:extLst>
            <a:ext uri="{FF2B5EF4-FFF2-40B4-BE49-F238E27FC236}">
              <a16:creationId xmlns:a16="http://schemas.microsoft.com/office/drawing/2014/main" id="{DA6FFEF8-8A75-418E-8D6F-F0A9B1E00DCB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302284"/>
    <xdr:sp macro="" textlink="">
      <xdr:nvSpPr>
        <xdr:cNvPr id="155" name="AutoShape 6" descr="London Irish">
          <a:extLst>
            <a:ext uri="{FF2B5EF4-FFF2-40B4-BE49-F238E27FC236}">
              <a16:creationId xmlns:a16="http://schemas.microsoft.com/office/drawing/2014/main" id="{D89B4EEE-9B5E-4653-B21A-30A66E3F011F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302284"/>
    <xdr:sp macro="" textlink="">
      <xdr:nvSpPr>
        <xdr:cNvPr id="156" name="AutoShape 7" descr="Leicester Tigers">
          <a:extLst>
            <a:ext uri="{FF2B5EF4-FFF2-40B4-BE49-F238E27FC236}">
              <a16:creationId xmlns:a16="http://schemas.microsoft.com/office/drawing/2014/main" id="{9CE6684A-D098-441D-9ED3-8C27EF1AFB4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129396</xdr:colOff>
      <xdr:row>40</xdr:row>
      <xdr:rowOff>112143</xdr:rowOff>
    </xdr:from>
    <xdr:ext cx="304800" cy="302284"/>
    <xdr:sp macro="" textlink="">
      <xdr:nvSpPr>
        <xdr:cNvPr id="157" name="AutoShape 1" descr="Bristol Bears">
          <a:extLst>
            <a:ext uri="{FF2B5EF4-FFF2-40B4-BE49-F238E27FC236}">
              <a16:creationId xmlns:a16="http://schemas.microsoft.com/office/drawing/2014/main" id="{941E62E3-65B0-4AF6-B9FF-A38228E7AA27}"/>
            </a:ext>
          </a:extLst>
        </xdr:cNvPr>
        <xdr:cNvSpPr>
          <a:spLocks noChangeAspect="1" noChangeArrowheads="1"/>
        </xdr:cNvSpPr>
      </xdr:nvSpPr>
      <xdr:spPr bwMode="auto">
        <a:xfrm>
          <a:off x="11861321" y="54260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2284"/>
    <xdr:sp macro="" textlink="">
      <xdr:nvSpPr>
        <xdr:cNvPr id="158" name="AutoShape 2" descr="Exeter Chiefs">
          <a:extLst>
            <a:ext uri="{FF2B5EF4-FFF2-40B4-BE49-F238E27FC236}">
              <a16:creationId xmlns:a16="http://schemas.microsoft.com/office/drawing/2014/main" id="{C527C3BB-FB90-45F2-8A2E-D58D203C4DB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2284"/>
    <xdr:sp macro="" textlink="">
      <xdr:nvSpPr>
        <xdr:cNvPr id="159" name="AutoShape 3" descr="Harlequins">
          <a:extLst>
            <a:ext uri="{FF2B5EF4-FFF2-40B4-BE49-F238E27FC236}">
              <a16:creationId xmlns:a16="http://schemas.microsoft.com/office/drawing/2014/main" id="{E65DA8FB-E340-4523-BE82-77DD7834072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2284"/>
    <xdr:sp macro="" textlink="">
      <xdr:nvSpPr>
        <xdr:cNvPr id="160" name="AutoShape 4" descr="Sale Sharks">
          <a:extLst>
            <a:ext uri="{FF2B5EF4-FFF2-40B4-BE49-F238E27FC236}">
              <a16:creationId xmlns:a16="http://schemas.microsoft.com/office/drawing/2014/main" id="{1FD6B334-A3AE-4942-8C42-FD5B650AFCA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2284"/>
    <xdr:sp macro="" textlink="">
      <xdr:nvSpPr>
        <xdr:cNvPr id="161" name="AutoShape 5" descr="Northampton Saints">
          <a:extLst>
            <a:ext uri="{FF2B5EF4-FFF2-40B4-BE49-F238E27FC236}">
              <a16:creationId xmlns:a16="http://schemas.microsoft.com/office/drawing/2014/main" id="{E3E3D047-B47E-4712-BD76-8ADF86CACAF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2284"/>
    <xdr:sp macro="" textlink="">
      <xdr:nvSpPr>
        <xdr:cNvPr id="162" name="AutoShape 6" descr="London Irish">
          <a:extLst>
            <a:ext uri="{FF2B5EF4-FFF2-40B4-BE49-F238E27FC236}">
              <a16:creationId xmlns:a16="http://schemas.microsoft.com/office/drawing/2014/main" id="{956B372C-59AF-404F-8F64-07912CE4F898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2284"/>
    <xdr:sp macro="" textlink="">
      <xdr:nvSpPr>
        <xdr:cNvPr id="163" name="AutoShape 7" descr="Leicester Tigers">
          <a:extLst>
            <a:ext uri="{FF2B5EF4-FFF2-40B4-BE49-F238E27FC236}">
              <a16:creationId xmlns:a16="http://schemas.microsoft.com/office/drawing/2014/main" id="{1D3F9DFE-7426-4CED-BD95-C626526A322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21168</xdr:colOff>
      <xdr:row>54</xdr:row>
      <xdr:rowOff>0</xdr:rowOff>
    </xdr:from>
    <xdr:ext cx="304800" cy="302284"/>
    <xdr:sp macro="" textlink="">
      <xdr:nvSpPr>
        <xdr:cNvPr id="164" name="AutoShape 8" descr="Newcastle Falcons">
          <a:extLst>
            <a:ext uri="{FF2B5EF4-FFF2-40B4-BE49-F238E27FC236}">
              <a16:creationId xmlns:a16="http://schemas.microsoft.com/office/drawing/2014/main" id="{7D758AD3-8D34-4345-9B6E-B16F29D2CA8A}"/>
            </a:ext>
          </a:extLst>
        </xdr:cNvPr>
        <xdr:cNvSpPr>
          <a:spLocks noChangeAspect="1" noChangeArrowheads="1"/>
        </xdr:cNvSpPr>
      </xdr:nvSpPr>
      <xdr:spPr bwMode="auto">
        <a:xfrm>
          <a:off x="11287266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10911"/>
    <xdr:sp macro="" textlink="">
      <xdr:nvSpPr>
        <xdr:cNvPr id="165" name="AutoShape 1" descr="Bristol Bears">
          <a:extLst>
            <a:ext uri="{FF2B5EF4-FFF2-40B4-BE49-F238E27FC236}">
              <a16:creationId xmlns:a16="http://schemas.microsoft.com/office/drawing/2014/main" id="{65B8D859-E9BB-4F4A-AADF-4C9AAE81F62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79562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51758</xdr:colOff>
      <xdr:row>31</xdr:row>
      <xdr:rowOff>51758</xdr:rowOff>
    </xdr:from>
    <xdr:ext cx="304800" cy="310910"/>
    <xdr:sp macro="" textlink="">
      <xdr:nvSpPr>
        <xdr:cNvPr id="166" name="AutoShape 2" descr="Exeter Chiefs">
          <a:extLst>
            <a:ext uri="{FF2B5EF4-FFF2-40B4-BE49-F238E27FC236}">
              <a16:creationId xmlns:a16="http://schemas.microsoft.com/office/drawing/2014/main" id="{EDAC30CA-E5B2-4799-8F84-C582F499D0F2}"/>
            </a:ext>
          </a:extLst>
        </xdr:cNvPr>
        <xdr:cNvSpPr>
          <a:spLocks noChangeAspect="1" noChangeArrowheads="1"/>
        </xdr:cNvSpPr>
      </xdr:nvSpPr>
      <xdr:spPr bwMode="auto">
        <a:xfrm>
          <a:off x="7280694" y="5934973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492065"/>
    <xdr:sp macro="" textlink="">
      <xdr:nvSpPr>
        <xdr:cNvPr id="167" name="AutoShape 3" descr="Harlequins">
          <a:extLst>
            <a:ext uri="{FF2B5EF4-FFF2-40B4-BE49-F238E27FC236}">
              <a16:creationId xmlns:a16="http://schemas.microsoft.com/office/drawing/2014/main" id="{927E6A18-005E-47AA-A3BE-38CAF4D7A1D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75912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10911"/>
    <xdr:sp macro="" textlink="">
      <xdr:nvSpPr>
        <xdr:cNvPr id="168" name="AutoShape 4" descr="Sale Sharks">
          <a:extLst>
            <a:ext uri="{FF2B5EF4-FFF2-40B4-BE49-F238E27FC236}">
              <a16:creationId xmlns:a16="http://schemas.microsoft.com/office/drawing/2014/main" id="{CC466834-AC09-41A4-A792-FACD98D8DAB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492065"/>
    <xdr:sp macro="" textlink="">
      <xdr:nvSpPr>
        <xdr:cNvPr id="169" name="AutoShape 5" descr="Northampton Saints">
          <a:extLst>
            <a:ext uri="{FF2B5EF4-FFF2-40B4-BE49-F238E27FC236}">
              <a16:creationId xmlns:a16="http://schemas.microsoft.com/office/drawing/2014/main" id="{117BB52F-5976-41EA-AC9D-FC203B98159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277374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492064"/>
    <xdr:sp macro="" textlink="">
      <xdr:nvSpPr>
        <xdr:cNvPr id="170" name="AutoShape 6" descr="London Irish">
          <a:extLst>
            <a:ext uri="{FF2B5EF4-FFF2-40B4-BE49-F238E27FC236}">
              <a16:creationId xmlns:a16="http://schemas.microsoft.com/office/drawing/2014/main" id="{28295568-C2E4-488D-8762-E59B8FEE877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467155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492066"/>
    <xdr:sp macro="" textlink="">
      <xdr:nvSpPr>
        <xdr:cNvPr id="171" name="AutoShape 7" descr="Leicester Tigers">
          <a:extLst>
            <a:ext uri="{FF2B5EF4-FFF2-40B4-BE49-F238E27FC236}">
              <a16:creationId xmlns:a16="http://schemas.microsoft.com/office/drawing/2014/main" id="{F4E0243C-5B9A-4554-BC17-A0E0EB222B9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656936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492065"/>
    <xdr:sp macro="" textlink="">
      <xdr:nvSpPr>
        <xdr:cNvPr id="172" name="AutoShape 8" descr="Newcastle Falcons">
          <a:extLst>
            <a:ext uri="{FF2B5EF4-FFF2-40B4-BE49-F238E27FC236}">
              <a16:creationId xmlns:a16="http://schemas.microsoft.com/office/drawing/2014/main" id="{562B785C-7E0E-4731-AE4E-BA7FA418036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846717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36</xdr:row>
      <xdr:rowOff>19050</xdr:rowOff>
    </xdr:from>
    <xdr:ext cx="298150" cy="310910"/>
    <xdr:sp macro="" textlink="">
      <xdr:nvSpPr>
        <xdr:cNvPr id="173" name="AutoShape 9" descr="Bath Rugby">
          <a:extLst>
            <a:ext uri="{FF2B5EF4-FFF2-40B4-BE49-F238E27FC236}">
              <a16:creationId xmlns:a16="http://schemas.microsoft.com/office/drawing/2014/main" id="{A119EF42-454B-4A5B-9DF1-D50126308EF0}"/>
            </a:ext>
          </a:extLst>
        </xdr:cNvPr>
        <xdr:cNvSpPr>
          <a:spLocks noChangeAspect="1" noChangeArrowheads="1"/>
        </xdr:cNvSpPr>
      </xdr:nvSpPr>
      <xdr:spPr bwMode="auto">
        <a:xfrm>
          <a:off x="7226061" y="3055548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10910"/>
    <xdr:sp macro="" textlink="">
      <xdr:nvSpPr>
        <xdr:cNvPr id="174" name="AutoShape 11" descr="Gloucester Rugby">
          <a:extLst>
            <a:ext uri="{FF2B5EF4-FFF2-40B4-BE49-F238E27FC236}">
              <a16:creationId xmlns:a16="http://schemas.microsoft.com/office/drawing/2014/main" id="{73FEEA0F-8C66-4177-BB11-ECF2E827ECF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642340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304800" cy="302284"/>
    <xdr:sp macro="" textlink="">
      <xdr:nvSpPr>
        <xdr:cNvPr id="175" name="AutoShape 10" descr="Wasps">
          <a:extLst>
            <a:ext uri="{FF2B5EF4-FFF2-40B4-BE49-F238E27FC236}">
              <a16:creationId xmlns:a16="http://schemas.microsoft.com/office/drawing/2014/main" id="{3D944291-0D90-4E11-B6BD-3CEF80A7939D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304800" cy="302284"/>
    <xdr:sp macro="" textlink="">
      <xdr:nvSpPr>
        <xdr:cNvPr id="176" name="AutoShape 10" descr="Wasps">
          <a:extLst>
            <a:ext uri="{FF2B5EF4-FFF2-40B4-BE49-F238E27FC236}">
              <a16:creationId xmlns:a16="http://schemas.microsoft.com/office/drawing/2014/main" id="{3BB9E9C5-0930-4D51-B314-0D36AE4B110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177" name="AutoShape 10" descr="Wasps">
          <a:extLst>
            <a:ext uri="{FF2B5EF4-FFF2-40B4-BE49-F238E27FC236}">
              <a16:creationId xmlns:a16="http://schemas.microsoft.com/office/drawing/2014/main" id="{885F7C28-4262-4754-A17A-8D0F33AA50F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178" name="AutoShape 10" descr="Wasps">
          <a:extLst>
            <a:ext uri="{FF2B5EF4-FFF2-40B4-BE49-F238E27FC236}">
              <a16:creationId xmlns:a16="http://schemas.microsoft.com/office/drawing/2014/main" id="{427ECF04-4317-4CEE-B0C8-F44D293ABDB7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179" name="AutoShape 10" descr="Wasps">
          <a:extLst>
            <a:ext uri="{FF2B5EF4-FFF2-40B4-BE49-F238E27FC236}">
              <a16:creationId xmlns:a16="http://schemas.microsoft.com/office/drawing/2014/main" id="{124B643D-820A-4A16-88DB-DCABE2C2C441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94891</xdr:colOff>
      <xdr:row>46</xdr:row>
      <xdr:rowOff>43132</xdr:rowOff>
    </xdr:from>
    <xdr:ext cx="304800" cy="302284"/>
    <xdr:sp macro="" textlink="">
      <xdr:nvSpPr>
        <xdr:cNvPr id="180" name="AutoShape 10" descr="Wasps">
          <a:extLst>
            <a:ext uri="{FF2B5EF4-FFF2-40B4-BE49-F238E27FC236}">
              <a16:creationId xmlns:a16="http://schemas.microsoft.com/office/drawing/2014/main" id="{71A6B8B4-B94B-4645-A99B-802EBE7A79E1}"/>
            </a:ext>
          </a:extLst>
        </xdr:cNvPr>
        <xdr:cNvSpPr>
          <a:spLocks noChangeAspect="1" noChangeArrowheads="1"/>
        </xdr:cNvSpPr>
      </xdr:nvSpPr>
      <xdr:spPr bwMode="auto">
        <a:xfrm>
          <a:off x="7056408" y="87730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0</xdr:rowOff>
    </xdr:from>
    <xdr:ext cx="304800" cy="302284"/>
    <xdr:sp macro="" textlink="">
      <xdr:nvSpPr>
        <xdr:cNvPr id="181" name="AutoShape 10" descr="Wasps">
          <a:extLst>
            <a:ext uri="{FF2B5EF4-FFF2-40B4-BE49-F238E27FC236}">
              <a16:creationId xmlns:a16="http://schemas.microsoft.com/office/drawing/2014/main" id="{43EAFC21-0263-461F-808D-61383A34EF4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0</xdr:rowOff>
    </xdr:from>
    <xdr:ext cx="304800" cy="302284"/>
    <xdr:sp macro="" textlink="">
      <xdr:nvSpPr>
        <xdr:cNvPr id="182" name="AutoShape 10" descr="Wasps">
          <a:extLst>
            <a:ext uri="{FF2B5EF4-FFF2-40B4-BE49-F238E27FC236}">
              <a16:creationId xmlns:a16="http://schemas.microsoft.com/office/drawing/2014/main" id="{565E3615-6595-4892-966A-71273B4EDAC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183" name="AutoShape 10" descr="Wasps">
          <a:extLst>
            <a:ext uri="{FF2B5EF4-FFF2-40B4-BE49-F238E27FC236}">
              <a16:creationId xmlns:a16="http://schemas.microsoft.com/office/drawing/2014/main" id="{59EE46ED-65EE-4A83-80A3-03063DCBCBB8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184" name="AutoShape 10" descr="Wasps">
          <a:extLst>
            <a:ext uri="{FF2B5EF4-FFF2-40B4-BE49-F238E27FC236}">
              <a16:creationId xmlns:a16="http://schemas.microsoft.com/office/drawing/2014/main" id="{B1616A99-44A2-4F48-B933-1405757C4591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185" name="AutoShape 10" descr="Wasps">
          <a:extLst>
            <a:ext uri="{FF2B5EF4-FFF2-40B4-BE49-F238E27FC236}">
              <a16:creationId xmlns:a16="http://schemas.microsoft.com/office/drawing/2014/main" id="{757B89EC-3DB7-43A6-A1BE-701FC15A1EC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186" name="AutoShape 10" descr="Wasps">
          <a:extLst>
            <a:ext uri="{FF2B5EF4-FFF2-40B4-BE49-F238E27FC236}">
              <a16:creationId xmlns:a16="http://schemas.microsoft.com/office/drawing/2014/main" id="{55FB86F9-3C99-4744-8369-EE818DE163E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187" name="AutoShape 10" descr="Wasps">
          <a:extLst>
            <a:ext uri="{FF2B5EF4-FFF2-40B4-BE49-F238E27FC236}">
              <a16:creationId xmlns:a16="http://schemas.microsoft.com/office/drawing/2014/main" id="{049B164D-7C3B-4220-B567-3B0331FDB91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188" name="AutoShape 10" descr="Wasps">
          <a:extLst>
            <a:ext uri="{FF2B5EF4-FFF2-40B4-BE49-F238E27FC236}">
              <a16:creationId xmlns:a16="http://schemas.microsoft.com/office/drawing/2014/main" id="{3DE3CC72-5D4A-43FF-B77D-8B55028728F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189" name="AutoShape 10" descr="Wasps">
          <a:extLst>
            <a:ext uri="{FF2B5EF4-FFF2-40B4-BE49-F238E27FC236}">
              <a16:creationId xmlns:a16="http://schemas.microsoft.com/office/drawing/2014/main" id="{46CBAB50-27CA-4418-B5E5-5447063D9BA7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190" name="AutoShape 10" descr="Wasps">
          <a:extLst>
            <a:ext uri="{FF2B5EF4-FFF2-40B4-BE49-F238E27FC236}">
              <a16:creationId xmlns:a16="http://schemas.microsoft.com/office/drawing/2014/main" id="{0C513C94-103E-40D4-B283-75E092F75794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191" name="AutoShape 10" descr="Wasps">
          <a:extLst>
            <a:ext uri="{FF2B5EF4-FFF2-40B4-BE49-F238E27FC236}">
              <a16:creationId xmlns:a16="http://schemas.microsoft.com/office/drawing/2014/main" id="{8C816D89-6606-4CA3-B1B8-4886F904B62E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192" name="AutoShape 10" descr="Wasps">
          <a:extLst>
            <a:ext uri="{FF2B5EF4-FFF2-40B4-BE49-F238E27FC236}">
              <a16:creationId xmlns:a16="http://schemas.microsoft.com/office/drawing/2014/main" id="{BF279232-1BD6-4238-9324-6E9D29D885F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53</xdr:row>
      <xdr:rowOff>0</xdr:rowOff>
    </xdr:from>
    <xdr:ext cx="304800" cy="302284"/>
    <xdr:sp macro="" textlink="">
      <xdr:nvSpPr>
        <xdr:cNvPr id="193" name="AutoShape 10" descr="Wasps">
          <a:extLst>
            <a:ext uri="{FF2B5EF4-FFF2-40B4-BE49-F238E27FC236}">
              <a16:creationId xmlns:a16="http://schemas.microsoft.com/office/drawing/2014/main" id="{D65CE5B7-0E01-4377-8EA1-BC553740408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194" name="AutoShape 1" descr="Bristol Bears">
          <a:extLst>
            <a:ext uri="{FF2B5EF4-FFF2-40B4-BE49-F238E27FC236}">
              <a16:creationId xmlns:a16="http://schemas.microsoft.com/office/drawing/2014/main" id="{3E7AA85A-63F0-469D-A158-26EAEE5EEA6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112143</xdr:rowOff>
    </xdr:from>
    <xdr:ext cx="304800" cy="302284"/>
    <xdr:sp macro="" textlink="">
      <xdr:nvSpPr>
        <xdr:cNvPr id="195" name="AutoShape 2" descr="Exeter Chiefs">
          <a:extLst>
            <a:ext uri="{FF2B5EF4-FFF2-40B4-BE49-F238E27FC236}">
              <a16:creationId xmlns:a16="http://schemas.microsoft.com/office/drawing/2014/main" id="{8605F517-F9EA-4277-8E33-35ACB7141C36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2873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196" name="AutoShape 3" descr="Harlequins">
          <a:extLst>
            <a:ext uri="{FF2B5EF4-FFF2-40B4-BE49-F238E27FC236}">
              <a16:creationId xmlns:a16="http://schemas.microsoft.com/office/drawing/2014/main" id="{B6892B4C-CF38-4C16-BDCC-BD9694624DC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197" name="AutoShape 4" descr="Sale Sharks">
          <a:extLst>
            <a:ext uri="{FF2B5EF4-FFF2-40B4-BE49-F238E27FC236}">
              <a16:creationId xmlns:a16="http://schemas.microsoft.com/office/drawing/2014/main" id="{4B6F9F33-5D41-4F47-91E3-99C74F57534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198" name="AutoShape 5" descr="Northampton Saints">
          <a:extLst>
            <a:ext uri="{FF2B5EF4-FFF2-40B4-BE49-F238E27FC236}">
              <a16:creationId xmlns:a16="http://schemas.microsoft.com/office/drawing/2014/main" id="{A91B1C09-4B8E-4DFC-99C5-61E17AF9BF2E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199" name="AutoShape 6" descr="London Irish">
          <a:extLst>
            <a:ext uri="{FF2B5EF4-FFF2-40B4-BE49-F238E27FC236}">
              <a16:creationId xmlns:a16="http://schemas.microsoft.com/office/drawing/2014/main" id="{B004526D-9555-47F8-BD7A-2F003C33E697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200" name="AutoShape 7" descr="Leicester Tigers">
          <a:extLst>
            <a:ext uri="{FF2B5EF4-FFF2-40B4-BE49-F238E27FC236}">
              <a16:creationId xmlns:a16="http://schemas.microsoft.com/office/drawing/2014/main" id="{E19E5F28-56B6-4960-A643-4D0D1C94C7B5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53</xdr:row>
      <xdr:rowOff>0</xdr:rowOff>
    </xdr:from>
    <xdr:ext cx="304800" cy="302284"/>
    <xdr:sp macro="" textlink="">
      <xdr:nvSpPr>
        <xdr:cNvPr id="201" name="AutoShape 8" descr="Newcastle Falcons">
          <a:extLst>
            <a:ext uri="{FF2B5EF4-FFF2-40B4-BE49-F238E27FC236}">
              <a16:creationId xmlns:a16="http://schemas.microsoft.com/office/drawing/2014/main" id="{4B8C9C1E-9B3D-42E7-AEBE-AA7C5CD8093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45</xdr:row>
      <xdr:rowOff>0</xdr:rowOff>
    </xdr:from>
    <xdr:ext cx="298150" cy="302284"/>
    <xdr:sp macro="" textlink="">
      <xdr:nvSpPr>
        <xdr:cNvPr id="202" name="AutoShape 9" descr="Bath Rugby">
          <a:extLst>
            <a:ext uri="{FF2B5EF4-FFF2-40B4-BE49-F238E27FC236}">
              <a16:creationId xmlns:a16="http://schemas.microsoft.com/office/drawing/2014/main" id="{C46B17BE-A65C-4C4E-9A63-D2167FEC6D77}"/>
            </a:ext>
          </a:extLst>
        </xdr:cNvPr>
        <xdr:cNvSpPr>
          <a:spLocks noChangeAspect="1" noChangeArrowheads="1"/>
        </xdr:cNvSpPr>
      </xdr:nvSpPr>
      <xdr:spPr bwMode="auto">
        <a:xfrm>
          <a:off x="7226061" y="474452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10911"/>
    <xdr:sp macro="" textlink="">
      <xdr:nvSpPr>
        <xdr:cNvPr id="203" name="AutoShape 1" descr="Bristol Bears">
          <a:extLst>
            <a:ext uri="{FF2B5EF4-FFF2-40B4-BE49-F238E27FC236}">
              <a16:creationId xmlns:a16="http://schemas.microsoft.com/office/drawing/2014/main" id="{86DECB7A-375D-4236-8815-2E5E034F28C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51758</xdr:colOff>
      <xdr:row>50</xdr:row>
      <xdr:rowOff>51758</xdr:rowOff>
    </xdr:from>
    <xdr:ext cx="304800" cy="310910"/>
    <xdr:sp macro="" textlink="">
      <xdr:nvSpPr>
        <xdr:cNvPr id="204" name="AutoShape 2" descr="Exeter Chiefs">
          <a:extLst>
            <a:ext uri="{FF2B5EF4-FFF2-40B4-BE49-F238E27FC236}">
              <a16:creationId xmlns:a16="http://schemas.microsoft.com/office/drawing/2014/main" id="{1EDBD8B8-554C-4B5B-BBDD-7A6C53773F00}"/>
            </a:ext>
          </a:extLst>
        </xdr:cNvPr>
        <xdr:cNvSpPr>
          <a:spLocks noChangeAspect="1" noChangeArrowheads="1"/>
        </xdr:cNvSpPr>
      </xdr:nvSpPr>
      <xdr:spPr bwMode="auto">
        <a:xfrm>
          <a:off x="7280694" y="5934973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492065"/>
    <xdr:sp macro="" textlink="">
      <xdr:nvSpPr>
        <xdr:cNvPr id="205" name="AutoShape 3" descr="Harlequins">
          <a:extLst>
            <a:ext uri="{FF2B5EF4-FFF2-40B4-BE49-F238E27FC236}">
              <a16:creationId xmlns:a16="http://schemas.microsoft.com/office/drawing/2014/main" id="{D7D2A5B6-E7C4-4697-AD30-2B01BF05707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10911"/>
    <xdr:sp macro="" textlink="">
      <xdr:nvSpPr>
        <xdr:cNvPr id="206" name="AutoShape 4" descr="Sale Sharks">
          <a:extLst>
            <a:ext uri="{FF2B5EF4-FFF2-40B4-BE49-F238E27FC236}">
              <a16:creationId xmlns:a16="http://schemas.microsoft.com/office/drawing/2014/main" id="{8FE22FC0-62DB-41EA-82C8-980710F59C15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492065"/>
    <xdr:sp macro="" textlink="">
      <xdr:nvSpPr>
        <xdr:cNvPr id="207" name="AutoShape 5" descr="Northampton Saints">
          <a:extLst>
            <a:ext uri="{FF2B5EF4-FFF2-40B4-BE49-F238E27FC236}">
              <a16:creationId xmlns:a16="http://schemas.microsoft.com/office/drawing/2014/main" id="{1C9A7BCA-C4E9-4212-8B44-5B4E4AAC69F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492064"/>
    <xdr:sp macro="" textlink="">
      <xdr:nvSpPr>
        <xdr:cNvPr id="208" name="AutoShape 6" descr="London Irish">
          <a:extLst>
            <a:ext uri="{FF2B5EF4-FFF2-40B4-BE49-F238E27FC236}">
              <a16:creationId xmlns:a16="http://schemas.microsoft.com/office/drawing/2014/main" id="{2A3E539B-FC7F-4F8D-B6E0-33173661AA18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492066"/>
    <xdr:sp macro="" textlink="">
      <xdr:nvSpPr>
        <xdr:cNvPr id="209" name="AutoShape 7" descr="Leicester Tigers">
          <a:extLst>
            <a:ext uri="{FF2B5EF4-FFF2-40B4-BE49-F238E27FC236}">
              <a16:creationId xmlns:a16="http://schemas.microsoft.com/office/drawing/2014/main" id="{2AAAD806-3757-412C-94B7-CB48BC41D64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53</xdr:row>
      <xdr:rowOff>0</xdr:rowOff>
    </xdr:from>
    <xdr:ext cx="304800" cy="492065"/>
    <xdr:sp macro="" textlink="">
      <xdr:nvSpPr>
        <xdr:cNvPr id="210" name="AutoShape 8" descr="Newcastle Falcons">
          <a:extLst>
            <a:ext uri="{FF2B5EF4-FFF2-40B4-BE49-F238E27FC236}">
              <a16:creationId xmlns:a16="http://schemas.microsoft.com/office/drawing/2014/main" id="{7103F184-526D-4EC6-A3D5-0E16CC3647E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452558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55</xdr:row>
      <xdr:rowOff>19050</xdr:rowOff>
    </xdr:from>
    <xdr:ext cx="298150" cy="310910"/>
    <xdr:sp macro="" textlink="">
      <xdr:nvSpPr>
        <xdr:cNvPr id="211" name="AutoShape 9" descr="Bath Rugby">
          <a:extLst>
            <a:ext uri="{FF2B5EF4-FFF2-40B4-BE49-F238E27FC236}">
              <a16:creationId xmlns:a16="http://schemas.microsoft.com/office/drawing/2014/main" id="{F822BEA2-275C-48C3-93BD-BB2AA857985F}"/>
            </a:ext>
          </a:extLst>
        </xdr:cNvPr>
        <xdr:cNvSpPr>
          <a:spLocks noChangeAspect="1" noChangeArrowheads="1"/>
        </xdr:cNvSpPr>
      </xdr:nvSpPr>
      <xdr:spPr bwMode="auto">
        <a:xfrm>
          <a:off x="7226061" y="6661390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60385</xdr:colOff>
      <xdr:row>4</xdr:row>
      <xdr:rowOff>17252</xdr:rowOff>
    </xdr:from>
    <xdr:ext cx="304800" cy="310911"/>
    <xdr:sp macro="" textlink="">
      <xdr:nvSpPr>
        <xdr:cNvPr id="212" name="AutoShape 1" descr="Bristol Bears">
          <a:extLst>
            <a:ext uri="{FF2B5EF4-FFF2-40B4-BE49-F238E27FC236}">
              <a16:creationId xmlns:a16="http://schemas.microsoft.com/office/drawing/2014/main" id="{4F265D28-E6DE-48B9-A1FF-D4877F7D4D65}"/>
            </a:ext>
          </a:extLst>
        </xdr:cNvPr>
        <xdr:cNvSpPr>
          <a:spLocks noChangeAspect="1" noChangeArrowheads="1"/>
        </xdr:cNvSpPr>
      </xdr:nvSpPr>
      <xdr:spPr bwMode="auto">
        <a:xfrm>
          <a:off x="14587268" y="77637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34505</xdr:colOff>
      <xdr:row>9</xdr:row>
      <xdr:rowOff>17252</xdr:rowOff>
    </xdr:from>
    <xdr:ext cx="304800" cy="310910"/>
    <xdr:sp macro="" textlink="">
      <xdr:nvSpPr>
        <xdr:cNvPr id="213" name="AutoShape 2" descr="Exeter Chiefs">
          <a:extLst>
            <a:ext uri="{FF2B5EF4-FFF2-40B4-BE49-F238E27FC236}">
              <a16:creationId xmlns:a16="http://schemas.microsoft.com/office/drawing/2014/main" id="{3ADD3F09-3A16-432B-826D-D78137EE256B}"/>
            </a:ext>
          </a:extLst>
        </xdr:cNvPr>
        <xdr:cNvSpPr>
          <a:spLocks noChangeAspect="1" noChangeArrowheads="1"/>
        </xdr:cNvSpPr>
      </xdr:nvSpPr>
      <xdr:spPr bwMode="auto">
        <a:xfrm>
          <a:off x="6996022" y="1535501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492065"/>
    <xdr:sp macro="" textlink="">
      <xdr:nvSpPr>
        <xdr:cNvPr id="214" name="AutoShape 3" descr="Harlequins">
          <a:extLst>
            <a:ext uri="{FF2B5EF4-FFF2-40B4-BE49-F238E27FC236}">
              <a16:creationId xmlns:a16="http://schemas.microsoft.com/office/drawing/2014/main" id="{7A17FF8C-6687-4625-BFE9-3EF414A054E2}"/>
            </a:ext>
          </a:extLst>
        </xdr:cNvPr>
        <xdr:cNvSpPr>
          <a:spLocks noChangeAspect="1" noChangeArrowheads="1"/>
        </xdr:cNvSpPr>
      </xdr:nvSpPr>
      <xdr:spPr bwMode="auto">
        <a:xfrm>
          <a:off x="6961517" y="75912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10911"/>
    <xdr:sp macro="" textlink="">
      <xdr:nvSpPr>
        <xdr:cNvPr id="215" name="AutoShape 4" descr="Sale Sharks">
          <a:extLst>
            <a:ext uri="{FF2B5EF4-FFF2-40B4-BE49-F238E27FC236}">
              <a16:creationId xmlns:a16="http://schemas.microsoft.com/office/drawing/2014/main" id="{C51D654D-DAD0-425C-B381-5DB0F4BFFD57}"/>
            </a:ext>
          </a:extLst>
        </xdr:cNvPr>
        <xdr:cNvSpPr>
          <a:spLocks noChangeAspect="1" noChangeArrowheads="1"/>
        </xdr:cNvSpPr>
      </xdr:nvSpPr>
      <xdr:spPr bwMode="auto">
        <a:xfrm>
          <a:off x="6961517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492065"/>
    <xdr:sp macro="" textlink="">
      <xdr:nvSpPr>
        <xdr:cNvPr id="216" name="AutoShape 5" descr="Northampton Saints">
          <a:extLst>
            <a:ext uri="{FF2B5EF4-FFF2-40B4-BE49-F238E27FC236}">
              <a16:creationId xmlns:a16="http://schemas.microsoft.com/office/drawing/2014/main" id="{71D1154B-C292-4504-96C1-4A9009671721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277374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492064"/>
    <xdr:sp macro="" textlink="">
      <xdr:nvSpPr>
        <xdr:cNvPr id="217" name="AutoShape 6" descr="London Irish">
          <a:extLst>
            <a:ext uri="{FF2B5EF4-FFF2-40B4-BE49-F238E27FC236}">
              <a16:creationId xmlns:a16="http://schemas.microsoft.com/office/drawing/2014/main" id="{788F301B-B589-490C-8A06-01D4C89887D5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467155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492066"/>
    <xdr:sp macro="" textlink="">
      <xdr:nvSpPr>
        <xdr:cNvPr id="218" name="AutoShape 7" descr="Leicester Tigers">
          <a:extLst>
            <a:ext uri="{FF2B5EF4-FFF2-40B4-BE49-F238E27FC236}">
              <a16:creationId xmlns:a16="http://schemas.microsoft.com/office/drawing/2014/main" id="{EFDBDA20-226C-489D-9D28-0AAF7FCE0C6E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656936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492065"/>
    <xdr:sp macro="" textlink="">
      <xdr:nvSpPr>
        <xdr:cNvPr id="219" name="AutoShape 8" descr="Newcastle Falcons">
          <a:extLst>
            <a:ext uri="{FF2B5EF4-FFF2-40B4-BE49-F238E27FC236}">
              <a16:creationId xmlns:a16="http://schemas.microsoft.com/office/drawing/2014/main" id="{78EB30D9-9C85-46F9-898F-7ACC5C1BCC44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846717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17</xdr:row>
      <xdr:rowOff>19050</xdr:rowOff>
    </xdr:from>
    <xdr:ext cx="298150" cy="310910"/>
    <xdr:sp macro="" textlink="">
      <xdr:nvSpPr>
        <xdr:cNvPr id="220" name="AutoShape 9" descr="Bath Rugby">
          <a:extLst>
            <a:ext uri="{FF2B5EF4-FFF2-40B4-BE49-F238E27FC236}">
              <a16:creationId xmlns:a16="http://schemas.microsoft.com/office/drawing/2014/main" id="{0D9F5365-9CB5-4D38-A286-8C2AACA2535A}"/>
            </a:ext>
          </a:extLst>
        </xdr:cNvPr>
        <xdr:cNvSpPr>
          <a:spLocks noChangeAspect="1" noChangeArrowheads="1"/>
        </xdr:cNvSpPr>
      </xdr:nvSpPr>
      <xdr:spPr bwMode="auto">
        <a:xfrm>
          <a:off x="6958642" y="3055548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3003"/>
    <xdr:sp macro="" textlink="">
      <xdr:nvSpPr>
        <xdr:cNvPr id="221" name="AutoShape 1" descr="Bristol Bears">
          <a:extLst>
            <a:ext uri="{FF2B5EF4-FFF2-40B4-BE49-F238E27FC236}">
              <a16:creationId xmlns:a16="http://schemas.microsoft.com/office/drawing/2014/main" id="{511CA210-8047-40F8-B5E5-C48348CBDE0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3002"/>
    <xdr:sp macro="" textlink="">
      <xdr:nvSpPr>
        <xdr:cNvPr id="222" name="AutoShape 2" descr="Exeter Chiefs">
          <a:extLst>
            <a:ext uri="{FF2B5EF4-FFF2-40B4-BE49-F238E27FC236}">
              <a16:creationId xmlns:a16="http://schemas.microsoft.com/office/drawing/2014/main" id="{E0C38BDB-9476-4EC7-B784-EAF7C7E2451D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3003"/>
    <xdr:sp macro="" textlink="">
      <xdr:nvSpPr>
        <xdr:cNvPr id="223" name="AutoShape 3" descr="Harlequins">
          <a:extLst>
            <a:ext uri="{FF2B5EF4-FFF2-40B4-BE49-F238E27FC236}">
              <a16:creationId xmlns:a16="http://schemas.microsoft.com/office/drawing/2014/main" id="{2FC9DD4B-C22C-4046-B5D1-5E2EFEFA452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3003"/>
    <xdr:sp macro="" textlink="">
      <xdr:nvSpPr>
        <xdr:cNvPr id="224" name="AutoShape 4" descr="Sale Sharks">
          <a:extLst>
            <a:ext uri="{FF2B5EF4-FFF2-40B4-BE49-F238E27FC236}">
              <a16:creationId xmlns:a16="http://schemas.microsoft.com/office/drawing/2014/main" id="{8F310696-112C-4FB5-918E-7645B7C9F44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303003"/>
    <xdr:sp macro="" textlink="">
      <xdr:nvSpPr>
        <xdr:cNvPr id="225" name="AutoShape 5" descr="Northampton Saints">
          <a:extLst>
            <a:ext uri="{FF2B5EF4-FFF2-40B4-BE49-F238E27FC236}">
              <a16:creationId xmlns:a16="http://schemas.microsoft.com/office/drawing/2014/main" id="{34AB7E9F-554D-47C1-8912-CDD83EE5BA5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46715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303003"/>
    <xdr:sp macro="" textlink="">
      <xdr:nvSpPr>
        <xdr:cNvPr id="226" name="AutoShape 6" descr="London Irish">
          <a:extLst>
            <a:ext uri="{FF2B5EF4-FFF2-40B4-BE49-F238E27FC236}">
              <a16:creationId xmlns:a16="http://schemas.microsoft.com/office/drawing/2014/main" id="{1E6A54EB-76C4-4A65-B261-B0DC07B6689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65693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303003"/>
    <xdr:sp macro="" textlink="">
      <xdr:nvSpPr>
        <xdr:cNvPr id="227" name="AutoShape 7" descr="Leicester Tigers">
          <a:extLst>
            <a:ext uri="{FF2B5EF4-FFF2-40B4-BE49-F238E27FC236}">
              <a16:creationId xmlns:a16="http://schemas.microsoft.com/office/drawing/2014/main" id="{84DB659A-F8C7-4A5B-8ECB-B517BFEE729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84671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304800" cy="303003"/>
    <xdr:sp macro="" textlink="">
      <xdr:nvSpPr>
        <xdr:cNvPr id="228" name="AutoShape 8" descr="Newcastle Falcons">
          <a:extLst>
            <a:ext uri="{FF2B5EF4-FFF2-40B4-BE49-F238E27FC236}">
              <a16:creationId xmlns:a16="http://schemas.microsoft.com/office/drawing/2014/main" id="{40C7A819-6726-4A7D-A2F6-19786AF75194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3649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19050</xdr:rowOff>
    </xdr:from>
    <xdr:ext cx="295275" cy="303003"/>
    <xdr:sp macro="" textlink="">
      <xdr:nvSpPr>
        <xdr:cNvPr id="229" name="AutoShape 9" descr="Bath Rugby">
          <a:extLst>
            <a:ext uri="{FF2B5EF4-FFF2-40B4-BE49-F238E27FC236}">
              <a16:creationId xmlns:a16="http://schemas.microsoft.com/office/drawing/2014/main" id="{E2CA910B-E48E-4D5C-9FF2-BF00CE07402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55548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38</xdr:row>
      <xdr:rowOff>0</xdr:rowOff>
    </xdr:from>
    <xdr:ext cx="304800" cy="303002"/>
    <xdr:sp macro="" textlink="">
      <xdr:nvSpPr>
        <xdr:cNvPr id="230" name="AutoShape 10" descr="Wasps">
          <a:extLst>
            <a:ext uri="{FF2B5EF4-FFF2-40B4-BE49-F238E27FC236}">
              <a16:creationId xmlns:a16="http://schemas.microsoft.com/office/drawing/2014/main" id="{D98F0E2F-43D8-4705-A064-DC2497EB272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416060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231" name="AutoShape 1" descr="Bristol Bears">
          <a:extLst>
            <a:ext uri="{FF2B5EF4-FFF2-40B4-BE49-F238E27FC236}">
              <a16:creationId xmlns:a16="http://schemas.microsoft.com/office/drawing/2014/main" id="{14DAD189-B241-4AFC-8D6B-B847C6C6B41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2284"/>
    <xdr:sp macro="" textlink="">
      <xdr:nvSpPr>
        <xdr:cNvPr id="232" name="AutoShape 2" descr="Exeter Chiefs">
          <a:extLst>
            <a:ext uri="{FF2B5EF4-FFF2-40B4-BE49-F238E27FC236}">
              <a16:creationId xmlns:a16="http://schemas.microsoft.com/office/drawing/2014/main" id="{D065C4E0-502E-40B0-A7B0-7D073E434944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2284"/>
    <xdr:sp macro="" textlink="">
      <xdr:nvSpPr>
        <xdr:cNvPr id="233" name="AutoShape 3" descr="Harlequins">
          <a:extLst>
            <a:ext uri="{FF2B5EF4-FFF2-40B4-BE49-F238E27FC236}">
              <a16:creationId xmlns:a16="http://schemas.microsoft.com/office/drawing/2014/main" id="{3731AD9A-0C36-4BB8-B750-33F418393778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2284"/>
    <xdr:sp macro="" textlink="">
      <xdr:nvSpPr>
        <xdr:cNvPr id="234" name="AutoShape 4" descr="Sale Sharks">
          <a:extLst>
            <a:ext uri="{FF2B5EF4-FFF2-40B4-BE49-F238E27FC236}">
              <a16:creationId xmlns:a16="http://schemas.microsoft.com/office/drawing/2014/main" id="{9281AE84-FAEC-4111-A860-1157A76EB5F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302284"/>
    <xdr:sp macro="" textlink="">
      <xdr:nvSpPr>
        <xdr:cNvPr id="235" name="AutoShape 5" descr="Northampton Saints">
          <a:extLst>
            <a:ext uri="{FF2B5EF4-FFF2-40B4-BE49-F238E27FC236}">
              <a16:creationId xmlns:a16="http://schemas.microsoft.com/office/drawing/2014/main" id="{E0002C11-7E7E-4C51-B9DE-B358BC8CB2A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302284"/>
    <xdr:sp macro="" textlink="">
      <xdr:nvSpPr>
        <xdr:cNvPr id="236" name="AutoShape 6" descr="London Irish">
          <a:extLst>
            <a:ext uri="{FF2B5EF4-FFF2-40B4-BE49-F238E27FC236}">
              <a16:creationId xmlns:a16="http://schemas.microsoft.com/office/drawing/2014/main" id="{403430AC-8DA8-4C32-A56A-B498388EF63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302284"/>
    <xdr:sp macro="" textlink="">
      <xdr:nvSpPr>
        <xdr:cNvPr id="237" name="AutoShape 7" descr="Leicester Tigers">
          <a:extLst>
            <a:ext uri="{FF2B5EF4-FFF2-40B4-BE49-F238E27FC236}">
              <a16:creationId xmlns:a16="http://schemas.microsoft.com/office/drawing/2014/main" id="{16E95767-38B7-4FA8-B19C-2C7628D3E40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304800" cy="302284"/>
    <xdr:sp macro="" textlink="">
      <xdr:nvSpPr>
        <xdr:cNvPr id="238" name="AutoShape 8" descr="Newcastle Falcons">
          <a:extLst>
            <a:ext uri="{FF2B5EF4-FFF2-40B4-BE49-F238E27FC236}">
              <a16:creationId xmlns:a16="http://schemas.microsoft.com/office/drawing/2014/main" id="{276EEC89-CD89-4F83-BC22-9A86E9265B5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31</xdr:row>
      <xdr:rowOff>19050</xdr:rowOff>
    </xdr:from>
    <xdr:ext cx="298150" cy="302284"/>
    <xdr:sp macro="" textlink="">
      <xdr:nvSpPr>
        <xdr:cNvPr id="239" name="AutoShape 9" descr="Bath Rugby">
          <a:extLst>
            <a:ext uri="{FF2B5EF4-FFF2-40B4-BE49-F238E27FC236}">
              <a16:creationId xmlns:a16="http://schemas.microsoft.com/office/drawing/2014/main" id="{4859DE29-3E1D-4B54-A5A0-C6A5F0B6CAA2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51759</xdr:colOff>
      <xdr:row>37</xdr:row>
      <xdr:rowOff>181156</xdr:rowOff>
    </xdr:from>
    <xdr:ext cx="304800" cy="302284"/>
    <xdr:sp macro="" textlink="">
      <xdr:nvSpPr>
        <xdr:cNvPr id="240" name="AutoShape 10" descr="Wasps">
          <a:extLst>
            <a:ext uri="{FF2B5EF4-FFF2-40B4-BE49-F238E27FC236}">
              <a16:creationId xmlns:a16="http://schemas.microsoft.com/office/drawing/2014/main" id="{7A992EB9-1E24-4753-9343-188E2A1997DA}"/>
            </a:ext>
          </a:extLst>
        </xdr:cNvPr>
        <xdr:cNvSpPr>
          <a:spLocks noChangeAspect="1" noChangeArrowheads="1"/>
        </xdr:cNvSpPr>
      </xdr:nvSpPr>
      <xdr:spPr bwMode="auto">
        <a:xfrm>
          <a:off x="14578642" y="340743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10911"/>
    <xdr:sp macro="" textlink="">
      <xdr:nvSpPr>
        <xdr:cNvPr id="241" name="AutoShape 1" descr="Bristol Bears">
          <a:extLst>
            <a:ext uri="{FF2B5EF4-FFF2-40B4-BE49-F238E27FC236}">
              <a16:creationId xmlns:a16="http://schemas.microsoft.com/office/drawing/2014/main" id="{415869CD-4D6C-42FA-9664-A5CB661E3FF4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569343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34505</xdr:colOff>
      <xdr:row>29</xdr:row>
      <xdr:rowOff>17252</xdr:rowOff>
    </xdr:from>
    <xdr:ext cx="304800" cy="310910"/>
    <xdr:sp macro="" textlink="">
      <xdr:nvSpPr>
        <xdr:cNvPr id="242" name="AutoShape 2" descr="Exeter Chiefs">
          <a:extLst>
            <a:ext uri="{FF2B5EF4-FFF2-40B4-BE49-F238E27FC236}">
              <a16:creationId xmlns:a16="http://schemas.microsoft.com/office/drawing/2014/main" id="{E7701B44-9AE3-47C1-8005-12FBAAE2BA0F}"/>
            </a:ext>
          </a:extLst>
        </xdr:cNvPr>
        <xdr:cNvSpPr>
          <a:spLocks noChangeAspect="1" noChangeArrowheads="1"/>
        </xdr:cNvSpPr>
      </xdr:nvSpPr>
      <xdr:spPr bwMode="auto">
        <a:xfrm>
          <a:off x="14561388" y="1725282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492065"/>
    <xdr:sp macro="" textlink="">
      <xdr:nvSpPr>
        <xdr:cNvPr id="243" name="AutoShape 3" descr="Harlequins">
          <a:extLst>
            <a:ext uri="{FF2B5EF4-FFF2-40B4-BE49-F238E27FC236}">
              <a16:creationId xmlns:a16="http://schemas.microsoft.com/office/drawing/2014/main" id="{708528AE-1C14-48E3-9023-5F52EA5D442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948906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10911"/>
    <xdr:sp macro="" textlink="">
      <xdr:nvSpPr>
        <xdr:cNvPr id="244" name="AutoShape 4" descr="Sale Sharks">
          <a:extLst>
            <a:ext uri="{FF2B5EF4-FFF2-40B4-BE49-F238E27FC236}">
              <a16:creationId xmlns:a16="http://schemas.microsoft.com/office/drawing/2014/main" id="{8B83DD89-4FB3-46E0-8C3E-AC3F61D0DAD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13868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492065"/>
    <xdr:sp macro="" textlink="">
      <xdr:nvSpPr>
        <xdr:cNvPr id="245" name="AutoShape 5" descr="Northampton Saints">
          <a:extLst>
            <a:ext uri="{FF2B5EF4-FFF2-40B4-BE49-F238E27FC236}">
              <a16:creationId xmlns:a16="http://schemas.microsoft.com/office/drawing/2014/main" id="{65124ACE-260D-4124-B244-6033FD859CD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46715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492064"/>
    <xdr:sp macro="" textlink="">
      <xdr:nvSpPr>
        <xdr:cNvPr id="246" name="AutoShape 6" descr="London Irish">
          <a:extLst>
            <a:ext uri="{FF2B5EF4-FFF2-40B4-BE49-F238E27FC236}">
              <a16:creationId xmlns:a16="http://schemas.microsoft.com/office/drawing/2014/main" id="{C0419C91-8FB2-4993-9E62-C251B52205A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656936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492066"/>
    <xdr:sp macro="" textlink="">
      <xdr:nvSpPr>
        <xdr:cNvPr id="247" name="AutoShape 7" descr="Leicester Tigers">
          <a:extLst>
            <a:ext uri="{FF2B5EF4-FFF2-40B4-BE49-F238E27FC236}">
              <a16:creationId xmlns:a16="http://schemas.microsoft.com/office/drawing/2014/main" id="{DF0CCB78-14EB-4F05-ABB0-0CC3AA79F8D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846717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304800" cy="492065"/>
    <xdr:sp macro="" textlink="">
      <xdr:nvSpPr>
        <xdr:cNvPr id="248" name="AutoShape 8" descr="Newcastle Falcons">
          <a:extLst>
            <a:ext uri="{FF2B5EF4-FFF2-40B4-BE49-F238E27FC236}">
              <a16:creationId xmlns:a16="http://schemas.microsoft.com/office/drawing/2014/main" id="{AAE08A97-1A7B-4DEF-962D-292C65F5B85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36498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37</xdr:row>
      <xdr:rowOff>19050</xdr:rowOff>
    </xdr:from>
    <xdr:ext cx="298150" cy="310910"/>
    <xdr:sp macro="" textlink="">
      <xdr:nvSpPr>
        <xdr:cNvPr id="249" name="AutoShape 9" descr="Bath Rugby">
          <a:extLst>
            <a:ext uri="{FF2B5EF4-FFF2-40B4-BE49-F238E27FC236}">
              <a16:creationId xmlns:a16="http://schemas.microsoft.com/office/drawing/2014/main" id="{74832B40-A445-45E7-B926-5E44794E4800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3245329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43</xdr:row>
      <xdr:rowOff>19050</xdr:rowOff>
    </xdr:from>
    <xdr:ext cx="298150" cy="302284"/>
    <xdr:sp macro="" textlink="">
      <xdr:nvSpPr>
        <xdr:cNvPr id="250" name="AutoShape 9" descr="Bath Rugby">
          <a:extLst>
            <a:ext uri="{FF2B5EF4-FFF2-40B4-BE49-F238E27FC236}">
              <a16:creationId xmlns:a16="http://schemas.microsoft.com/office/drawing/2014/main" id="{79EE1B4D-30B2-4942-95F7-1479A771445E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476357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51" name="AutoShape 10" descr="Wasps">
          <a:extLst>
            <a:ext uri="{FF2B5EF4-FFF2-40B4-BE49-F238E27FC236}">
              <a16:creationId xmlns:a16="http://schemas.microsoft.com/office/drawing/2014/main" id="{C6BDF5C4-4057-4692-A166-C2B941F44B1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52" name="AutoShape 10" descr="Wasps">
          <a:extLst>
            <a:ext uri="{FF2B5EF4-FFF2-40B4-BE49-F238E27FC236}">
              <a16:creationId xmlns:a16="http://schemas.microsoft.com/office/drawing/2014/main" id="{83044A79-9E55-436E-BE0A-D5B6F5F8672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53" name="AutoShape 10" descr="Wasps">
          <a:extLst>
            <a:ext uri="{FF2B5EF4-FFF2-40B4-BE49-F238E27FC236}">
              <a16:creationId xmlns:a16="http://schemas.microsoft.com/office/drawing/2014/main" id="{095EECD0-4983-4897-A3F6-6CEDBE55DB1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54" name="AutoShape 10" descr="Wasps">
          <a:extLst>
            <a:ext uri="{FF2B5EF4-FFF2-40B4-BE49-F238E27FC236}">
              <a16:creationId xmlns:a16="http://schemas.microsoft.com/office/drawing/2014/main" id="{6CD85518-8B35-4AED-8038-2EBC83591549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2284"/>
    <xdr:sp macro="" textlink="">
      <xdr:nvSpPr>
        <xdr:cNvPr id="255" name="AutoShape 10" descr="Wasps">
          <a:extLst>
            <a:ext uri="{FF2B5EF4-FFF2-40B4-BE49-F238E27FC236}">
              <a16:creationId xmlns:a16="http://schemas.microsoft.com/office/drawing/2014/main" id="{764D1390-62EC-451B-8BCF-401A5386120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2284"/>
    <xdr:sp macro="" textlink="">
      <xdr:nvSpPr>
        <xdr:cNvPr id="256" name="AutoShape 10" descr="Wasps">
          <a:extLst>
            <a:ext uri="{FF2B5EF4-FFF2-40B4-BE49-F238E27FC236}">
              <a16:creationId xmlns:a16="http://schemas.microsoft.com/office/drawing/2014/main" id="{0A07FB6F-5F65-4496-9BDE-517521E017B7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2284"/>
    <xdr:sp macro="" textlink="">
      <xdr:nvSpPr>
        <xdr:cNvPr id="257" name="AutoShape 10" descr="Wasps">
          <a:extLst>
            <a:ext uri="{FF2B5EF4-FFF2-40B4-BE49-F238E27FC236}">
              <a16:creationId xmlns:a16="http://schemas.microsoft.com/office/drawing/2014/main" id="{AFCBE1B7-BCBC-4C9B-A3D1-A797072EEEB8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2284"/>
    <xdr:sp macro="" textlink="">
      <xdr:nvSpPr>
        <xdr:cNvPr id="258" name="AutoShape 10" descr="Wasps">
          <a:extLst>
            <a:ext uri="{FF2B5EF4-FFF2-40B4-BE49-F238E27FC236}">
              <a16:creationId xmlns:a16="http://schemas.microsoft.com/office/drawing/2014/main" id="{A359E7AA-D4C2-4826-BDD9-D48BF584D34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2284"/>
    <xdr:sp macro="" textlink="">
      <xdr:nvSpPr>
        <xdr:cNvPr id="259" name="AutoShape 10" descr="Wasps">
          <a:extLst>
            <a:ext uri="{FF2B5EF4-FFF2-40B4-BE49-F238E27FC236}">
              <a16:creationId xmlns:a16="http://schemas.microsoft.com/office/drawing/2014/main" id="{4E42AC7E-D6F0-45F3-A64F-EBE65D904B4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2284"/>
    <xdr:sp macro="" textlink="">
      <xdr:nvSpPr>
        <xdr:cNvPr id="260" name="AutoShape 10" descr="Wasps">
          <a:extLst>
            <a:ext uri="{FF2B5EF4-FFF2-40B4-BE49-F238E27FC236}">
              <a16:creationId xmlns:a16="http://schemas.microsoft.com/office/drawing/2014/main" id="{1F61C810-7D5E-4C3B-ABB9-CB0FD7C5F76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2284"/>
    <xdr:sp macro="" textlink="">
      <xdr:nvSpPr>
        <xdr:cNvPr id="261" name="AutoShape 10" descr="Wasps">
          <a:extLst>
            <a:ext uri="{FF2B5EF4-FFF2-40B4-BE49-F238E27FC236}">
              <a16:creationId xmlns:a16="http://schemas.microsoft.com/office/drawing/2014/main" id="{C181D69E-3649-4137-9ECD-9A674FBA7289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2284"/>
    <xdr:sp macro="" textlink="">
      <xdr:nvSpPr>
        <xdr:cNvPr id="262" name="AutoShape 10" descr="Wasps">
          <a:extLst>
            <a:ext uri="{FF2B5EF4-FFF2-40B4-BE49-F238E27FC236}">
              <a16:creationId xmlns:a16="http://schemas.microsoft.com/office/drawing/2014/main" id="{55B2CF86-DEE5-4733-9B60-A226B1405A8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2284"/>
    <xdr:sp macro="" textlink="">
      <xdr:nvSpPr>
        <xdr:cNvPr id="263" name="AutoShape 10" descr="Wasps">
          <a:extLst>
            <a:ext uri="{FF2B5EF4-FFF2-40B4-BE49-F238E27FC236}">
              <a16:creationId xmlns:a16="http://schemas.microsoft.com/office/drawing/2014/main" id="{93EE9562-A87B-4303-8B2C-98F5475DEB4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2284"/>
    <xdr:sp macro="" textlink="">
      <xdr:nvSpPr>
        <xdr:cNvPr id="264" name="AutoShape 10" descr="Wasps">
          <a:extLst>
            <a:ext uri="{FF2B5EF4-FFF2-40B4-BE49-F238E27FC236}">
              <a16:creationId xmlns:a16="http://schemas.microsoft.com/office/drawing/2014/main" id="{E4ABA0DD-6A32-4106-9A6E-A50AD0AC8DF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2284"/>
    <xdr:sp macro="" textlink="">
      <xdr:nvSpPr>
        <xdr:cNvPr id="265" name="AutoShape 10" descr="Wasps">
          <a:extLst>
            <a:ext uri="{FF2B5EF4-FFF2-40B4-BE49-F238E27FC236}">
              <a16:creationId xmlns:a16="http://schemas.microsoft.com/office/drawing/2014/main" id="{4536F12D-9C24-4B1B-9168-DCDFDB48F3EE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2284"/>
    <xdr:sp macro="" textlink="">
      <xdr:nvSpPr>
        <xdr:cNvPr id="266" name="AutoShape 10" descr="Wasps">
          <a:extLst>
            <a:ext uri="{FF2B5EF4-FFF2-40B4-BE49-F238E27FC236}">
              <a16:creationId xmlns:a16="http://schemas.microsoft.com/office/drawing/2014/main" id="{CC9114C2-520F-44EA-AA45-7CB060C8A0D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0</xdr:rowOff>
    </xdr:from>
    <xdr:ext cx="304800" cy="302284"/>
    <xdr:sp macro="" textlink="">
      <xdr:nvSpPr>
        <xdr:cNvPr id="267" name="AutoShape 10" descr="Wasps">
          <a:extLst>
            <a:ext uri="{FF2B5EF4-FFF2-40B4-BE49-F238E27FC236}">
              <a16:creationId xmlns:a16="http://schemas.microsoft.com/office/drawing/2014/main" id="{81ABA5FC-7F84-41BB-AF1F-8078FBDE1DA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68" name="AutoShape 1" descr="Bristol Bears">
          <a:extLst>
            <a:ext uri="{FF2B5EF4-FFF2-40B4-BE49-F238E27FC236}">
              <a16:creationId xmlns:a16="http://schemas.microsoft.com/office/drawing/2014/main" id="{B2EFDBFF-5925-48A3-9B9F-EBCA2947A69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2284"/>
    <xdr:sp macro="" textlink="">
      <xdr:nvSpPr>
        <xdr:cNvPr id="269" name="AutoShape 2" descr="Exeter Chiefs">
          <a:extLst>
            <a:ext uri="{FF2B5EF4-FFF2-40B4-BE49-F238E27FC236}">
              <a16:creationId xmlns:a16="http://schemas.microsoft.com/office/drawing/2014/main" id="{95E64A92-D86F-4B50-846F-DEDAAE18A4A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2284"/>
    <xdr:sp macro="" textlink="">
      <xdr:nvSpPr>
        <xdr:cNvPr id="270" name="AutoShape 3" descr="Harlequins">
          <a:extLst>
            <a:ext uri="{FF2B5EF4-FFF2-40B4-BE49-F238E27FC236}">
              <a16:creationId xmlns:a16="http://schemas.microsoft.com/office/drawing/2014/main" id="{4C4E10BB-608A-4171-B634-AD0611B1A4E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2284"/>
    <xdr:sp macro="" textlink="">
      <xdr:nvSpPr>
        <xdr:cNvPr id="271" name="AutoShape 4" descr="Sale Sharks">
          <a:extLst>
            <a:ext uri="{FF2B5EF4-FFF2-40B4-BE49-F238E27FC236}">
              <a16:creationId xmlns:a16="http://schemas.microsoft.com/office/drawing/2014/main" id="{4431DF54-5A84-4F30-B673-23653481F76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2284"/>
    <xdr:sp macro="" textlink="">
      <xdr:nvSpPr>
        <xdr:cNvPr id="272" name="AutoShape 5" descr="Northampton Saints">
          <a:extLst>
            <a:ext uri="{FF2B5EF4-FFF2-40B4-BE49-F238E27FC236}">
              <a16:creationId xmlns:a16="http://schemas.microsoft.com/office/drawing/2014/main" id="{06A11BD8-74F2-481C-AAAC-F986D4F6431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2284"/>
    <xdr:sp macro="" textlink="">
      <xdr:nvSpPr>
        <xdr:cNvPr id="273" name="AutoShape 6" descr="London Irish">
          <a:extLst>
            <a:ext uri="{FF2B5EF4-FFF2-40B4-BE49-F238E27FC236}">
              <a16:creationId xmlns:a16="http://schemas.microsoft.com/office/drawing/2014/main" id="{1DEEF659-2A88-4F41-8FE8-E67AD70EDAC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2284"/>
    <xdr:sp macro="" textlink="">
      <xdr:nvSpPr>
        <xdr:cNvPr id="274" name="AutoShape 7" descr="Leicester Tigers">
          <a:extLst>
            <a:ext uri="{FF2B5EF4-FFF2-40B4-BE49-F238E27FC236}">
              <a16:creationId xmlns:a16="http://schemas.microsoft.com/office/drawing/2014/main" id="{3F6C9F1B-B23B-4321-98A7-66A88E0CCF5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3003"/>
    <xdr:sp macro="" textlink="">
      <xdr:nvSpPr>
        <xdr:cNvPr id="275" name="AutoShape 1" descr="Bristol Bears">
          <a:extLst>
            <a:ext uri="{FF2B5EF4-FFF2-40B4-BE49-F238E27FC236}">
              <a16:creationId xmlns:a16="http://schemas.microsoft.com/office/drawing/2014/main" id="{609464A9-EA88-4A09-8602-C1B0570300D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3002"/>
    <xdr:sp macro="" textlink="">
      <xdr:nvSpPr>
        <xdr:cNvPr id="276" name="AutoShape 2" descr="Exeter Chiefs">
          <a:extLst>
            <a:ext uri="{FF2B5EF4-FFF2-40B4-BE49-F238E27FC236}">
              <a16:creationId xmlns:a16="http://schemas.microsoft.com/office/drawing/2014/main" id="{1B4A0C46-82AB-4640-9F6E-9E3F5882CA4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3003"/>
    <xdr:sp macro="" textlink="">
      <xdr:nvSpPr>
        <xdr:cNvPr id="277" name="AutoShape 3" descr="Harlequins">
          <a:extLst>
            <a:ext uri="{FF2B5EF4-FFF2-40B4-BE49-F238E27FC236}">
              <a16:creationId xmlns:a16="http://schemas.microsoft.com/office/drawing/2014/main" id="{0340ECB3-8369-4D1A-B25D-C2D06FE470C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3003"/>
    <xdr:sp macro="" textlink="">
      <xdr:nvSpPr>
        <xdr:cNvPr id="278" name="AutoShape 4" descr="Sale Sharks">
          <a:extLst>
            <a:ext uri="{FF2B5EF4-FFF2-40B4-BE49-F238E27FC236}">
              <a16:creationId xmlns:a16="http://schemas.microsoft.com/office/drawing/2014/main" id="{CFD8F0F9-A435-4B59-9410-A633805BF76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3003"/>
    <xdr:sp macro="" textlink="">
      <xdr:nvSpPr>
        <xdr:cNvPr id="279" name="AutoShape 5" descr="Northampton Saints">
          <a:extLst>
            <a:ext uri="{FF2B5EF4-FFF2-40B4-BE49-F238E27FC236}">
              <a16:creationId xmlns:a16="http://schemas.microsoft.com/office/drawing/2014/main" id="{31CC3A72-1AB7-4ABF-BC29-40769B266C6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3003"/>
    <xdr:sp macro="" textlink="">
      <xdr:nvSpPr>
        <xdr:cNvPr id="280" name="AutoShape 6" descr="London Irish">
          <a:extLst>
            <a:ext uri="{FF2B5EF4-FFF2-40B4-BE49-F238E27FC236}">
              <a16:creationId xmlns:a16="http://schemas.microsoft.com/office/drawing/2014/main" id="{F515DF73-185D-403D-BA67-BDA95375632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3003"/>
    <xdr:sp macro="" textlink="">
      <xdr:nvSpPr>
        <xdr:cNvPr id="281" name="AutoShape 7" descr="Leicester Tigers">
          <a:extLst>
            <a:ext uri="{FF2B5EF4-FFF2-40B4-BE49-F238E27FC236}">
              <a16:creationId xmlns:a16="http://schemas.microsoft.com/office/drawing/2014/main" id="{874581C6-8318-4D79-BD1A-BBCB5CEE83A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0</xdr:rowOff>
    </xdr:from>
    <xdr:ext cx="304800" cy="303003"/>
    <xdr:sp macro="" textlink="">
      <xdr:nvSpPr>
        <xdr:cNvPr id="282" name="AutoShape 8" descr="Newcastle Falcons">
          <a:extLst>
            <a:ext uri="{FF2B5EF4-FFF2-40B4-BE49-F238E27FC236}">
              <a16:creationId xmlns:a16="http://schemas.microsoft.com/office/drawing/2014/main" id="{0D24343C-B18A-4255-92B1-9D800618736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19050</xdr:rowOff>
    </xdr:from>
    <xdr:ext cx="295275" cy="303003"/>
    <xdr:sp macro="" textlink="">
      <xdr:nvSpPr>
        <xdr:cNvPr id="283" name="AutoShape 9" descr="Bath Rugby">
          <a:extLst>
            <a:ext uri="{FF2B5EF4-FFF2-40B4-BE49-F238E27FC236}">
              <a16:creationId xmlns:a16="http://schemas.microsoft.com/office/drawing/2014/main" id="{3C353B23-3515-4E9A-88BB-08DDD4C5F237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51171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56</xdr:row>
      <xdr:rowOff>0</xdr:rowOff>
    </xdr:from>
    <xdr:ext cx="304800" cy="303002"/>
    <xdr:sp macro="" textlink="">
      <xdr:nvSpPr>
        <xdr:cNvPr id="284" name="AutoShape 10" descr="Wasps">
          <a:extLst>
            <a:ext uri="{FF2B5EF4-FFF2-40B4-BE49-F238E27FC236}">
              <a16:creationId xmlns:a16="http://schemas.microsoft.com/office/drawing/2014/main" id="{6A9CB22D-6921-4F13-BB24-73CB5787F61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721168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85" name="AutoShape 1" descr="Bristol Bears">
          <a:extLst>
            <a:ext uri="{FF2B5EF4-FFF2-40B4-BE49-F238E27FC236}">
              <a16:creationId xmlns:a16="http://schemas.microsoft.com/office/drawing/2014/main" id="{0CA87E51-D332-42EB-BD32-B65C9A6DCBE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2284"/>
    <xdr:sp macro="" textlink="">
      <xdr:nvSpPr>
        <xdr:cNvPr id="286" name="AutoShape 2" descr="Exeter Chiefs">
          <a:extLst>
            <a:ext uri="{FF2B5EF4-FFF2-40B4-BE49-F238E27FC236}">
              <a16:creationId xmlns:a16="http://schemas.microsoft.com/office/drawing/2014/main" id="{F24A86F9-EBD9-4865-99A3-2332BD48A9F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2284"/>
    <xdr:sp macro="" textlink="">
      <xdr:nvSpPr>
        <xdr:cNvPr id="287" name="AutoShape 3" descr="Harlequins">
          <a:extLst>
            <a:ext uri="{FF2B5EF4-FFF2-40B4-BE49-F238E27FC236}">
              <a16:creationId xmlns:a16="http://schemas.microsoft.com/office/drawing/2014/main" id="{D8B214AB-C348-4F07-9889-81C94E4D7CA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2284"/>
    <xdr:sp macro="" textlink="">
      <xdr:nvSpPr>
        <xdr:cNvPr id="288" name="AutoShape 4" descr="Sale Sharks">
          <a:extLst>
            <a:ext uri="{FF2B5EF4-FFF2-40B4-BE49-F238E27FC236}">
              <a16:creationId xmlns:a16="http://schemas.microsoft.com/office/drawing/2014/main" id="{CF569DB5-6F15-4F8A-AED8-61BBC78FF227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2284"/>
    <xdr:sp macro="" textlink="">
      <xdr:nvSpPr>
        <xdr:cNvPr id="289" name="AutoShape 5" descr="Northampton Saints">
          <a:extLst>
            <a:ext uri="{FF2B5EF4-FFF2-40B4-BE49-F238E27FC236}">
              <a16:creationId xmlns:a16="http://schemas.microsoft.com/office/drawing/2014/main" id="{BEBF9E01-6FD2-46BF-A6C9-E66E8653955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2284"/>
    <xdr:sp macro="" textlink="">
      <xdr:nvSpPr>
        <xdr:cNvPr id="290" name="AutoShape 6" descr="London Irish">
          <a:extLst>
            <a:ext uri="{FF2B5EF4-FFF2-40B4-BE49-F238E27FC236}">
              <a16:creationId xmlns:a16="http://schemas.microsoft.com/office/drawing/2014/main" id="{EA0ECBC1-A75B-4A28-85A8-F4A2DA94664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2284"/>
    <xdr:sp macro="" textlink="">
      <xdr:nvSpPr>
        <xdr:cNvPr id="291" name="AutoShape 7" descr="Leicester Tigers">
          <a:extLst>
            <a:ext uri="{FF2B5EF4-FFF2-40B4-BE49-F238E27FC236}">
              <a16:creationId xmlns:a16="http://schemas.microsoft.com/office/drawing/2014/main" id="{43F2F968-31E9-4715-9477-E4E02D15419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0</xdr:rowOff>
    </xdr:from>
    <xdr:ext cx="304800" cy="302284"/>
    <xdr:sp macro="" textlink="">
      <xdr:nvSpPr>
        <xdr:cNvPr id="292" name="AutoShape 8" descr="Newcastle Falcons">
          <a:extLst>
            <a:ext uri="{FF2B5EF4-FFF2-40B4-BE49-F238E27FC236}">
              <a16:creationId xmlns:a16="http://schemas.microsoft.com/office/drawing/2014/main" id="{26FD5B55-1742-4208-A402-A71795066D4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49</xdr:row>
      <xdr:rowOff>19050</xdr:rowOff>
    </xdr:from>
    <xdr:ext cx="298150" cy="302284"/>
    <xdr:sp macro="" textlink="">
      <xdr:nvSpPr>
        <xdr:cNvPr id="293" name="AutoShape 9" descr="Bath Rugby">
          <a:extLst>
            <a:ext uri="{FF2B5EF4-FFF2-40B4-BE49-F238E27FC236}">
              <a16:creationId xmlns:a16="http://schemas.microsoft.com/office/drawing/2014/main" id="{4CA36521-6C1A-4F71-8705-6631F03F1785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5902265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51759</xdr:colOff>
      <xdr:row>55</xdr:row>
      <xdr:rowOff>181156</xdr:rowOff>
    </xdr:from>
    <xdr:ext cx="304800" cy="302284"/>
    <xdr:sp macro="" textlink="">
      <xdr:nvSpPr>
        <xdr:cNvPr id="294" name="AutoShape 10" descr="Wasps">
          <a:extLst>
            <a:ext uri="{FF2B5EF4-FFF2-40B4-BE49-F238E27FC236}">
              <a16:creationId xmlns:a16="http://schemas.microsoft.com/office/drawing/2014/main" id="{F0F06B77-936B-4DCF-9538-467D7DB38C61}"/>
            </a:ext>
          </a:extLst>
        </xdr:cNvPr>
        <xdr:cNvSpPr>
          <a:spLocks noChangeAspect="1" noChangeArrowheads="1"/>
        </xdr:cNvSpPr>
      </xdr:nvSpPr>
      <xdr:spPr bwMode="auto">
        <a:xfrm>
          <a:off x="14578642" y="72030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10911"/>
    <xdr:sp macro="" textlink="">
      <xdr:nvSpPr>
        <xdr:cNvPr id="295" name="AutoShape 1" descr="Bristol Bears">
          <a:extLst>
            <a:ext uri="{FF2B5EF4-FFF2-40B4-BE49-F238E27FC236}">
              <a16:creationId xmlns:a16="http://schemas.microsoft.com/office/drawing/2014/main" id="{B3EDFF3D-7C59-4E37-8741-E8ADFF30752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34505</xdr:colOff>
      <xdr:row>47</xdr:row>
      <xdr:rowOff>17252</xdr:rowOff>
    </xdr:from>
    <xdr:ext cx="304800" cy="310910"/>
    <xdr:sp macro="" textlink="">
      <xdr:nvSpPr>
        <xdr:cNvPr id="296" name="AutoShape 2" descr="Exeter Chiefs">
          <a:extLst>
            <a:ext uri="{FF2B5EF4-FFF2-40B4-BE49-F238E27FC236}">
              <a16:creationId xmlns:a16="http://schemas.microsoft.com/office/drawing/2014/main" id="{2EC51F9F-9704-49B6-AE82-9B888FF0289E}"/>
            </a:ext>
          </a:extLst>
        </xdr:cNvPr>
        <xdr:cNvSpPr>
          <a:spLocks noChangeAspect="1" noChangeArrowheads="1"/>
        </xdr:cNvSpPr>
      </xdr:nvSpPr>
      <xdr:spPr bwMode="auto">
        <a:xfrm>
          <a:off x="14561388" y="5520905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492065"/>
    <xdr:sp macro="" textlink="">
      <xdr:nvSpPr>
        <xdr:cNvPr id="297" name="AutoShape 3" descr="Harlequins">
          <a:extLst>
            <a:ext uri="{FF2B5EF4-FFF2-40B4-BE49-F238E27FC236}">
              <a16:creationId xmlns:a16="http://schemas.microsoft.com/office/drawing/2014/main" id="{A6AAF091-E79A-44E5-AB5A-0353D066897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10911"/>
    <xdr:sp macro="" textlink="">
      <xdr:nvSpPr>
        <xdr:cNvPr id="298" name="AutoShape 4" descr="Sale Sharks">
          <a:extLst>
            <a:ext uri="{FF2B5EF4-FFF2-40B4-BE49-F238E27FC236}">
              <a16:creationId xmlns:a16="http://schemas.microsoft.com/office/drawing/2014/main" id="{F9DC31BF-A8F4-4C7D-96C6-3419367A1FB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492065"/>
    <xdr:sp macro="" textlink="">
      <xdr:nvSpPr>
        <xdr:cNvPr id="299" name="AutoShape 5" descr="Northampton Saints">
          <a:extLst>
            <a:ext uri="{FF2B5EF4-FFF2-40B4-BE49-F238E27FC236}">
              <a16:creationId xmlns:a16="http://schemas.microsoft.com/office/drawing/2014/main" id="{B3791672-DD7C-48B4-8916-7608C693296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492064"/>
    <xdr:sp macro="" textlink="">
      <xdr:nvSpPr>
        <xdr:cNvPr id="300" name="AutoShape 6" descr="London Irish">
          <a:extLst>
            <a:ext uri="{FF2B5EF4-FFF2-40B4-BE49-F238E27FC236}">
              <a16:creationId xmlns:a16="http://schemas.microsoft.com/office/drawing/2014/main" id="{BC29EA5D-657E-4719-A9DD-B7C387E4BC8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492066"/>
    <xdr:sp macro="" textlink="">
      <xdr:nvSpPr>
        <xdr:cNvPr id="301" name="AutoShape 7" descr="Leicester Tigers">
          <a:extLst>
            <a:ext uri="{FF2B5EF4-FFF2-40B4-BE49-F238E27FC236}">
              <a16:creationId xmlns:a16="http://schemas.microsoft.com/office/drawing/2014/main" id="{C9A60723-1A87-49BD-AB29-F6EB578C36A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0</xdr:rowOff>
    </xdr:from>
    <xdr:ext cx="304800" cy="492065"/>
    <xdr:sp macro="" textlink="">
      <xdr:nvSpPr>
        <xdr:cNvPr id="302" name="AutoShape 8" descr="Newcastle Falcons">
          <a:extLst>
            <a:ext uri="{FF2B5EF4-FFF2-40B4-BE49-F238E27FC236}">
              <a16:creationId xmlns:a16="http://schemas.microsoft.com/office/drawing/2014/main" id="{368E98EB-D3A9-4F40-86F7-FFB23E20973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55</xdr:row>
      <xdr:rowOff>19050</xdr:rowOff>
    </xdr:from>
    <xdr:ext cx="298150" cy="310910"/>
    <xdr:sp macro="" textlink="">
      <xdr:nvSpPr>
        <xdr:cNvPr id="303" name="AutoShape 9" descr="Bath Rugby">
          <a:extLst>
            <a:ext uri="{FF2B5EF4-FFF2-40B4-BE49-F238E27FC236}">
              <a16:creationId xmlns:a16="http://schemas.microsoft.com/office/drawing/2014/main" id="{44E05A0D-97CB-48D0-BEC0-BDF1F43BF01E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7040952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79</xdr:row>
      <xdr:rowOff>0</xdr:rowOff>
    </xdr:from>
    <xdr:ext cx="304800" cy="303002"/>
    <xdr:sp macro="" textlink="">
      <xdr:nvSpPr>
        <xdr:cNvPr id="304" name="AutoShape 10" descr="Wasps">
          <a:extLst>
            <a:ext uri="{FF2B5EF4-FFF2-40B4-BE49-F238E27FC236}">
              <a16:creationId xmlns:a16="http://schemas.microsoft.com/office/drawing/2014/main" id="{A53BFB20-FF40-4521-B4D2-3CE14A77A798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062774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99</xdr:row>
      <xdr:rowOff>0</xdr:rowOff>
    </xdr:from>
    <xdr:ext cx="304800" cy="303002"/>
    <xdr:sp macro="" textlink="">
      <xdr:nvSpPr>
        <xdr:cNvPr id="305" name="AutoShape 10" descr="Wasps">
          <a:extLst>
            <a:ext uri="{FF2B5EF4-FFF2-40B4-BE49-F238E27FC236}">
              <a16:creationId xmlns:a16="http://schemas.microsoft.com/office/drawing/2014/main" id="{85F87EC5-D7FC-4840-B53E-4E380365E13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062774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75</xdr:row>
      <xdr:rowOff>0</xdr:rowOff>
    </xdr:from>
    <xdr:ext cx="304800" cy="303002"/>
    <xdr:sp macro="" textlink="">
      <xdr:nvSpPr>
        <xdr:cNvPr id="306" name="AutoShape 10" descr="Wasps">
          <a:extLst>
            <a:ext uri="{FF2B5EF4-FFF2-40B4-BE49-F238E27FC236}">
              <a16:creationId xmlns:a16="http://schemas.microsoft.com/office/drawing/2014/main" id="{B4ACB916-5B7F-4597-BA24-4D0D656325DC}"/>
            </a:ext>
          </a:extLst>
        </xdr:cNvPr>
        <xdr:cNvSpPr>
          <a:spLocks noChangeAspect="1" noChangeArrowheads="1"/>
        </xdr:cNvSpPr>
      </xdr:nvSpPr>
      <xdr:spPr bwMode="auto">
        <a:xfrm>
          <a:off x="10852030" y="17175192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46</xdr:row>
      <xdr:rowOff>8627</xdr:rowOff>
    </xdr:from>
    <xdr:to>
      <xdr:col>3</xdr:col>
      <xdr:colOff>42521</xdr:colOff>
      <xdr:row>53</xdr:row>
      <xdr:rowOff>120159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E5376108-705E-411C-B8DB-457E0060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1842"/>
          <a:ext cx="1440000" cy="1440000"/>
        </a:xfrm>
        <a:prstGeom prst="rect">
          <a:avLst/>
        </a:prstGeom>
      </xdr:spPr>
    </xdr:pic>
    <xdr:clientData/>
  </xdr:twoCellAnchor>
  <xdr:oneCellAnchor>
    <xdr:from>
      <xdr:col>37</xdr:col>
      <xdr:colOff>173428</xdr:colOff>
      <xdr:row>77</xdr:row>
      <xdr:rowOff>33606</xdr:rowOff>
    </xdr:from>
    <xdr:ext cx="303002" cy="304800"/>
    <xdr:sp macro="" textlink="">
      <xdr:nvSpPr>
        <xdr:cNvPr id="308" name="AutoShape 10" descr="Wasps">
          <a:extLst>
            <a:ext uri="{FF2B5EF4-FFF2-40B4-BE49-F238E27FC236}">
              <a16:creationId xmlns:a16="http://schemas.microsoft.com/office/drawing/2014/main" id="{3BB61C18-A0F5-4C68-9BCF-EF2FDC6E2279}"/>
            </a:ext>
          </a:extLst>
        </xdr:cNvPr>
        <xdr:cNvSpPr>
          <a:spLocks noChangeAspect="1" noChangeArrowheads="1"/>
        </xdr:cNvSpPr>
      </xdr:nvSpPr>
      <xdr:spPr bwMode="auto">
        <a:xfrm rot="15247903">
          <a:off x="13828144" y="1212011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43</xdr:col>
      <xdr:colOff>0</xdr:colOff>
      <xdr:row>0</xdr:row>
      <xdr:rowOff>0</xdr:rowOff>
    </xdr:from>
    <xdr:to>
      <xdr:col>45</xdr:col>
      <xdr:colOff>197796</xdr:colOff>
      <xdr:row>7</xdr:row>
      <xdr:rowOff>111532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4D4BFE30-EC26-4E3A-89DE-7D9082F67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5842" y="0"/>
          <a:ext cx="1440000" cy="14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309940</xdr:colOff>
      <xdr:row>32</xdr:row>
      <xdr:rowOff>111532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D40BA4-399C-42DB-8760-3A24758DE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496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19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32A307-3886-495D-A145-21F7CC99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5328" y="0"/>
          <a:ext cx="1440000" cy="14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8626</xdr:rowOff>
    </xdr:from>
    <xdr:to>
      <xdr:col>2</xdr:col>
      <xdr:colOff>542853</xdr:colOff>
      <xdr:row>35</xdr:row>
      <xdr:rowOff>180543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E28920-EFE0-C172-5CC9-AECD4040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48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51</xdr:col>
      <xdr:colOff>0</xdr:colOff>
      <xdr:row>0</xdr:row>
      <xdr:rowOff>0</xdr:rowOff>
    </xdr:from>
    <xdr:to>
      <xdr:col>53</xdr:col>
      <xdr:colOff>197796</xdr:colOff>
      <xdr:row>7</xdr:row>
      <xdr:rowOff>111532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A9264-825C-4CEF-A998-19B6250DA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3192" y="0"/>
          <a:ext cx="1440000" cy="14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2</xdr:col>
      <xdr:colOff>542853</xdr:colOff>
      <xdr:row>30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5A2A4-A820-437C-AF3E-CA622EE0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0075"/>
          <a:ext cx="1440000" cy="14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Ade%20Hill/Documents/BT%20PREMIERSHIP/Season%202018-19/Prem%2018-19%20Results%20&amp;%20Tables.xlsx" TargetMode="External"/><Relationship Id="rId1" Type="http://schemas.openxmlformats.org/officeDocument/2006/relationships/externalLinkPath" Target="/Users/Ade%20Hill/Documents/BT%20PREMIERSHIP/Season%202018-19/Prem%2018-19%20Results%20&amp;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Ade%20Hill/Documents/BT%20PREMIERSHIP/2016-17%20Season/Prem%20Club%20by%20Club%20Results%20&amp;%20Tables%202016-17.xlsx" TargetMode="External"/><Relationship Id="rId1" Type="http://schemas.openxmlformats.org/officeDocument/2006/relationships/externalLinkPath" Target="/Users/Ade%20Hill/Documents/BT%20PREMIERSHIP/2016-17%20Season/Prem%20Club%20by%20Club%20Results%20&amp;%20Tables%202016-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T%20PREMIERSHIP/2015-16%20Season/Prem%20Club%20by%20Club%20Results%20&amp;%20Tables%202015-16.xlsx" TargetMode="External"/><Relationship Id="rId1" Type="http://schemas.openxmlformats.org/officeDocument/2006/relationships/externalLinkPath" Target="/BT%20PREMIERSHIP/2015-16%20Season/Prem%20Club%20by%20Club%20Results%20&amp;%20Tables%202015-16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REM/Season%202024-25/Prem%2024-25%20Results%20%5eLL0%20Tables.xlsx" TargetMode="External"/><Relationship Id="rId2" Type="http://schemas.openxmlformats.org/officeDocument/2006/relationships/externalLinkPath" Target="https://d.docs.live.net/97d62a7607d3ee9b/Hillsport%20Media/PREM/Season%202024-25/Prem%2024-25%20Results%20%5eLL0%20Tables.xlsx" TargetMode="External"/><Relationship Id="rId1" Type="http://schemas.openxmlformats.org/officeDocument/2006/relationships/externalLinkPath" Target="/97d62a7607d3ee9b/Hillsport%20Media/PREM/Season%202024-25/Prem%2024-25%20Results%20%5eLL0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"/>
      <sheetName val="Yr-By-Yr"/>
      <sheetName val="18-19 Sum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>
        <row r="3">
          <cell r="B3">
            <v>494</v>
          </cell>
          <cell r="C3">
            <v>275</v>
          </cell>
          <cell r="D3">
            <v>212</v>
          </cell>
          <cell r="E3">
            <v>19</v>
          </cell>
          <cell r="G3">
            <v>11071</v>
          </cell>
          <cell r="H3">
            <v>9789</v>
          </cell>
          <cell r="J3">
            <v>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F37">
            <v>481</v>
          </cell>
          <cell r="G37">
            <v>480</v>
          </cell>
          <cell r="J37">
            <v>52</v>
          </cell>
          <cell r="L37">
            <v>2</v>
          </cell>
          <cell r="N37">
            <v>11</v>
          </cell>
          <cell r="O37">
            <v>1</v>
          </cell>
          <cell r="R37">
            <v>54</v>
          </cell>
          <cell r="Y37">
            <v>22</v>
          </cell>
          <cell r="AB37">
            <v>10</v>
          </cell>
        </row>
      </sheetData>
      <sheetData sheetId="9">
        <row r="36">
          <cell r="H36">
            <v>6</v>
          </cell>
          <cell r="L36">
            <v>0</v>
          </cell>
          <cell r="P36">
            <v>10</v>
          </cell>
        </row>
        <row r="38">
          <cell r="F38">
            <v>503</v>
          </cell>
          <cell r="G38">
            <v>580</v>
          </cell>
          <cell r="J38">
            <v>55</v>
          </cell>
          <cell r="L38">
            <v>0</v>
          </cell>
          <cell r="N38">
            <v>7</v>
          </cell>
          <cell r="O38">
            <v>1</v>
          </cell>
          <cell r="R38">
            <v>74</v>
          </cell>
          <cell r="Y38">
            <v>22</v>
          </cell>
          <cell r="Z38">
            <v>9</v>
          </cell>
          <cell r="AA38">
            <v>1</v>
          </cell>
          <cell r="AB38">
            <v>12</v>
          </cell>
        </row>
      </sheetData>
      <sheetData sheetId="10">
        <row r="37">
          <cell r="H37">
            <v>14</v>
          </cell>
          <cell r="P37">
            <v>6</v>
          </cell>
          <cell r="AA37">
            <v>0</v>
          </cell>
        </row>
        <row r="39">
          <cell r="F39">
            <v>706</v>
          </cell>
          <cell r="G39">
            <v>487</v>
          </cell>
          <cell r="J39">
            <v>100</v>
          </cell>
          <cell r="L39">
            <v>0</v>
          </cell>
          <cell r="N39">
            <v>8</v>
          </cell>
          <cell r="O39">
            <v>0</v>
          </cell>
          <cell r="R39">
            <v>58</v>
          </cell>
          <cell r="Y39">
            <v>24</v>
          </cell>
          <cell r="Z39">
            <v>18</v>
          </cell>
          <cell r="AB39">
            <v>6</v>
          </cell>
        </row>
      </sheetData>
      <sheetData sheetId="11">
        <row r="36">
          <cell r="H36">
            <v>10</v>
          </cell>
          <cell r="P36">
            <v>6</v>
          </cell>
        </row>
        <row r="38">
          <cell r="F38">
            <v>606</v>
          </cell>
          <cell r="G38">
            <v>559</v>
          </cell>
          <cell r="J38">
            <v>78</v>
          </cell>
          <cell r="L38">
            <v>0</v>
          </cell>
          <cell r="N38">
            <v>8</v>
          </cell>
          <cell r="O38">
            <v>0</v>
          </cell>
          <cell r="R38">
            <v>66</v>
          </cell>
          <cell r="Y38">
            <v>23</v>
          </cell>
          <cell r="Z38">
            <v>13</v>
          </cell>
          <cell r="AA38">
            <v>1</v>
          </cell>
          <cell r="AB38">
            <v>9</v>
          </cell>
        </row>
      </sheetData>
      <sheetData sheetId="12">
        <row r="37">
          <cell r="H37">
            <v>7</v>
          </cell>
          <cell r="P37">
            <v>6</v>
          </cell>
        </row>
        <row r="39">
          <cell r="F39">
            <v>544</v>
          </cell>
          <cell r="G39">
            <v>528</v>
          </cell>
          <cell r="J39">
            <v>63</v>
          </cell>
          <cell r="L39">
            <v>0</v>
          </cell>
          <cell r="N39">
            <v>13</v>
          </cell>
          <cell r="O39">
            <v>0</v>
          </cell>
          <cell r="R39">
            <v>56</v>
          </cell>
          <cell r="Y39">
            <v>22</v>
          </cell>
          <cell r="Z39">
            <v>10</v>
          </cell>
          <cell r="AA39">
            <v>0</v>
          </cell>
          <cell r="AB39">
            <v>12</v>
          </cell>
        </row>
      </sheetData>
      <sheetData sheetId="13">
        <row r="35">
          <cell r="H35">
            <v>5</v>
          </cell>
          <cell r="P35">
            <v>10</v>
          </cell>
        </row>
        <row r="37">
          <cell r="F37">
            <v>478</v>
          </cell>
          <cell r="G37">
            <v>632</v>
          </cell>
          <cell r="J37">
            <v>47</v>
          </cell>
          <cell r="L37">
            <v>0</v>
          </cell>
          <cell r="N37">
            <v>7</v>
          </cell>
          <cell r="O37">
            <v>4</v>
          </cell>
          <cell r="R37">
            <v>81</v>
          </cell>
          <cell r="Y37">
            <v>22</v>
          </cell>
          <cell r="Z37">
            <v>7</v>
          </cell>
          <cell r="AA37">
            <v>0</v>
          </cell>
          <cell r="AB37">
            <v>15</v>
          </cell>
        </row>
      </sheetData>
      <sheetData sheetId="14">
        <row r="36">
          <cell r="H36">
            <v>1</v>
          </cell>
          <cell r="P36">
            <v>9</v>
          </cell>
          <cell r="AA36">
            <v>0</v>
          </cell>
        </row>
        <row r="38">
          <cell r="F38">
            <v>395</v>
          </cell>
          <cell r="G38">
            <v>541</v>
          </cell>
          <cell r="J38">
            <v>43</v>
          </cell>
          <cell r="L38">
            <v>0</v>
          </cell>
          <cell r="N38">
            <v>9</v>
          </cell>
          <cell r="O38">
            <v>0</v>
          </cell>
          <cell r="R38">
            <v>66</v>
          </cell>
          <cell r="Y38">
            <v>22</v>
          </cell>
          <cell r="Z38">
            <v>6</v>
          </cell>
          <cell r="AB38">
            <v>16</v>
          </cell>
        </row>
      </sheetData>
      <sheetData sheetId="15">
        <row r="40">
          <cell r="H40">
            <v>8</v>
          </cell>
          <cell r="P40">
            <v>7</v>
          </cell>
        </row>
        <row r="42">
          <cell r="F42">
            <v>602</v>
          </cell>
          <cell r="G42">
            <v>563</v>
          </cell>
          <cell r="J42">
            <v>75</v>
          </cell>
          <cell r="L42">
            <v>0</v>
          </cell>
          <cell r="R42">
            <v>68</v>
          </cell>
          <cell r="Y42">
            <v>23</v>
          </cell>
          <cell r="Z42">
            <v>11</v>
          </cell>
          <cell r="AA42">
            <v>0</v>
          </cell>
          <cell r="AB42">
            <v>12</v>
          </cell>
        </row>
      </sheetData>
      <sheetData sheetId="16">
        <row r="37">
          <cell r="F37">
            <v>462</v>
          </cell>
          <cell r="G37">
            <v>504</v>
          </cell>
          <cell r="H37">
            <v>3</v>
          </cell>
          <cell r="P37">
            <v>7</v>
          </cell>
        </row>
        <row r="39">
          <cell r="J39">
            <v>52</v>
          </cell>
          <cell r="L39">
            <v>0</v>
          </cell>
          <cell r="N39">
            <v>6</v>
          </cell>
          <cell r="O39">
            <v>0</v>
          </cell>
          <cell r="R39">
            <v>62</v>
          </cell>
          <cell r="Y39">
            <v>22</v>
          </cell>
          <cell r="Z39">
            <v>11</v>
          </cell>
          <cell r="AA39">
            <v>2</v>
          </cell>
          <cell r="AB39">
            <v>9</v>
          </cell>
        </row>
      </sheetData>
      <sheetData sheetId="17">
        <row r="42">
          <cell r="H42">
            <v>10</v>
          </cell>
          <cell r="P42">
            <v>2</v>
          </cell>
        </row>
        <row r="44">
          <cell r="F44">
            <v>725</v>
          </cell>
          <cell r="G44">
            <v>493</v>
          </cell>
          <cell r="J44">
            <v>88</v>
          </cell>
          <cell r="L44">
            <v>0</v>
          </cell>
          <cell r="N44">
            <v>18</v>
          </cell>
          <cell r="O44">
            <v>0</v>
          </cell>
          <cell r="R44">
            <v>52</v>
          </cell>
          <cell r="Y44">
            <v>24</v>
          </cell>
          <cell r="Z44">
            <v>18</v>
          </cell>
          <cell r="AA44">
            <v>0</v>
          </cell>
          <cell r="AB44">
            <v>6</v>
          </cell>
        </row>
      </sheetData>
      <sheetData sheetId="18">
        <row r="35">
          <cell r="H35">
            <v>7</v>
          </cell>
          <cell r="P35">
            <v>6</v>
          </cell>
        </row>
        <row r="37">
          <cell r="F37">
            <v>483</v>
          </cell>
          <cell r="G37">
            <v>552</v>
          </cell>
          <cell r="J37">
            <v>56</v>
          </cell>
          <cell r="L37">
            <v>0</v>
          </cell>
          <cell r="N37">
            <v>8</v>
          </cell>
          <cell r="O37">
            <v>0</v>
          </cell>
          <cell r="R37">
            <v>62</v>
          </cell>
          <cell r="Y37">
            <v>22</v>
          </cell>
          <cell r="Z37">
            <v>10</v>
          </cell>
          <cell r="AA37">
            <v>0</v>
          </cell>
          <cell r="AB37">
            <v>12</v>
          </cell>
        </row>
      </sheetData>
      <sheetData sheetId="19">
        <row r="37">
          <cell r="H37">
            <v>6</v>
          </cell>
          <cell r="P37">
            <v>7</v>
          </cell>
        </row>
        <row r="39">
          <cell r="F39">
            <v>491</v>
          </cell>
          <cell r="G39">
            <v>557</v>
          </cell>
          <cell r="J39">
            <v>56</v>
          </cell>
          <cell r="L39">
            <v>0</v>
          </cell>
          <cell r="N39">
            <v>8</v>
          </cell>
          <cell r="O39">
            <v>1</v>
          </cell>
          <cell r="R39">
            <v>66</v>
          </cell>
          <cell r="Y39">
            <v>22</v>
          </cell>
          <cell r="Z39">
            <v>9</v>
          </cell>
          <cell r="AA39">
            <v>0</v>
          </cell>
          <cell r="AB3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"/>
      <sheetName val="Yr-By-Yr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N35">
            <v>10</v>
          </cell>
          <cell r="O35">
            <v>1</v>
          </cell>
        </row>
      </sheetData>
      <sheetData sheetId="9">
        <row r="39">
          <cell r="N39">
            <v>5</v>
          </cell>
          <cell r="O39">
            <v>2</v>
          </cell>
        </row>
      </sheetData>
      <sheetData sheetId="10">
        <row r="40">
          <cell r="N40">
            <v>2</v>
          </cell>
          <cell r="O40">
            <v>0</v>
          </cell>
        </row>
      </sheetData>
      <sheetData sheetId="11"/>
      <sheetData sheetId="12">
        <row r="39">
          <cell r="N39">
            <v>12</v>
          </cell>
          <cell r="O39">
            <v>0</v>
          </cell>
        </row>
      </sheetData>
      <sheetData sheetId="13">
        <row r="37">
          <cell r="N37">
            <v>13</v>
          </cell>
          <cell r="O37">
            <v>1</v>
          </cell>
        </row>
      </sheetData>
      <sheetData sheetId="14">
        <row r="37">
          <cell r="N37">
            <v>10</v>
          </cell>
          <cell r="O37">
            <v>2</v>
          </cell>
        </row>
      </sheetData>
      <sheetData sheetId="15"/>
      <sheetData sheetId="16">
        <row r="42">
          <cell r="N42">
            <v>0</v>
          </cell>
          <cell r="O42">
            <v>0</v>
          </cell>
        </row>
      </sheetData>
      <sheetData sheetId="17">
        <row r="40">
          <cell r="N40">
            <v>3</v>
          </cell>
          <cell r="O40">
            <v>0</v>
          </cell>
        </row>
      </sheetData>
      <sheetData sheetId="18">
        <row r="35">
          <cell r="N35">
            <v>9</v>
          </cell>
          <cell r="O35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Yr-By-Yr"/>
      <sheetName val="Cards"/>
      <sheetName val="Team Stats"/>
      <sheetName val="Form"/>
      <sheetName val="Table"/>
      <sheetName val="Results"/>
      <sheetName val="BTH"/>
      <sheetName val="EXE"/>
      <sheetName val="GLO"/>
      <sheetName val="HAR"/>
      <sheetName val="LEI"/>
      <sheetName val="LIR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AB36">
            <v>1</v>
          </cell>
        </row>
      </sheetData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"/>
      <sheetName val="Yr-By-Yr"/>
      <sheetName val="24-25 Sum"/>
      <sheetName val="Cards"/>
      <sheetName val="Form"/>
      <sheetName val="Stats"/>
      <sheetName val="Table"/>
      <sheetName val="Results"/>
      <sheetName val="Prm Cup Cards"/>
      <sheetName val="Prm Cup Stats"/>
      <sheetName val="Prm Cup Tables"/>
      <sheetName val="BTH"/>
      <sheetName val="BRI"/>
      <sheetName val="EXE"/>
      <sheetName val="GLO"/>
      <sheetName val="HAR"/>
      <sheetName val="LEI"/>
      <sheetName val="NEW"/>
      <sheetName val="NOR"/>
      <sheetName val="SAL"/>
      <sheetName val="SAR"/>
      <sheetName val="BED"/>
      <sheetName val="DON"/>
      <sheetName val="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8">
          <cell r="H38">
            <v>10</v>
          </cell>
        </row>
      </sheetData>
      <sheetData sheetId="19" refreshError="1"/>
      <sheetData sheetId="20">
        <row r="34">
          <cell r="H34">
            <v>12</v>
          </cell>
          <cell r="J34">
            <v>74</v>
          </cell>
          <cell r="P34">
            <v>10</v>
          </cell>
          <cell r="R34">
            <v>67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4"/>
  <sheetViews>
    <sheetView tabSelected="1" workbookViewId="0">
      <selection activeCell="I12" sqref="I12"/>
    </sheetView>
  </sheetViews>
  <sheetFormatPr defaultRowHeight="14.3" x14ac:dyDescent="0.25"/>
  <cols>
    <col min="2" max="2" width="9.75" bestFit="1" customWidth="1"/>
    <col min="3" max="3" width="3.875" bestFit="1" customWidth="1"/>
    <col min="4" max="4" width="3.875" customWidth="1"/>
    <col min="5" max="5" width="11.5" bestFit="1" customWidth="1"/>
    <col min="6" max="6" width="3" bestFit="1" customWidth="1"/>
    <col min="7" max="7" width="2.875" bestFit="1" customWidth="1"/>
    <col min="8" max="8" width="30.5" bestFit="1" customWidth="1"/>
    <col min="9" max="9" width="40.625" bestFit="1" customWidth="1"/>
    <col min="10" max="11" width="10.125" bestFit="1" customWidth="1"/>
  </cols>
  <sheetData>
    <row r="1" spans="1:11" x14ac:dyDescent="0.25">
      <c r="A1" s="196">
        <v>46061</v>
      </c>
      <c r="B1" t="s">
        <v>414</v>
      </c>
      <c r="C1">
        <v>15</v>
      </c>
      <c r="D1">
        <v>15</v>
      </c>
      <c r="E1" t="s">
        <v>415</v>
      </c>
      <c r="F1">
        <v>5</v>
      </c>
      <c r="G1">
        <v>10</v>
      </c>
      <c r="H1" t="s">
        <v>417</v>
      </c>
      <c r="I1" t="s">
        <v>416</v>
      </c>
    </row>
    <row r="2" spans="1:11" x14ac:dyDescent="0.25">
      <c r="A2" s="196">
        <v>46064</v>
      </c>
      <c r="B2" t="s">
        <v>415</v>
      </c>
      <c r="C2">
        <v>51</v>
      </c>
      <c r="D2">
        <v>0</v>
      </c>
      <c r="E2" t="s">
        <v>419</v>
      </c>
      <c r="F2">
        <v>29</v>
      </c>
      <c r="G2">
        <v>0</v>
      </c>
      <c r="H2" t="s">
        <v>417</v>
      </c>
      <c r="I2" t="s">
        <v>418</v>
      </c>
    </row>
    <row r="3" spans="1:11" x14ac:dyDescent="0.25">
      <c r="A3" s="196">
        <v>46067</v>
      </c>
      <c r="B3" t="s">
        <v>419</v>
      </c>
      <c r="C3">
        <v>0</v>
      </c>
      <c r="D3">
        <v>78</v>
      </c>
      <c r="E3" t="s">
        <v>414</v>
      </c>
      <c r="F3">
        <v>0</v>
      </c>
      <c r="G3">
        <v>38</v>
      </c>
      <c r="H3" t="s">
        <v>417</v>
      </c>
      <c r="I3" t="s">
        <v>416</v>
      </c>
    </row>
    <row r="4" spans="1:11" x14ac:dyDescent="0.25">
      <c r="A4" s="196">
        <v>46075</v>
      </c>
      <c r="B4" t="s">
        <v>420</v>
      </c>
      <c r="C4">
        <v>5</v>
      </c>
      <c r="D4">
        <v>55</v>
      </c>
      <c r="E4" t="s">
        <v>421</v>
      </c>
      <c r="F4">
        <v>0</v>
      </c>
      <c r="G4">
        <v>29</v>
      </c>
      <c r="H4" t="s">
        <v>430</v>
      </c>
      <c r="I4" t="s">
        <v>423</v>
      </c>
    </row>
    <row r="5" spans="1:11" x14ac:dyDescent="0.25">
      <c r="A5" s="196">
        <v>46082</v>
      </c>
      <c r="B5" t="s">
        <v>424</v>
      </c>
      <c r="C5">
        <v>7</v>
      </c>
      <c r="D5">
        <v>26</v>
      </c>
      <c r="E5" t="s">
        <v>425</v>
      </c>
      <c r="H5" t="s">
        <v>422</v>
      </c>
      <c r="I5" t="s">
        <v>426</v>
      </c>
    </row>
    <row r="6" spans="1:11" x14ac:dyDescent="0.25">
      <c r="A6" s="196">
        <v>46102</v>
      </c>
      <c r="B6" t="s">
        <v>420</v>
      </c>
      <c r="C6">
        <v>5</v>
      </c>
      <c r="D6">
        <v>29</v>
      </c>
      <c r="E6" t="s">
        <v>427</v>
      </c>
      <c r="F6">
        <v>0</v>
      </c>
      <c r="G6">
        <v>5</v>
      </c>
      <c r="H6" t="s">
        <v>430</v>
      </c>
      <c r="I6" t="s">
        <v>428</v>
      </c>
    </row>
    <row r="7" spans="1:11" x14ac:dyDescent="0.25">
      <c r="A7" s="196">
        <v>46102</v>
      </c>
      <c r="B7" t="s">
        <v>429</v>
      </c>
      <c r="C7">
        <v>22</v>
      </c>
      <c r="D7">
        <v>0</v>
      </c>
      <c r="E7" t="s">
        <v>432</v>
      </c>
      <c r="H7" t="s">
        <v>430</v>
      </c>
      <c r="I7" t="s">
        <v>431</v>
      </c>
    </row>
    <row r="8" spans="1:11" x14ac:dyDescent="0.25">
      <c r="A8" s="196">
        <v>46108</v>
      </c>
      <c r="B8" t="s">
        <v>29</v>
      </c>
      <c r="C8">
        <v>33</v>
      </c>
      <c r="D8">
        <v>15</v>
      </c>
      <c r="E8" t="s">
        <v>131</v>
      </c>
      <c r="F8">
        <v>14</v>
      </c>
      <c r="G8">
        <v>10</v>
      </c>
      <c r="H8" t="s">
        <v>441</v>
      </c>
      <c r="I8" t="s">
        <v>195</v>
      </c>
    </row>
    <row r="9" spans="1:11" x14ac:dyDescent="0.25">
      <c r="A9" s="196">
        <v>46116</v>
      </c>
      <c r="B9" s="99" t="s">
        <v>170</v>
      </c>
      <c r="C9" s="106">
        <v>0</v>
      </c>
      <c r="D9" s="300">
        <v>29</v>
      </c>
      <c r="E9" s="99" t="s">
        <v>524</v>
      </c>
      <c r="F9" s="197"/>
      <c r="G9" s="109"/>
      <c r="H9" t="s">
        <v>526</v>
      </c>
      <c r="I9" t="s">
        <v>525</v>
      </c>
      <c r="J9" s="99"/>
      <c r="K9" s="99"/>
    </row>
    <row r="10" spans="1:11" x14ac:dyDescent="0.25">
      <c r="A10" s="196">
        <v>46123</v>
      </c>
      <c r="B10" s="99" t="s">
        <v>33</v>
      </c>
      <c r="C10" s="106">
        <v>40</v>
      </c>
      <c r="D10" s="109">
        <v>7</v>
      </c>
      <c r="E10" s="108" t="s">
        <v>32</v>
      </c>
      <c r="F10" s="197">
        <v>5</v>
      </c>
      <c r="G10" s="109">
        <v>0</v>
      </c>
      <c r="H10" t="s">
        <v>537</v>
      </c>
      <c r="I10" t="s">
        <v>538</v>
      </c>
      <c r="J10" s="99"/>
      <c r="K10" s="99"/>
    </row>
    <row r="11" spans="1:11" x14ac:dyDescent="0.25">
      <c r="A11" s="196">
        <v>46123</v>
      </c>
      <c r="B11" s="99" t="s">
        <v>30</v>
      </c>
      <c r="C11" s="106">
        <v>33</v>
      </c>
      <c r="D11" s="109">
        <v>12</v>
      </c>
      <c r="E11" s="108" t="s">
        <v>35</v>
      </c>
      <c r="F11" s="197">
        <v>21</v>
      </c>
      <c r="G11" s="109">
        <v>0</v>
      </c>
      <c r="H11" t="s">
        <v>537</v>
      </c>
      <c r="I11" t="s">
        <v>545</v>
      </c>
      <c r="J11" s="99"/>
      <c r="K11" s="99"/>
    </row>
    <row r="12" spans="1:11" x14ac:dyDescent="0.25">
      <c r="A12" s="196">
        <v>46123</v>
      </c>
      <c r="B12" s="99" t="s">
        <v>31</v>
      </c>
      <c r="C12" s="106">
        <v>19</v>
      </c>
      <c r="D12" s="109">
        <v>24</v>
      </c>
      <c r="E12" s="108" t="s">
        <v>34</v>
      </c>
      <c r="F12" s="197">
        <v>12</v>
      </c>
      <c r="G12" s="109">
        <v>10</v>
      </c>
      <c r="H12" t="s">
        <v>537</v>
      </c>
      <c r="I12" t="s">
        <v>554</v>
      </c>
      <c r="J12" s="99"/>
      <c r="K12" s="99"/>
    </row>
    <row r="13" spans="1:11" x14ac:dyDescent="0.25">
      <c r="A13" s="196">
        <v>46123</v>
      </c>
      <c r="B13" s="108" t="s">
        <v>55</v>
      </c>
      <c r="C13" s="106">
        <v>15</v>
      </c>
      <c r="D13" s="109">
        <v>48</v>
      </c>
      <c r="E13" s="108" t="s">
        <v>126</v>
      </c>
      <c r="F13" s="197">
        <v>15</v>
      </c>
      <c r="G13" s="364">
        <v>19</v>
      </c>
      <c r="H13" t="s">
        <v>580</v>
      </c>
      <c r="I13" t="s">
        <v>581</v>
      </c>
      <c r="J13" s="99"/>
      <c r="K13" s="99"/>
    </row>
    <row r="14" spans="1:11" x14ac:dyDescent="0.25">
      <c r="A14" s="196">
        <v>46123</v>
      </c>
      <c r="B14" s="108" t="s">
        <v>36</v>
      </c>
      <c r="C14" s="106">
        <v>24</v>
      </c>
      <c r="D14" s="109">
        <v>0</v>
      </c>
      <c r="E14" s="108" t="s">
        <v>29</v>
      </c>
      <c r="F14" s="197">
        <v>12</v>
      </c>
      <c r="G14" s="364">
        <v>0</v>
      </c>
      <c r="H14" t="s">
        <v>580</v>
      </c>
      <c r="I14" t="s">
        <v>641</v>
      </c>
      <c r="J14" s="99"/>
      <c r="K14" s="99"/>
    </row>
    <row r="15" spans="1:11" x14ac:dyDescent="0.25">
      <c r="A15" s="196">
        <v>46129</v>
      </c>
      <c r="B15" s="108" t="s">
        <v>36</v>
      </c>
      <c r="C15" s="106">
        <v>14</v>
      </c>
      <c r="D15" s="109">
        <v>36</v>
      </c>
      <c r="E15" s="108" t="s">
        <v>126</v>
      </c>
      <c r="F15" s="197">
        <v>14</v>
      </c>
      <c r="G15" s="364">
        <v>5</v>
      </c>
      <c r="H15" t="s">
        <v>639</v>
      </c>
      <c r="I15" t="s">
        <v>640</v>
      </c>
      <c r="J15" s="99"/>
      <c r="K15" s="99"/>
    </row>
    <row r="16" spans="1:11" x14ac:dyDescent="0.25">
      <c r="A16" s="196">
        <v>46129</v>
      </c>
      <c r="B16" s="108" t="s">
        <v>55</v>
      </c>
      <c r="C16" s="106">
        <v>33</v>
      </c>
      <c r="D16" s="109">
        <v>12</v>
      </c>
      <c r="E16" s="108" t="s">
        <v>29</v>
      </c>
      <c r="F16" s="197">
        <v>14</v>
      </c>
      <c r="G16" s="364">
        <v>7</v>
      </c>
      <c r="H16" t="s">
        <v>639</v>
      </c>
      <c r="I16" t="s">
        <v>650</v>
      </c>
      <c r="J16" s="99"/>
      <c r="K16" s="99"/>
    </row>
    <row r="17" spans="1:11" x14ac:dyDescent="0.25">
      <c r="A17" s="196">
        <v>46130</v>
      </c>
      <c r="B17" s="108" t="s">
        <v>34</v>
      </c>
      <c r="C17" s="106">
        <v>7</v>
      </c>
      <c r="D17" s="109">
        <v>84</v>
      </c>
      <c r="E17" s="108" t="s">
        <v>30</v>
      </c>
      <c r="F17" s="197">
        <v>7</v>
      </c>
      <c r="G17" s="109">
        <v>35</v>
      </c>
      <c r="H17" t="s">
        <v>595</v>
      </c>
      <c r="I17" t="s">
        <v>596</v>
      </c>
      <c r="J17" s="99"/>
      <c r="K17" s="99"/>
    </row>
    <row r="18" spans="1:11" x14ac:dyDescent="0.25">
      <c r="A18" s="196">
        <v>46130</v>
      </c>
      <c r="B18" s="108" t="s">
        <v>31</v>
      </c>
      <c r="C18" s="106">
        <v>7</v>
      </c>
      <c r="D18" s="109">
        <v>38</v>
      </c>
      <c r="E18" s="108" t="s">
        <v>33</v>
      </c>
      <c r="F18" s="197">
        <v>7</v>
      </c>
      <c r="G18" s="109">
        <v>7</v>
      </c>
      <c r="H18" t="s">
        <v>595</v>
      </c>
      <c r="I18" t="s">
        <v>608</v>
      </c>
      <c r="J18" s="99"/>
      <c r="K18" s="99"/>
    </row>
    <row r="19" spans="1:11" x14ac:dyDescent="0.25">
      <c r="A19" s="196">
        <v>46130</v>
      </c>
      <c r="B19" s="108" t="s">
        <v>35</v>
      </c>
      <c r="C19" s="106">
        <v>57</v>
      </c>
      <c r="D19" s="109">
        <v>20</v>
      </c>
      <c r="E19" s="108" t="s">
        <v>35</v>
      </c>
      <c r="F19" s="197">
        <v>45</v>
      </c>
      <c r="G19" s="109">
        <v>10</v>
      </c>
      <c r="H19" t="s">
        <v>595</v>
      </c>
      <c r="I19" t="s">
        <v>623</v>
      </c>
      <c r="J19" s="99"/>
      <c r="K19" s="99"/>
    </row>
    <row r="20" spans="1:11" x14ac:dyDescent="0.25">
      <c r="A20" s="196"/>
      <c r="B20" s="99"/>
      <c r="C20" s="197"/>
      <c r="D20" s="198"/>
      <c r="E20" s="108"/>
      <c r="F20" s="197"/>
      <c r="G20" s="109"/>
      <c r="J20" s="99"/>
      <c r="K20" s="99"/>
    </row>
    <row r="21" spans="1:11" x14ac:dyDescent="0.25">
      <c r="A21" s="196"/>
      <c r="B21" s="99"/>
      <c r="C21" s="106"/>
      <c r="D21" s="109"/>
      <c r="E21" s="108"/>
      <c r="F21" s="197"/>
      <c r="G21" s="109"/>
      <c r="J21" s="99"/>
      <c r="K21" s="99"/>
    </row>
    <row r="22" spans="1:11" x14ac:dyDescent="0.25">
      <c r="A22" s="196"/>
      <c r="B22" s="108"/>
      <c r="C22" s="197"/>
      <c r="D22" s="198"/>
      <c r="E22" s="108"/>
      <c r="F22" s="197"/>
      <c r="G22" s="109"/>
      <c r="J22" s="99"/>
      <c r="K22" s="99"/>
    </row>
    <row r="23" spans="1:11" x14ac:dyDescent="0.25">
      <c r="A23" s="196"/>
      <c r="B23" s="108"/>
      <c r="C23" s="197"/>
      <c r="D23" s="198"/>
      <c r="E23" s="108"/>
      <c r="F23" s="197"/>
      <c r="G23" s="109"/>
      <c r="J23" s="99"/>
      <c r="K23" s="99"/>
    </row>
    <row r="24" spans="1:11" x14ac:dyDescent="0.25">
      <c r="A24" s="196"/>
      <c r="B24" s="108"/>
      <c r="C24" s="197"/>
      <c r="D24" s="198"/>
      <c r="E24" s="108"/>
      <c r="F24" s="197"/>
      <c r="G24" s="109"/>
      <c r="J24" s="99"/>
      <c r="K24" s="99"/>
    </row>
    <row r="25" spans="1:11" x14ac:dyDescent="0.25">
      <c r="A25" s="196"/>
      <c r="B25" s="108"/>
      <c r="C25" s="197"/>
      <c r="D25" s="198"/>
      <c r="E25" s="108"/>
      <c r="F25" s="197"/>
      <c r="G25" s="109"/>
      <c r="J25" s="99"/>
      <c r="K25" s="99"/>
    </row>
    <row r="26" spans="1:11" x14ac:dyDescent="0.25">
      <c r="A26" s="196"/>
      <c r="B26" s="108"/>
      <c r="C26" s="197"/>
      <c r="D26" s="198"/>
      <c r="E26" s="108"/>
      <c r="F26" s="197"/>
      <c r="G26" s="109"/>
      <c r="J26" s="99"/>
      <c r="K26" s="99"/>
    </row>
    <row r="27" spans="1:11" x14ac:dyDescent="0.25">
      <c r="A27" s="196"/>
      <c r="B27" s="108"/>
      <c r="C27" s="197"/>
      <c r="D27" s="198"/>
      <c r="E27" s="108"/>
      <c r="F27" s="197"/>
      <c r="G27" s="109"/>
      <c r="J27" s="99"/>
      <c r="K27" s="99"/>
    </row>
    <row r="28" spans="1:11" x14ac:dyDescent="0.25">
      <c r="A28" s="196"/>
      <c r="B28" s="108"/>
      <c r="C28" s="197"/>
      <c r="D28" s="198"/>
      <c r="E28" s="108"/>
      <c r="F28" s="197"/>
      <c r="G28" s="109"/>
      <c r="J28" s="99"/>
      <c r="K28" s="99"/>
    </row>
    <row r="29" spans="1:11" x14ac:dyDescent="0.25">
      <c r="A29" s="196"/>
      <c r="B29" s="108"/>
      <c r="C29" s="197"/>
      <c r="D29" s="198"/>
      <c r="E29" s="108"/>
      <c r="F29" s="197"/>
      <c r="G29" s="109"/>
      <c r="J29" s="99"/>
      <c r="K29" s="99"/>
    </row>
    <row r="30" spans="1:11" x14ac:dyDescent="0.25">
      <c r="A30" s="196"/>
      <c r="B30" s="108"/>
      <c r="C30" s="197"/>
      <c r="D30" s="198"/>
      <c r="E30" s="108"/>
      <c r="F30" s="197"/>
      <c r="G30" s="109"/>
      <c r="H30" s="108"/>
      <c r="J30" s="99"/>
      <c r="K30" s="99"/>
    </row>
    <row r="31" spans="1:11" x14ac:dyDescent="0.25">
      <c r="A31" s="196"/>
      <c r="B31" s="108"/>
      <c r="C31" s="197"/>
      <c r="D31" s="198"/>
      <c r="E31" s="108"/>
      <c r="F31" s="197"/>
      <c r="G31" s="109"/>
      <c r="H31" s="108"/>
      <c r="J31" s="99"/>
      <c r="K31" s="99"/>
    </row>
    <row r="32" spans="1:11" x14ac:dyDescent="0.25">
      <c r="A32" s="196"/>
      <c r="B32" s="108"/>
      <c r="C32" s="197"/>
      <c r="D32" s="198"/>
      <c r="E32" s="108"/>
      <c r="F32" s="197"/>
      <c r="G32" s="109"/>
      <c r="H32" s="108"/>
      <c r="J32" s="99"/>
      <c r="K32" s="99"/>
    </row>
    <row r="33" spans="1:11" x14ac:dyDescent="0.25">
      <c r="A33" s="196"/>
      <c r="B33" s="108"/>
      <c r="C33" s="197"/>
      <c r="D33" s="198"/>
      <c r="E33" s="108"/>
      <c r="F33" s="197"/>
      <c r="G33" s="109"/>
      <c r="J33" s="99"/>
      <c r="K33" s="99"/>
    </row>
    <row r="34" spans="1:11" x14ac:dyDescent="0.25">
      <c r="A34" s="196"/>
      <c r="B34" s="108"/>
      <c r="C34" s="197"/>
      <c r="D34" s="198"/>
      <c r="E34" s="108"/>
      <c r="F34" s="197"/>
      <c r="G34" s="109"/>
      <c r="H34" s="108"/>
      <c r="J34" s="99"/>
      <c r="K34" s="99"/>
    </row>
    <row r="35" spans="1:11" x14ac:dyDescent="0.25">
      <c r="A35" s="196"/>
      <c r="B35" s="108"/>
      <c r="C35" s="197"/>
      <c r="D35" s="198"/>
      <c r="E35" s="108"/>
      <c r="F35" s="197"/>
      <c r="G35" s="109"/>
      <c r="H35" s="108"/>
      <c r="J35" s="99"/>
      <c r="K35" s="99"/>
    </row>
    <row r="36" spans="1:11" x14ac:dyDescent="0.25">
      <c r="A36" s="196"/>
      <c r="B36" s="108"/>
      <c r="C36" s="197"/>
      <c r="D36" s="198"/>
      <c r="E36" s="108"/>
      <c r="F36" s="197"/>
      <c r="G36" s="109"/>
      <c r="H36" s="108"/>
      <c r="I36" s="108"/>
      <c r="J36" s="99"/>
      <c r="K36" s="99"/>
    </row>
    <row r="37" spans="1:11" x14ac:dyDescent="0.25">
      <c r="A37" s="196"/>
      <c r="B37" s="108"/>
      <c r="C37" s="197"/>
      <c r="D37" s="198"/>
      <c r="E37" s="108"/>
      <c r="F37" s="197"/>
      <c r="G37" s="109"/>
      <c r="H37" s="108"/>
      <c r="J37" s="99"/>
      <c r="K37" s="99"/>
    </row>
    <row r="38" spans="1:11" x14ac:dyDescent="0.25">
      <c r="A38" s="196"/>
      <c r="B38" s="108"/>
      <c r="C38" s="197"/>
      <c r="D38" s="198"/>
      <c r="E38" s="108"/>
      <c r="F38" s="197"/>
      <c r="G38" s="109"/>
      <c r="H38" s="108"/>
      <c r="I38" s="108"/>
      <c r="J38" s="99"/>
      <c r="K38" s="99"/>
    </row>
    <row r="39" spans="1:11" x14ac:dyDescent="0.25">
      <c r="A39" s="196"/>
      <c r="B39" s="108"/>
      <c r="C39" s="197"/>
      <c r="D39" s="198"/>
      <c r="E39" s="108"/>
      <c r="F39" s="197"/>
      <c r="G39" s="109"/>
      <c r="H39" s="108"/>
      <c r="I39" s="108"/>
      <c r="J39" s="99"/>
      <c r="K39" s="99"/>
    </row>
    <row r="40" spans="1:11" x14ac:dyDescent="0.25">
      <c r="A40" s="196"/>
      <c r="B40" s="108"/>
      <c r="C40" s="197"/>
      <c r="D40" s="198"/>
      <c r="E40" s="108"/>
      <c r="F40" s="197"/>
      <c r="G40" s="109"/>
      <c r="H40" s="108"/>
      <c r="J40" s="99"/>
      <c r="K40" s="99"/>
    </row>
    <row r="41" spans="1:11" x14ac:dyDescent="0.25">
      <c r="A41" s="196"/>
      <c r="B41" s="108"/>
      <c r="C41" s="197"/>
      <c r="D41" s="198"/>
      <c r="E41" s="108"/>
      <c r="F41" s="197"/>
      <c r="G41" s="109"/>
      <c r="H41" s="108"/>
      <c r="I41" s="108"/>
      <c r="J41" s="99"/>
      <c r="K41" s="99"/>
    </row>
    <row r="42" spans="1:11" x14ac:dyDescent="0.25">
      <c r="A42" s="196"/>
      <c r="B42" s="108"/>
      <c r="C42" s="197"/>
      <c r="D42" s="198"/>
      <c r="E42" s="108"/>
      <c r="F42" s="197"/>
      <c r="G42" s="109"/>
      <c r="H42" s="108"/>
      <c r="J42" s="99"/>
      <c r="K42" s="99"/>
    </row>
    <row r="43" spans="1:11" x14ac:dyDescent="0.25">
      <c r="A43" s="196"/>
      <c r="B43" s="108"/>
      <c r="C43" s="197"/>
      <c r="D43" s="198"/>
      <c r="E43" s="108"/>
      <c r="F43" s="197"/>
      <c r="G43" s="109"/>
      <c r="H43" s="108"/>
      <c r="I43" s="108"/>
      <c r="J43" s="99"/>
      <c r="K43" s="99"/>
    </row>
    <row r="44" spans="1:11" x14ac:dyDescent="0.25">
      <c r="A44" s="196"/>
      <c r="B44" s="108"/>
      <c r="C44" s="197"/>
      <c r="D44" s="198"/>
      <c r="E44" s="108"/>
      <c r="F44" s="197"/>
      <c r="G44" s="109"/>
      <c r="H44" s="108"/>
      <c r="I44" s="108"/>
      <c r="J44" s="99"/>
      <c r="K44" s="99"/>
    </row>
    <row r="45" spans="1:11" x14ac:dyDescent="0.25">
      <c r="A45" s="196"/>
      <c r="B45" s="108"/>
      <c r="C45" s="197"/>
      <c r="D45" s="198"/>
      <c r="E45" s="108"/>
      <c r="F45" s="197"/>
      <c r="G45" s="109"/>
      <c r="H45" s="108"/>
      <c r="I45" s="108"/>
      <c r="J45" s="99"/>
      <c r="K45" s="99"/>
    </row>
    <row r="46" spans="1:11" x14ac:dyDescent="0.25">
      <c r="A46" s="196"/>
      <c r="B46" s="108"/>
      <c r="C46" s="197"/>
      <c r="D46" s="198"/>
      <c r="E46" s="108"/>
      <c r="F46" s="197"/>
      <c r="G46" s="109"/>
      <c r="H46" s="108"/>
      <c r="I46" s="108"/>
      <c r="J46" s="99"/>
      <c r="K46" s="99"/>
    </row>
    <row r="47" spans="1:11" x14ac:dyDescent="0.25">
      <c r="A47" s="196"/>
      <c r="B47" s="108"/>
      <c r="C47" s="197"/>
      <c r="D47" s="198"/>
      <c r="E47" s="108"/>
      <c r="F47" s="197"/>
      <c r="G47" s="109"/>
      <c r="H47" s="108"/>
      <c r="I47" s="108"/>
      <c r="J47" s="99"/>
      <c r="K47" s="99"/>
    </row>
    <row r="48" spans="1:11" x14ac:dyDescent="0.25">
      <c r="A48" s="196"/>
      <c r="B48" s="108"/>
      <c r="C48" s="197"/>
      <c r="D48" s="198"/>
      <c r="E48" s="108"/>
      <c r="F48" s="197"/>
      <c r="G48" s="109"/>
      <c r="H48" s="108"/>
      <c r="I48" s="108"/>
      <c r="J48" s="99"/>
      <c r="K48" s="99"/>
    </row>
    <row r="49" spans="1:11" x14ac:dyDescent="0.25">
      <c r="A49" s="196"/>
      <c r="B49" s="108"/>
      <c r="C49" s="197"/>
      <c r="D49" s="198"/>
      <c r="E49" s="108"/>
      <c r="F49" s="197"/>
      <c r="G49" s="109"/>
      <c r="H49" s="108"/>
      <c r="I49" s="108"/>
      <c r="J49" s="99"/>
      <c r="K49" s="99"/>
    </row>
    <row r="50" spans="1:11" x14ac:dyDescent="0.25">
      <c r="A50" s="196"/>
      <c r="B50" s="108"/>
      <c r="C50" s="197"/>
      <c r="D50" s="198"/>
      <c r="E50" s="108"/>
      <c r="F50" s="197"/>
      <c r="G50" s="109"/>
      <c r="H50" s="108"/>
      <c r="J50" s="99"/>
      <c r="K50" s="99"/>
    </row>
    <row r="51" spans="1:11" x14ac:dyDescent="0.25">
      <c r="A51" s="196"/>
      <c r="B51" s="108"/>
      <c r="C51" s="197"/>
      <c r="D51" s="198"/>
      <c r="E51" s="108"/>
      <c r="F51" s="197"/>
      <c r="G51" s="109"/>
      <c r="H51" s="108"/>
      <c r="I51" s="108"/>
      <c r="J51" s="99"/>
      <c r="K51" s="99"/>
    </row>
    <row r="52" spans="1:11" x14ac:dyDescent="0.25">
      <c r="A52" s="196"/>
      <c r="B52" s="108"/>
      <c r="C52" s="197"/>
      <c r="D52" s="198"/>
      <c r="E52" s="108"/>
      <c r="F52" s="197"/>
      <c r="G52" s="109"/>
      <c r="H52" s="108"/>
      <c r="I52" s="108"/>
      <c r="J52" s="99"/>
      <c r="K52" s="99"/>
    </row>
    <row r="53" spans="1:11" x14ac:dyDescent="0.25">
      <c r="A53" s="196"/>
      <c r="B53" s="108"/>
      <c r="C53" s="197"/>
      <c r="D53" s="198"/>
      <c r="E53" s="108"/>
      <c r="F53" s="197"/>
      <c r="G53" s="109"/>
      <c r="H53" s="108"/>
      <c r="I53" s="108"/>
      <c r="J53" s="99"/>
      <c r="K53" s="99"/>
    </row>
    <row r="54" spans="1:11" x14ac:dyDescent="0.25">
      <c r="A54" s="196"/>
      <c r="B54" s="108"/>
      <c r="C54" s="197"/>
      <c r="D54" s="198"/>
      <c r="E54" s="108"/>
      <c r="F54" s="197"/>
      <c r="G54" s="109"/>
      <c r="H54" s="108"/>
      <c r="I54" s="108"/>
      <c r="J54" s="99"/>
      <c r="K54" s="99"/>
    </row>
    <row r="55" spans="1:11" x14ac:dyDescent="0.25">
      <c r="A55" s="196"/>
      <c r="B55" s="108"/>
      <c r="C55" s="197"/>
      <c r="D55" s="198"/>
      <c r="E55" s="108"/>
      <c r="F55" s="197"/>
      <c r="G55" s="109"/>
      <c r="H55" s="108"/>
      <c r="I55" s="108"/>
      <c r="J55" s="99"/>
      <c r="K55" s="99"/>
    </row>
    <row r="56" spans="1:11" x14ac:dyDescent="0.25">
      <c r="A56" s="319"/>
      <c r="B56" s="288"/>
      <c r="C56" s="320"/>
      <c r="D56" s="321"/>
      <c r="E56" s="288"/>
      <c r="F56" s="320"/>
      <c r="G56" s="322"/>
      <c r="H56" s="108"/>
      <c r="I56" s="285"/>
      <c r="J56" s="99"/>
      <c r="K56" s="99"/>
    </row>
    <row r="57" spans="1:11" x14ac:dyDescent="0.25">
      <c r="A57" s="319"/>
      <c r="B57" s="288"/>
      <c r="C57" s="320"/>
      <c r="D57" s="321"/>
      <c r="E57" s="288"/>
      <c r="F57" s="320"/>
      <c r="G57" s="322"/>
      <c r="H57" s="108"/>
      <c r="I57" s="108"/>
      <c r="J57" s="99"/>
      <c r="K57" s="99"/>
    </row>
    <row r="58" spans="1:11" x14ac:dyDescent="0.25">
      <c r="A58" s="196"/>
      <c r="B58" s="108"/>
      <c r="C58" s="197"/>
      <c r="D58" s="198"/>
      <c r="E58" s="108"/>
      <c r="F58" s="197"/>
      <c r="G58" s="322"/>
      <c r="H58" s="108"/>
      <c r="I58" s="108"/>
      <c r="J58" s="99"/>
      <c r="K58" s="99"/>
    </row>
    <row r="59" spans="1:11" x14ac:dyDescent="0.25">
      <c r="A59" s="319"/>
      <c r="B59" s="288"/>
      <c r="C59" s="320"/>
      <c r="D59" s="321"/>
      <c r="E59" s="288"/>
      <c r="F59" s="320"/>
      <c r="G59" s="322"/>
      <c r="H59" s="108"/>
      <c r="I59" s="285"/>
      <c r="J59" s="99"/>
      <c r="K59" s="99"/>
    </row>
    <row r="60" spans="1:11" x14ac:dyDescent="0.25">
      <c r="A60" s="319"/>
      <c r="B60" s="288"/>
      <c r="C60" s="320"/>
      <c r="D60" s="321"/>
      <c r="E60" s="288"/>
      <c r="F60" s="320"/>
      <c r="G60" s="322"/>
      <c r="H60" s="108"/>
      <c r="J60" s="99"/>
      <c r="K60" s="99"/>
    </row>
    <row r="61" spans="1:11" x14ac:dyDescent="0.25">
      <c r="A61" s="319"/>
      <c r="B61" s="288"/>
      <c r="C61" s="320"/>
      <c r="D61" s="321"/>
      <c r="E61" s="288"/>
      <c r="F61" s="320"/>
      <c r="G61" s="322"/>
      <c r="H61" s="108"/>
      <c r="J61" s="99"/>
      <c r="K61" s="99"/>
    </row>
    <row r="62" spans="1:11" x14ac:dyDescent="0.25">
      <c r="A62" s="196"/>
      <c r="B62" s="108"/>
      <c r="C62" s="197"/>
      <c r="D62" s="198"/>
      <c r="E62" s="108"/>
      <c r="F62" s="197"/>
      <c r="G62" s="322"/>
      <c r="H62" s="108"/>
      <c r="J62" s="99"/>
      <c r="K62" s="99"/>
    </row>
    <row r="63" spans="1:11" x14ac:dyDescent="0.25">
      <c r="A63" s="196"/>
      <c r="B63" s="108"/>
      <c r="C63" s="197"/>
      <c r="D63" s="198"/>
      <c r="E63" s="108"/>
      <c r="F63" s="197"/>
      <c r="G63" s="322"/>
      <c r="H63" s="108"/>
      <c r="J63" s="99"/>
      <c r="K63" s="99"/>
    </row>
    <row r="64" spans="1:11" x14ac:dyDescent="0.25">
      <c r="A64" s="196"/>
      <c r="B64" s="108"/>
      <c r="C64" s="197"/>
      <c r="D64" s="198"/>
      <c r="E64" s="108"/>
      <c r="F64" s="197"/>
      <c r="G64" s="322"/>
      <c r="H64" s="108"/>
      <c r="J64" s="99"/>
      <c r="K64" s="99"/>
    </row>
    <row r="65" spans="1:11" x14ac:dyDescent="0.25">
      <c r="A65" s="196"/>
      <c r="B65" s="108"/>
      <c r="C65" s="197"/>
      <c r="D65" s="198"/>
      <c r="E65" s="108"/>
      <c r="F65" s="197"/>
      <c r="G65" s="109"/>
      <c r="H65" s="108"/>
      <c r="J65" s="99"/>
      <c r="K65" s="99"/>
    </row>
    <row r="66" spans="1:11" x14ac:dyDescent="0.25">
      <c r="A66" s="196"/>
      <c r="B66" s="108"/>
      <c r="C66" s="197"/>
      <c r="D66" s="198"/>
      <c r="E66" s="108"/>
      <c r="F66" s="197"/>
      <c r="G66" s="109"/>
      <c r="H66" s="108"/>
      <c r="J66" s="99"/>
      <c r="K66" s="99"/>
    </row>
    <row r="67" spans="1:11" x14ac:dyDescent="0.25">
      <c r="A67" s="196"/>
      <c r="B67" s="108"/>
      <c r="C67" s="197"/>
      <c r="D67" s="198"/>
      <c r="E67" s="108"/>
      <c r="F67" s="197"/>
      <c r="G67" s="109"/>
      <c r="H67" s="108"/>
      <c r="J67" s="99"/>
      <c r="K67" s="99"/>
    </row>
    <row r="68" spans="1:11" x14ac:dyDescent="0.25">
      <c r="A68" s="196"/>
      <c r="B68" s="108"/>
      <c r="C68" s="197"/>
      <c r="D68" s="198"/>
      <c r="E68" s="108"/>
      <c r="F68" s="197"/>
      <c r="G68" s="109"/>
      <c r="H68" s="108"/>
      <c r="J68" s="99"/>
      <c r="K68" s="99"/>
    </row>
    <row r="69" spans="1:11" x14ac:dyDescent="0.25">
      <c r="A69" s="196"/>
      <c r="B69" s="108"/>
      <c r="C69" s="197"/>
      <c r="D69" s="198"/>
      <c r="E69" s="108"/>
      <c r="F69" s="197"/>
      <c r="G69" s="109"/>
      <c r="H69" s="108"/>
      <c r="I69" s="318"/>
      <c r="J69" s="99"/>
      <c r="K69" s="99"/>
    </row>
    <row r="70" spans="1:11" x14ac:dyDescent="0.25">
      <c r="A70" s="196"/>
      <c r="B70" s="108"/>
      <c r="C70" s="197"/>
      <c r="D70" s="198"/>
      <c r="E70" s="108"/>
      <c r="F70" s="197"/>
      <c r="G70" s="109"/>
      <c r="H70" s="108"/>
      <c r="J70" s="99"/>
      <c r="K70" s="99"/>
    </row>
    <row r="71" spans="1:11" x14ac:dyDescent="0.25">
      <c r="A71" s="319"/>
      <c r="B71" s="288"/>
      <c r="C71" s="320"/>
      <c r="D71" s="321"/>
      <c r="E71" s="288"/>
      <c r="F71" s="320"/>
      <c r="G71" s="322"/>
      <c r="H71" s="288"/>
      <c r="I71" s="285"/>
      <c r="J71" s="99"/>
      <c r="K71" s="99"/>
    </row>
    <row r="72" spans="1:11" x14ac:dyDescent="0.25">
      <c r="A72" s="196"/>
      <c r="B72" s="108"/>
      <c r="C72" s="197"/>
      <c r="D72" s="198"/>
      <c r="E72" s="108"/>
      <c r="F72" s="197"/>
      <c r="G72" s="109"/>
      <c r="H72" s="288"/>
      <c r="J72" s="99"/>
      <c r="K72" s="99"/>
    </row>
    <row r="73" spans="1:11" x14ac:dyDescent="0.25">
      <c r="A73" s="196"/>
      <c r="B73" s="108"/>
      <c r="C73" s="197"/>
      <c r="D73" s="198"/>
      <c r="E73" s="108"/>
      <c r="F73" s="197"/>
      <c r="G73" s="109"/>
      <c r="H73" s="288"/>
      <c r="J73" s="99"/>
      <c r="K73" s="99"/>
    </row>
    <row r="74" spans="1:11" x14ac:dyDescent="0.25">
      <c r="A74" s="196"/>
      <c r="B74" s="108"/>
      <c r="C74" s="197"/>
      <c r="D74" s="198"/>
      <c r="E74" s="108"/>
      <c r="F74" s="197"/>
      <c r="G74" s="109"/>
      <c r="H74" s="288"/>
      <c r="J74" s="99"/>
      <c r="K74" s="99"/>
    </row>
    <row r="75" spans="1:11" x14ac:dyDescent="0.25">
      <c r="A75" s="196"/>
      <c r="B75" s="99"/>
      <c r="C75" s="106"/>
      <c r="D75" s="109"/>
      <c r="E75" s="108"/>
      <c r="F75" s="197"/>
      <c r="G75" s="109"/>
      <c r="H75" s="288"/>
      <c r="I75" s="285"/>
      <c r="J75" s="99"/>
      <c r="K75" s="99"/>
    </row>
    <row r="76" spans="1:11" x14ac:dyDescent="0.25">
      <c r="A76" s="196"/>
      <c r="B76" s="99"/>
      <c r="C76" s="106"/>
      <c r="D76" s="109"/>
      <c r="E76" s="108"/>
      <c r="F76" s="197"/>
      <c r="G76" s="109"/>
      <c r="H76" s="288"/>
      <c r="J76" s="99"/>
      <c r="K76" s="99"/>
    </row>
    <row r="77" spans="1:11" x14ac:dyDescent="0.25">
      <c r="A77" s="196"/>
      <c r="B77" s="99"/>
      <c r="C77" s="106"/>
      <c r="D77" s="109"/>
      <c r="E77" s="108"/>
      <c r="F77" s="197"/>
      <c r="G77" s="109"/>
      <c r="H77" s="288"/>
      <c r="J77" s="99"/>
      <c r="K77" s="99"/>
    </row>
    <row r="78" spans="1:11" x14ac:dyDescent="0.25">
      <c r="A78" s="196"/>
      <c r="B78" s="108"/>
      <c r="C78" s="106"/>
      <c r="D78" s="109"/>
      <c r="E78" s="108"/>
      <c r="F78" s="283"/>
      <c r="G78" s="108"/>
      <c r="H78" s="288"/>
      <c r="J78" s="99"/>
      <c r="K78" s="99"/>
    </row>
    <row r="79" spans="1:11" x14ac:dyDescent="0.25">
      <c r="A79" s="196"/>
      <c r="B79" s="99"/>
      <c r="C79" s="106"/>
      <c r="D79" s="109"/>
      <c r="E79" s="108"/>
      <c r="F79" s="197"/>
      <c r="G79" s="109"/>
      <c r="H79" s="288"/>
      <c r="J79" s="99"/>
      <c r="K79" s="99"/>
    </row>
    <row r="80" spans="1:11" x14ac:dyDescent="0.25">
      <c r="A80" s="196"/>
      <c r="B80" s="99"/>
      <c r="C80" s="106"/>
      <c r="D80" s="109"/>
      <c r="E80" s="108"/>
      <c r="F80" s="197"/>
      <c r="G80" s="109"/>
      <c r="H80" s="288"/>
      <c r="J80" s="99"/>
      <c r="K80" s="99"/>
    </row>
    <row r="81" spans="1:11" x14ac:dyDescent="0.25">
      <c r="A81" s="196"/>
      <c r="B81" s="99"/>
      <c r="C81" s="106"/>
      <c r="D81" s="109"/>
      <c r="E81" s="108"/>
      <c r="F81" s="197"/>
      <c r="G81" s="109"/>
      <c r="H81" s="288"/>
      <c r="J81" s="99"/>
      <c r="K81" s="99"/>
    </row>
    <row r="82" spans="1:11" x14ac:dyDescent="0.25">
      <c r="A82" s="196"/>
      <c r="B82" s="99"/>
      <c r="C82" s="106"/>
      <c r="D82" s="109"/>
      <c r="E82" s="108"/>
      <c r="F82" s="197"/>
      <c r="G82" s="109"/>
      <c r="H82" s="288"/>
      <c r="J82" s="99"/>
      <c r="K82" s="99"/>
    </row>
    <row r="83" spans="1:11" x14ac:dyDescent="0.25">
      <c r="A83" s="196"/>
      <c r="B83" s="99"/>
      <c r="C83" s="106"/>
      <c r="D83" s="109"/>
      <c r="E83" s="108"/>
      <c r="F83" s="197"/>
      <c r="G83" s="109"/>
      <c r="H83" s="288"/>
      <c r="J83" s="99"/>
      <c r="K83" s="99"/>
    </row>
    <row r="84" spans="1:11" x14ac:dyDescent="0.25">
      <c r="A84" s="196"/>
      <c r="B84" s="99"/>
      <c r="C84" s="106"/>
      <c r="D84" s="109"/>
      <c r="E84" s="108"/>
      <c r="F84" s="197"/>
      <c r="G84" s="109"/>
      <c r="H84" s="288"/>
      <c r="J84" s="99"/>
      <c r="K84" s="99"/>
    </row>
    <row r="85" spans="1:11" x14ac:dyDescent="0.25">
      <c r="A85" s="196"/>
      <c r="B85" s="99"/>
      <c r="C85" s="106"/>
      <c r="D85" s="109"/>
      <c r="E85" s="108"/>
      <c r="F85" s="197"/>
      <c r="G85" s="109"/>
      <c r="H85" s="288"/>
      <c r="I85" s="285"/>
      <c r="J85" s="99"/>
      <c r="K85" s="99"/>
    </row>
    <row r="86" spans="1:11" x14ac:dyDescent="0.25">
      <c r="A86" s="196"/>
      <c r="B86" s="99"/>
      <c r="C86" s="106"/>
      <c r="D86" s="109"/>
      <c r="E86" s="108"/>
      <c r="F86" s="197"/>
      <c r="G86" s="109"/>
      <c r="H86" s="288"/>
      <c r="I86" s="285"/>
      <c r="J86" s="99"/>
      <c r="K86" s="99"/>
    </row>
    <row r="87" spans="1:11" x14ac:dyDescent="0.25">
      <c r="A87" s="196"/>
      <c r="B87" s="99"/>
      <c r="C87" s="106"/>
      <c r="D87" s="109"/>
      <c r="E87" s="108"/>
      <c r="F87" s="197"/>
      <c r="G87" s="109"/>
      <c r="H87" s="288"/>
      <c r="I87" s="285"/>
      <c r="J87" s="99"/>
      <c r="K87" s="99"/>
    </row>
    <row r="88" spans="1:11" x14ac:dyDescent="0.25">
      <c r="A88" s="196"/>
      <c r="B88" s="99"/>
      <c r="C88" s="106"/>
      <c r="D88" s="109"/>
      <c r="E88" s="108"/>
      <c r="F88" s="197"/>
      <c r="G88" s="109"/>
      <c r="H88" s="288"/>
      <c r="J88" s="99"/>
      <c r="K88" s="99"/>
    </row>
    <row r="89" spans="1:11" x14ac:dyDescent="0.25">
      <c r="A89" s="196"/>
      <c r="B89" s="99"/>
      <c r="C89" s="106"/>
      <c r="D89" s="109"/>
      <c r="E89" s="108"/>
      <c r="F89" s="197"/>
      <c r="G89" s="109"/>
      <c r="H89" s="288"/>
      <c r="I89" s="285"/>
      <c r="J89" s="99"/>
      <c r="K89" s="99"/>
    </row>
    <row r="90" spans="1:11" x14ac:dyDescent="0.25">
      <c r="A90" s="196"/>
      <c r="B90" s="99"/>
      <c r="C90" s="106"/>
      <c r="D90" s="109"/>
      <c r="E90" s="108"/>
      <c r="F90" s="197"/>
      <c r="G90" s="109"/>
      <c r="H90" s="288"/>
      <c r="I90" s="285"/>
      <c r="J90" s="99"/>
      <c r="K90" s="99"/>
    </row>
    <row r="91" spans="1:11" x14ac:dyDescent="0.25">
      <c r="A91" s="196"/>
      <c r="B91" s="99"/>
      <c r="C91" s="106"/>
      <c r="D91" s="109"/>
      <c r="E91" s="108"/>
      <c r="F91" s="197"/>
      <c r="G91" s="109"/>
      <c r="H91" s="288"/>
      <c r="J91" s="99"/>
      <c r="K91" s="99"/>
    </row>
    <row r="92" spans="1:11" x14ac:dyDescent="0.25">
      <c r="A92" s="196"/>
      <c r="B92" s="341"/>
      <c r="C92" s="13"/>
      <c r="D92" s="342"/>
      <c r="E92" s="13"/>
      <c r="F92" s="197"/>
      <c r="G92" s="340"/>
      <c r="H92" s="288"/>
      <c r="J92" s="99"/>
      <c r="K92" s="99"/>
    </row>
    <row r="93" spans="1:11" x14ac:dyDescent="0.25">
      <c r="A93" s="196"/>
      <c r="B93" s="341"/>
      <c r="C93" s="13"/>
      <c r="D93" s="342"/>
      <c r="E93" s="13"/>
      <c r="F93" s="197"/>
      <c r="G93" s="340"/>
      <c r="H93" s="288"/>
      <c r="I93" s="285"/>
      <c r="J93" s="99"/>
      <c r="K93" s="99"/>
    </row>
    <row r="94" spans="1:11" x14ac:dyDescent="0.25">
      <c r="A94" s="196"/>
      <c r="B94" s="341"/>
      <c r="C94" s="13"/>
      <c r="D94" s="342"/>
      <c r="E94" s="13"/>
      <c r="F94" s="197"/>
      <c r="G94" s="340"/>
      <c r="H94" s="288"/>
      <c r="J94" s="99"/>
      <c r="K94" s="99"/>
    </row>
    <row r="95" spans="1:11" x14ac:dyDescent="0.25">
      <c r="A95" s="196"/>
      <c r="B95" s="341"/>
      <c r="C95" s="13"/>
      <c r="D95" s="342"/>
      <c r="E95" s="13"/>
      <c r="F95" s="197"/>
      <c r="G95" s="340"/>
      <c r="H95" s="288"/>
      <c r="I95" s="285"/>
      <c r="J95" s="99"/>
      <c r="K95" s="99"/>
    </row>
    <row r="96" spans="1:11" x14ac:dyDescent="0.25">
      <c r="A96" s="196"/>
      <c r="B96" s="341"/>
      <c r="C96" s="13"/>
      <c r="D96" s="342"/>
      <c r="E96" s="13"/>
      <c r="F96" s="197"/>
      <c r="G96" s="340"/>
      <c r="H96" s="288"/>
      <c r="I96" s="285"/>
      <c r="J96" s="99"/>
      <c r="K96" s="99"/>
    </row>
    <row r="97" spans="1:11" x14ac:dyDescent="0.25">
      <c r="A97" s="196"/>
      <c r="B97" s="341"/>
      <c r="C97" s="13"/>
      <c r="D97" s="342"/>
      <c r="E97" s="13"/>
      <c r="F97" s="197"/>
      <c r="G97" s="340"/>
      <c r="H97" s="288"/>
      <c r="I97" s="285"/>
      <c r="J97" s="99"/>
      <c r="K97" s="99"/>
    </row>
    <row r="98" spans="1:11" x14ac:dyDescent="0.25">
      <c r="A98" s="196"/>
      <c r="B98" s="341"/>
      <c r="C98" s="13"/>
      <c r="D98" s="342"/>
      <c r="E98" s="13"/>
      <c r="F98" s="197"/>
      <c r="G98" s="340"/>
      <c r="H98" s="288"/>
      <c r="I98" s="285"/>
      <c r="J98" s="99"/>
      <c r="K98" s="99"/>
    </row>
    <row r="99" spans="1:11" x14ac:dyDescent="0.25">
      <c r="A99" s="196"/>
      <c r="B99" s="341"/>
      <c r="C99" s="13"/>
      <c r="D99" s="342"/>
      <c r="E99" s="13"/>
      <c r="F99" s="197"/>
      <c r="G99" s="340"/>
      <c r="H99" s="288"/>
      <c r="I99" s="285"/>
      <c r="J99" s="99"/>
      <c r="K99" s="99"/>
    </row>
    <row r="100" spans="1:11" x14ac:dyDescent="0.25">
      <c r="A100" s="196"/>
      <c r="B100" s="341"/>
      <c r="C100" s="13"/>
      <c r="D100" s="342"/>
      <c r="E100" s="13"/>
      <c r="F100" s="197"/>
      <c r="G100" s="340"/>
      <c r="H100" s="288"/>
      <c r="I100" s="285"/>
      <c r="J100" s="99"/>
      <c r="K100" s="99"/>
    </row>
    <row r="101" spans="1:11" x14ac:dyDescent="0.25">
      <c r="A101" s="196"/>
      <c r="B101" s="341"/>
      <c r="C101" s="13"/>
      <c r="D101" s="342"/>
      <c r="E101" s="13"/>
      <c r="F101" s="197"/>
      <c r="G101" s="340"/>
      <c r="H101" s="288"/>
      <c r="I101" s="285"/>
      <c r="J101" s="99"/>
      <c r="K101" s="99"/>
    </row>
    <row r="102" spans="1:11" x14ac:dyDescent="0.25">
      <c r="A102" s="196"/>
      <c r="B102" s="13"/>
      <c r="C102" s="13"/>
      <c r="D102" s="342"/>
      <c r="E102" s="13"/>
      <c r="F102" s="197"/>
      <c r="G102" s="340"/>
      <c r="H102" s="288"/>
      <c r="I102" s="285"/>
      <c r="J102" s="99"/>
      <c r="K102" s="99"/>
    </row>
    <row r="103" spans="1:11" x14ac:dyDescent="0.25">
      <c r="A103" s="196"/>
      <c r="B103" s="13"/>
      <c r="C103" s="13"/>
      <c r="D103" s="342"/>
      <c r="E103" s="13"/>
      <c r="F103" s="197"/>
      <c r="G103" s="340"/>
      <c r="H103" s="288"/>
      <c r="I103" s="285"/>
      <c r="J103" s="99"/>
      <c r="K103" s="99"/>
    </row>
    <row r="104" spans="1:11" x14ac:dyDescent="0.25">
      <c r="A104" s="196"/>
      <c r="B104" s="13"/>
      <c r="C104" s="13"/>
      <c r="D104" s="342"/>
      <c r="E104" s="13"/>
      <c r="F104" s="197"/>
      <c r="G104" s="340"/>
      <c r="H104" s="288"/>
      <c r="I104" s="285"/>
      <c r="J104" s="99"/>
      <c r="K104" s="99"/>
    </row>
    <row r="105" spans="1:11" x14ac:dyDescent="0.25">
      <c r="A105" s="196"/>
      <c r="B105" s="13"/>
      <c r="C105" s="13"/>
      <c r="D105" s="342"/>
      <c r="E105" s="13"/>
      <c r="F105" s="197"/>
      <c r="G105" s="340"/>
      <c r="H105" s="288"/>
      <c r="I105" s="285"/>
      <c r="J105" s="99"/>
      <c r="K105" s="99"/>
    </row>
    <row r="106" spans="1:11" x14ac:dyDescent="0.25">
      <c r="A106" s="196"/>
      <c r="B106" s="13"/>
      <c r="C106" s="13"/>
      <c r="D106" s="342"/>
      <c r="E106" s="13"/>
      <c r="F106" s="197"/>
      <c r="G106" s="340"/>
      <c r="H106" s="288"/>
      <c r="I106" s="285"/>
      <c r="J106" s="99"/>
      <c r="K106" s="99"/>
    </row>
    <row r="107" spans="1:11" x14ac:dyDescent="0.25">
      <c r="A107" s="196"/>
      <c r="B107" s="13"/>
      <c r="C107" s="13"/>
      <c r="D107" s="342"/>
      <c r="E107" s="13"/>
      <c r="F107" s="197"/>
      <c r="G107" s="581"/>
      <c r="H107" s="288"/>
      <c r="I107" s="285"/>
      <c r="J107" s="99"/>
      <c r="K107" s="99"/>
    </row>
    <row r="108" spans="1:11" x14ac:dyDescent="0.25">
      <c r="A108" s="196"/>
      <c r="B108" s="13"/>
      <c r="C108" s="13"/>
      <c r="D108" s="342"/>
      <c r="E108" s="13"/>
      <c r="F108" s="197"/>
      <c r="G108" s="340"/>
      <c r="H108" s="288"/>
      <c r="I108" s="285"/>
      <c r="J108" s="99"/>
      <c r="K108" s="99"/>
    </row>
    <row r="109" spans="1:11" x14ac:dyDescent="0.25">
      <c r="A109" s="196"/>
      <c r="B109" s="13"/>
      <c r="C109" s="13"/>
      <c r="D109" s="342"/>
      <c r="E109" s="13"/>
      <c r="F109" s="197"/>
      <c r="G109" s="340"/>
      <c r="H109" s="288"/>
      <c r="I109" s="285"/>
      <c r="J109" s="99"/>
      <c r="K109" s="99"/>
    </row>
    <row r="110" spans="1:11" x14ac:dyDescent="0.25">
      <c r="A110" s="196"/>
      <c r="B110" s="13"/>
      <c r="C110" s="13"/>
      <c r="D110" s="342"/>
      <c r="E110" s="13"/>
      <c r="F110" s="197"/>
      <c r="G110" s="340"/>
      <c r="H110" s="288"/>
      <c r="I110" s="285"/>
      <c r="J110" s="99"/>
      <c r="K110" s="99"/>
    </row>
    <row r="111" spans="1:11" ht="16.3" x14ac:dyDescent="0.3">
      <c r="A111" s="579" t="s">
        <v>28</v>
      </c>
      <c r="B111" s="579"/>
      <c r="C111" s="106"/>
      <c r="D111" s="109"/>
      <c r="E111" s="108"/>
      <c r="F111" s="811" t="s">
        <v>75</v>
      </c>
      <c r="G111" s="811"/>
      <c r="H111" s="108"/>
      <c r="I111" s="285"/>
      <c r="J111" s="99"/>
      <c r="K111" s="99"/>
    </row>
    <row r="112" spans="1:11" x14ac:dyDescent="0.25">
      <c r="A112" s="196"/>
      <c r="B112" s="310"/>
      <c r="C112" s="106"/>
      <c r="D112" s="109"/>
      <c r="E112" s="108"/>
      <c r="F112" s="197"/>
      <c r="G112" s="109"/>
      <c r="H112" s="108"/>
      <c r="I112" s="285"/>
      <c r="J112" s="99"/>
      <c r="K112" s="99"/>
    </row>
    <row r="113" spans="1:11" x14ac:dyDescent="0.25">
      <c r="A113" s="196"/>
      <c r="B113" s="99"/>
      <c r="C113" s="106"/>
      <c r="D113" s="109"/>
      <c r="E113" s="108"/>
      <c r="F113" s="197"/>
      <c r="G113" s="109"/>
      <c r="H113" s="108"/>
      <c r="I113" s="285"/>
      <c r="J113" s="99"/>
      <c r="K113" s="99"/>
    </row>
    <row r="114" spans="1:11" x14ac:dyDescent="0.25">
      <c r="A114" s="196"/>
      <c r="B114" s="310"/>
      <c r="C114" s="106"/>
      <c r="D114" s="109"/>
      <c r="E114" s="108"/>
      <c r="F114" s="197"/>
      <c r="G114" s="109"/>
      <c r="H114" s="108"/>
      <c r="I114" s="285"/>
      <c r="J114" s="99"/>
      <c r="K114" s="99"/>
    </row>
    <row r="115" spans="1:11" x14ac:dyDescent="0.25">
      <c r="A115" s="196"/>
      <c r="B115" s="310"/>
      <c r="C115" s="106"/>
      <c r="D115" s="109"/>
      <c r="E115" s="108"/>
      <c r="F115" s="197"/>
      <c r="G115" s="109"/>
      <c r="H115" s="108"/>
      <c r="I115" s="285"/>
      <c r="J115" s="99"/>
      <c r="K115" s="99"/>
    </row>
    <row r="116" spans="1:11" x14ac:dyDescent="0.25">
      <c r="A116" s="196"/>
      <c r="B116" s="99"/>
      <c r="C116" s="106"/>
      <c r="D116" s="109"/>
      <c r="E116" s="108"/>
      <c r="F116" s="197"/>
      <c r="G116" s="109"/>
      <c r="H116" s="108"/>
      <c r="I116" s="285"/>
      <c r="J116" s="99"/>
      <c r="K116" s="99"/>
    </row>
    <row r="117" spans="1:11" x14ac:dyDescent="0.25">
      <c r="A117" s="196"/>
      <c r="B117" s="99"/>
      <c r="C117" s="106"/>
      <c r="D117" s="109"/>
      <c r="E117" s="108"/>
      <c r="F117" s="197"/>
      <c r="G117" s="109"/>
      <c r="H117" s="108"/>
      <c r="I117" s="285"/>
      <c r="J117" s="99"/>
      <c r="K117" s="99"/>
    </row>
    <row r="118" spans="1:11" x14ac:dyDescent="0.25">
      <c r="A118" s="196"/>
      <c r="B118" s="99"/>
      <c r="C118" s="106"/>
      <c r="D118" s="109"/>
      <c r="E118" s="108"/>
      <c r="F118" s="197"/>
      <c r="G118" s="109"/>
      <c r="H118" s="108"/>
      <c r="I118" s="285"/>
      <c r="J118" s="99"/>
      <c r="K118" s="99"/>
    </row>
    <row r="119" spans="1:11" x14ac:dyDescent="0.25">
      <c r="A119" s="196"/>
      <c r="B119" s="99"/>
      <c r="C119" s="106"/>
      <c r="D119" s="109"/>
      <c r="E119" s="108"/>
      <c r="F119" s="197"/>
      <c r="G119" s="109"/>
      <c r="H119" s="108"/>
      <c r="I119" s="285"/>
      <c r="J119" s="99"/>
      <c r="K119" s="99"/>
    </row>
    <row r="120" spans="1:11" x14ac:dyDescent="0.25">
      <c r="A120" s="196"/>
      <c r="B120" s="99"/>
      <c r="C120" s="106"/>
      <c r="D120" s="109"/>
      <c r="E120" s="108"/>
      <c r="F120" s="197"/>
      <c r="G120" s="109"/>
      <c r="H120" s="108"/>
      <c r="I120" s="285"/>
      <c r="J120" s="99"/>
      <c r="K120" s="99"/>
    </row>
    <row r="121" spans="1:11" x14ac:dyDescent="0.25">
      <c r="A121" s="196"/>
      <c r="B121" s="99"/>
      <c r="C121" s="106"/>
      <c r="D121" s="109"/>
      <c r="E121" s="108"/>
      <c r="F121" s="197"/>
      <c r="G121" s="109"/>
      <c r="H121" s="108"/>
      <c r="I121" s="285"/>
      <c r="J121" s="99"/>
      <c r="K121" s="99"/>
    </row>
    <row r="122" spans="1:11" x14ac:dyDescent="0.25">
      <c r="A122" s="196"/>
      <c r="B122" s="99"/>
      <c r="C122" s="106"/>
      <c r="D122" s="109"/>
      <c r="E122" s="108"/>
      <c r="F122" s="197"/>
      <c r="G122" s="109"/>
      <c r="H122" s="108"/>
      <c r="I122" s="285"/>
      <c r="J122" s="99"/>
      <c r="K122" s="99"/>
    </row>
    <row r="123" spans="1:11" x14ac:dyDescent="0.25">
      <c r="A123" s="196"/>
      <c r="B123" s="108"/>
      <c r="C123" s="106"/>
      <c r="D123" s="109"/>
      <c r="E123" s="108"/>
      <c r="F123" s="197"/>
      <c r="G123" s="109"/>
      <c r="H123" s="108"/>
      <c r="J123" s="99"/>
      <c r="K123" s="99"/>
    </row>
    <row r="124" spans="1:11" x14ac:dyDescent="0.25">
      <c r="A124" s="196"/>
      <c r="B124" s="574"/>
      <c r="C124" s="106"/>
      <c r="D124" s="109"/>
      <c r="E124" s="108"/>
      <c r="F124" s="811"/>
      <c r="G124" s="811"/>
      <c r="H124" s="108"/>
      <c r="J124" s="99"/>
      <c r="K124" s="99"/>
    </row>
    <row r="125" spans="1:11" x14ac:dyDescent="0.25">
      <c r="A125" s="196"/>
      <c r="B125" s="99"/>
      <c r="C125" s="106"/>
      <c r="D125" s="109"/>
      <c r="E125" s="108"/>
      <c r="F125" s="197"/>
      <c r="G125" s="109"/>
      <c r="H125" s="108"/>
      <c r="J125" s="99"/>
      <c r="K125" s="99"/>
    </row>
    <row r="126" spans="1:11" x14ac:dyDescent="0.25">
      <c r="A126" s="196"/>
      <c r="B126" s="99"/>
      <c r="C126" s="106"/>
      <c r="D126" s="109"/>
      <c r="E126" s="108"/>
      <c r="F126" s="197"/>
      <c r="G126" s="109"/>
      <c r="H126" s="108"/>
      <c r="J126" s="99"/>
      <c r="K126" s="99"/>
    </row>
    <row r="127" spans="1:11" x14ac:dyDescent="0.25">
      <c r="A127" s="196"/>
      <c r="B127" s="99"/>
      <c r="C127" s="106"/>
      <c r="D127" s="109"/>
      <c r="E127" s="108"/>
      <c r="F127" s="197"/>
      <c r="G127" s="109"/>
      <c r="H127" s="108"/>
      <c r="J127" s="99"/>
      <c r="K127" s="99"/>
    </row>
    <row r="128" spans="1:11" x14ac:dyDescent="0.25">
      <c r="A128" s="196"/>
      <c r="B128" s="99"/>
      <c r="C128" s="106"/>
      <c r="D128" s="109"/>
      <c r="E128" s="108"/>
      <c r="F128" s="197"/>
      <c r="G128" s="109"/>
      <c r="H128" s="108"/>
      <c r="J128" s="99"/>
      <c r="K128" s="99"/>
    </row>
    <row r="129" spans="1:11" x14ac:dyDescent="0.25">
      <c r="A129" s="196"/>
      <c r="B129" s="99"/>
      <c r="C129" s="106"/>
      <c r="D129" s="109"/>
      <c r="E129" s="108"/>
      <c r="F129" s="197"/>
      <c r="G129" s="109"/>
      <c r="H129" s="108"/>
      <c r="J129" s="99"/>
      <c r="K129" s="99"/>
    </row>
    <row r="130" spans="1:11" x14ac:dyDescent="0.25">
      <c r="A130" s="196"/>
      <c r="B130" s="99"/>
      <c r="C130" s="106"/>
      <c r="D130" s="109"/>
      <c r="E130" s="108"/>
      <c r="F130" s="197"/>
      <c r="G130" s="109"/>
      <c r="H130" s="108"/>
      <c r="J130" s="99"/>
      <c r="K130" s="99"/>
    </row>
    <row r="131" spans="1:11" x14ac:dyDescent="0.25">
      <c r="A131" s="196"/>
      <c r="B131" s="99"/>
      <c r="C131" s="106"/>
      <c r="D131" s="109"/>
      <c r="E131" s="108"/>
      <c r="F131" s="197"/>
      <c r="G131" s="109"/>
      <c r="H131" s="108"/>
      <c r="J131" s="99"/>
      <c r="K131" s="99"/>
    </row>
    <row r="132" spans="1:11" x14ac:dyDescent="0.25">
      <c r="A132" s="196"/>
      <c r="B132" s="99"/>
      <c r="C132" s="106"/>
      <c r="D132" s="109"/>
      <c r="E132" s="108"/>
      <c r="F132" s="197"/>
      <c r="G132" s="109"/>
      <c r="H132" s="108"/>
      <c r="J132" s="99"/>
      <c r="K132" s="99"/>
    </row>
    <row r="133" spans="1:11" x14ac:dyDescent="0.25">
      <c r="A133" s="196"/>
      <c r="B133" s="99"/>
      <c r="C133" s="106"/>
      <c r="D133" s="109"/>
      <c r="E133" s="108"/>
      <c r="F133" s="197"/>
      <c r="G133" s="109"/>
      <c r="H133" s="108"/>
      <c r="J133" s="99"/>
      <c r="K133" s="99"/>
    </row>
    <row r="134" spans="1:11" x14ac:dyDescent="0.25">
      <c r="A134" s="196"/>
      <c r="B134" s="131"/>
      <c r="C134" s="106"/>
      <c r="D134" s="109"/>
      <c r="E134" s="108"/>
      <c r="F134" s="811"/>
      <c r="G134" s="811"/>
      <c r="H134" s="108"/>
      <c r="J134" s="99"/>
      <c r="K134" s="99"/>
    </row>
    <row r="135" spans="1:11" x14ac:dyDescent="0.25">
      <c r="A135" s="196"/>
      <c r="B135" s="99"/>
      <c r="C135" s="106"/>
      <c r="D135" s="109"/>
      <c r="E135" s="108"/>
      <c r="F135" s="197"/>
      <c r="G135" s="109"/>
      <c r="H135" s="108"/>
      <c r="J135" s="99"/>
      <c r="K135" s="99"/>
    </row>
    <row r="136" spans="1:11" x14ac:dyDescent="0.25">
      <c r="A136" s="196"/>
      <c r="B136" s="99"/>
      <c r="C136" s="106"/>
      <c r="D136" s="109"/>
      <c r="E136" s="108"/>
      <c r="F136" s="197"/>
      <c r="G136" s="109"/>
      <c r="H136" s="108"/>
      <c r="I136" s="285"/>
      <c r="J136" s="99"/>
      <c r="K136" s="99"/>
    </row>
    <row r="137" spans="1:11" x14ac:dyDescent="0.25">
      <c r="A137" s="196"/>
      <c r="B137" s="99"/>
      <c r="C137" s="106"/>
      <c r="D137" s="109"/>
      <c r="E137" s="108"/>
      <c r="F137" s="197"/>
      <c r="G137" s="109"/>
      <c r="H137" s="108"/>
      <c r="J137" s="99"/>
      <c r="K137" s="99"/>
    </row>
    <row r="138" spans="1:11" x14ac:dyDescent="0.25">
      <c r="A138" s="196"/>
      <c r="B138" s="99"/>
      <c r="C138" s="106"/>
      <c r="D138" s="109"/>
      <c r="E138" s="108"/>
      <c r="F138" s="197"/>
      <c r="G138" s="109"/>
      <c r="H138" s="108"/>
      <c r="J138" s="99"/>
      <c r="K138" s="99"/>
    </row>
    <row r="139" spans="1:11" x14ac:dyDescent="0.25">
      <c r="A139" s="196"/>
      <c r="B139" s="99"/>
      <c r="C139" s="106"/>
      <c r="D139" s="109"/>
      <c r="E139" s="108"/>
      <c r="F139" s="197"/>
      <c r="G139" s="109"/>
      <c r="H139" s="108"/>
      <c r="I139" s="288"/>
      <c r="J139" s="99"/>
      <c r="K139" s="99"/>
    </row>
    <row r="140" spans="1:11" x14ac:dyDescent="0.25">
      <c r="A140" s="196"/>
      <c r="B140" s="99"/>
      <c r="C140" s="106"/>
      <c r="D140" s="109"/>
      <c r="E140" s="108"/>
      <c r="F140" s="197"/>
      <c r="G140" s="109"/>
      <c r="H140" s="108"/>
      <c r="I140" s="285"/>
      <c r="J140" s="99"/>
      <c r="K140" s="99"/>
    </row>
    <row r="141" spans="1:11" x14ac:dyDescent="0.25">
      <c r="A141" s="196"/>
      <c r="B141" s="99"/>
      <c r="C141" s="106"/>
      <c r="D141" s="109"/>
      <c r="E141" s="108"/>
      <c r="F141" s="197"/>
      <c r="G141" s="109"/>
      <c r="H141" s="108"/>
      <c r="J141" s="99"/>
      <c r="K141" s="99"/>
    </row>
    <row r="142" spans="1:11" x14ac:dyDescent="0.25">
      <c r="A142" s="196"/>
      <c r="B142" s="99"/>
      <c r="C142" s="106"/>
      <c r="D142" s="109"/>
      <c r="E142" s="108"/>
      <c r="F142" s="197"/>
      <c r="G142" s="109"/>
      <c r="H142" s="108"/>
      <c r="J142" s="99"/>
      <c r="K142" s="99"/>
    </row>
    <row r="143" spans="1:11" x14ac:dyDescent="0.25">
      <c r="A143" s="196"/>
      <c r="B143" s="99"/>
      <c r="C143" s="106"/>
      <c r="D143" s="109"/>
      <c r="E143" s="108"/>
      <c r="F143" s="197"/>
      <c r="G143" s="109"/>
      <c r="H143" s="108"/>
      <c r="J143" s="99"/>
      <c r="K143" s="99"/>
    </row>
    <row r="144" spans="1:11" x14ac:dyDescent="0.25">
      <c r="A144" s="196"/>
      <c r="B144" s="99"/>
      <c r="C144" s="106"/>
      <c r="D144" s="109"/>
      <c r="E144" s="108"/>
      <c r="F144" s="197"/>
      <c r="G144" s="109"/>
      <c r="H144" s="108"/>
      <c r="J144" s="99"/>
      <c r="K144" s="99"/>
    </row>
    <row r="145" spans="1:11" x14ac:dyDescent="0.25">
      <c r="A145" s="196"/>
      <c r="B145" s="99"/>
      <c r="C145" s="106"/>
      <c r="D145" s="109"/>
      <c r="E145" s="108"/>
      <c r="F145" s="197"/>
      <c r="G145" s="109"/>
      <c r="H145" s="108"/>
      <c r="J145" s="99"/>
      <c r="K145" s="99"/>
    </row>
    <row r="146" spans="1:11" x14ac:dyDescent="0.25">
      <c r="A146" s="196"/>
      <c r="B146" s="99"/>
      <c r="C146" s="106"/>
      <c r="D146" s="109"/>
      <c r="E146" s="108"/>
      <c r="F146" s="197"/>
      <c r="G146" s="109"/>
      <c r="H146" s="108"/>
      <c r="J146" s="99"/>
      <c r="K146" s="99"/>
    </row>
    <row r="147" spans="1:11" x14ac:dyDescent="0.25">
      <c r="A147" s="196"/>
      <c r="B147" s="99"/>
      <c r="C147" s="106"/>
      <c r="D147" s="109"/>
      <c r="E147" s="108"/>
      <c r="F147" s="197"/>
      <c r="G147" s="109"/>
      <c r="H147" s="108"/>
      <c r="J147" s="99"/>
      <c r="K147" s="99"/>
    </row>
    <row r="148" spans="1:11" x14ac:dyDescent="0.25">
      <c r="A148" s="196"/>
      <c r="B148" s="99"/>
      <c r="C148" s="106"/>
      <c r="D148" s="109"/>
      <c r="E148" s="108"/>
      <c r="F148" s="197"/>
      <c r="G148" s="109"/>
      <c r="H148" s="108"/>
      <c r="J148" s="99"/>
      <c r="K148" s="99"/>
    </row>
    <row r="149" spans="1:11" x14ac:dyDescent="0.25">
      <c r="A149" s="196"/>
      <c r="B149" s="99"/>
      <c r="C149" s="106"/>
      <c r="D149" s="109"/>
      <c r="E149" s="108"/>
      <c r="F149" s="197"/>
      <c r="G149" s="109"/>
      <c r="H149" s="108"/>
      <c r="J149" s="99"/>
      <c r="K149" s="99"/>
    </row>
    <row r="150" spans="1:11" x14ac:dyDescent="0.25">
      <c r="A150" s="196"/>
      <c r="B150" s="99"/>
      <c r="C150" s="106"/>
      <c r="D150" s="109"/>
      <c r="E150" s="108"/>
      <c r="F150" s="197"/>
      <c r="G150" s="109"/>
      <c r="H150" s="108"/>
      <c r="J150" s="99"/>
      <c r="K150" s="99"/>
    </row>
    <row r="151" spans="1:11" x14ac:dyDescent="0.25">
      <c r="A151" s="196"/>
      <c r="B151" s="99"/>
      <c r="C151" s="106"/>
      <c r="D151" s="109"/>
      <c r="E151" s="108"/>
      <c r="F151" s="197"/>
      <c r="G151" s="109"/>
      <c r="H151" s="108"/>
      <c r="J151" s="99"/>
      <c r="K151" s="99"/>
    </row>
    <row r="152" spans="1:11" x14ac:dyDescent="0.25">
      <c r="A152" s="196"/>
      <c r="B152" s="99"/>
      <c r="C152" s="106"/>
      <c r="D152" s="109"/>
      <c r="E152" s="108"/>
      <c r="F152" s="197"/>
      <c r="G152" s="109"/>
      <c r="H152" s="108"/>
      <c r="J152" s="99"/>
      <c r="K152" s="99"/>
    </row>
    <row r="153" spans="1:11" x14ac:dyDescent="0.25">
      <c r="A153" s="196"/>
      <c r="B153" s="99"/>
      <c r="C153" s="106"/>
      <c r="D153" s="109"/>
      <c r="E153" s="108"/>
      <c r="F153" s="197"/>
      <c r="G153" s="109"/>
      <c r="H153" s="108"/>
      <c r="J153" s="99"/>
      <c r="K153" s="99"/>
    </row>
    <row r="154" spans="1:11" x14ac:dyDescent="0.25">
      <c r="A154" s="196"/>
      <c r="B154" s="99"/>
      <c r="C154" s="106"/>
      <c r="D154" s="109"/>
      <c r="E154" s="108"/>
      <c r="F154" s="197"/>
      <c r="G154" s="109"/>
      <c r="H154" s="108"/>
      <c r="J154" s="99"/>
      <c r="K154" s="99"/>
    </row>
    <row r="155" spans="1:11" x14ac:dyDescent="0.25">
      <c r="A155" s="196"/>
      <c r="B155" s="99"/>
      <c r="C155" s="106"/>
      <c r="D155" s="109"/>
      <c r="E155" s="108"/>
      <c r="F155" s="197"/>
      <c r="G155" s="109"/>
      <c r="H155" s="108"/>
      <c r="J155" s="99"/>
      <c r="K155" s="99"/>
    </row>
    <row r="156" spans="1:11" x14ac:dyDescent="0.25">
      <c r="A156" s="196"/>
      <c r="B156" s="99"/>
      <c r="C156" s="106"/>
      <c r="D156" s="109"/>
      <c r="E156" s="108"/>
      <c r="F156" s="197"/>
      <c r="G156" s="109"/>
      <c r="H156" s="108"/>
      <c r="J156" s="99"/>
      <c r="K156" s="99"/>
    </row>
    <row r="157" spans="1:11" x14ac:dyDescent="0.25">
      <c r="C157" s="106"/>
      <c r="D157" s="109"/>
      <c r="E157" s="108"/>
      <c r="G157" s="109"/>
      <c r="H157" s="108"/>
      <c r="J157" s="99"/>
      <c r="K157" s="99"/>
    </row>
    <row r="158" spans="1:11" x14ac:dyDescent="0.25">
      <c r="C158" s="106"/>
      <c r="D158" s="109"/>
      <c r="E158" s="108"/>
      <c r="G158" s="109"/>
      <c r="H158" s="108"/>
      <c r="J158" s="99"/>
      <c r="K158" s="99"/>
    </row>
    <row r="159" spans="1:11" x14ac:dyDescent="0.25">
      <c r="C159" s="106"/>
      <c r="D159" s="109"/>
      <c r="E159" s="108"/>
      <c r="G159" s="109"/>
      <c r="H159" s="108"/>
      <c r="J159" s="99"/>
      <c r="K159" s="99"/>
    </row>
    <row r="160" spans="1:11" x14ac:dyDescent="0.25">
      <c r="C160" s="106"/>
      <c r="D160" s="109"/>
      <c r="E160" s="108"/>
      <c r="G160" s="109"/>
      <c r="H160" s="108"/>
      <c r="J160" s="99"/>
      <c r="K160" s="99"/>
    </row>
    <row r="161" spans="1:11" x14ac:dyDescent="0.25">
      <c r="C161" s="106"/>
      <c r="D161" s="109"/>
      <c r="E161" s="108"/>
      <c r="G161" s="109"/>
      <c r="H161" s="108"/>
      <c r="J161" s="99"/>
      <c r="K161" s="99"/>
    </row>
    <row r="162" spans="1:11" x14ac:dyDescent="0.25">
      <c r="A162" s="196"/>
      <c r="C162" s="106"/>
      <c r="D162" s="109"/>
      <c r="E162" s="108"/>
      <c r="G162" s="109"/>
      <c r="H162" s="108"/>
      <c r="J162" s="99"/>
      <c r="K162" s="99"/>
    </row>
    <row r="163" spans="1:11" x14ac:dyDescent="0.25">
      <c r="A163" s="196"/>
      <c r="C163" s="106"/>
      <c r="D163" s="109"/>
      <c r="E163" s="108"/>
      <c r="G163" s="109"/>
      <c r="H163" s="108"/>
      <c r="J163" s="99"/>
      <c r="K163" s="99"/>
    </row>
    <row r="164" spans="1:11" x14ac:dyDescent="0.25">
      <c r="A164" s="196"/>
      <c r="C164" s="106"/>
      <c r="D164" s="109"/>
      <c r="E164" s="108"/>
      <c r="G164" s="109"/>
      <c r="H164" s="108"/>
      <c r="J164" s="99"/>
      <c r="K164" s="99"/>
    </row>
    <row r="165" spans="1:11" x14ac:dyDescent="0.25">
      <c r="A165" s="196"/>
      <c r="C165" s="106"/>
      <c r="D165" s="109"/>
      <c r="E165" s="108"/>
      <c r="G165" s="109"/>
      <c r="H165" s="108"/>
      <c r="J165" s="99"/>
      <c r="K165" s="99"/>
    </row>
    <row r="166" spans="1:11" x14ac:dyDescent="0.25">
      <c r="A166" s="196"/>
      <c r="C166" s="106"/>
      <c r="D166" s="109"/>
      <c r="E166" s="108"/>
      <c r="G166" s="109"/>
      <c r="H166" s="108"/>
      <c r="J166" s="99"/>
      <c r="K166" s="99"/>
    </row>
    <row r="167" spans="1:11" x14ac:dyDescent="0.25">
      <c r="A167" s="196"/>
      <c r="C167" s="106"/>
      <c r="D167" s="109"/>
      <c r="E167" s="108"/>
      <c r="G167" s="109"/>
      <c r="H167" s="108"/>
      <c r="J167" s="99"/>
      <c r="K167" s="99"/>
    </row>
    <row r="168" spans="1:11" x14ac:dyDescent="0.25">
      <c r="A168" s="196"/>
      <c r="C168" s="106"/>
      <c r="D168" s="109"/>
      <c r="E168" s="108"/>
      <c r="G168" s="109"/>
      <c r="H168" s="108"/>
      <c r="J168" s="99"/>
      <c r="K168" s="99"/>
    </row>
    <row r="169" spans="1:11" x14ac:dyDescent="0.25">
      <c r="A169" s="196"/>
      <c r="C169" s="106"/>
      <c r="D169" s="109"/>
      <c r="E169" s="108"/>
      <c r="G169" s="109"/>
      <c r="H169" s="108"/>
      <c r="J169" s="99"/>
      <c r="K169" s="99"/>
    </row>
    <row r="170" spans="1:11" x14ac:dyDescent="0.25">
      <c r="A170" s="196"/>
      <c r="C170" s="106"/>
      <c r="D170" s="109"/>
      <c r="E170" s="108"/>
      <c r="G170" s="109"/>
      <c r="H170" s="108"/>
      <c r="J170" s="99"/>
      <c r="K170" s="99"/>
    </row>
    <row r="171" spans="1:11" x14ac:dyDescent="0.25">
      <c r="A171" s="196"/>
      <c r="C171" s="106"/>
      <c r="D171" s="109"/>
      <c r="E171" s="108"/>
      <c r="G171" s="109"/>
      <c r="H171" s="108"/>
      <c r="J171" s="99"/>
      <c r="K171" s="99"/>
    </row>
    <row r="172" spans="1:11" x14ac:dyDescent="0.25">
      <c r="A172" s="196"/>
      <c r="C172" s="106"/>
      <c r="D172" s="109"/>
      <c r="E172" s="108"/>
      <c r="G172" s="109"/>
      <c r="H172" s="108"/>
      <c r="J172" s="99"/>
      <c r="K172" s="99"/>
    </row>
    <row r="173" spans="1:11" x14ac:dyDescent="0.25">
      <c r="A173" s="196"/>
      <c r="C173" s="106"/>
      <c r="D173" s="109"/>
      <c r="E173" s="108"/>
      <c r="G173" s="109"/>
      <c r="H173" s="108"/>
      <c r="J173" s="99"/>
      <c r="K173" s="99"/>
    </row>
    <row r="174" spans="1:11" x14ac:dyDescent="0.25">
      <c r="A174" s="196"/>
      <c r="C174" s="106"/>
      <c r="D174" s="109"/>
      <c r="E174" s="108"/>
      <c r="G174" s="109"/>
      <c r="H174" s="108"/>
      <c r="J174" s="99"/>
      <c r="K174" s="99"/>
    </row>
    <row r="175" spans="1:11" x14ac:dyDescent="0.25">
      <c r="A175" s="196"/>
      <c r="C175" s="106"/>
      <c r="D175" s="109"/>
      <c r="E175" s="108"/>
      <c r="G175" s="109"/>
      <c r="H175" s="108"/>
      <c r="J175" s="99"/>
      <c r="K175" s="99"/>
    </row>
    <row r="176" spans="1:11" x14ac:dyDescent="0.25">
      <c r="A176" s="196"/>
      <c r="C176" s="106"/>
      <c r="D176" s="109"/>
      <c r="E176" s="108"/>
      <c r="G176" s="109"/>
      <c r="H176" s="108"/>
      <c r="J176" s="99"/>
      <c r="K176" s="99"/>
    </row>
    <row r="177" spans="1:11" x14ac:dyDescent="0.25">
      <c r="C177" s="106"/>
      <c r="D177" s="109"/>
      <c r="E177" s="108"/>
      <c r="G177" s="109"/>
      <c r="H177" s="108"/>
      <c r="J177" s="99"/>
      <c r="K177" s="99"/>
    </row>
    <row r="178" spans="1:11" x14ac:dyDescent="0.25">
      <c r="C178" s="106"/>
      <c r="D178" s="109"/>
      <c r="E178" s="108"/>
      <c r="G178" s="109"/>
      <c r="H178" s="108"/>
      <c r="J178" s="99"/>
      <c r="K178" s="99"/>
    </row>
    <row r="179" spans="1:11" x14ac:dyDescent="0.25">
      <c r="C179" s="106"/>
      <c r="D179" s="109"/>
      <c r="E179" s="108"/>
      <c r="G179" s="109"/>
      <c r="H179" s="108"/>
      <c r="J179" s="99"/>
      <c r="K179" s="99"/>
    </row>
    <row r="180" spans="1:11" x14ac:dyDescent="0.25">
      <c r="C180" s="106"/>
      <c r="D180" s="109"/>
      <c r="E180" s="108"/>
      <c r="G180" s="109"/>
      <c r="H180" s="108"/>
      <c r="J180" s="99"/>
      <c r="K180" s="99"/>
    </row>
    <row r="181" spans="1:11" x14ac:dyDescent="0.25">
      <c r="C181" s="106"/>
      <c r="D181" s="109"/>
      <c r="E181" s="108"/>
      <c r="G181" s="109"/>
      <c r="H181" s="108"/>
      <c r="J181" s="99"/>
      <c r="K181" s="99"/>
    </row>
    <row r="182" spans="1:11" x14ac:dyDescent="0.25">
      <c r="C182" s="106"/>
      <c r="D182" s="109"/>
      <c r="E182" s="108"/>
      <c r="G182" s="109"/>
      <c r="H182" s="108"/>
      <c r="J182" s="99"/>
      <c r="K182" s="99"/>
    </row>
    <row r="183" spans="1:11" x14ac:dyDescent="0.25">
      <c r="C183" s="106"/>
      <c r="D183" s="109"/>
      <c r="E183" s="108"/>
      <c r="G183" s="109"/>
      <c r="H183" s="108"/>
      <c r="J183" s="99"/>
      <c r="K183" s="99"/>
    </row>
    <row r="184" spans="1:11" x14ac:dyDescent="0.25">
      <c r="C184" s="106"/>
      <c r="D184" s="109"/>
      <c r="E184" s="108"/>
      <c r="G184" s="109"/>
      <c r="H184" s="108"/>
      <c r="J184" s="99"/>
      <c r="K184" s="99"/>
    </row>
    <row r="185" spans="1:11" x14ac:dyDescent="0.25">
      <c r="C185" s="106"/>
      <c r="D185" s="109"/>
      <c r="E185" s="108"/>
      <c r="G185" s="109"/>
      <c r="H185" s="108"/>
      <c r="J185" s="99"/>
      <c r="K185" s="99"/>
    </row>
    <row r="186" spans="1:11" x14ac:dyDescent="0.25">
      <c r="C186" s="106"/>
      <c r="D186" s="109"/>
      <c r="E186" s="108"/>
      <c r="G186" s="109"/>
      <c r="H186" s="108"/>
      <c r="J186" s="99"/>
      <c r="K186" s="99"/>
    </row>
    <row r="187" spans="1:11" x14ac:dyDescent="0.25">
      <c r="C187" s="106"/>
      <c r="D187" s="109"/>
      <c r="E187" s="108"/>
      <c r="G187" s="109"/>
      <c r="H187" s="108"/>
      <c r="J187" s="99"/>
      <c r="K187" s="99"/>
    </row>
    <row r="188" spans="1:11" x14ac:dyDescent="0.25">
      <c r="C188" s="106"/>
      <c r="D188" s="109"/>
      <c r="E188" s="108"/>
      <c r="G188" s="109"/>
      <c r="H188" s="108"/>
      <c r="J188" s="99"/>
      <c r="K188" s="99"/>
    </row>
    <row r="189" spans="1:11" x14ac:dyDescent="0.25">
      <c r="A189" s="196"/>
      <c r="C189" s="106"/>
      <c r="D189" s="109"/>
      <c r="E189" s="108"/>
      <c r="G189" s="109"/>
      <c r="H189" s="108"/>
      <c r="I189" s="108"/>
      <c r="J189" s="99"/>
      <c r="K189" s="99"/>
    </row>
    <row r="190" spans="1:11" x14ac:dyDescent="0.25">
      <c r="A190" s="196"/>
      <c r="C190" s="106"/>
      <c r="D190" s="109"/>
      <c r="E190" s="108"/>
      <c r="G190" s="109"/>
      <c r="H190" s="108"/>
      <c r="J190" s="99"/>
      <c r="K190" s="99"/>
    </row>
    <row r="191" spans="1:11" x14ac:dyDescent="0.25">
      <c r="A191" s="196"/>
      <c r="C191" s="106"/>
      <c r="D191" s="109"/>
      <c r="E191" s="108"/>
      <c r="G191" s="109"/>
      <c r="H191" s="108"/>
      <c r="I191" s="108"/>
      <c r="J191" s="99"/>
      <c r="K191" s="99"/>
    </row>
    <row r="192" spans="1:11" x14ac:dyDescent="0.25">
      <c r="A192" s="196"/>
      <c r="C192" s="106"/>
      <c r="D192" s="109"/>
      <c r="E192" s="108"/>
      <c r="G192" s="109"/>
      <c r="H192" s="108"/>
      <c r="J192" s="99"/>
      <c r="K192" s="99"/>
    </row>
    <row r="193" spans="2:11" x14ac:dyDescent="0.25">
      <c r="C193" s="106"/>
      <c r="D193" s="109"/>
      <c r="E193" s="108"/>
      <c r="G193" s="109"/>
      <c r="H193" s="108"/>
      <c r="J193" s="99"/>
      <c r="K193" s="99"/>
    </row>
    <row r="194" spans="2:11" x14ac:dyDescent="0.25">
      <c r="C194" s="106"/>
      <c r="D194" s="109"/>
      <c r="E194" s="108"/>
      <c r="G194" s="109"/>
      <c r="H194" s="108"/>
      <c r="J194" s="99"/>
      <c r="K194" s="99"/>
    </row>
    <row r="195" spans="2:11" x14ac:dyDescent="0.25">
      <c r="C195" s="106"/>
      <c r="D195" s="109"/>
      <c r="E195" s="108"/>
      <c r="G195" s="109"/>
      <c r="H195" s="108"/>
      <c r="J195" s="99"/>
      <c r="K195" s="99"/>
    </row>
    <row r="196" spans="2:11" x14ac:dyDescent="0.25">
      <c r="C196" s="106"/>
      <c r="D196" s="109"/>
      <c r="E196" s="108"/>
      <c r="G196" s="109"/>
      <c r="H196" s="108"/>
      <c r="J196" s="99"/>
      <c r="K196" s="99"/>
    </row>
    <row r="197" spans="2:11" x14ac:dyDescent="0.25">
      <c r="C197" s="106"/>
      <c r="D197" s="109"/>
      <c r="E197" s="108"/>
      <c r="G197" s="109"/>
      <c r="H197" s="108"/>
      <c r="J197" s="99"/>
      <c r="K197" s="99"/>
    </row>
    <row r="198" spans="2:11" x14ac:dyDescent="0.25">
      <c r="C198" s="106"/>
      <c r="D198" s="109"/>
      <c r="E198" s="108"/>
      <c r="G198" s="109"/>
      <c r="H198" s="108"/>
      <c r="J198" s="99"/>
      <c r="K198" s="99"/>
    </row>
    <row r="199" spans="2:11" x14ac:dyDescent="0.25">
      <c r="C199" s="106"/>
      <c r="D199" s="109"/>
      <c r="E199" s="108"/>
      <c r="G199" s="109"/>
      <c r="H199" s="108"/>
      <c r="J199" s="99"/>
      <c r="K199" s="99"/>
    </row>
    <row r="200" spans="2:11" x14ac:dyDescent="0.25">
      <c r="C200" s="106"/>
      <c r="D200" s="109"/>
      <c r="E200" s="108"/>
      <c r="G200" s="109"/>
      <c r="H200" s="108"/>
      <c r="J200" s="99"/>
      <c r="K200" s="99"/>
    </row>
    <row r="201" spans="2:11" x14ac:dyDescent="0.25">
      <c r="C201" s="106"/>
      <c r="D201" s="109"/>
      <c r="E201" s="108"/>
      <c r="G201" s="109"/>
      <c r="H201" s="108"/>
      <c r="J201" s="99"/>
      <c r="K201" s="99"/>
    </row>
    <row r="202" spans="2:11" x14ac:dyDescent="0.25">
      <c r="B202" s="131"/>
      <c r="C202" s="106"/>
      <c r="D202" s="109"/>
      <c r="E202" s="108"/>
      <c r="F202" s="811"/>
      <c r="G202" s="811"/>
      <c r="H202" s="108"/>
      <c r="J202" s="99"/>
      <c r="K202" s="99"/>
    </row>
    <row r="203" spans="2:11" x14ac:dyDescent="0.25">
      <c r="C203" s="106"/>
      <c r="D203" s="109"/>
      <c r="E203" s="108"/>
      <c r="G203" s="109"/>
      <c r="H203" s="108"/>
      <c r="J203" s="99"/>
      <c r="K203" s="99"/>
    </row>
    <row r="204" spans="2:11" x14ac:dyDescent="0.25">
      <c r="C204" s="106"/>
      <c r="D204" s="109"/>
      <c r="E204" s="108"/>
      <c r="G204" s="109"/>
      <c r="H204" s="108"/>
      <c r="J204" s="99"/>
      <c r="K204" s="99"/>
    </row>
    <row r="205" spans="2:11" x14ac:dyDescent="0.25">
      <c r="C205" s="106"/>
      <c r="D205" s="109"/>
      <c r="E205" s="108"/>
      <c r="G205" s="109"/>
      <c r="H205" s="108"/>
      <c r="J205" s="99"/>
      <c r="K205" s="99"/>
    </row>
    <row r="206" spans="2:11" x14ac:dyDescent="0.25">
      <c r="C206" s="106"/>
      <c r="D206" s="109"/>
      <c r="E206" s="108"/>
      <c r="G206" s="109"/>
      <c r="H206" s="108"/>
      <c r="J206" s="99"/>
      <c r="K206" s="99"/>
    </row>
    <row r="207" spans="2:11" x14ac:dyDescent="0.25">
      <c r="C207" s="106"/>
      <c r="D207" s="109"/>
      <c r="E207" s="108"/>
      <c r="G207" s="109"/>
      <c r="H207" s="108"/>
      <c r="J207" s="99"/>
      <c r="K207" s="99"/>
    </row>
    <row r="208" spans="2:11" x14ac:dyDescent="0.25">
      <c r="C208" s="106"/>
      <c r="D208" s="109"/>
      <c r="E208" s="108"/>
      <c r="G208" s="109"/>
      <c r="H208" s="108"/>
      <c r="J208" s="99"/>
      <c r="K208" s="99"/>
    </row>
    <row r="209" spans="3:12" x14ac:dyDescent="0.25">
      <c r="C209" s="106"/>
      <c r="D209" s="109"/>
      <c r="E209" s="108"/>
      <c r="G209" s="109"/>
      <c r="H209" s="108"/>
      <c r="J209" s="99"/>
      <c r="K209" s="99"/>
    </row>
    <row r="210" spans="3:12" x14ac:dyDescent="0.25">
      <c r="C210" s="106"/>
      <c r="D210" s="109"/>
      <c r="E210" s="108"/>
      <c r="G210" s="109"/>
      <c r="H210" s="108"/>
      <c r="J210" s="99"/>
      <c r="K210" s="99"/>
    </row>
    <row r="211" spans="3:12" x14ac:dyDescent="0.25">
      <c r="C211" s="106"/>
      <c r="D211" s="109"/>
      <c r="E211" s="108"/>
      <c r="G211" s="109"/>
      <c r="H211" s="108"/>
      <c r="J211" s="99"/>
      <c r="K211" s="99"/>
    </row>
    <row r="212" spans="3:12" x14ac:dyDescent="0.25">
      <c r="C212" s="106"/>
      <c r="D212" s="109"/>
      <c r="E212" s="108"/>
      <c r="G212" s="109"/>
      <c r="H212" s="108"/>
      <c r="J212" s="99"/>
      <c r="K212" s="99"/>
    </row>
    <row r="213" spans="3:12" x14ac:dyDescent="0.25">
      <c r="C213" s="106"/>
      <c r="D213" s="109"/>
      <c r="E213" s="108"/>
      <c r="G213" s="109"/>
      <c r="H213" s="108"/>
      <c r="J213" s="99"/>
      <c r="K213" s="99"/>
    </row>
    <row r="214" spans="3:12" x14ac:dyDescent="0.25">
      <c r="C214" s="106"/>
      <c r="D214" s="109"/>
      <c r="E214" s="108"/>
      <c r="G214" s="109"/>
      <c r="H214" s="108"/>
      <c r="J214" s="99"/>
      <c r="K214" s="99"/>
    </row>
    <row r="215" spans="3:12" x14ac:dyDescent="0.25">
      <c r="C215" s="106"/>
      <c r="D215" s="109"/>
      <c r="E215" s="108"/>
      <c r="G215" s="109"/>
      <c r="H215" s="108"/>
      <c r="J215" s="99"/>
      <c r="K215" s="99"/>
    </row>
    <row r="216" spans="3:12" x14ac:dyDescent="0.25">
      <c r="C216" s="106"/>
      <c r="D216" s="109"/>
      <c r="E216" s="108"/>
      <c r="G216" s="109"/>
      <c r="H216" s="108"/>
      <c r="J216" s="99"/>
      <c r="K216" s="99"/>
    </row>
    <row r="217" spans="3:12" x14ac:dyDescent="0.25">
      <c r="C217" s="106"/>
      <c r="D217" s="109"/>
      <c r="E217" s="108"/>
      <c r="G217" s="109"/>
      <c r="H217" s="108"/>
      <c r="J217" s="99"/>
      <c r="K217" s="99"/>
    </row>
    <row r="218" spans="3:12" x14ac:dyDescent="0.25">
      <c r="C218" s="106"/>
      <c r="D218" s="109"/>
      <c r="E218" s="108"/>
      <c r="G218" s="109"/>
      <c r="H218" s="108"/>
      <c r="J218" s="99"/>
      <c r="K218" s="99"/>
    </row>
    <row r="219" spans="3:12" x14ac:dyDescent="0.25">
      <c r="C219" s="106"/>
      <c r="D219" s="109"/>
      <c r="E219" s="108"/>
      <c r="G219" s="109"/>
      <c r="H219" s="108"/>
      <c r="J219" s="99"/>
      <c r="K219" s="99"/>
    </row>
    <row r="220" spans="3:12" x14ac:dyDescent="0.25">
      <c r="C220" s="106"/>
      <c r="D220" s="109"/>
      <c r="E220" s="108"/>
      <c r="G220" s="109"/>
      <c r="H220" s="108"/>
      <c r="J220" s="99"/>
      <c r="K220" s="99"/>
      <c r="L220" s="99"/>
    </row>
    <row r="221" spans="3:12" x14ac:dyDescent="0.25">
      <c r="C221" s="106"/>
      <c r="D221" s="109"/>
      <c r="E221" s="108"/>
      <c r="G221" s="109"/>
      <c r="H221" s="108"/>
      <c r="J221" s="99"/>
      <c r="K221" s="99"/>
      <c r="L221" s="99"/>
    </row>
    <row r="222" spans="3:12" x14ac:dyDescent="0.25">
      <c r="C222" s="106"/>
      <c r="D222" s="109"/>
      <c r="E222" s="108"/>
      <c r="G222" s="109"/>
      <c r="H222" s="108"/>
      <c r="J222" s="99"/>
      <c r="K222" s="99"/>
    </row>
    <row r="223" spans="3:12" x14ac:dyDescent="0.25">
      <c r="C223" s="106"/>
      <c r="D223" s="109"/>
      <c r="E223" s="108"/>
      <c r="G223" s="109"/>
      <c r="H223" s="108"/>
      <c r="J223" s="99"/>
      <c r="K223" s="99"/>
    </row>
    <row r="224" spans="3:12" x14ac:dyDescent="0.25">
      <c r="C224" s="106"/>
      <c r="D224" s="109"/>
      <c r="E224" s="108"/>
      <c r="G224" s="109"/>
      <c r="H224" s="108"/>
      <c r="J224" s="99"/>
      <c r="K224" s="99"/>
    </row>
    <row r="225" spans="3:11" x14ac:dyDescent="0.25">
      <c r="C225" s="106"/>
      <c r="D225" s="109"/>
      <c r="E225" s="108"/>
      <c r="G225" s="109"/>
      <c r="H225" s="108"/>
      <c r="J225" s="99"/>
      <c r="K225" s="99"/>
    </row>
    <row r="226" spans="3:11" x14ac:dyDescent="0.25">
      <c r="C226" s="106"/>
      <c r="D226" s="109"/>
      <c r="E226" s="108"/>
      <c r="G226" s="109"/>
      <c r="H226" s="108"/>
      <c r="J226" s="99"/>
      <c r="K226" s="99"/>
    </row>
    <row r="227" spans="3:11" x14ac:dyDescent="0.25">
      <c r="C227" s="106"/>
      <c r="D227" s="109"/>
      <c r="E227" s="108"/>
      <c r="G227" s="109"/>
      <c r="H227" s="108"/>
      <c r="J227" s="99"/>
      <c r="K227" s="99"/>
    </row>
    <row r="228" spans="3:11" x14ac:dyDescent="0.25">
      <c r="C228" s="106"/>
      <c r="D228" s="109"/>
      <c r="E228" s="108"/>
      <c r="G228" s="109"/>
      <c r="H228" s="108"/>
      <c r="J228" s="99"/>
      <c r="K228" s="99"/>
    </row>
    <row r="229" spans="3:11" x14ac:dyDescent="0.25">
      <c r="C229" s="106"/>
      <c r="D229" s="109"/>
      <c r="E229" s="108"/>
      <c r="G229" s="109"/>
      <c r="H229" s="108"/>
      <c r="J229" s="99"/>
      <c r="K229" s="99"/>
    </row>
    <row r="230" spans="3:11" x14ac:dyDescent="0.25">
      <c r="C230" s="106"/>
      <c r="D230" s="109"/>
      <c r="E230" s="108"/>
      <c r="G230" s="109"/>
      <c r="H230" s="108"/>
      <c r="J230" s="99"/>
      <c r="K230" s="99"/>
    </row>
    <row r="231" spans="3:11" x14ac:dyDescent="0.25">
      <c r="C231" s="106"/>
      <c r="D231" s="109"/>
      <c r="E231" s="108"/>
      <c r="G231" s="109"/>
      <c r="H231" s="108"/>
      <c r="J231" s="99"/>
      <c r="K231" s="99"/>
    </row>
    <row r="232" spans="3:11" x14ac:dyDescent="0.25">
      <c r="C232" s="106"/>
      <c r="D232" s="109"/>
      <c r="E232" s="108"/>
      <c r="G232" s="109"/>
      <c r="H232" s="108"/>
      <c r="J232" s="99"/>
      <c r="K232" s="99"/>
    </row>
    <row r="233" spans="3:11" x14ac:dyDescent="0.25">
      <c r="C233" s="106"/>
      <c r="D233" s="109"/>
      <c r="E233" s="108"/>
      <c r="G233" s="109"/>
      <c r="H233" s="108"/>
      <c r="J233" s="99"/>
      <c r="K233" s="99"/>
    </row>
    <row r="234" spans="3:11" x14ac:dyDescent="0.25">
      <c r="C234" s="106"/>
      <c r="D234" s="109"/>
      <c r="E234" s="108"/>
      <c r="G234" s="109"/>
      <c r="H234" s="108"/>
      <c r="J234" s="99"/>
      <c r="K234" s="99"/>
    </row>
    <row r="235" spans="3:11" x14ac:dyDescent="0.25">
      <c r="C235" s="106"/>
      <c r="D235" s="109"/>
      <c r="E235" s="108"/>
      <c r="G235" s="109"/>
      <c r="H235" s="108"/>
      <c r="J235" s="99"/>
      <c r="K235" s="99"/>
    </row>
    <row r="236" spans="3:11" x14ac:dyDescent="0.25">
      <c r="C236" s="106"/>
      <c r="D236" s="109"/>
      <c r="E236" s="108"/>
      <c r="G236" s="109"/>
      <c r="H236" s="108"/>
      <c r="J236" s="99"/>
      <c r="K236" s="99"/>
    </row>
    <row r="237" spans="3:11" x14ac:dyDescent="0.25">
      <c r="C237" s="106"/>
      <c r="D237" s="109"/>
      <c r="E237" s="108"/>
      <c r="G237" s="109"/>
      <c r="H237" s="108"/>
      <c r="J237" s="99"/>
      <c r="K237" s="99"/>
    </row>
    <row r="238" spans="3:11" x14ac:dyDescent="0.25">
      <c r="C238" s="106"/>
      <c r="D238" s="109"/>
      <c r="E238" s="108"/>
      <c r="G238" s="109"/>
      <c r="H238" s="108"/>
      <c r="J238" s="99"/>
      <c r="K238" s="99"/>
    </row>
    <row r="239" spans="3:11" x14ac:dyDescent="0.25">
      <c r="C239" s="106"/>
      <c r="D239" s="109"/>
      <c r="E239" s="108"/>
      <c r="G239" s="109"/>
      <c r="H239" s="108"/>
      <c r="J239" s="99"/>
      <c r="K239" s="99"/>
    </row>
    <row r="240" spans="3:11" x14ac:dyDescent="0.25">
      <c r="C240" s="106"/>
      <c r="D240" s="109"/>
      <c r="E240" s="108"/>
      <c r="G240" s="109"/>
      <c r="H240" s="108"/>
      <c r="J240" s="99"/>
      <c r="K240" s="99"/>
    </row>
    <row r="241" spans="3:11" x14ac:dyDescent="0.25">
      <c r="C241" s="106"/>
      <c r="D241" s="109"/>
      <c r="E241" s="108"/>
      <c r="G241" s="109"/>
      <c r="H241" s="108"/>
      <c r="J241" s="99"/>
      <c r="K241" s="99"/>
    </row>
    <row r="242" spans="3:11" x14ac:dyDescent="0.25">
      <c r="C242" s="106"/>
      <c r="D242" s="109"/>
      <c r="E242" s="108"/>
      <c r="G242" s="109"/>
      <c r="H242" s="108"/>
      <c r="J242" s="99"/>
      <c r="K242" s="99"/>
    </row>
    <row r="243" spans="3:11" x14ac:dyDescent="0.25">
      <c r="C243" s="106"/>
      <c r="D243" s="109"/>
      <c r="E243" s="108"/>
      <c r="G243" s="109"/>
      <c r="H243" s="108"/>
      <c r="J243" s="99"/>
      <c r="K243" s="99"/>
    </row>
    <row r="244" spans="3:11" x14ac:dyDescent="0.25">
      <c r="C244" s="106"/>
      <c r="D244" s="109"/>
      <c r="E244" s="108"/>
      <c r="G244" s="109"/>
      <c r="H244" s="108"/>
      <c r="J244" s="99"/>
      <c r="K244" s="99"/>
    </row>
    <row r="245" spans="3:11" x14ac:dyDescent="0.25">
      <c r="C245" s="106"/>
      <c r="D245" s="109"/>
      <c r="E245" s="108"/>
      <c r="G245" s="109"/>
      <c r="H245" s="108"/>
      <c r="J245" s="99"/>
      <c r="K245" s="99"/>
    </row>
    <row r="246" spans="3:11" x14ac:dyDescent="0.25">
      <c r="C246" s="106"/>
      <c r="D246" s="109"/>
      <c r="E246" s="108"/>
      <c r="G246" s="109"/>
      <c r="H246" s="108"/>
      <c r="J246" s="99"/>
      <c r="K246" s="99"/>
    </row>
    <row r="247" spans="3:11" x14ac:dyDescent="0.25">
      <c r="C247" s="106"/>
      <c r="D247" s="109"/>
      <c r="E247" s="108"/>
      <c r="G247" s="109"/>
      <c r="H247" s="108"/>
      <c r="J247" s="99"/>
      <c r="K247" s="99"/>
    </row>
    <row r="248" spans="3:11" x14ac:dyDescent="0.25">
      <c r="C248" s="106"/>
      <c r="D248" s="109"/>
      <c r="E248" s="108"/>
      <c r="G248" s="109"/>
      <c r="H248" s="108"/>
      <c r="J248" s="99"/>
      <c r="K248" s="99"/>
    </row>
    <row r="249" spans="3:11" x14ac:dyDescent="0.25">
      <c r="C249" s="106"/>
      <c r="D249" s="109"/>
      <c r="E249" s="108"/>
      <c r="G249" s="109"/>
      <c r="H249" s="108"/>
      <c r="J249" s="99"/>
      <c r="K249" s="99"/>
    </row>
    <row r="250" spans="3:11" x14ac:dyDescent="0.25">
      <c r="C250" s="106"/>
      <c r="D250" s="109"/>
      <c r="E250" s="108"/>
      <c r="G250" s="109"/>
      <c r="H250" s="108"/>
      <c r="J250" s="99"/>
      <c r="K250" s="99"/>
    </row>
    <row r="251" spans="3:11" x14ac:dyDescent="0.25">
      <c r="C251" s="106"/>
      <c r="D251" s="109"/>
      <c r="E251" s="108"/>
      <c r="G251" s="109"/>
      <c r="H251" s="108"/>
      <c r="J251" s="99"/>
      <c r="K251" s="99"/>
    </row>
    <row r="252" spans="3:11" x14ac:dyDescent="0.25">
      <c r="C252" s="106"/>
      <c r="D252" s="109"/>
      <c r="E252" s="108"/>
      <c r="G252" s="109"/>
      <c r="H252" s="108"/>
      <c r="J252" s="99"/>
      <c r="K252" s="99"/>
    </row>
    <row r="253" spans="3:11" x14ac:dyDescent="0.25">
      <c r="C253" s="106"/>
      <c r="D253" s="109"/>
      <c r="E253" s="108"/>
      <c r="G253" s="109"/>
      <c r="H253" s="108"/>
      <c r="J253" s="99"/>
      <c r="K253" s="99"/>
    </row>
    <row r="254" spans="3:11" x14ac:dyDescent="0.25">
      <c r="C254" s="106"/>
      <c r="D254" s="109"/>
      <c r="E254" s="108"/>
      <c r="G254" s="109"/>
      <c r="H254" s="108"/>
      <c r="J254" s="99"/>
      <c r="K254" s="99"/>
    </row>
    <row r="255" spans="3:11" x14ac:dyDescent="0.25">
      <c r="C255" s="106"/>
      <c r="D255" s="109"/>
      <c r="E255" s="108"/>
      <c r="G255" s="109"/>
      <c r="H255" s="108"/>
      <c r="J255" s="99"/>
      <c r="K255" s="99"/>
    </row>
    <row r="256" spans="3:11" x14ac:dyDescent="0.25">
      <c r="C256" s="106"/>
      <c r="D256" s="109"/>
      <c r="E256" s="108"/>
      <c r="G256" s="109"/>
      <c r="H256" s="108"/>
      <c r="J256" s="99"/>
      <c r="K256" s="99"/>
    </row>
    <row r="257" spans="3:11" x14ac:dyDescent="0.25">
      <c r="C257" s="106"/>
      <c r="D257" s="109"/>
      <c r="E257" s="108"/>
      <c r="G257" s="109"/>
      <c r="H257" s="108"/>
      <c r="J257" s="99"/>
      <c r="K257" s="99"/>
    </row>
    <row r="258" spans="3:11" x14ac:dyDescent="0.25">
      <c r="C258" s="106"/>
      <c r="D258" s="109"/>
      <c r="E258" s="108"/>
      <c r="G258" s="109"/>
      <c r="H258" s="108"/>
      <c r="J258" s="99"/>
      <c r="K258" s="99"/>
    </row>
    <row r="259" spans="3:11" x14ac:dyDescent="0.25">
      <c r="C259" s="106"/>
      <c r="D259" s="109"/>
      <c r="E259" s="108"/>
      <c r="G259" s="109"/>
      <c r="H259" s="108"/>
      <c r="J259" s="99"/>
      <c r="K259" s="99"/>
    </row>
    <row r="260" spans="3:11" x14ac:dyDescent="0.25">
      <c r="C260" s="106"/>
      <c r="D260" s="109"/>
      <c r="E260" s="108"/>
      <c r="G260" s="109"/>
      <c r="H260" s="108"/>
      <c r="J260" s="99"/>
      <c r="K260" s="99"/>
    </row>
    <row r="261" spans="3:11" x14ac:dyDescent="0.25">
      <c r="C261" s="106"/>
      <c r="D261" s="109"/>
      <c r="E261" s="108"/>
      <c r="G261" s="109"/>
      <c r="H261" s="108"/>
      <c r="J261" s="99"/>
      <c r="K261" s="99"/>
    </row>
    <row r="262" spans="3:11" x14ac:dyDescent="0.25">
      <c r="C262" s="106"/>
      <c r="D262" s="109"/>
      <c r="E262" s="108"/>
      <c r="G262" s="109"/>
      <c r="H262" s="108"/>
      <c r="J262" s="99"/>
      <c r="K262" s="99"/>
    </row>
    <row r="263" spans="3:11" x14ac:dyDescent="0.25">
      <c r="C263" s="106"/>
      <c r="D263" s="109"/>
      <c r="E263" s="108"/>
      <c r="G263" s="109"/>
      <c r="H263" s="108"/>
      <c r="J263" s="99"/>
      <c r="K263" s="99"/>
    </row>
    <row r="264" spans="3:11" x14ac:dyDescent="0.25">
      <c r="C264" s="106"/>
      <c r="D264" s="109"/>
      <c r="E264" s="108"/>
      <c r="G264" s="109"/>
      <c r="H264" s="108"/>
      <c r="J264" s="99"/>
      <c r="K264" s="99"/>
    </row>
    <row r="265" spans="3:11" x14ac:dyDescent="0.25">
      <c r="C265" s="106"/>
      <c r="D265" s="109"/>
      <c r="E265" s="108"/>
      <c r="G265" s="109"/>
      <c r="H265" s="108"/>
      <c r="J265" s="99"/>
      <c r="K265" s="99"/>
    </row>
    <row r="266" spans="3:11" x14ac:dyDescent="0.25">
      <c r="C266" s="106"/>
      <c r="D266" s="109"/>
      <c r="E266" s="108"/>
      <c r="G266" s="109"/>
      <c r="H266" s="108"/>
      <c r="J266" s="99"/>
      <c r="K266" s="99"/>
    </row>
    <row r="267" spans="3:11" x14ac:dyDescent="0.25">
      <c r="C267" s="106"/>
      <c r="D267" s="109"/>
      <c r="E267" s="108"/>
      <c r="G267" s="109"/>
      <c r="H267" s="108"/>
      <c r="J267" s="99"/>
      <c r="K267" s="99"/>
    </row>
    <row r="268" spans="3:11" x14ac:dyDescent="0.25">
      <c r="C268" s="106"/>
      <c r="D268" s="109"/>
      <c r="E268" s="108"/>
      <c r="G268" s="109"/>
      <c r="H268" s="108"/>
      <c r="J268" s="99"/>
      <c r="K268" s="99"/>
    </row>
    <row r="269" spans="3:11" x14ac:dyDescent="0.25">
      <c r="C269" s="106"/>
      <c r="D269" s="109"/>
      <c r="E269" s="108"/>
      <c r="G269" s="109"/>
      <c r="H269" s="108"/>
      <c r="J269" s="99"/>
      <c r="K269" s="99"/>
    </row>
    <row r="270" spans="3:11" x14ac:dyDescent="0.25">
      <c r="C270" s="106"/>
      <c r="D270" s="109"/>
      <c r="E270" s="108"/>
      <c r="G270" s="109"/>
      <c r="H270" s="108"/>
      <c r="J270" s="99"/>
      <c r="K270" s="99"/>
    </row>
    <row r="271" spans="3:11" x14ac:dyDescent="0.25">
      <c r="C271" s="106"/>
      <c r="D271" s="109"/>
      <c r="E271" s="108"/>
      <c r="G271" s="109"/>
      <c r="H271" s="108"/>
      <c r="J271" s="99"/>
      <c r="K271" s="99"/>
    </row>
    <row r="272" spans="3:11" x14ac:dyDescent="0.25">
      <c r="C272" s="106"/>
      <c r="D272" s="109"/>
      <c r="E272" s="108"/>
      <c r="G272" s="109"/>
      <c r="H272" s="108"/>
      <c r="J272" s="99"/>
      <c r="K272" s="99"/>
    </row>
    <row r="273" spans="3:12" x14ac:dyDescent="0.25">
      <c r="C273" s="106"/>
      <c r="D273" s="109"/>
      <c r="E273" s="108"/>
      <c r="G273" s="109"/>
      <c r="H273" s="108"/>
      <c r="J273" s="99"/>
      <c r="K273" s="99"/>
    </row>
    <row r="274" spans="3:12" x14ac:dyDescent="0.25">
      <c r="C274" s="106"/>
      <c r="D274" s="109"/>
      <c r="E274" s="108"/>
      <c r="G274" s="109"/>
      <c r="H274" s="108"/>
      <c r="J274" s="99"/>
      <c r="K274" s="99"/>
    </row>
    <row r="275" spans="3:12" x14ac:dyDescent="0.25">
      <c r="C275" s="106"/>
      <c r="D275" s="109"/>
      <c r="E275" s="108"/>
      <c r="G275" s="109"/>
      <c r="H275" s="108"/>
      <c r="J275" s="99"/>
      <c r="K275" s="99"/>
    </row>
    <row r="276" spans="3:12" x14ac:dyDescent="0.25">
      <c r="C276" s="106"/>
      <c r="D276" s="109"/>
      <c r="E276" s="108"/>
      <c r="G276" s="109"/>
      <c r="H276" s="108"/>
      <c r="J276" s="99"/>
      <c r="K276" s="99"/>
    </row>
    <row r="277" spans="3:12" x14ac:dyDescent="0.25">
      <c r="C277" s="106"/>
      <c r="D277" s="109"/>
      <c r="E277" s="108"/>
      <c r="G277" s="109"/>
      <c r="H277" s="108"/>
      <c r="J277" s="99"/>
      <c r="K277" s="99"/>
    </row>
    <row r="278" spans="3:12" x14ac:dyDescent="0.25">
      <c r="C278" s="106"/>
      <c r="D278" s="109"/>
      <c r="E278" s="108"/>
      <c r="G278" s="109"/>
      <c r="H278" s="108"/>
      <c r="J278" s="99"/>
      <c r="K278" s="99"/>
    </row>
    <row r="279" spans="3:12" x14ac:dyDescent="0.25">
      <c r="C279" s="106"/>
      <c r="D279" s="109"/>
      <c r="E279" s="108"/>
      <c r="G279" s="109"/>
      <c r="H279" s="108"/>
      <c r="J279" s="99"/>
      <c r="K279" s="99"/>
    </row>
    <row r="280" spans="3:12" x14ac:dyDescent="0.25">
      <c r="C280" s="106"/>
      <c r="D280" s="109"/>
      <c r="E280" s="108"/>
      <c r="G280" s="109"/>
      <c r="H280" s="108"/>
      <c r="J280" s="99"/>
      <c r="K280" s="99"/>
    </row>
    <row r="281" spans="3:12" x14ac:dyDescent="0.25">
      <c r="C281" s="106"/>
      <c r="D281" s="109"/>
      <c r="E281" s="108"/>
      <c r="G281" s="109"/>
      <c r="H281" s="108"/>
      <c r="J281" s="99"/>
      <c r="K281" s="99"/>
      <c r="L281" s="99"/>
    </row>
    <row r="282" spans="3:12" x14ac:dyDescent="0.25">
      <c r="C282" s="106"/>
      <c r="D282" s="109"/>
      <c r="E282" s="108"/>
      <c r="G282" s="109"/>
      <c r="H282" s="108"/>
      <c r="J282" s="99"/>
      <c r="K282" s="99"/>
      <c r="L282" s="99"/>
    </row>
    <row r="283" spans="3:12" x14ac:dyDescent="0.25">
      <c r="C283" s="106"/>
      <c r="D283" s="109"/>
      <c r="E283" s="108"/>
      <c r="G283" s="109"/>
      <c r="H283" s="108"/>
      <c r="J283" s="99"/>
      <c r="K283" s="99"/>
      <c r="L283" s="99"/>
    </row>
    <row r="284" spans="3:12" x14ac:dyDescent="0.25">
      <c r="C284" s="106"/>
      <c r="D284" s="109"/>
      <c r="E284" s="108"/>
      <c r="G284" s="109"/>
      <c r="H284" s="108"/>
      <c r="J284" s="99"/>
      <c r="K284" s="99"/>
      <c r="L284" s="99"/>
    </row>
    <row r="285" spans="3:12" x14ac:dyDescent="0.25">
      <c r="C285" s="106"/>
      <c r="D285" s="109"/>
      <c r="E285" s="108"/>
      <c r="G285" s="109"/>
      <c r="H285" s="108"/>
      <c r="J285" s="99"/>
      <c r="K285" s="99"/>
      <c r="L285" s="99"/>
    </row>
    <row r="286" spans="3:12" x14ac:dyDescent="0.25">
      <c r="C286" s="106"/>
      <c r="D286" s="109"/>
      <c r="E286" s="108"/>
      <c r="G286" s="109"/>
      <c r="H286" s="108"/>
      <c r="J286" s="99"/>
      <c r="K286" s="99"/>
      <c r="L286" s="99"/>
    </row>
    <row r="287" spans="3:12" x14ac:dyDescent="0.25">
      <c r="C287" s="106"/>
      <c r="D287" s="109"/>
      <c r="E287" s="108"/>
      <c r="G287" s="109"/>
      <c r="H287" s="108"/>
      <c r="J287" s="99"/>
      <c r="K287" s="99"/>
      <c r="L287" s="99"/>
    </row>
    <row r="288" spans="3:12" x14ac:dyDescent="0.25">
      <c r="C288" s="106"/>
      <c r="D288" s="109"/>
      <c r="E288" s="108"/>
      <c r="G288" s="109"/>
      <c r="H288" s="108"/>
      <c r="J288" s="99"/>
      <c r="K288" s="99"/>
      <c r="L288" s="99"/>
    </row>
    <row r="289" spans="3:12" x14ac:dyDescent="0.25">
      <c r="C289" s="106"/>
      <c r="D289" s="109"/>
      <c r="E289" s="108"/>
      <c r="G289" s="109"/>
      <c r="H289" s="108"/>
      <c r="J289" s="99"/>
      <c r="K289" s="99"/>
      <c r="L289" s="99"/>
    </row>
    <row r="290" spans="3:12" x14ac:dyDescent="0.25">
      <c r="C290" s="106"/>
      <c r="D290" s="109"/>
      <c r="E290" s="108"/>
      <c r="G290" s="109"/>
      <c r="H290" s="108"/>
      <c r="J290" s="99"/>
      <c r="K290" s="99"/>
      <c r="L290" s="99"/>
    </row>
    <row r="291" spans="3:12" x14ac:dyDescent="0.25">
      <c r="C291" s="106"/>
      <c r="D291" s="109"/>
      <c r="E291" s="108"/>
      <c r="G291" s="109"/>
      <c r="H291" s="108"/>
      <c r="J291" s="99"/>
      <c r="K291" s="99"/>
      <c r="L291" s="99"/>
    </row>
    <row r="292" spans="3:12" x14ac:dyDescent="0.25">
      <c r="C292" s="106"/>
      <c r="D292" s="109"/>
      <c r="E292" s="108"/>
      <c r="G292" s="109"/>
      <c r="H292" s="108"/>
      <c r="J292" s="99"/>
      <c r="K292" s="99"/>
      <c r="L292" s="99"/>
    </row>
    <row r="293" spans="3:12" x14ac:dyDescent="0.25">
      <c r="C293" s="106"/>
      <c r="D293" s="109"/>
      <c r="E293" s="108"/>
      <c r="G293" s="109"/>
      <c r="H293" s="108"/>
      <c r="J293" s="99"/>
      <c r="K293" s="99"/>
      <c r="L293" s="99"/>
    </row>
    <row r="294" spans="3:12" x14ac:dyDescent="0.25">
      <c r="C294" s="106"/>
      <c r="D294" s="109"/>
      <c r="E294" s="108"/>
      <c r="G294" s="109"/>
      <c r="H294" s="108"/>
      <c r="K294" s="99"/>
      <c r="L294" s="99"/>
    </row>
    <row r="295" spans="3:12" x14ac:dyDescent="0.25">
      <c r="C295" s="106"/>
      <c r="D295" s="109"/>
      <c r="E295" s="108"/>
      <c r="G295" s="109"/>
      <c r="H295" s="108"/>
      <c r="K295" s="99"/>
      <c r="L295" s="99"/>
    </row>
    <row r="296" spans="3:12" x14ac:dyDescent="0.25">
      <c r="C296" s="106"/>
      <c r="D296" s="109"/>
      <c r="E296" s="108"/>
      <c r="G296" s="109"/>
      <c r="H296" s="108"/>
      <c r="K296" s="99"/>
      <c r="L296" s="99"/>
    </row>
    <row r="297" spans="3:12" x14ac:dyDescent="0.25">
      <c r="C297" s="106"/>
      <c r="D297" s="109"/>
      <c r="E297" s="108"/>
      <c r="G297" s="109"/>
      <c r="H297" s="108"/>
      <c r="K297" s="99"/>
      <c r="L297" s="99"/>
    </row>
    <row r="298" spans="3:12" x14ac:dyDescent="0.25">
      <c r="C298" s="106"/>
      <c r="D298" s="109"/>
      <c r="E298" s="108"/>
      <c r="G298" s="109"/>
      <c r="H298" s="108"/>
      <c r="K298" s="99"/>
      <c r="L298" s="99"/>
    </row>
    <row r="299" spans="3:12" x14ac:dyDescent="0.25">
      <c r="C299" s="106"/>
      <c r="D299" s="109"/>
      <c r="E299" s="108"/>
      <c r="G299" s="109"/>
      <c r="H299" s="108"/>
      <c r="K299" s="99"/>
      <c r="L299" s="99"/>
    </row>
    <row r="300" spans="3:12" x14ac:dyDescent="0.25">
      <c r="C300" s="106"/>
      <c r="D300" s="109"/>
      <c r="E300" s="108"/>
      <c r="G300" s="109"/>
      <c r="H300" s="108"/>
      <c r="K300" s="99"/>
      <c r="L300" s="99"/>
    </row>
    <row r="301" spans="3:12" x14ac:dyDescent="0.25">
      <c r="C301" s="106"/>
      <c r="D301" s="109"/>
      <c r="E301" s="108"/>
      <c r="G301" s="109"/>
      <c r="H301" s="108"/>
      <c r="K301" s="99"/>
      <c r="L301" s="99"/>
    </row>
    <row r="302" spans="3:12" x14ac:dyDescent="0.25">
      <c r="C302" s="106"/>
      <c r="D302" s="109"/>
      <c r="E302" s="108"/>
      <c r="G302" s="109"/>
      <c r="H302" s="108"/>
      <c r="K302" s="99"/>
      <c r="L302" s="99"/>
    </row>
    <row r="303" spans="3:12" x14ac:dyDescent="0.25">
      <c r="C303" s="106"/>
      <c r="D303" s="109"/>
      <c r="E303" s="108"/>
      <c r="G303" s="109"/>
      <c r="H303" s="108"/>
      <c r="K303" s="99"/>
      <c r="L303" s="99"/>
    </row>
    <row r="304" spans="3:12" x14ac:dyDescent="0.25">
      <c r="C304" s="106"/>
      <c r="D304" s="109"/>
      <c r="E304" s="108"/>
      <c r="G304" s="109"/>
      <c r="H304" s="108"/>
      <c r="K304" s="99"/>
    </row>
    <row r="305" spans="3:11" x14ac:dyDescent="0.25">
      <c r="C305" s="106"/>
      <c r="D305" s="109"/>
      <c r="E305" s="108"/>
      <c r="G305" s="109"/>
      <c r="H305" s="108"/>
      <c r="K305" s="99"/>
    </row>
    <row r="306" spans="3:11" x14ac:dyDescent="0.25">
      <c r="C306" s="106"/>
      <c r="D306" s="109"/>
      <c r="E306" s="108"/>
      <c r="G306" s="109"/>
      <c r="H306" s="108"/>
      <c r="K306" s="99"/>
    </row>
    <row r="307" spans="3:11" x14ac:dyDescent="0.25">
      <c r="C307" s="106"/>
      <c r="D307" s="109"/>
      <c r="E307" s="108"/>
      <c r="G307" s="109"/>
      <c r="H307" s="108"/>
      <c r="K307" s="99"/>
    </row>
    <row r="308" spans="3:11" x14ac:dyDescent="0.25">
      <c r="C308" s="106"/>
      <c r="D308" s="109"/>
      <c r="E308" s="108"/>
      <c r="G308" s="109"/>
      <c r="H308" s="108"/>
      <c r="K308" s="99"/>
    </row>
    <row r="309" spans="3:11" x14ac:dyDescent="0.25">
      <c r="C309" s="106"/>
      <c r="D309" s="109"/>
      <c r="E309" s="108"/>
      <c r="G309" s="109"/>
      <c r="H309" s="108"/>
      <c r="K309" s="99"/>
    </row>
    <row r="310" spans="3:11" x14ac:dyDescent="0.25">
      <c r="C310" s="106"/>
      <c r="D310" s="109"/>
      <c r="E310" s="108"/>
      <c r="G310" s="109"/>
      <c r="H310" s="108"/>
      <c r="K310" s="99"/>
    </row>
    <row r="311" spans="3:11" x14ac:dyDescent="0.25">
      <c r="C311" s="106"/>
      <c r="D311" s="109"/>
      <c r="E311" s="108"/>
      <c r="G311" s="109"/>
      <c r="H311" s="108"/>
      <c r="K311" s="99"/>
    </row>
    <row r="312" spans="3:11" x14ac:dyDescent="0.25">
      <c r="C312" s="106"/>
      <c r="D312" s="109"/>
      <c r="E312" s="108"/>
      <c r="G312" s="109"/>
      <c r="H312" s="108"/>
      <c r="K312" s="99"/>
    </row>
    <row r="313" spans="3:11" x14ac:dyDescent="0.25">
      <c r="C313" s="106"/>
      <c r="D313" s="109"/>
      <c r="E313" s="108"/>
      <c r="G313" s="109"/>
      <c r="H313" s="108"/>
      <c r="K313" s="99"/>
    </row>
    <row r="314" spans="3:11" x14ac:dyDescent="0.25">
      <c r="C314" s="106"/>
      <c r="D314" s="109"/>
      <c r="E314" s="108"/>
      <c r="G314" s="109"/>
      <c r="H314" s="108"/>
      <c r="K314" s="99"/>
    </row>
    <row r="315" spans="3:11" x14ac:dyDescent="0.25">
      <c r="C315" s="106"/>
      <c r="D315" s="109"/>
      <c r="E315" s="108"/>
      <c r="G315" s="109"/>
      <c r="H315" s="108"/>
      <c r="K315" s="99"/>
    </row>
    <row r="316" spans="3:11" x14ac:dyDescent="0.25">
      <c r="C316" s="106"/>
      <c r="D316" s="109"/>
      <c r="E316" s="108"/>
      <c r="G316" s="109"/>
      <c r="H316" s="108"/>
    </row>
    <row r="317" spans="3:11" x14ac:dyDescent="0.25">
      <c r="C317" s="106"/>
      <c r="D317" s="109"/>
      <c r="E317" s="108"/>
      <c r="G317" s="109"/>
      <c r="H317" s="108"/>
    </row>
    <row r="318" spans="3:11" x14ac:dyDescent="0.25">
      <c r="C318" s="106"/>
      <c r="D318" s="109"/>
      <c r="E318" s="108"/>
      <c r="G318" s="109"/>
      <c r="H318" s="108"/>
    </row>
    <row r="319" spans="3:11" x14ac:dyDescent="0.25">
      <c r="C319" s="106"/>
      <c r="D319" s="109"/>
      <c r="E319" s="108"/>
      <c r="G319" s="109"/>
      <c r="H319" s="108"/>
    </row>
    <row r="320" spans="3:11" x14ac:dyDescent="0.25">
      <c r="C320" s="106"/>
      <c r="D320" s="109"/>
      <c r="E320" s="108"/>
      <c r="G320" s="109"/>
      <c r="H320" s="108"/>
    </row>
    <row r="321" spans="3:8" x14ac:dyDescent="0.25">
      <c r="C321" s="106"/>
      <c r="D321" s="109"/>
      <c r="E321" s="108"/>
      <c r="G321" s="109"/>
      <c r="H321" s="108"/>
    </row>
    <row r="322" spans="3:8" x14ac:dyDescent="0.25">
      <c r="C322" s="106"/>
      <c r="D322" s="109"/>
      <c r="E322" s="108"/>
      <c r="G322" s="109"/>
      <c r="H322" s="108"/>
    </row>
    <row r="323" spans="3:8" x14ac:dyDescent="0.25">
      <c r="C323" s="106"/>
      <c r="D323" s="109"/>
      <c r="E323" s="108"/>
      <c r="G323" s="109"/>
      <c r="H323" s="108"/>
    </row>
    <row r="324" spans="3:8" x14ac:dyDescent="0.25">
      <c r="C324" s="106"/>
      <c r="D324" s="109"/>
      <c r="E324" s="108"/>
      <c r="G324" s="109"/>
      <c r="H324" s="108"/>
    </row>
  </sheetData>
  <mergeCells count="4">
    <mergeCell ref="F202:G202"/>
    <mergeCell ref="F134:G134"/>
    <mergeCell ref="F124:G124"/>
    <mergeCell ref="F111:G11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066D-ABE5-4E54-AB28-2B516A652F9D}">
  <dimension ref="A1:AV31"/>
  <sheetViews>
    <sheetView zoomScaleNormal="100" workbookViewId="0">
      <selection activeCell="A20" sqref="A20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1" width="3.75" customWidth="1"/>
    <col min="12" max="12" width="4" customWidth="1"/>
    <col min="13" max="18" width="3.75" customWidth="1"/>
    <col min="19" max="19" width="6.625" customWidth="1"/>
    <col min="20" max="20" width="6.25" customWidth="1"/>
    <col min="21" max="21" width="23" bestFit="1" customWidth="1"/>
    <col min="22" max="22" width="18.75" bestFit="1" customWidth="1"/>
    <col min="23" max="23" width="15.875" bestFit="1" customWidth="1"/>
    <col min="24" max="24" width="18.5" bestFit="1" customWidth="1"/>
    <col min="25" max="25" width="18.62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901" t="s">
        <v>556</v>
      </c>
      <c r="B1" s="902"/>
      <c r="C1" s="902"/>
      <c r="D1" s="228"/>
      <c r="E1" s="903" t="s">
        <v>24</v>
      </c>
      <c r="F1" s="904"/>
      <c r="G1" s="905"/>
      <c r="H1" s="903" t="s">
        <v>73</v>
      </c>
      <c r="I1" s="905"/>
      <c r="J1" s="906" t="s">
        <v>6</v>
      </c>
      <c r="K1" s="907"/>
      <c r="L1" s="907"/>
      <c r="M1" s="908"/>
      <c r="N1" s="906" t="s">
        <v>7</v>
      </c>
      <c r="O1" s="908"/>
      <c r="P1" s="906" t="s">
        <v>25</v>
      </c>
      <c r="Q1" s="907"/>
      <c r="R1" s="908"/>
      <c r="S1" s="473" t="s">
        <v>8</v>
      </c>
      <c r="T1" s="229" t="s">
        <v>9</v>
      </c>
      <c r="U1" s="230" t="s">
        <v>10</v>
      </c>
      <c r="V1" s="230" t="s">
        <v>11</v>
      </c>
      <c r="W1" s="455" t="s">
        <v>95</v>
      </c>
      <c r="X1" s="230" t="s">
        <v>26</v>
      </c>
      <c r="Y1" s="456" t="s">
        <v>27</v>
      </c>
      <c r="Z1" s="895" t="s">
        <v>20</v>
      </c>
      <c r="AA1" s="896"/>
      <c r="AB1" s="896"/>
      <c r="AC1" s="897"/>
      <c r="AD1" s="895" t="s">
        <v>56</v>
      </c>
      <c r="AE1" s="896"/>
      <c r="AF1" s="896"/>
      <c r="AG1" s="897"/>
      <c r="AH1" s="895" t="s">
        <v>57</v>
      </c>
      <c r="AI1" s="896"/>
      <c r="AJ1" s="896"/>
      <c r="AK1" s="897"/>
      <c r="AL1" s="895" t="s">
        <v>58</v>
      </c>
      <c r="AM1" s="896"/>
      <c r="AN1" s="896"/>
      <c r="AO1" s="897"/>
    </row>
    <row r="2" spans="1:48" ht="14.95" customHeight="1" thickBot="1" x14ac:dyDescent="0.3">
      <c r="A2" s="231" t="s">
        <v>19</v>
      </c>
      <c r="B2" s="232" t="s">
        <v>18</v>
      </c>
      <c r="C2" s="233" t="s">
        <v>17</v>
      </c>
      <c r="D2" s="233" t="s">
        <v>37</v>
      </c>
      <c r="E2" s="234" t="s">
        <v>16</v>
      </c>
      <c r="F2" s="234" t="s">
        <v>4</v>
      </c>
      <c r="G2" s="234" t="s">
        <v>5</v>
      </c>
      <c r="H2" s="235" t="s">
        <v>12</v>
      </c>
      <c r="I2" s="235" t="s">
        <v>3</v>
      </c>
      <c r="J2" s="235" t="s">
        <v>12</v>
      </c>
      <c r="K2" s="235" t="s">
        <v>13</v>
      </c>
      <c r="L2" s="235" t="s">
        <v>2</v>
      </c>
      <c r="M2" s="235" t="s">
        <v>14</v>
      </c>
      <c r="N2" s="235" t="s">
        <v>15</v>
      </c>
      <c r="O2" s="235" t="s">
        <v>16</v>
      </c>
      <c r="P2" s="235" t="s">
        <v>21</v>
      </c>
      <c r="Q2" s="235" t="s">
        <v>22</v>
      </c>
      <c r="R2" s="235" t="s">
        <v>12</v>
      </c>
      <c r="S2" s="550"/>
      <c r="T2" s="237"/>
      <c r="U2" s="238"/>
      <c r="V2" s="236"/>
      <c r="W2" s="238"/>
      <c r="X2" s="230"/>
      <c r="Y2" s="239"/>
      <c r="Z2" s="240" t="s">
        <v>0</v>
      </c>
      <c r="AA2" s="240" t="s">
        <v>1</v>
      </c>
      <c r="AB2" s="240" t="s">
        <v>2</v>
      </c>
      <c r="AC2" s="240" t="s">
        <v>3</v>
      </c>
      <c r="AD2" s="240" t="s">
        <v>0</v>
      </c>
      <c r="AE2" s="240" t="s">
        <v>1</v>
      </c>
      <c r="AF2" s="240" t="s">
        <v>2</v>
      </c>
      <c r="AG2" s="240" t="s">
        <v>3</v>
      </c>
      <c r="AH2" s="240" t="s">
        <v>0</v>
      </c>
      <c r="AI2" s="240" t="s">
        <v>1</v>
      </c>
      <c r="AJ2" s="240" t="s">
        <v>2</v>
      </c>
      <c r="AK2" s="240" t="s">
        <v>3</v>
      </c>
      <c r="AL2" s="240" t="s">
        <v>0</v>
      </c>
      <c r="AM2" s="240" t="s">
        <v>1</v>
      </c>
      <c r="AN2" s="240" t="s">
        <v>2</v>
      </c>
      <c r="AO2" s="240" t="s">
        <v>3</v>
      </c>
      <c r="AU2" s="69" t="s">
        <v>258</v>
      </c>
    </row>
    <row r="3" spans="1:48" ht="14.95" customHeight="1" thickBot="1" x14ac:dyDescent="0.35">
      <c r="A3" s="743" t="s">
        <v>492</v>
      </c>
      <c r="B3" s="744" t="s">
        <v>123</v>
      </c>
      <c r="C3" s="744" t="s">
        <v>29</v>
      </c>
      <c r="D3" s="744" t="s">
        <v>562</v>
      </c>
      <c r="E3" s="745" t="s">
        <v>1</v>
      </c>
      <c r="F3" s="745">
        <v>24</v>
      </c>
      <c r="G3" s="745">
        <v>0</v>
      </c>
      <c r="H3" s="746">
        <v>1</v>
      </c>
      <c r="I3" s="746">
        <v>0</v>
      </c>
      <c r="J3" s="746">
        <v>4</v>
      </c>
      <c r="K3" s="746">
        <v>2</v>
      </c>
      <c r="L3" s="746">
        <v>0</v>
      </c>
      <c r="M3" s="746">
        <v>0</v>
      </c>
      <c r="N3" s="746">
        <v>0</v>
      </c>
      <c r="O3" s="746">
        <v>0</v>
      </c>
      <c r="P3" s="746">
        <v>0</v>
      </c>
      <c r="Q3" s="746">
        <v>0</v>
      </c>
      <c r="R3" s="746">
        <v>0</v>
      </c>
      <c r="S3" s="747">
        <v>1548</v>
      </c>
      <c r="T3" s="748" t="s">
        <v>233</v>
      </c>
      <c r="U3" s="749" t="s">
        <v>103</v>
      </c>
      <c r="V3" s="750" t="s">
        <v>566</v>
      </c>
      <c r="W3" s="751" t="s">
        <v>565</v>
      </c>
      <c r="X3" s="750" t="s">
        <v>124</v>
      </c>
      <c r="Y3" s="752" t="s">
        <v>582</v>
      </c>
      <c r="Z3" s="753">
        <v>1</v>
      </c>
      <c r="AA3" s="753">
        <v>1</v>
      </c>
      <c r="AB3" s="753">
        <v>0</v>
      </c>
      <c r="AC3" s="754">
        <v>0</v>
      </c>
      <c r="AD3" s="753">
        <v>0</v>
      </c>
      <c r="AE3" s="753">
        <v>0</v>
      </c>
      <c r="AF3" s="753">
        <v>0</v>
      </c>
      <c r="AG3" s="754">
        <v>0</v>
      </c>
      <c r="AH3" s="753">
        <v>0</v>
      </c>
      <c r="AI3" s="753">
        <v>0</v>
      </c>
      <c r="AJ3" s="753">
        <v>0</v>
      </c>
      <c r="AK3" s="754">
        <v>0</v>
      </c>
      <c r="AL3" s="753">
        <v>1</v>
      </c>
      <c r="AM3" s="753">
        <v>1</v>
      </c>
      <c r="AN3" s="753">
        <v>0</v>
      </c>
      <c r="AO3" s="754">
        <v>0</v>
      </c>
      <c r="AU3" s="443" t="s">
        <v>253</v>
      </c>
      <c r="AV3" s="444">
        <v>50</v>
      </c>
    </row>
    <row r="4" spans="1:48" ht="14.95" customHeight="1" thickBot="1" x14ac:dyDescent="0.35">
      <c r="A4" s="1043" t="s">
        <v>625</v>
      </c>
      <c r="B4" s="1044" t="s">
        <v>123</v>
      </c>
      <c r="C4" s="1044" t="s">
        <v>72</v>
      </c>
      <c r="D4" s="1044" t="s">
        <v>626</v>
      </c>
      <c r="E4" s="1045" t="s">
        <v>3</v>
      </c>
      <c r="F4" s="1045">
        <v>14</v>
      </c>
      <c r="G4" s="1045">
        <v>36</v>
      </c>
      <c r="H4" s="1046">
        <v>0</v>
      </c>
      <c r="I4" s="1046">
        <v>0</v>
      </c>
      <c r="J4" s="1046">
        <v>2</v>
      </c>
      <c r="K4" s="1046">
        <v>1</v>
      </c>
      <c r="L4" s="1046">
        <v>0</v>
      </c>
      <c r="M4" s="1046">
        <v>0</v>
      </c>
      <c r="N4" s="1046">
        <v>1</v>
      </c>
      <c r="O4" s="1046">
        <v>0</v>
      </c>
      <c r="P4" s="1046">
        <v>1</v>
      </c>
      <c r="Q4" s="1046">
        <v>0</v>
      </c>
      <c r="R4" s="1046">
        <v>6</v>
      </c>
      <c r="S4" s="747">
        <v>11214</v>
      </c>
      <c r="T4" s="1047" t="s">
        <v>375</v>
      </c>
      <c r="U4" s="749" t="s">
        <v>629</v>
      </c>
      <c r="V4" s="750" t="s">
        <v>566</v>
      </c>
      <c r="W4" s="749" t="s">
        <v>565</v>
      </c>
      <c r="X4" s="750" t="s">
        <v>124</v>
      </c>
      <c r="Y4" s="1048" t="s">
        <v>630</v>
      </c>
      <c r="Z4" s="1049">
        <v>1</v>
      </c>
      <c r="AA4" s="1049">
        <v>0</v>
      </c>
      <c r="AB4" s="1049">
        <v>0</v>
      </c>
      <c r="AC4" s="1048">
        <v>1</v>
      </c>
      <c r="AD4" s="1049">
        <v>0</v>
      </c>
      <c r="AE4" s="1049">
        <v>0</v>
      </c>
      <c r="AF4" s="1049">
        <v>0</v>
      </c>
      <c r="AG4" s="1048">
        <v>0</v>
      </c>
      <c r="AH4" s="1049">
        <v>0</v>
      </c>
      <c r="AI4" s="1049">
        <v>0</v>
      </c>
      <c r="AJ4" s="1049">
        <v>0</v>
      </c>
      <c r="AK4" s="1048">
        <v>0</v>
      </c>
      <c r="AL4" s="1049">
        <v>1</v>
      </c>
      <c r="AM4" s="1049">
        <v>0</v>
      </c>
      <c r="AN4" s="1049">
        <v>0</v>
      </c>
      <c r="AO4" s="1048">
        <v>1</v>
      </c>
      <c r="AU4" s="445" t="s">
        <v>254</v>
      </c>
      <c r="AV4" s="446">
        <v>29</v>
      </c>
    </row>
    <row r="5" spans="1:48" ht="14.95" customHeight="1" thickBot="1" x14ac:dyDescent="0.35">
      <c r="A5" s="755"/>
      <c r="B5" s="756"/>
      <c r="C5" s="756"/>
      <c r="D5" s="756"/>
      <c r="E5" s="757"/>
      <c r="F5" s="757"/>
      <c r="G5" s="757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9"/>
      <c r="T5" s="764"/>
      <c r="U5" s="760"/>
      <c r="V5" s="761"/>
      <c r="W5" s="760"/>
      <c r="X5" s="763"/>
      <c r="Y5" s="765"/>
      <c r="Z5" s="763"/>
      <c r="AA5" s="763"/>
      <c r="AB5" s="763"/>
      <c r="AC5" s="762"/>
      <c r="AD5" s="763"/>
      <c r="AE5" s="763"/>
      <c r="AF5" s="763"/>
      <c r="AG5" s="762"/>
      <c r="AH5" s="763"/>
      <c r="AI5" s="763"/>
      <c r="AJ5" s="763"/>
      <c r="AK5" s="762"/>
      <c r="AL5" s="763"/>
      <c r="AM5" s="763"/>
      <c r="AN5" s="763"/>
      <c r="AO5" s="762"/>
      <c r="AU5" s="445" t="s">
        <v>255</v>
      </c>
      <c r="AV5" s="446">
        <v>2</v>
      </c>
    </row>
    <row r="6" spans="1:48" ht="14.95" customHeight="1" thickBot="1" x14ac:dyDescent="0.35">
      <c r="A6" s="151"/>
      <c r="B6" s="152"/>
      <c r="C6" s="152"/>
      <c r="D6" s="152"/>
      <c r="E6" s="153"/>
      <c r="F6" s="153"/>
      <c r="G6" s="153"/>
      <c r="H6" s="345"/>
      <c r="I6" s="535"/>
      <c r="J6" s="345"/>
      <c r="K6" s="345"/>
      <c r="L6" s="345"/>
      <c r="M6" s="345"/>
      <c r="N6" s="345"/>
      <c r="O6" s="345"/>
      <c r="P6" s="345"/>
      <c r="Q6" s="345"/>
      <c r="R6" s="345"/>
      <c r="S6" s="535"/>
      <c r="T6" s="156"/>
      <c r="U6" s="157"/>
      <c r="V6" s="155"/>
      <c r="W6" s="157"/>
      <c r="X6" s="154"/>
      <c r="Y6" s="158"/>
      <c r="Z6" s="154"/>
      <c r="AA6" s="154"/>
      <c r="AB6" s="154"/>
      <c r="AC6" s="451"/>
      <c r="AD6" s="154"/>
      <c r="AE6" s="154"/>
      <c r="AF6" s="154"/>
      <c r="AG6" s="451"/>
      <c r="AH6" s="154"/>
      <c r="AI6" s="154"/>
      <c r="AJ6" s="154"/>
      <c r="AK6" s="451"/>
      <c r="AL6" s="154"/>
      <c r="AM6" s="154"/>
      <c r="AN6" s="154"/>
      <c r="AO6" s="451"/>
      <c r="AU6" s="445" t="s">
        <v>256</v>
      </c>
      <c r="AV6" s="446">
        <v>19</v>
      </c>
    </row>
    <row r="7" spans="1:48" ht="14.95" customHeight="1" thickBot="1" x14ac:dyDescent="0.35">
      <c r="A7" s="151"/>
      <c r="B7" s="152"/>
      <c r="C7" s="152"/>
      <c r="D7" s="152"/>
      <c r="E7" s="153"/>
      <c r="F7" s="153"/>
      <c r="G7" s="153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535"/>
      <c r="T7" s="156"/>
      <c r="U7" s="154"/>
      <c r="V7" s="155"/>
      <c r="W7" s="157"/>
      <c r="X7" s="155"/>
      <c r="Y7" s="158"/>
      <c r="Z7" s="154"/>
      <c r="AA7" s="154"/>
      <c r="AB7" s="154"/>
      <c r="AC7" s="451"/>
      <c r="AD7" s="154"/>
      <c r="AE7" s="154"/>
      <c r="AF7" s="154"/>
      <c r="AG7" s="451"/>
      <c r="AH7" s="154"/>
      <c r="AI7" s="154"/>
      <c r="AJ7" s="154"/>
      <c r="AK7" s="451"/>
      <c r="AL7" s="154"/>
      <c r="AM7" s="154"/>
      <c r="AN7" s="154"/>
      <c r="AO7" s="451"/>
      <c r="AU7" s="445" t="s">
        <v>257</v>
      </c>
      <c r="AV7" s="446">
        <v>1288</v>
      </c>
    </row>
    <row r="8" spans="1:48" ht="14.95" customHeight="1" thickBot="1" x14ac:dyDescent="0.35">
      <c r="A8" s="163"/>
      <c r="B8" s="164"/>
      <c r="C8" s="164"/>
      <c r="D8" s="164"/>
      <c r="E8" s="165"/>
      <c r="F8" s="165"/>
      <c r="G8" s="165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549"/>
      <c r="T8" s="453"/>
      <c r="U8" s="347"/>
      <c r="V8" s="169"/>
      <c r="W8" s="347"/>
      <c r="X8" s="169"/>
      <c r="Y8" s="454"/>
      <c r="Z8" s="169"/>
      <c r="AA8" s="169"/>
      <c r="AB8" s="169"/>
      <c r="AC8" s="316"/>
      <c r="AD8" s="169"/>
      <c r="AE8" s="169"/>
      <c r="AF8" s="169"/>
      <c r="AG8" s="316"/>
      <c r="AH8" s="169"/>
      <c r="AI8" s="169"/>
      <c r="AJ8" s="169"/>
      <c r="AK8" s="316"/>
      <c r="AL8" s="169"/>
      <c r="AM8" s="169"/>
      <c r="AN8" s="169"/>
      <c r="AO8" s="316"/>
    </row>
    <row r="9" spans="1:48" ht="14.95" customHeight="1" thickBot="1" x14ac:dyDescent="0.35">
      <c r="A9" s="291"/>
      <c r="B9" s="160"/>
      <c r="C9" s="160"/>
      <c r="D9" s="160"/>
      <c r="E9" s="335"/>
      <c r="F9" s="153"/>
      <c r="G9" s="153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535"/>
      <c r="T9" s="351"/>
      <c r="U9" s="462"/>
      <c r="V9" s="462"/>
      <c r="W9" s="462"/>
      <c r="X9" s="463"/>
      <c r="Y9" s="464"/>
      <c r="Z9" s="567"/>
      <c r="AA9" s="567"/>
      <c r="AB9" s="567"/>
      <c r="AC9" s="563"/>
      <c r="AD9" s="567"/>
      <c r="AE9" s="567"/>
      <c r="AF9" s="567"/>
      <c r="AG9" s="563"/>
      <c r="AH9" s="567"/>
      <c r="AI9" s="567"/>
      <c r="AJ9" s="567"/>
      <c r="AK9" s="563"/>
      <c r="AL9" s="567"/>
      <c r="AM9" s="567"/>
      <c r="AN9" s="567"/>
      <c r="AO9" s="563"/>
    </row>
    <row r="10" spans="1:48" ht="14.95" customHeight="1" thickBot="1" x14ac:dyDescent="0.35">
      <c r="A10" s="191"/>
      <c r="B10" s="192"/>
      <c r="C10" s="281"/>
      <c r="D10" s="192"/>
      <c r="E10" s="175"/>
      <c r="F10" s="175"/>
      <c r="G10" s="175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34"/>
      <c r="U10" s="282"/>
      <c r="V10" s="282"/>
      <c r="W10" s="282"/>
      <c r="X10" s="528"/>
      <c r="Y10" s="529"/>
      <c r="Z10" s="536"/>
      <c r="AA10" s="536"/>
      <c r="AB10" s="536"/>
      <c r="AC10" s="559"/>
      <c r="AD10" s="536"/>
      <c r="AE10" s="536"/>
      <c r="AF10" s="536"/>
      <c r="AG10" s="559"/>
      <c r="AH10" s="536"/>
      <c r="AI10" s="536"/>
      <c r="AJ10" s="536"/>
      <c r="AK10" s="559"/>
      <c r="AL10" s="536"/>
      <c r="AM10" s="536"/>
      <c r="AN10" s="536"/>
      <c r="AO10" s="559"/>
    </row>
    <row r="11" spans="1:48" ht="14.95" customHeight="1" thickBot="1" x14ac:dyDescent="0.35">
      <c r="A11" s="191"/>
      <c r="B11" s="192"/>
      <c r="C11" s="192"/>
      <c r="D11" s="192"/>
      <c r="E11" s="130"/>
      <c r="F11" s="175"/>
      <c r="G11" s="175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34"/>
      <c r="U11" s="176"/>
      <c r="V11" s="176"/>
      <c r="W11" s="176"/>
      <c r="X11" s="176"/>
      <c r="Y11" s="529"/>
      <c r="Z11" s="536"/>
      <c r="AA11" s="536"/>
      <c r="AB11" s="536"/>
      <c r="AC11" s="559"/>
      <c r="AD11" s="536"/>
      <c r="AE11" s="536"/>
      <c r="AF11" s="536"/>
      <c r="AG11" s="559"/>
      <c r="AH11" s="536"/>
      <c r="AI11" s="536"/>
      <c r="AJ11" s="536"/>
      <c r="AK11" s="559"/>
      <c r="AL11" s="536"/>
      <c r="AM11" s="536"/>
      <c r="AN11" s="536"/>
      <c r="AO11" s="559"/>
    </row>
    <row r="12" spans="1:48" ht="14.95" customHeight="1" thickBot="1" x14ac:dyDescent="0.35">
      <c r="A12" s="191"/>
      <c r="B12" s="192"/>
      <c r="C12" s="192"/>
      <c r="D12" s="192"/>
      <c r="E12" s="175"/>
      <c r="F12" s="175"/>
      <c r="G12" s="175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3"/>
      <c r="T12" s="334"/>
      <c r="U12" s="176"/>
      <c r="V12" s="176"/>
      <c r="W12" s="176"/>
      <c r="X12" s="176"/>
      <c r="Y12" s="529"/>
      <c r="Z12" s="536"/>
      <c r="AA12" s="536"/>
      <c r="AB12" s="536"/>
      <c r="AC12" s="559"/>
      <c r="AD12" s="536"/>
      <c r="AE12" s="536"/>
      <c r="AF12" s="536"/>
      <c r="AG12" s="559"/>
      <c r="AH12" s="536"/>
      <c r="AI12" s="536"/>
      <c r="AJ12" s="536"/>
      <c r="AK12" s="559"/>
      <c r="AL12" s="536"/>
      <c r="AM12" s="536"/>
      <c r="AN12" s="536"/>
      <c r="AO12" s="559"/>
    </row>
    <row r="13" spans="1:48" ht="14.95" customHeight="1" thickBot="1" x14ac:dyDescent="0.35">
      <c r="A13" s="191"/>
      <c r="B13" s="476"/>
      <c r="C13" s="192"/>
      <c r="D13" s="192"/>
      <c r="E13" s="130"/>
      <c r="F13" s="124"/>
      <c r="G13" s="124"/>
      <c r="H13" s="562"/>
      <c r="I13" s="562"/>
      <c r="J13" s="562"/>
      <c r="K13" s="562"/>
      <c r="L13" s="562"/>
      <c r="M13" s="562"/>
      <c r="N13" s="562"/>
      <c r="O13" s="562"/>
      <c r="P13" s="562"/>
      <c r="Q13" s="562"/>
      <c r="R13" s="562"/>
      <c r="S13" s="562"/>
      <c r="T13" s="334"/>
      <c r="U13" s="176"/>
      <c r="V13" s="176"/>
      <c r="W13" s="176"/>
      <c r="X13" s="176"/>
      <c r="Y13" s="315"/>
      <c r="Z13" s="536"/>
      <c r="AA13" s="536"/>
      <c r="AB13" s="536"/>
      <c r="AC13" s="559"/>
      <c r="AD13" s="536"/>
      <c r="AE13" s="536"/>
      <c r="AF13" s="536"/>
      <c r="AG13" s="559"/>
      <c r="AH13" s="536"/>
      <c r="AI13" s="536"/>
      <c r="AJ13" s="536"/>
      <c r="AK13" s="559"/>
      <c r="AL13" s="536"/>
      <c r="AM13" s="536"/>
      <c r="AN13" s="536"/>
      <c r="AO13" s="559"/>
    </row>
    <row r="14" spans="1:48" ht="14.95" customHeight="1" thickBot="1" x14ac:dyDescent="0.35">
      <c r="A14" s="577"/>
      <c r="B14" s="192"/>
      <c r="C14" s="578"/>
      <c r="D14" s="192"/>
      <c r="E14" s="175"/>
      <c r="F14" s="175"/>
      <c r="G14" s="175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59"/>
      <c r="T14" s="334"/>
      <c r="U14" s="176"/>
      <c r="V14" s="176"/>
      <c r="W14" s="176"/>
      <c r="X14" s="176"/>
      <c r="Y14" s="176"/>
      <c r="Z14" s="536"/>
      <c r="AA14" s="536"/>
      <c r="AB14" s="536"/>
      <c r="AC14" s="559"/>
      <c r="AD14" s="536"/>
      <c r="AE14" s="536"/>
      <c r="AF14" s="536"/>
      <c r="AG14" s="559"/>
      <c r="AH14" s="536"/>
      <c r="AI14" s="536"/>
      <c r="AJ14" s="536"/>
      <c r="AK14" s="559"/>
      <c r="AL14" s="536"/>
      <c r="AM14" s="536"/>
      <c r="AN14" s="536"/>
      <c r="AO14" s="559"/>
    </row>
    <row r="15" spans="1:48" ht="14.95" customHeight="1" thickBot="1" x14ac:dyDescent="0.3">
      <c r="A15" s="291"/>
      <c r="B15" s="160"/>
      <c r="C15" s="580"/>
      <c r="D15" s="160"/>
      <c r="E15" s="153"/>
      <c r="F15" s="153"/>
      <c r="G15" s="153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535"/>
      <c r="T15" s="161"/>
      <c r="U15" s="154"/>
      <c r="V15" s="154"/>
      <c r="W15" s="154"/>
      <c r="X15" s="154"/>
      <c r="Y15" s="154"/>
      <c r="Z15" s="567"/>
      <c r="AA15" s="567"/>
      <c r="AB15" s="567"/>
      <c r="AC15" s="563"/>
      <c r="AD15" s="567"/>
      <c r="AE15" s="567"/>
      <c r="AF15" s="567"/>
      <c r="AG15" s="563"/>
      <c r="AH15" s="567"/>
      <c r="AI15" s="567"/>
      <c r="AJ15" s="567"/>
      <c r="AK15" s="563"/>
      <c r="AL15" s="567"/>
      <c r="AM15" s="567"/>
      <c r="AN15" s="567"/>
      <c r="AO15" s="563"/>
    </row>
    <row r="16" spans="1:48" ht="14.95" customHeight="1" thickBot="1" x14ac:dyDescent="0.3">
      <c r="A16" s="100"/>
      <c r="B16" s="101"/>
      <c r="C16" s="898" t="s">
        <v>567</v>
      </c>
      <c r="D16" s="899"/>
      <c r="E16" s="900"/>
      <c r="F16" s="736">
        <f>SUM(F3:F5)</f>
        <v>38</v>
      </c>
      <c r="G16" s="736">
        <f t="shared" ref="G16:R16" si="0">SUM(G3:G5)</f>
        <v>36</v>
      </c>
      <c r="H16" s="736">
        <f t="shared" si="0"/>
        <v>1</v>
      </c>
      <c r="I16" s="736">
        <f t="shared" si="0"/>
        <v>0</v>
      </c>
      <c r="J16" s="736">
        <f t="shared" si="0"/>
        <v>6</v>
      </c>
      <c r="K16" s="736">
        <f t="shared" si="0"/>
        <v>3</v>
      </c>
      <c r="L16" s="736">
        <f t="shared" si="0"/>
        <v>0</v>
      </c>
      <c r="M16" s="736">
        <f t="shared" si="0"/>
        <v>0</v>
      </c>
      <c r="N16" s="736">
        <f t="shared" si="0"/>
        <v>1</v>
      </c>
      <c r="O16" s="736">
        <f t="shared" si="0"/>
        <v>0</v>
      </c>
      <c r="P16" s="736">
        <f t="shared" si="0"/>
        <v>1</v>
      </c>
      <c r="Q16" s="736">
        <f t="shared" si="0"/>
        <v>0</v>
      </c>
      <c r="R16" s="736">
        <f t="shared" si="0"/>
        <v>6</v>
      </c>
      <c r="S16" s="737"/>
      <c r="T16" s="738"/>
      <c r="U16" s="738"/>
      <c r="V16" s="738"/>
      <c r="W16" s="738"/>
      <c r="X16" s="739"/>
      <c r="Y16" s="740" t="s">
        <v>567</v>
      </c>
      <c r="Z16" s="736">
        <f t="shared" ref="Z16:AO16" si="1">SUM(Z3:Z5)</f>
        <v>2</v>
      </c>
      <c r="AA16" s="736">
        <f t="shared" si="1"/>
        <v>1</v>
      </c>
      <c r="AB16" s="736">
        <f t="shared" si="1"/>
        <v>0</v>
      </c>
      <c r="AC16" s="736">
        <f t="shared" si="1"/>
        <v>1</v>
      </c>
      <c r="AD16" s="741">
        <f t="shared" si="1"/>
        <v>0</v>
      </c>
      <c r="AE16" s="741">
        <f t="shared" si="1"/>
        <v>0</v>
      </c>
      <c r="AF16" s="741">
        <f t="shared" si="1"/>
        <v>0</v>
      </c>
      <c r="AG16" s="741">
        <f t="shared" si="1"/>
        <v>0</v>
      </c>
      <c r="AH16" s="742">
        <f t="shared" si="1"/>
        <v>0</v>
      </c>
      <c r="AI16" s="742">
        <f t="shared" si="1"/>
        <v>0</v>
      </c>
      <c r="AJ16" s="742">
        <f t="shared" si="1"/>
        <v>0</v>
      </c>
      <c r="AK16" s="742">
        <f t="shared" si="1"/>
        <v>0</v>
      </c>
      <c r="AL16" s="736">
        <f t="shared" si="1"/>
        <v>2</v>
      </c>
      <c r="AM16" s="736">
        <f t="shared" si="1"/>
        <v>1</v>
      </c>
      <c r="AN16" s="736">
        <f t="shared" si="1"/>
        <v>0</v>
      </c>
      <c r="AO16" s="736">
        <f t="shared" si="1"/>
        <v>1</v>
      </c>
    </row>
    <row r="17" spans="1:41" ht="14.95" customHeight="1" thickBot="1" x14ac:dyDescent="0.3">
      <c r="A17" s="100"/>
      <c r="B17" s="101"/>
      <c r="C17" s="808" t="s">
        <v>500</v>
      </c>
      <c r="D17" s="809"/>
      <c r="E17" s="810"/>
      <c r="F17" s="393">
        <f>SUM(F10:F15)</f>
        <v>0</v>
      </c>
      <c r="G17" s="393">
        <f t="shared" ref="G17:R17" si="2">SUM(G10:G15)</f>
        <v>0</v>
      </c>
      <c r="H17" s="393">
        <f t="shared" si="2"/>
        <v>0</v>
      </c>
      <c r="I17" s="393">
        <f t="shared" si="2"/>
        <v>0</v>
      </c>
      <c r="J17" s="393">
        <f t="shared" si="2"/>
        <v>0</v>
      </c>
      <c r="K17" s="393">
        <f t="shared" si="2"/>
        <v>0</v>
      </c>
      <c r="L17" s="393">
        <f t="shared" si="2"/>
        <v>0</v>
      </c>
      <c r="M17" s="393">
        <f t="shared" si="2"/>
        <v>0</v>
      </c>
      <c r="N17" s="393">
        <f t="shared" si="2"/>
        <v>0</v>
      </c>
      <c r="O17" s="393">
        <f t="shared" si="2"/>
        <v>0</v>
      </c>
      <c r="P17" s="393">
        <f t="shared" si="2"/>
        <v>0</v>
      </c>
      <c r="Q17" s="393">
        <f t="shared" si="2"/>
        <v>0</v>
      </c>
      <c r="R17" s="393">
        <f t="shared" si="2"/>
        <v>0</v>
      </c>
      <c r="T17" s="394"/>
      <c r="U17" s="394"/>
      <c r="V17" s="394"/>
      <c r="W17" s="394"/>
      <c r="X17" s="395"/>
      <c r="Y17" s="660" t="s">
        <v>500</v>
      </c>
      <c r="Z17" s="393">
        <f t="shared" ref="Z17:AO17" si="3">SUM(Z10:Z15)</f>
        <v>0</v>
      </c>
      <c r="AA17" s="393">
        <f t="shared" si="3"/>
        <v>0</v>
      </c>
      <c r="AB17" s="393">
        <f t="shared" si="3"/>
        <v>0</v>
      </c>
      <c r="AC17" s="393">
        <f t="shared" si="3"/>
        <v>0</v>
      </c>
      <c r="AD17" s="397">
        <f t="shared" si="3"/>
        <v>0</v>
      </c>
      <c r="AE17" s="397">
        <f t="shared" si="3"/>
        <v>0</v>
      </c>
      <c r="AF17" s="397">
        <f t="shared" si="3"/>
        <v>0</v>
      </c>
      <c r="AG17" s="397">
        <f t="shared" si="3"/>
        <v>0</v>
      </c>
      <c r="AH17" s="398">
        <f t="shared" si="3"/>
        <v>0</v>
      </c>
      <c r="AI17" s="398">
        <f t="shared" si="3"/>
        <v>0</v>
      </c>
      <c r="AJ17" s="398">
        <f t="shared" si="3"/>
        <v>0</v>
      </c>
      <c r="AK17" s="398">
        <f t="shared" si="3"/>
        <v>0</v>
      </c>
      <c r="AL17" s="393">
        <f t="shared" si="3"/>
        <v>0</v>
      </c>
      <c r="AM17" s="393">
        <f t="shared" si="3"/>
        <v>0</v>
      </c>
      <c r="AN17" s="393">
        <f t="shared" si="3"/>
        <v>0</v>
      </c>
      <c r="AO17" s="393">
        <f t="shared" si="3"/>
        <v>0</v>
      </c>
    </row>
    <row r="18" spans="1:41" ht="14.95" thickBot="1" x14ac:dyDescent="0.3">
      <c r="A18" s="100"/>
      <c r="B18" s="101"/>
      <c r="C18" s="800" t="s">
        <v>70</v>
      </c>
      <c r="D18" s="801"/>
      <c r="E18" s="802"/>
      <c r="F18" s="124">
        <f>SUM(F3:F15)</f>
        <v>38</v>
      </c>
      <c r="G18" s="124">
        <f t="shared" ref="G18:R18" si="4">SUM(G3:G15)</f>
        <v>36</v>
      </c>
      <c r="H18" s="124">
        <f t="shared" si="4"/>
        <v>1</v>
      </c>
      <c r="I18" s="124">
        <f t="shared" si="4"/>
        <v>0</v>
      </c>
      <c r="J18" s="124">
        <f t="shared" si="4"/>
        <v>6</v>
      </c>
      <c r="K18" s="124">
        <f t="shared" si="4"/>
        <v>3</v>
      </c>
      <c r="L18" s="124">
        <f t="shared" si="4"/>
        <v>0</v>
      </c>
      <c r="M18" s="124">
        <f t="shared" si="4"/>
        <v>0</v>
      </c>
      <c r="N18" s="124">
        <f t="shared" si="4"/>
        <v>1</v>
      </c>
      <c r="O18" s="124">
        <f t="shared" si="4"/>
        <v>0</v>
      </c>
      <c r="P18" s="124">
        <f t="shared" si="4"/>
        <v>1</v>
      </c>
      <c r="Q18" s="124">
        <f t="shared" si="4"/>
        <v>0</v>
      </c>
      <c r="R18" s="124">
        <f t="shared" si="4"/>
        <v>6</v>
      </c>
      <c r="T18" s="187"/>
      <c r="U18" s="187"/>
      <c r="V18" s="187"/>
      <c r="W18" s="187"/>
      <c r="X18" s="12"/>
      <c r="Y18" s="129" t="s">
        <v>70</v>
      </c>
      <c r="Z18" s="124">
        <f t="shared" ref="Z18:AO18" si="5">SUM(Z3:Z15)</f>
        <v>2</v>
      </c>
      <c r="AA18" s="124">
        <f t="shared" si="5"/>
        <v>1</v>
      </c>
      <c r="AB18" s="124">
        <f t="shared" si="5"/>
        <v>0</v>
      </c>
      <c r="AC18" s="124">
        <f t="shared" si="5"/>
        <v>1</v>
      </c>
      <c r="AD18" s="122">
        <f t="shared" si="5"/>
        <v>0</v>
      </c>
      <c r="AE18" s="122">
        <f t="shared" si="5"/>
        <v>0</v>
      </c>
      <c r="AF18" s="122">
        <f t="shared" si="5"/>
        <v>0</v>
      </c>
      <c r="AG18" s="122">
        <f t="shared" si="5"/>
        <v>0</v>
      </c>
      <c r="AH18" s="123">
        <f t="shared" si="5"/>
        <v>0</v>
      </c>
      <c r="AI18" s="123">
        <f t="shared" si="5"/>
        <v>0</v>
      </c>
      <c r="AJ18" s="123">
        <f t="shared" si="5"/>
        <v>0</v>
      </c>
      <c r="AK18" s="123">
        <f t="shared" si="5"/>
        <v>0</v>
      </c>
      <c r="AL18" s="124">
        <f t="shared" si="5"/>
        <v>2</v>
      </c>
      <c r="AM18" s="124">
        <f t="shared" si="5"/>
        <v>1</v>
      </c>
      <c r="AN18" s="124">
        <f t="shared" si="5"/>
        <v>0</v>
      </c>
      <c r="AO18" s="124">
        <f t="shared" si="5"/>
        <v>1</v>
      </c>
    </row>
    <row r="19" spans="1:41" x14ac:dyDescent="0.25">
      <c r="A19" s="560"/>
    </row>
    <row r="20" spans="1:41" x14ac:dyDescent="0.25">
      <c r="A20" s="1050" t="s">
        <v>627</v>
      </c>
    </row>
    <row r="24" spans="1:41" x14ac:dyDescent="0.25">
      <c r="S24" s="69"/>
    </row>
    <row r="25" spans="1:41" ht="14.3" customHeight="1" x14ac:dyDescent="0.25">
      <c r="A25" s="789" t="s">
        <v>569</v>
      </c>
      <c r="B25" s="790"/>
      <c r="C25" s="790"/>
      <c r="D25" s="790"/>
      <c r="E25" s="790"/>
      <c r="F25" s="790"/>
      <c r="G25" s="790"/>
      <c r="H25" s="790"/>
      <c r="I25" s="790"/>
      <c r="J25" s="790"/>
      <c r="K25" s="790"/>
      <c r="L25" s="790"/>
      <c r="M25" s="790"/>
      <c r="N25" s="790"/>
      <c r="O25" s="790"/>
      <c r="P25" s="790"/>
      <c r="Q25" s="790"/>
      <c r="R25" s="790"/>
      <c r="S25" s="69"/>
    </row>
    <row r="26" spans="1:41" ht="14.3" customHeight="1" x14ac:dyDescent="0.25">
      <c r="A26" s="789"/>
      <c r="B26" s="790"/>
      <c r="C26" s="790"/>
      <c r="D26" s="790"/>
      <c r="E26" s="790"/>
      <c r="F26" s="790"/>
      <c r="G26" s="790"/>
      <c r="H26" s="790"/>
      <c r="I26" s="790"/>
      <c r="J26" s="790"/>
      <c r="K26" s="790"/>
      <c r="L26" s="790"/>
      <c r="M26" s="790"/>
      <c r="N26" s="790"/>
      <c r="O26" s="790"/>
      <c r="P26" s="790"/>
      <c r="Q26" s="790"/>
      <c r="R26" s="790"/>
      <c r="S26" s="69"/>
    </row>
    <row r="27" spans="1:41" x14ac:dyDescent="0.25">
      <c r="A27" t="s">
        <v>628</v>
      </c>
      <c r="S27" s="69"/>
    </row>
    <row r="28" spans="1:41" x14ac:dyDescent="0.25">
      <c r="A28" s="292"/>
      <c r="B28" s="69" t="s">
        <v>40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</row>
    <row r="29" spans="1:41" x14ac:dyDescent="0.25">
      <c r="A29" s="293"/>
      <c r="B29" s="69" t="s">
        <v>38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0" spans="1:41" x14ac:dyDescent="0.25">
      <c r="A30" s="294"/>
      <c r="B30" s="69" t="s">
        <v>39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</row>
    <row r="31" spans="1:41" ht="16.3" x14ac:dyDescent="0.3">
      <c r="A31" s="579" t="s">
        <v>28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</row>
  </sheetData>
  <mergeCells count="15">
    <mergeCell ref="A26:R26"/>
    <mergeCell ref="C18:E18"/>
    <mergeCell ref="Z1:AC1"/>
    <mergeCell ref="AD1:AG1"/>
    <mergeCell ref="AH1:AK1"/>
    <mergeCell ref="A25:R25"/>
    <mergeCell ref="C17:E17"/>
    <mergeCell ref="AL1:AO1"/>
    <mergeCell ref="C16:E16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T16:X16 D16:R16 Z16:AO16 T17:X17 F18:AO18 F17:S17 Z17:AO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32"/>
  <sheetViews>
    <sheetView zoomScaleNormal="100" workbookViewId="0">
      <pane ySplit="2" topLeftCell="A3" activePane="bottomLeft" state="frozen"/>
      <selection pane="bottomLeft" activeCell="S4" sqref="S4"/>
    </sheetView>
  </sheetViews>
  <sheetFormatPr defaultRowHeight="14.3" x14ac:dyDescent="0.25"/>
  <cols>
    <col min="1" max="1" width="7.5" style="69" customWidth="1"/>
    <col min="2" max="2" width="5.5" style="69" customWidth="1"/>
    <col min="3" max="3" width="11.5" style="69" customWidth="1"/>
    <col min="4" max="4" width="4.125" style="69" bestFit="1" customWidth="1"/>
    <col min="5" max="18" width="3.75" style="69" customWidth="1"/>
    <col min="19" max="20" width="6.25" style="69" customWidth="1"/>
    <col min="21" max="21" width="16.875" style="69" bestFit="1" customWidth="1"/>
    <col min="22" max="22" width="21.625" style="69" bestFit="1" customWidth="1"/>
    <col min="23" max="23" width="16.75" style="69" bestFit="1" customWidth="1"/>
    <col min="24" max="24" width="24.375" style="69" bestFit="1" customWidth="1"/>
    <col min="25" max="25" width="18.5" style="69" bestFit="1" customWidth="1"/>
    <col min="26" max="41" width="3.75" style="69" customWidth="1"/>
    <col min="46" max="46" width="9.875" bestFit="1" customWidth="1"/>
  </cols>
  <sheetData>
    <row r="1" spans="1:47" ht="14.95" customHeight="1" thickBot="1" x14ac:dyDescent="0.3">
      <c r="A1" s="918" t="s">
        <v>499</v>
      </c>
      <c r="B1" s="919"/>
      <c r="C1" s="919"/>
      <c r="D1" s="150"/>
      <c r="E1" s="909" t="s">
        <v>24</v>
      </c>
      <c r="F1" s="910"/>
      <c r="G1" s="911"/>
      <c r="H1" s="909" t="s">
        <v>73</v>
      </c>
      <c r="I1" s="911"/>
      <c r="J1" s="915" t="s">
        <v>6</v>
      </c>
      <c r="K1" s="916"/>
      <c r="L1" s="916"/>
      <c r="M1" s="917"/>
      <c r="N1" s="915" t="s">
        <v>7</v>
      </c>
      <c r="O1" s="917"/>
      <c r="P1" s="915" t="s">
        <v>25</v>
      </c>
      <c r="Q1" s="916"/>
      <c r="R1" s="917"/>
      <c r="S1" s="120" t="s">
        <v>8</v>
      </c>
      <c r="T1" s="120" t="s">
        <v>9</v>
      </c>
      <c r="U1" s="115" t="s">
        <v>10</v>
      </c>
      <c r="V1" s="115" t="s">
        <v>11</v>
      </c>
      <c r="W1" s="115" t="s">
        <v>95</v>
      </c>
      <c r="X1" s="115" t="s">
        <v>26</v>
      </c>
      <c r="Y1" s="115" t="s">
        <v>27</v>
      </c>
      <c r="Z1" s="912" t="s">
        <v>20</v>
      </c>
      <c r="AA1" s="913"/>
      <c r="AB1" s="913"/>
      <c r="AC1" s="914"/>
      <c r="AD1" s="912" t="s">
        <v>56</v>
      </c>
      <c r="AE1" s="913"/>
      <c r="AF1" s="913"/>
      <c r="AG1" s="914"/>
      <c r="AH1" s="912" t="s">
        <v>57</v>
      </c>
      <c r="AI1" s="913"/>
      <c r="AJ1" s="913"/>
      <c r="AK1" s="914"/>
      <c r="AL1" s="912" t="s">
        <v>58</v>
      </c>
      <c r="AM1" s="913"/>
      <c r="AN1" s="913"/>
      <c r="AO1" s="914"/>
    </row>
    <row r="2" spans="1:47" ht="14.95" customHeight="1" thickBot="1" x14ac:dyDescent="0.3">
      <c r="A2" s="116" t="s">
        <v>19</v>
      </c>
      <c r="B2" s="93" t="s">
        <v>18</v>
      </c>
      <c r="C2" s="97" t="s">
        <v>17</v>
      </c>
      <c r="D2" s="97" t="s">
        <v>37</v>
      </c>
      <c r="E2" s="117" t="s">
        <v>16</v>
      </c>
      <c r="F2" s="117" t="s">
        <v>4</v>
      </c>
      <c r="G2" s="117" t="s">
        <v>5</v>
      </c>
      <c r="H2" s="118" t="s">
        <v>12</v>
      </c>
      <c r="I2" s="118" t="s">
        <v>3</v>
      </c>
      <c r="J2" s="118" t="s">
        <v>12</v>
      </c>
      <c r="K2" s="118" t="s">
        <v>13</v>
      </c>
      <c r="L2" s="118" t="s">
        <v>2</v>
      </c>
      <c r="M2" s="118" t="s">
        <v>14</v>
      </c>
      <c r="N2" s="118" t="s">
        <v>15</v>
      </c>
      <c r="O2" s="118" t="s">
        <v>16</v>
      </c>
      <c r="P2" s="118" t="s">
        <v>21</v>
      </c>
      <c r="Q2" s="118" t="s">
        <v>22</v>
      </c>
      <c r="R2" s="118" t="s">
        <v>12</v>
      </c>
      <c r="S2" s="183"/>
      <c r="T2" s="184"/>
      <c r="U2" s="185"/>
      <c r="V2" s="183"/>
      <c r="W2" s="183"/>
      <c r="X2" s="115"/>
      <c r="Y2" s="186"/>
      <c r="Z2" s="119" t="s">
        <v>0</v>
      </c>
      <c r="AA2" s="119" t="s">
        <v>1</v>
      </c>
      <c r="AB2" s="119" t="s">
        <v>2</v>
      </c>
      <c r="AC2" s="119" t="s">
        <v>3</v>
      </c>
      <c r="AD2" s="119" t="s">
        <v>0</v>
      </c>
      <c r="AE2" s="119" t="s">
        <v>1</v>
      </c>
      <c r="AF2" s="119" t="s">
        <v>2</v>
      </c>
      <c r="AG2" s="119" t="s">
        <v>3</v>
      </c>
      <c r="AH2" s="119" t="s">
        <v>0</v>
      </c>
      <c r="AI2" s="119" t="s">
        <v>1</v>
      </c>
      <c r="AJ2" s="119" t="s">
        <v>2</v>
      </c>
      <c r="AK2" s="119" t="s">
        <v>3</v>
      </c>
      <c r="AL2" s="119" t="s">
        <v>0</v>
      </c>
      <c r="AM2" s="119" t="s">
        <v>1</v>
      </c>
      <c r="AN2" s="119" t="s">
        <v>2</v>
      </c>
      <c r="AO2" s="119" t="s">
        <v>3</v>
      </c>
      <c r="AT2" s="69" t="s">
        <v>258</v>
      </c>
    </row>
    <row r="3" spans="1:47" ht="14.95" customHeight="1" thickBot="1" x14ac:dyDescent="0.35">
      <c r="A3" s="163" t="s">
        <v>492</v>
      </c>
      <c r="B3" s="164" t="s">
        <v>41</v>
      </c>
      <c r="C3" s="164" t="s">
        <v>489</v>
      </c>
      <c r="D3" s="164" t="s">
        <v>87</v>
      </c>
      <c r="E3" s="165" t="s">
        <v>1</v>
      </c>
      <c r="F3" s="165">
        <v>33</v>
      </c>
      <c r="G3" s="165">
        <v>12</v>
      </c>
      <c r="H3" s="344">
        <v>1</v>
      </c>
      <c r="I3" s="344">
        <v>0</v>
      </c>
      <c r="J3" s="344">
        <v>5</v>
      </c>
      <c r="K3" s="344">
        <v>4</v>
      </c>
      <c r="L3" s="344">
        <v>0</v>
      </c>
      <c r="M3" s="344">
        <v>0</v>
      </c>
      <c r="N3" s="344">
        <v>0</v>
      </c>
      <c r="O3" s="344">
        <v>0</v>
      </c>
      <c r="P3" s="344">
        <v>0</v>
      </c>
      <c r="Q3" s="344">
        <v>0</v>
      </c>
      <c r="R3" s="344">
        <v>2</v>
      </c>
      <c r="S3" s="166">
        <v>77120</v>
      </c>
      <c r="T3" s="172" t="s">
        <v>540</v>
      </c>
      <c r="U3" s="168" t="s">
        <v>99</v>
      </c>
      <c r="V3" s="166" t="s">
        <v>193</v>
      </c>
      <c r="W3" s="166" t="s">
        <v>541</v>
      </c>
      <c r="X3" s="169" t="s">
        <v>111</v>
      </c>
      <c r="Y3" s="349" t="s">
        <v>275</v>
      </c>
      <c r="Z3" s="169">
        <v>1</v>
      </c>
      <c r="AA3" s="169">
        <v>1</v>
      </c>
      <c r="AB3" s="169">
        <v>0</v>
      </c>
      <c r="AC3" s="316">
        <v>0</v>
      </c>
      <c r="AD3" s="169">
        <v>1</v>
      </c>
      <c r="AE3" s="169">
        <v>1</v>
      </c>
      <c r="AF3" s="169">
        <v>0</v>
      </c>
      <c r="AG3" s="316">
        <v>0</v>
      </c>
      <c r="AH3" s="169">
        <v>0</v>
      </c>
      <c r="AI3" s="169">
        <v>0</v>
      </c>
      <c r="AJ3" s="169">
        <v>0</v>
      </c>
      <c r="AK3" s="316">
        <v>0</v>
      </c>
      <c r="AL3" s="169">
        <v>0</v>
      </c>
      <c r="AM3" s="169">
        <v>0</v>
      </c>
      <c r="AN3" s="169">
        <v>0</v>
      </c>
      <c r="AO3" s="316">
        <v>0</v>
      </c>
      <c r="AT3" s="443" t="s">
        <v>253</v>
      </c>
      <c r="AU3" s="444">
        <v>49</v>
      </c>
    </row>
    <row r="4" spans="1:47" ht="14.95" customHeight="1" thickBot="1" x14ac:dyDescent="0.35">
      <c r="A4" s="151" t="s">
        <v>491</v>
      </c>
      <c r="B4" s="152" t="s">
        <v>41</v>
      </c>
      <c r="C4" s="152" t="s">
        <v>34</v>
      </c>
      <c r="D4" s="152" t="s">
        <v>490</v>
      </c>
      <c r="E4" s="153" t="s">
        <v>1</v>
      </c>
      <c r="F4" s="153">
        <v>84</v>
      </c>
      <c r="G4" s="153">
        <v>7</v>
      </c>
      <c r="H4" s="345">
        <v>1</v>
      </c>
      <c r="I4" s="345">
        <v>0</v>
      </c>
      <c r="J4" s="345">
        <v>12</v>
      </c>
      <c r="K4" s="345">
        <v>12</v>
      </c>
      <c r="L4" s="345">
        <v>0</v>
      </c>
      <c r="M4" s="345">
        <v>0</v>
      </c>
      <c r="N4" s="345">
        <v>0</v>
      </c>
      <c r="O4" s="345">
        <v>0</v>
      </c>
      <c r="P4" s="345">
        <v>0</v>
      </c>
      <c r="Q4" s="345">
        <v>0</v>
      </c>
      <c r="R4" s="345">
        <v>1</v>
      </c>
      <c r="S4" s="155">
        <v>30498</v>
      </c>
      <c r="T4" s="156" t="s">
        <v>588</v>
      </c>
      <c r="U4" s="157" t="s">
        <v>141</v>
      </c>
      <c r="V4" s="155" t="s">
        <v>97</v>
      </c>
      <c r="W4" s="155" t="s">
        <v>589</v>
      </c>
      <c r="X4" s="154" t="s">
        <v>99</v>
      </c>
      <c r="Y4" s="348" t="s">
        <v>275</v>
      </c>
      <c r="Z4" s="154">
        <v>1</v>
      </c>
      <c r="AA4" s="154">
        <v>1</v>
      </c>
      <c r="AB4" s="154">
        <v>0</v>
      </c>
      <c r="AC4" s="451">
        <v>0</v>
      </c>
      <c r="AD4" s="154">
        <v>0</v>
      </c>
      <c r="AE4" s="154">
        <v>0</v>
      </c>
      <c r="AF4" s="154">
        <v>0</v>
      </c>
      <c r="AG4" s="451">
        <v>0</v>
      </c>
      <c r="AH4" s="154">
        <v>1</v>
      </c>
      <c r="AI4" s="154">
        <v>1</v>
      </c>
      <c r="AJ4" s="154">
        <v>0</v>
      </c>
      <c r="AK4" s="451">
        <v>0</v>
      </c>
      <c r="AL4" s="154">
        <v>0</v>
      </c>
      <c r="AM4" s="154">
        <v>0</v>
      </c>
      <c r="AN4" s="154">
        <v>0</v>
      </c>
      <c r="AO4" s="451">
        <v>0</v>
      </c>
      <c r="AT4" s="445" t="s">
        <v>254</v>
      </c>
      <c r="AU4" s="446">
        <v>41</v>
      </c>
    </row>
    <row r="5" spans="1:47" ht="14.95" customHeight="1" thickBot="1" x14ac:dyDescent="0.35">
      <c r="A5" s="163" t="s">
        <v>493</v>
      </c>
      <c r="B5" s="164" t="s">
        <v>41</v>
      </c>
      <c r="C5" s="164" t="s">
        <v>31</v>
      </c>
      <c r="D5" s="164" t="s">
        <v>370</v>
      </c>
      <c r="E5" s="165"/>
      <c r="F5" s="165"/>
      <c r="G5" s="165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166"/>
      <c r="T5" s="172"/>
      <c r="U5" s="168"/>
      <c r="V5" s="166"/>
      <c r="W5" s="168"/>
      <c r="X5" s="168"/>
      <c r="Y5" s="169"/>
      <c r="Z5" s="169"/>
      <c r="AA5" s="169"/>
      <c r="AB5" s="169"/>
      <c r="AC5" s="316"/>
      <c r="AD5" s="169"/>
      <c r="AE5" s="169"/>
      <c r="AF5" s="169"/>
      <c r="AG5" s="316"/>
      <c r="AH5" s="169"/>
      <c r="AI5" s="169"/>
      <c r="AJ5" s="169"/>
      <c r="AK5" s="316"/>
      <c r="AL5" s="169"/>
      <c r="AM5" s="169"/>
      <c r="AN5" s="169"/>
      <c r="AO5" s="316"/>
      <c r="AT5" s="445" t="s">
        <v>255</v>
      </c>
      <c r="AU5" s="446">
        <v>1</v>
      </c>
    </row>
    <row r="6" spans="1:47" ht="14.95" customHeight="1" thickBot="1" x14ac:dyDescent="0.35">
      <c r="A6" s="151" t="s">
        <v>494</v>
      </c>
      <c r="B6" s="152" t="s">
        <v>41</v>
      </c>
      <c r="C6" s="152" t="s">
        <v>32</v>
      </c>
      <c r="D6" s="152" t="s">
        <v>149</v>
      </c>
      <c r="E6" s="153"/>
      <c r="F6" s="153"/>
      <c r="G6" s="153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155"/>
      <c r="T6" s="156"/>
      <c r="U6" s="157"/>
      <c r="V6" s="155"/>
      <c r="W6" s="155"/>
      <c r="X6" s="154"/>
      <c r="Y6" s="348"/>
      <c r="Z6" s="154"/>
      <c r="AA6" s="154"/>
      <c r="AB6" s="154"/>
      <c r="AC6" s="451"/>
      <c r="AD6" s="154"/>
      <c r="AE6" s="154"/>
      <c r="AF6" s="154"/>
      <c r="AG6" s="451"/>
      <c r="AH6" s="154"/>
      <c r="AI6" s="154"/>
      <c r="AJ6" s="154"/>
      <c r="AK6" s="451"/>
      <c r="AL6" s="154"/>
      <c r="AM6" s="154"/>
      <c r="AN6" s="154"/>
      <c r="AO6" s="451"/>
      <c r="AT6" s="445" t="s">
        <v>256</v>
      </c>
      <c r="AU6" s="446">
        <v>7</v>
      </c>
    </row>
    <row r="7" spans="1:47" ht="14.95" customHeight="1" thickBot="1" x14ac:dyDescent="0.35">
      <c r="A7" s="151" t="s">
        <v>192</v>
      </c>
      <c r="B7" s="152" t="s">
        <v>41</v>
      </c>
      <c r="C7" s="152" t="s">
        <v>33</v>
      </c>
      <c r="D7" s="152" t="s">
        <v>495</v>
      </c>
      <c r="E7" s="153"/>
      <c r="F7" s="153"/>
      <c r="G7" s="153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155"/>
      <c r="T7" s="156"/>
      <c r="U7" s="157"/>
      <c r="V7" s="155"/>
      <c r="W7" s="155"/>
      <c r="X7" s="154"/>
      <c r="Y7" s="154"/>
      <c r="Z7" s="154"/>
      <c r="AA7" s="154"/>
      <c r="AB7" s="154"/>
      <c r="AC7" s="451"/>
      <c r="AD7" s="154"/>
      <c r="AE7" s="154"/>
      <c r="AF7" s="154"/>
      <c r="AG7" s="451"/>
      <c r="AH7" s="154"/>
      <c r="AI7" s="154"/>
      <c r="AJ7" s="154"/>
      <c r="AK7" s="451"/>
      <c r="AL7" s="154"/>
      <c r="AM7" s="154"/>
      <c r="AN7" s="154"/>
      <c r="AO7" s="451"/>
      <c r="AT7" s="445" t="s">
        <v>257</v>
      </c>
      <c r="AU7" s="446">
        <v>1848</v>
      </c>
    </row>
    <row r="8" spans="1:47" ht="14.95" customHeight="1" thickBot="1" x14ac:dyDescent="0.35">
      <c r="A8" s="163"/>
      <c r="B8" s="164"/>
      <c r="C8" s="164"/>
      <c r="D8" s="164"/>
      <c r="E8" s="165"/>
      <c r="F8" s="165"/>
      <c r="G8" s="165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166"/>
      <c r="T8" s="172"/>
      <c r="U8" s="168"/>
      <c r="V8" s="166"/>
      <c r="W8" s="166"/>
      <c r="X8" s="166"/>
      <c r="Y8" s="349"/>
      <c r="Z8" s="169"/>
      <c r="AA8" s="169"/>
      <c r="AB8" s="169"/>
      <c r="AC8" s="316"/>
      <c r="AD8" s="169"/>
      <c r="AE8" s="169"/>
      <c r="AF8" s="169"/>
      <c r="AG8" s="316"/>
      <c r="AH8" s="169"/>
      <c r="AI8" s="169"/>
      <c r="AJ8" s="169"/>
      <c r="AK8" s="316"/>
      <c r="AL8" s="169"/>
      <c r="AM8" s="169"/>
      <c r="AN8" s="169"/>
      <c r="AO8" s="316"/>
    </row>
    <row r="9" spans="1:47" ht="14.95" customHeight="1" thickBot="1" x14ac:dyDescent="0.35">
      <c r="A9" s="163"/>
      <c r="B9" s="164"/>
      <c r="C9" s="164"/>
      <c r="D9" s="164"/>
      <c r="E9" s="165"/>
      <c r="F9" s="165"/>
      <c r="G9" s="165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166"/>
      <c r="T9" s="172"/>
      <c r="U9" s="168"/>
      <c r="V9" s="166"/>
      <c r="W9" s="166"/>
      <c r="X9" s="166"/>
      <c r="Y9" s="349"/>
      <c r="Z9" s="169"/>
      <c r="AA9" s="169"/>
      <c r="AB9" s="169"/>
      <c r="AC9" s="316"/>
      <c r="AD9" s="169"/>
      <c r="AE9" s="169"/>
      <c r="AF9" s="169"/>
      <c r="AG9" s="316"/>
      <c r="AH9" s="169"/>
      <c r="AI9" s="169"/>
      <c r="AJ9" s="169"/>
      <c r="AK9" s="316"/>
      <c r="AL9" s="169"/>
      <c r="AM9" s="169"/>
      <c r="AN9" s="169"/>
      <c r="AO9" s="316"/>
    </row>
    <row r="10" spans="1:47" ht="14.95" customHeight="1" thickBot="1" x14ac:dyDescent="0.35">
      <c r="A10" s="163"/>
      <c r="B10" s="164"/>
      <c r="C10" s="164"/>
      <c r="D10" s="164"/>
      <c r="E10" s="165"/>
      <c r="F10" s="165"/>
      <c r="G10" s="165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166"/>
      <c r="T10" s="172"/>
      <c r="U10" s="168"/>
      <c r="V10" s="166"/>
      <c r="W10" s="166"/>
      <c r="X10" s="166"/>
      <c r="Y10" s="349"/>
      <c r="Z10" s="169"/>
      <c r="AA10" s="169"/>
      <c r="AB10" s="169"/>
      <c r="AC10" s="316"/>
      <c r="AD10" s="169"/>
      <c r="AE10" s="169"/>
      <c r="AF10" s="169"/>
      <c r="AG10" s="316"/>
      <c r="AH10" s="169"/>
      <c r="AI10" s="169"/>
      <c r="AJ10" s="169"/>
      <c r="AK10" s="316"/>
      <c r="AL10" s="169"/>
      <c r="AM10" s="169"/>
      <c r="AN10" s="169"/>
      <c r="AO10" s="316"/>
    </row>
    <row r="11" spans="1:47" ht="14.95" customHeight="1" thickBot="1" x14ac:dyDescent="0.35">
      <c r="A11" s="163"/>
      <c r="B11" s="164"/>
      <c r="C11" s="164"/>
      <c r="D11" s="164"/>
      <c r="E11" s="165"/>
      <c r="F11" s="165"/>
      <c r="G11" s="165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166"/>
      <c r="T11" s="172"/>
      <c r="U11" s="168"/>
      <c r="V11" s="166"/>
      <c r="W11" s="166"/>
      <c r="X11" s="166"/>
      <c r="Y11" s="349"/>
      <c r="Z11" s="169"/>
      <c r="AA11" s="169"/>
      <c r="AB11" s="169"/>
      <c r="AC11" s="316"/>
      <c r="AD11" s="169"/>
      <c r="AE11" s="169"/>
      <c r="AF11" s="169"/>
      <c r="AG11" s="316"/>
      <c r="AH11" s="169"/>
      <c r="AI11" s="169"/>
      <c r="AJ11" s="169"/>
      <c r="AK11" s="316"/>
      <c r="AL11" s="169"/>
      <c r="AM11" s="169"/>
      <c r="AN11" s="169"/>
      <c r="AO11" s="316"/>
    </row>
    <row r="12" spans="1:47" ht="14.95" customHeight="1" thickBot="1" x14ac:dyDescent="0.35">
      <c r="A12" s="163"/>
      <c r="B12" s="164"/>
      <c r="C12" s="164"/>
      <c r="D12" s="164"/>
      <c r="E12" s="165"/>
      <c r="F12" s="165"/>
      <c r="G12" s="165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166"/>
      <c r="T12" s="172"/>
      <c r="U12" s="168"/>
      <c r="V12" s="166"/>
      <c r="W12" s="166"/>
      <c r="X12" s="166"/>
      <c r="Y12" s="349"/>
      <c r="Z12" s="169"/>
      <c r="AA12" s="169"/>
      <c r="AB12" s="169"/>
      <c r="AC12" s="316"/>
      <c r="AD12" s="169"/>
      <c r="AE12" s="169"/>
      <c r="AF12" s="169"/>
      <c r="AG12" s="316"/>
      <c r="AH12" s="169"/>
      <c r="AI12" s="169"/>
      <c r="AJ12" s="169"/>
      <c r="AK12" s="316"/>
      <c r="AL12" s="169"/>
      <c r="AM12" s="169"/>
      <c r="AN12" s="169"/>
      <c r="AO12" s="316"/>
    </row>
    <row r="13" spans="1:47" ht="14.95" customHeight="1" thickBot="1" x14ac:dyDescent="0.35">
      <c r="A13" s="537"/>
      <c r="B13" s="442"/>
      <c r="C13" s="538"/>
      <c r="D13" s="538"/>
      <c r="E13" s="165"/>
      <c r="F13" s="165"/>
      <c r="G13" s="165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539"/>
      <c r="T13" s="540"/>
      <c r="U13" s="539"/>
      <c r="V13" s="539"/>
      <c r="W13" s="539"/>
      <c r="X13" s="539"/>
      <c r="Y13" s="541"/>
      <c r="Z13" s="169"/>
      <c r="AA13" s="169"/>
      <c r="AB13" s="169"/>
      <c r="AC13" s="316"/>
      <c r="AD13" s="169"/>
      <c r="AE13" s="169"/>
      <c r="AF13" s="169"/>
      <c r="AG13" s="316"/>
      <c r="AH13" s="169"/>
      <c r="AI13" s="169"/>
      <c r="AJ13" s="169"/>
      <c r="AK13" s="316"/>
      <c r="AL13" s="169"/>
      <c r="AM13" s="169"/>
      <c r="AN13" s="169"/>
      <c r="AO13" s="316"/>
    </row>
    <row r="14" spans="1:47" ht="14.95" customHeight="1" thickBot="1" x14ac:dyDescent="0.35">
      <c r="A14" s="537"/>
      <c r="B14" s="442"/>
      <c r="C14" s="538"/>
      <c r="D14" s="538"/>
      <c r="E14" s="165"/>
      <c r="F14" s="165"/>
      <c r="G14" s="165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539"/>
      <c r="T14" s="540"/>
      <c r="U14" s="539"/>
      <c r="V14" s="539"/>
      <c r="W14" s="539"/>
      <c r="X14" s="539"/>
      <c r="Y14" s="541"/>
      <c r="Z14" s="169"/>
      <c r="AA14" s="169"/>
      <c r="AB14" s="169"/>
      <c r="AC14" s="316"/>
      <c r="AD14" s="169"/>
      <c r="AE14" s="169"/>
      <c r="AF14" s="169"/>
      <c r="AG14" s="316"/>
      <c r="AH14" s="169"/>
      <c r="AI14" s="169"/>
      <c r="AJ14" s="169"/>
      <c r="AK14" s="316"/>
      <c r="AL14" s="169"/>
      <c r="AM14" s="169"/>
      <c r="AN14" s="169"/>
      <c r="AO14" s="316"/>
    </row>
    <row r="15" spans="1:47" ht="14.95" customHeight="1" thickBot="1" x14ac:dyDescent="0.35">
      <c r="A15" s="537"/>
      <c r="B15" s="442"/>
      <c r="C15" s="538"/>
      <c r="D15" s="538"/>
      <c r="E15" s="165"/>
      <c r="F15" s="165"/>
      <c r="G15" s="165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539"/>
      <c r="T15" s="540"/>
      <c r="U15" s="169"/>
      <c r="V15" s="169"/>
      <c r="W15" s="169"/>
      <c r="X15" s="168"/>
      <c r="Y15" s="541"/>
      <c r="Z15" s="169"/>
      <c r="AA15" s="169"/>
      <c r="AB15" s="169"/>
      <c r="AC15" s="316"/>
      <c r="AD15" s="169"/>
      <c r="AE15" s="169"/>
      <c r="AF15" s="169"/>
      <c r="AG15" s="316"/>
      <c r="AH15" s="169"/>
      <c r="AI15" s="169"/>
      <c r="AJ15" s="169"/>
      <c r="AK15" s="316"/>
      <c r="AL15" s="169"/>
      <c r="AM15" s="169"/>
      <c r="AN15" s="169"/>
      <c r="AO15" s="316"/>
    </row>
    <row r="16" spans="1:47" ht="14.95" customHeight="1" thickBot="1" x14ac:dyDescent="0.3">
      <c r="A16" s="100"/>
      <c r="B16" s="101"/>
      <c r="C16" s="797" t="s">
        <v>71</v>
      </c>
      <c r="D16" s="798"/>
      <c r="E16" s="799"/>
      <c r="F16" s="385">
        <f>SUM(F3:F7)</f>
        <v>117</v>
      </c>
      <c r="G16" s="385">
        <f t="shared" ref="G16:R16" si="0">SUM(G3:G7)</f>
        <v>19</v>
      </c>
      <c r="H16" s="385">
        <f t="shared" si="0"/>
        <v>2</v>
      </c>
      <c r="I16" s="385">
        <f t="shared" si="0"/>
        <v>0</v>
      </c>
      <c r="J16" s="385">
        <f t="shared" si="0"/>
        <v>17</v>
      </c>
      <c r="K16" s="385">
        <f t="shared" si="0"/>
        <v>16</v>
      </c>
      <c r="L16" s="385">
        <f t="shared" si="0"/>
        <v>0</v>
      </c>
      <c r="M16" s="385">
        <f t="shared" si="0"/>
        <v>0</v>
      </c>
      <c r="N16" s="385">
        <f t="shared" si="0"/>
        <v>0</v>
      </c>
      <c r="O16" s="385">
        <f t="shared" si="0"/>
        <v>0</v>
      </c>
      <c r="P16" s="385">
        <f t="shared" si="0"/>
        <v>0</v>
      </c>
      <c r="Q16" s="385">
        <f t="shared" si="0"/>
        <v>0</v>
      </c>
      <c r="R16" s="385">
        <f t="shared" si="0"/>
        <v>3</v>
      </c>
      <c r="S16" s="380"/>
      <c r="T16" s="380"/>
      <c r="U16" s="380"/>
      <c r="V16" s="380"/>
      <c r="W16" s="380"/>
      <c r="X16" s="381"/>
      <c r="Y16" s="389" t="s">
        <v>71</v>
      </c>
      <c r="Z16" s="385">
        <f t="shared" ref="Z16:AO16" si="1">SUM(Z3:Z7)</f>
        <v>2</v>
      </c>
      <c r="AA16" s="385">
        <f t="shared" si="1"/>
        <v>2</v>
      </c>
      <c r="AB16" s="385">
        <f t="shared" si="1"/>
        <v>0</v>
      </c>
      <c r="AC16" s="385">
        <f t="shared" si="1"/>
        <v>0</v>
      </c>
      <c r="AD16" s="387">
        <f t="shared" si="1"/>
        <v>1</v>
      </c>
      <c r="AE16" s="387">
        <f t="shared" si="1"/>
        <v>1</v>
      </c>
      <c r="AF16" s="387">
        <f t="shared" si="1"/>
        <v>0</v>
      </c>
      <c r="AG16" s="387">
        <f t="shared" si="1"/>
        <v>0</v>
      </c>
      <c r="AH16" s="388">
        <f t="shared" si="1"/>
        <v>1</v>
      </c>
      <c r="AI16" s="388">
        <f t="shared" si="1"/>
        <v>1</v>
      </c>
      <c r="AJ16" s="388">
        <f t="shared" si="1"/>
        <v>0</v>
      </c>
      <c r="AK16" s="388">
        <f t="shared" si="1"/>
        <v>0</v>
      </c>
      <c r="AL16" s="385">
        <f t="shared" si="1"/>
        <v>0</v>
      </c>
      <c r="AM16" s="385">
        <f t="shared" si="1"/>
        <v>0</v>
      </c>
      <c r="AN16" s="385">
        <f t="shared" si="1"/>
        <v>0</v>
      </c>
      <c r="AO16" s="385">
        <f t="shared" si="1"/>
        <v>0</v>
      </c>
    </row>
    <row r="17" spans="1:41" ht="14.95" customHeight="1" thickBot="1" x14ac:dyDescent="0.3">
      <c r="A17" s="100"/>
      <c r="B17" s="101"/>
      <c r="C17" s="808" t="s">
        <v>500</v>
      </c>
      <c r="D17" s="809"/>
      <c r="E17" s="810"/>
      <c r="F17" s="661">
        <f>SUM(F10:F15)</f>
        <v>0</v>
      </c>
      <c r="G17" s="661">
        <f t="shared" ref="G17:R17" si="2">SUM(G10:G15)</f>
        <v>0</v>
      </c>
      <c r="H17" s="661">
        <f t="shared" si="2"/>
        <v>0</v>
      </c>
      <c r="I17" s="661">
        <f t="shared" si="2"/>
        <v>0</v>
      </c>
      <c r="J17" s="661">
        <f t="shared" si="2"/>
        <v>0</v>
      </c>
      <c r="K17" s="661">
        <f t="shared" si="2"/>
        <v>0</v>
      </c>
      <c r="L17" s="661">
        <f t="shared" si="2"/>
        <v>0</v>
      </c>
      <c r="M17" s="661">
        <f t="shared" si="2"/>
        <v>0</v>
      </c>
      <c r="N17" s="661">
        <f t="shared" si="2"/>
        <v>0</v>
      </c>
      <c r="O17" s="661">
        <f t="shared" si="2"/>
        <v>0</v>
      </c>
      <c r="P17" s="661">
        <f t="shared" si="2"/>
        <v>0</v>
      </c>
      <c r="Q17" s="661">
        <f t="shared" si="2"/>
        <v>0</v>
      </c>
      <c r="R17" s="661">
        <f t="shared" si="2"/>
        <v>0</v>
      </c>
      <c r="S17" s="662"/>
      <c r="T17" s="662"/>
      <c r="U17" s="662"/>
      <c r="V17" s="662"/>
      <c r="W17" s="662"/>
      <c r="X17" s="663"/>
      <c r="Y17" s="660" t="s">
        <v>500</v>
      </c>
      <c r="Z17" s="661">
        <f t="shared" ref="Z17:AO17" si="3">SUM(Z10:Z15)</f>
        <v>0</v>
      </c>
      <c r="AA17" s="661">
        <f t="shared" si="3"/>
        <v>0</v>
      </c>
      <c r="AB17" s="661">
        <f t="shared" si="3"/>
        <v>0</v>
      </c>
      <c r="AC17" s="661">
        <f t="shared" si="3"/>
        <v>0</v>
      </c>
      <c r="AD17" s="664">
        <f t="shared" si="3"/>
        <v>0</v>
      </c>
      <c r="AE17" s="664">
        <f t="shared" si="3"/>
        <v>0</v>
      </c>
      <c r="AF17" s="664">
        <f t="shared" si="3"/>
        <v>0</v>
      </c>
      <c r="AG17" s="664">
        <f t="shared" si="3"/>
        <v>0</v>
      </c>
      <c r="AH17" s="665">
        <f t="shared" si="3"/>
        <v>0</v>
      </c>
      <c r="AI17" s="665">
        <f t="shared" si="3"/>
        <v>0</v>
      </c>
      <c r="AJ17" s="665">
        <f t="shared" si="3"/>
        <v>0</v>
      </c>
      <c r="AK17" s="665">
        <f t="shared" si="3"/>
        <v>0</v>
      </c>
      <c r="AL17" s="661">
        <f t="shared" si="3"/>
        <v>0</v>
      </c>
      <c r="AM17" s="661">
        <f t="shared" si="3"/>
        <v>0</v>
      </c>
      <c r="AN17" s="661">
        <f t="shared" si="3"/>
        <v>0</v>
      </c>
      <c r="AO17" s="661">
        <f t="shared" si="3"/>
        <v>0</v>
      </c>
    </row>
    <row r="18" spans="1:41" ht="14.95" customHeight="1" thickBot="1" x14ac:dyDescent="0.3">
      <c r="A18" s="100"/>
      <c r="B18" s="101"/>
      <c r="C18" s="800" t="s">
        <v>70</v>
      </c>
      <c r="D18" s="801"/>
      <c r="E18" s="802"/>
      <c r="F18" s="124">
        <f>SUM(F3:F15)</f>
        <v>117</v>
      </c>
      <c r="G18" s="124">
        <f t="shared" ref="G18:R18" si="4">SUM(G3:G15)</f>
        <v>19</v>
      </c>
      <c r="H18" s="124">
        <f t="shared" si="4"/>
        <v>2</v>
      </c>
      <c r="I18" s="124">
        <f t="shared" si="4"/>
        <v>0</v>
      </c>
      <c r="J18" s="124">
        <f t="shared" si="4"/>
        <v>17</v>
      </c>
      <c r="K18" s="124">
        <f t="shared" si="4"/>
        <v>16</v>
      </c>
      <c r="L18" s="124">
        <f t="shared" si="4"/>
        <v>0</v>
      </c>
      <c r="M18" s="124">
        <f t="shared" si="4"/>
        <v>0</v>
      </c>
      <c r="N18" s="124">
        <f t="shared" si="4"/>
        <v>0</v>
      </c>
      <c r="O18" s="124">
        <f t="shared" si="4"/>
        <v>0</v>
      </c>
      <c r="P18" s="124">
        <f t="shared" si="4"/>
        <v>0</v>
      </c>
      <c r="Q18" s="124">
        <f t="shared" si="4"/>
        <v>0</v>
      </c>
      <c r="R18" s="124">
        <f t="shared" si="4"/>
        <v>3</v>
      </c>
      <c r="S18" s="187"/>
      <c r="T18" s="187"/>
      <c r="U18" s="187"/>
      <c r="V18" s="187"/>
      <c r="W18" s="187"/>
      <c r="X18" s="12"/>
      <c r="Y18" s="129" t="s">
        <v>70</v>
      </c>
      <c r="Z18" s="124">
        <f t="shared" ref="Z18:AO18" si="5">SUM(Z3:Z15)</f>
        <v>2</v>
      </c>
      <c r="AA18" s="124">
        <f t="shared" si="5"/>
        <v>2</v>
      </c>
      <c r="AB18" s="124">
        <f t="shared" si="5"/>
        <v>0</v>
      </c>
      <c r="AC18" s="124">
        <f t="shared" si="5"/>
        <v>0</v>
      </c>
      <c r="AD18" s="122">
        <f t="shared" si="5"/>
        <v>1</v>
      </c>
      <c r="AE18" s="122">
        <f t="shared" si="5"/>
        <v>1</v>
      </c>
      <c r="AF18" s="122">
        <f t="shared" si="5"/>
        <v>0</v>
      </c>
      <c r="AG18" s="122">
        <f t="shared" si="5"/>
        <v>0</v>
      </c>
      <c r="AH18" s="123">
        <f t="shared" si="5"/>
        <v>1</v>
      </c>
      <c r="AI18" s="123">
        <f t="shared" si="5"/>
        <v>1</v>
      </c>
      <c r="AJ18" s="123">
        <f t="shared" si="5"/>
        <v>0</v>
      </c>
      <c r="AK18" s="123">
        <f t="shared" si="5"/>
        <v>0</v>
      </c>
      <c r="AL18" s="124">
        <f t="shared" si="5"/>
        <v>0</v>
      </c>
      <c r="AM18" s="124">
        <f t="shared" si="5"/>
        <v>0</v>
      </c>
      <c r="AN18" s="124">
        <f t="shared" si="5"/>
        <v>0</v>
      </c>
      <c r="AO18" s="124">
        <f t="shared" si="5"/>
        <v>0</v>
      </c>
    </row>
    <row r="19" spans="1:41" ht="14.95" customHeight="1" x14ac:dyDescent="0.25">
      <c r="A19" s="789" t="s">
        <v>539</v>
      </c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790"/>
      <c r="AB19" s="790"/>
      <c r="AC19" s="790"/>
      <c r="AD19" s="790"/>
      <c r="AE19" s="790"/>
      <c r="AF19" s="790"/>
      <c r="AG19" s="790"/>
      <c r="AH19" s="790"/>
      <c r="AI19" s="790"/>
      <c r="AJ19" s="790"/>
      <c r="AK19" s="790"/>
      <c r="AL19" s="790"/>
      <c r="AM19" s="790"/>
      <c r="AN19" s="790"/>
      <c r="AO19" s="790"/>
    </row>
    <row r="20" spans="1:41" ht="14.95" customHeight="1" x14ac:dyDescent="0.25">
      <c r="A20" s="789" t="s">
        <v>587</v>
      </c>
      <c r="B20" s="789"/>
      <c r="C20" s="789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ht="14.95" customHeight="1" x14ac:dyDescent="0.25">
      <c r="A21" s="634" t="s">
        <v>498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ht="14.95" customHeight="1" x14ac:dyDescent="0.25">
      <c r="A22" t="s">
        <v>496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ht="14.95" customHeight="1" x14ac:dyDescent="0.25">
      <c r="A23" t="s">
        <v>497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ht="14.9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ht="14.9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ht="14.95" customHeight="1" x14ac:dyDescent="0.25">
      <c r="A26" s="56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ht="14.95" customHeight="1" x14ac:dyDescent="0.25">
      <c r="A27" s="789" t="s">
        <v>515</v>
      </c>
      <c r="B27" s="790"/>
      <c r="C27" s="790"/>
      <c r="D27" s="790"/>
      <c r="E27" s="790"/>
      <c r="F27" s="790"/>
      <c r="G27" s="790"/>
      <c r="H27" s="790"/>
      <c r="I27" s="790"/>
      <c r="J27" s="790"/>
      <c r="K27" s="790"/>
      <c r="L27" s="790"/>
      <c r="M27" s="790"/>
      <c r="N27" s="790"/>
      <c r="O27" s="790"/>
      <c r="P27" s="790"/>
      <c r="Q27" s="790"/>
      <c r="R27" s="790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ht="14.95" customHeight="1" x14ac:dyDescent="0.25">
      <c r="A28" t="s">
        <v>74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41" ht="14.95" customHeight="1" x14ac:dyDescent="0.25">
      <c r="A29" s="292"/>
      <c r="B29" s="69" t="s">
        <v>40</v>
      </c>
    </row>
    <row r="30" spans="1:41" x14ac:dyDescent="0.25">
      <c r="A30" s="293"/>
      <c r="B30" s="69" t="s">
        <v>38</v>
      </c>
    </row>
    <row r="31" spans="1:41" x14ac:dyDescent="0.25">
      <c r="A31" s="294"/>
      <c r="B31" s="69" t="s">
        <v>39</v>
      </c>
    </row>
    <row r="32" spans="1:41" ht="16.3" x14ac:dyDescent="0.3">
      <c r="A32" s="579" t="s">
        <v>28</v>
      </c>
    </row>
  </sheetData>
  <mergeCells count="16">
    <mergeCell ref="A20:R20"/>
    <mergeCell ref="A27:R27"/>
    <mergeCell ref="E1:G1"/>
    <mergeCell ref="H1:I1"/>
    <mergeCell ref="A19:AO19"/>
    <mergeCell ref="Z1:AC1"/>
    <mergeCell ref="AD1:AG1"/>
    <mergeCell ref="AH1:AK1"/>
    <mergeCell ref="AL1:AO1"/>
    <mergeCell ref="C16:E16"/>
    <mergeCell ref="P1:R1"/>
    <mergeCell ref="C18:E18"/>
    <mergeCell ref="J1:M1"/>
    <mergeCell ref="N1:O1"/>
    <mergeCell ref="A1:C1"/>
    <mergeCell ref="C17:E17"/>
  </mergeCells>
  <pageMargins left="0.7" right="0.7" top="0.75" bottom="0.75" header="0.3" footer="0.3"/>
  <pageSetup paperSize="9" orientation="portrait" r:id="rId1"/>
  <ignoredErrors>
    <ignoredError sqref="C16:G16 S16:Y16 J16:R16 Z16:AO16 S17:X17 F17:R17 Z17:AO17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70E3-2EB6-4729-8DEA-491A8AA8D143}">
  <dimension ref="A1:AV21"/>
  <sheetViews>
    <sheetView zoomScaleNormal="100" workbookViewId="0">
      <selection activeCell="T8" sqref="T8:U8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19" width="6.625" customWidth="1"/>
    <col min="20" max="20" width="6.25" customWidth="1"/>
    <col min="21" max="21" width="21" bestFit="1" customWidth="1"/>
    <col min="22" max="23" width="21.875" bestFit="1" customWidth="1"/>
    <col min="24" max="24" width="19.5" bestFit="1" customWidth="1"/>
    <col min="25" max="25" width="24.3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926" t="s">
        <v>438</v>
      </c>
      <c r="B1" s="927"/>
      <c r="C1" s="927"/>
      <c r="D1" s="203"/>
      <c r="E1" s="928" t="s">
        <v>24</v>
      </c>
      <c r="F1" s="929"/>
      <c r="G1" s="930"/>
      <c r="H1" s="928" t="s">
        <v>73</v>
      </c>
      <c r="I1" s="930"/>
      <c r="J1" s="931" t="s">
        <v>6</v>
      </c>
      <c r="K1" s="932"/>
      <c r="L1" s="932"/>
      <c r="M1" s="933"/>
      <c r="N1" s="931" t="s">
        <v>7</v>
      </c>
      <c r="O1" s="933"/>
      <c r="P1" s="931" t="s">
        <v>25</v>
      </c>
      <c r="Q1" s="932"/>
      <c r="R1" s="933"/>
      <c r="S1" s="474" t="s">
        <v>8</v>
      </c>
      <c r="T1" s="204" t="s">
        <v>9</v>
      </c>
      <c r="U1" s="205" t="s">
        <v>10</v>
      </c>
      <c r="V1" s="205" t="s">
        <v>11</v>
      </c>
      <c r="W1" s="205" t="s">
        <v>95</v>
      </c>
      <c r="X1" s="205" t="s">
        <v>26</v>
      </c>
      <c r="Y1" s="205" t="s">
        <v>27</v>
      </c>
      <c r="Z1" s="920" t="s">
        <v>20</v>
      </c>
      <c r="AA1" s="921"/>
      <c r="AB1" s="921"/>
      <c r="AC1" s="922"/>
      <c r="AD1" s="920" t="s">
        <v>56</v>
      </c>
      <c r="AE1" s="921"/>
      <c r="AF1" s="921"/>
      <c r="AG1" s="922"/>
      <c r="AH1" s="920" t="s">
        <v>57</v>
      </c>
      <c r="AI1" s="921"/>
      <c r="AJ1" s="921"/>
      <c r="AK1" s="922"/>
      <c r="AL1" s="920" t="s">
        <v>58</v>
      </c>
      <c r="AM1" s="921"/>
      <c r="AN1" s="921"/>
      <c r="AO1" s="922"/>
    </row>
    <row r="2" spans="1:48" ht="14.95" customHeight="1" thickBot="1" x14ac:dyDescent="0.3">
      <c r="A2" s="206" t="s">
        <v>19</v>
      </c>
      <c r="B2" s="207" t="s">
        <v>18</v>
      </c>
      <c r="C2" s="208" t="s">
        <v>17</v>
      </c>
      <c r="D2" s="208" t="s">
        <v>37</v>
      </c>
      <c r="E2" s="209" t="s">
        <v>16</v>
      </c>
      <c r="F2" s="209" t="s">
        <v>4</v>
      </c>
      <c r="G2" s="209" t="s">
        <v>5</v>
      </c>
      <c r="H2" s="210" t="s">
        <v>12</v>
      </c>
      <c r="I2" s="210" t="s">
        <v>3</v>
      </c>
      <c r="J2" s="210" t="s">
        <v>12</v>
      </c>
      <c r="K2" s="210" t="s">
        <v>13</v>
      </c>
      <c r="L2" s="210" t="s">
        <v>2</v>
      </c>
      <c r="M2" s="210" t="s">
        <v>14</v>
      </c>
      <c r="N2" s="210" t="s">
        <v>15</v>
      </c>
      <c r="O2" s="210" t="s">
        <v>16</v>
      </c>
      <c r="P2" s="210" t="s">
        <v>21</v>
      </c>
      <c r="Q2" s="210" t="s">
        <v>22</v>
      </c>
      <c r="R2" s="210" t="s">
        <v>12</v>
      </c>
      <c r="S2" s="551"/>
      <c r="T2" s="212"/>
      <c r="U2" s="213"/>
      <c r="V2" s="211"/>
      <c r="W2" s="211"/>
      <c r="X2" s="205"/>
      <c r="Y2" s="363"/>
      <c r="Z2" s="214" t="s">
        <v>0</v>
      </c>
      <c r="AA2" s="214" t="s">
        <v>1</v>
      </c>
      <c r="AB2" s="214" t="s">
        <v>2</v>
      </c>
      <c r="AC2" s="214" t="s">
        <v>3</v>
      </c>
      <c r="AD2" s="214" t="s">
        <v>0</v>
      </c>
      <c r="AE2" s="214" t="s">
        <v>1</v>
      </c>
      <c r="AF2" s="214" t="s">
        <v>2</v>
      </c>
      <c r="AG2" s="214" t="s">
        <v>3</v>
      </c>
      <c r="AH2" s="214" t="s">
        <v>0</v>
      </c>
      <c r="AI2" s="214" t="s">
        <v>1</v>
      </c>
      <c r="AJ2" s="214" t="s">
        <v>2</v>
      </c>
      <c r="AK2" s="214" t="s">
        <v>3</v>
      </c>
      <c r="AL2" s="214" t="s">
        <v>0</v>
      </c>
      <c r="AM2" s="214" t="s">
        <v>1</v>
      </c>
      <c r="AN2" s="214" t="s">
        <v>2</v>
      </c>
      <c r="AO2" s="214" t="s">
        <v>3</v>
      </c>
      <c r="AU2" s="69" t="s">
        <v>159</v>
      </c>
    </row>
    <row r="3" spans="1:48" ht="14.95" customHeight="1" thickBot="1" x14ac:dyDescent="0.3">
      <c r="A3" s="151" t="s">
        <v>434</v>
      </c>
      <c r="B3" s="152" t="s">
        <v>184</v>
      </c>
      <c r="C3" s="152" t="s">
        <v>29</v>
      </c>
      <c r="D3" s="152" t="s">
        <v>194</v>
      </c>
      <c r="E3" s="153" t="s">
        <v>3</v>
      </c>
      <c r="F3" s="153">
        <v>15</v>
      </c>
      <c r="G3" s="153">
        <v>33</v>
      </c>
      <c r="H3" s="345" t="s">
        <v>69</v>
      </c>
      <c r="I3" s="345" t="s">
        <v>69</v>
      </c>
      <c r="J3" s="345">
        <v>2</v>
      </c>
      <c r="K3" s="345">
        <v>1</v>
      </c>
      <c r="L3" s="345">
        <v>0</v>
      </c>
      <c r="M3" s="345">
        <v>1</v>
      </c>
      <c r="N3" s="345">
        <v>1</v>
      </c>
      <c r="O3" s="345">
        <v>0</v>
      </c>
      <c r="P3" s="345" t="s">
        <v>69</v>
      </c>
      <c r="Q3" s="345" t="s">
        <v>69</v>
      </c>
      <c r="R3" s="345">
        <v>5</v>
      </c>
      <c r="S3" s="535">
        <v>4127</v>
      </c>
      <c r="T3" s="159" t="s">
        <v>273</v>
      </c>
      <c r="U3" s="157" t="s">
        <v>435</v>
      </c>
      <c r="V3" s="155" t="s">
        <v>117</v>
      </c>
      <c r="W3" s="155" t="s">
        <v>436</v>
      </c>
      <c r="X3" s="154" t="s">
        <v>196</v>
      </c>
      <c r="Y3" s="348" t="s">
        <v>437</v>
      </c>
      <c r="Z3" s="154">
        <v>1</v>
      </c>
      <c r="AA3" s="154">
        <v>0</v>
      </c>
      <c r="AB3" s="154">
        <v>0</v>
      </c>
      <c r="AC3" s="451">
        <v>1</v>
      </c>
      <c r="AD3" s="154">
        <v>0</v>
      </c>
      <c r="AE3" s="154">
        <v>0</v>
      </c>
      <c r="AF3" s="154">
        <v>0</v>
      </c>
      <c r="AG3" s="451">
        <v>0</v>
      </c>
      <c r="AH3" s="154">
        <v>1</v>
      </c>
      <c r="AI3" s="154">
        <v>0</v>
      </c>
      <c r="AJ3" s="154">
        <v>0</v>
      </c>
      <c r="AK3" s="451">
        <v>1</v>
      </c>
      <c r="AL3" s="154">
        <v>0</v>
      </c>
      <c r="AM3" s="154">
        <v>0</v>
      </c>
      <c r="AN3" s="154">
        <v>0</v>
      </c>
      <c r="AO3" s="451">
        <v>0</v>
      </c>
      <c r="AU3" s="443" t="s">
        <v>253</v>
      </c>
      <c r="AV3" s="49">
        <v>6</v>
      </c>
    </row>
    <row r="4" spans="1:48" ht="14.95" customHeight="1" thickBot="1" x14ac:dyDescent="0.35">
      <c r="A4" s="163"/>
      <c r="B4" s="164"/>
      <c r="C4" s="164"/>
      <c r="D4" s="164"/>
      <c r="E4" s="165"/>
      <c r="F4" s="165"/>
      <c r="G4" s="165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549"/>
      <c r="T4" s="172"/>
      <c r="U4" s="168"/>
      <c r="V4" s="166"/>
      <c r="W4" s="166"/>
      <c r="X4" s="169"/>
      <c r="Y4" s="349"/>
      <c r="Z4" s="169"/>
      <c r="AA4" s="169"/>
      <c r="AB4" s="169"/>
      <c r="AC4" s="316"/>
      <c r="AD4" s="169"/>
      <c r="AE4" s="169"/>
      <c r="AF4" s="169"/>
      <c r="AG4" s="316"/>
      <c r="AH4" s="169"/>
      <c r="AI4" s="169"/>
      <c r="AJ4" s="169"/>
      <c r="AK4" s="316"/>
      <c r="AL4" s="169"/>
      <c r="AM4" s="169"/>
      <c r="AN4" s="169"/>
      <c r="AO4" s="316"/>
      <c r="AU4" s="445" t="s">
        <v>254</v>
      </c>
      <c r="AV4" s="530">
        <v>2</v>
      </c>
    </row>
    <row r="5" spans="1:48" ht="14.95" customHeight="1" thickBot="1" x14ac:dyDescent="0.35">
      <c r="A5" s="163"/>
      <c r="B5" s="164"/>
      <c r="C5" s="164"/>
      <c r="D5" s="164"/>
      <c r="E5" s="165"/>
      <c r="F5" s="165"/>
      <c r="G5" s="165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549"/>
      <c r="T5" s="172"/>
      <c r="U5" s="168"/>
      <c r="V5" s="166"/>
      <c r="W5" s="166"/>
      <c r="X5" s="169"/>
      <c r="Y5" s="349"/>
      <c r="Z5" s="169"/>
      <c r="AA5" s="169"/>
      <c r="AB5" s="169"/>
      <c r="AC5" s="316"/>
      <c r="AD5" s="169"/>
      <c r="AE5" s="169"/>
      <c r="AF5" s="169"/>
      <c r="AG5" s="316"/>
      <c r="AH5" s="169"/>
      <c r="AI5" s="169"/>
      <c r="AJ5" s="169"/>
      <c r="AK5" s="316"/>
      <c r="AL5" s="169"/>
      <c r="AM5" s="169"/>
      <c r="AN5" s="169"/>
      <c r="AO5" s="316"/>
      <c r="AU5" s="445" t="s">
        <v>255</v>
      </c>
      <c r="AV5" s="530">
        <v>0</v>
      </c>
    </row>
    <row r="6" spans="1:48" ht="14.95" customHeight="1" thickBot="1" x14ac:dyDescent="0.3">
      <c r="A6" s="151"/>
      <c r="B6" s="152"/>
      <c r="C6" s="152"/>
      <c r="D6" s="152"/>
      <c r="E6" s="153"/>
      <c r="F6" s="153"/>
      <c r="G6" s="153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535"/>
      <c r="T6" s="159"/>
      <c r="U6" s="157"/>
      <c r="V6" s="155"/>
      <c r="W6" s="155"/>
      <c r="X6" s="154"/>
      <c r="Y6" s="348"/>
      <c r="Z6" s="154"/>
      <c r="AA6" s="154"/>
      <c r="AB6" s="154"/>
      <c r="AC6" s="451"/>
      <c r="AD6" s="154"/>
      <c r="AE6" s="154"/>
      <c r="AF6" s="154"/>
      <c r="AG6" s="451"/>
      <c r="AH6" s="154"/>
      <c r="AI6" s="154"/>
      <c r="AJ6" s="154"/>
      <c r="AK6" s="451"/>
      <c r="AL6" s="154"/>
      <c r="AM6" s="154"/>
      <c r="AN6" s="154"/>
      <c r="AO6" s="451"/>
      <c r="AU6" s="445" t="s">
        <v>256</v>
      </c>
      <c r="AV6" s="530">
        <v>4</v>
      </c>
    </row>
    <row r="7" spans="1:48" ht="14.95" customHeight="1" thickBot="1" x14ac:dyDescent="0.3">
      <c r="A7" s="177"/>
      <c r="B7" s="178"/>
      <c r="C7" s="178"/>
      <c r="D7" s="178"/>
      <c r="E7" s="175"/>
      <c r="F7" s="175"/>
      <c r="G7" s="175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59"/>
      <c r="T7" s="194"/>
      <c r="U7" s="282"/>
      <c r="V7" s="282"/>
      <c r="W7" s="282"/>
      <c r="X7" s="528"/>
      <c r="Y7" s="529"/>
      <c r="Z7" s="176"/>
      <c r="AA7" s="176"/>
      <c r="AB7" s="176"/>
      <c r="AC7" s="315"/>
      <c r="AD7" s="176"/>
      <c r="AE7" s="176"/>
      <c r="AF7" s="176"/>
      <c r="AG7" s="315"/>
      <c r="AH7" s="176"/>
      <c r="AI7" s="176"/>
      <c r="AJ7" s="176"/>
      <c r="AK7" s="315"/>
      <c r="AL7" s="176"/>
      <c r="AM7" s="176"/>
      <c r="AN7" s="176"/>
      <c r="AO7" s="315"/>
      <c r="AU7" s="445" t="s">
        <v>257</v>
      </c>
      <c r="AV7" s="530">
        <v>90</v>
      </c>
    </row>
    <row r="8" spans="1:48" ht="14.95" customHeight="1" thickBot="1" x14ac:dyDescent="0.3">
      <c r="A8" s="177"/>
      <c r="B8" s="178"/>
      <c r="C8" s="178"/>
      <c r="D8" s="178"/>
      <c r="E8" s="175"/>
      <c r="F8" s="175"/>
      <c r="G8" s="175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59"/>
      <c r="T8" s="188"/>
      <c r="U8" s="180"/>
      <c r="V8" s="180"/>
      <c r="W8" s="179"/>
      <c r="X8" s="179"/>
      <c r="Y8" s="350"/>
      <c r="Z8" s="176"/>
      <c r="AA8" s="176"/>
      <c r="AB8" s="176"/>
      <c r="AC8" s="315"/>
      <c r="AD8" s="176"/>
      <c r="AE8" s="176"/>
      <c r="AF8" s="176"/>
      <c r="AG8" s="315"/>
      <c r="AH8" s="176"/>
      <c r="AI8" s="176"/>
      <c r="AJ8" s="176"/>
      <c r="AK8" s="315"/>
      <c r="AL8" s="176"/>
      <c r="AM8" s="176"/>
      <c r="AN8" s="176"/>
      <c r="AO8" s="315"/>
    </row>
    <row r="9" spans="1:48" ht="14.95" customHeight="1" thickBot="1" x14ac:dyDescent="0.35">
      <c r="A9" s="177"/>
      <c r="B9" s="178"/>
      <c r="C9" s="178"/>
      <c r="D9" s="178"/>
      <c r="E9" s="175"/>
      <c r="F9" s="175"/>
      <c r="G9" s="175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176"/>
      <c r="T9" s="334"/>
      <c r="U9" s="176"/>
      <c r="V9" s="176"/>
      <c r="W9" s="176"/>
      <c r="X9" s="176"/>
      <c r="Y9" s="176"/>
      <c r="Z9" s="176"/>
      <c r="AA9" s="176"/>
      <c r="AB9" s="176"/>
      <c r="AC9" s="315"/>
      <c r="AD9" s="176"/>
      <c r="AE9" s="176"/>
      <c r="AF9" s="176"/>
      <c r="AG9" s="315"/>
      <c r="AH9" s="176"/>
      <c r="AI9" s="176"/>
      <c r="AJ9" s="176"/>
      <c r="AK9" s="315"/>
      <c r="AL9" s="176"/>
      <c r="AM9" s="176"/>
      <c r="AN9" s="176"/>
      <c r="AO9" s="315"/>
    </row>
    <row r="10" spans="1:48" ht="14.95" customHeight="1" thickBot="1" x14ac:dyDescent="0.3">
      <c r="A10" s="100"/>
      <c r="B10" s="101"/>
      <c r="C10" s="923" t="s">
        <v>86</v>
      </c>
      <c r="D10" s="924"/>
      <c r="E10" s="925"/>
      <c r="F10" s="105">
        <f t="shared" ref="F10:R10" si="0">SUM(F4:F5)</f>
        <v>0</v>
      </c>
      <c r="G10" s="105">
        <f t="shared" si="0"/>
        <v>0</v>
      </c>
      <c r="H10" s="105">
        <f t="shared" si="0"/>
        <v>0</v>
      </c>
      <c r="I10" s="105">
        <f t="shared" si="0"/>
        <v>0</v>
      </c>
      <c r="J10" s="105">
        <f t="shared" si="0"/>
        <v>0</v>
      </c>
      <c r="K10" s="105">
        <f t="shared" si="0"/>
        <v>0</v>
      </c>
      <c r="L10" s="105">
        <f t="shared" si="0"/>
        <v>0</v>
      </c>
      <c r="M10" s="105">
        <f t="shared" si="0"/>
        <v>0</v>
      </c>
      <c r="N10" s="105">
        <f t="shared" si="0"/>
        <v>0</v>
      </c>
      <c r="O10" s="105">
        <f t="shared" si="0"/>
        <v>0</v>
      </c>
      <c r="P10" s="105">
        <f t="shared" si="0"/>
        <v>0</v>
      </c>
      <c r="Q10" s="105">
        <f t="shared" si="0"/>
        <v>0</v>
      </c>
      <c r="R10" s="105">
        <f t="shared" si="0"/>
        <v>0</v>
      </c>
      <c r="T10" s="271"/>
      <c r="U10" s="271"/>
      <c r="V10" s="271"/>
      <c r="W10" s="271"/>
      <c r="X10" s="102"/>
      <c r="Y10" s="362" t="s">
        <v>86</v>
      </c>
      <c r="Z10" s="105">
        <f t="shared" ref="Z10:AO10" si="1">SUM(Z4:Z5)</f>
        <v>0</v>
      </c>
      <c r="AA10" s="105">
        <f t="shared" si="1"/>
        <v>0</v>
      </c>
      <c r="AB10" s="105">
        <f t="shared" si="1"/>
        <v>0</v>
      </c>
      <c r="AC10" s="105">
        <f t="shared" si="1"/>
        <v>0</v>
      </c>
      <c r="AD10" s="103">
        <f t="shared" si="1"/>
        <v>0</v>
      </c>
      <c r="AE10" s="103">
        <f t="shared" si="1"/>
        <v>0</v>
      </c>
      <c r="AF10" s="103">
        <f t="shared" si="1"/>
        <v>0</v>
      </c>
      <c r="AG10" s="103">
        <f t="shared" si="1"/>
        <v>0</v>
      </c>
      <c r="AH10" s="104">
        <f t="shared" si="1"/>
        <v>0</v>
      </c>
      <c r="AI10" s="104">
        <f t="shared" si="1"/>
        <v>0</v>
      </c>
      <c r="AJ10" s="104">
        <f t="shared" si="1"/>
        <v>0</v>
      </c>
      <c r="AK10" s="104">
        <f t="shared" si="1"/>
        <v>0</v>
      </c>
      <c r="AL10" s="105">
        <f t="shared" si="1"/>
        <v>0</v>
      </c>
      <c r="AM10" s="105">
        <f t="shared" si="1"/>
        <v>0</v>
      </c>
      <c r="AN10" s="105">
        <f t="shared" si="1"/>
        <v>0</v>
      </c>
      <c r="AO10" s="105">
        <f t="shared" si="1"/>
        <v>0</v>
      </c>
    </row>
    <row r="11" spans="1:48" ht="14.95" thickBot="1" x14ac:dyDescent="0.3">
      <c r="A11" s="100"/>
      <c r="B11" s="101"/>
      <c r="C11" s="884" t="s">
        <v>159</v>
      </c>
      <c r="D11" s="934"/>
      <c r="E11" s="935"/>
      <c r="F11" s="393">
        <f>SUM(F7:F9)</f>
        <v>0</v>
      </c>
      <c r="G11" s="393">
        <f t="shared" ref="G11:R11" si="2">SUM(G7:G9)</f>
        <v>0</v>
      </c>
      <c r="H11" s="393">
        <f t="shared" si="2"/>
        <v>0</v>
      </c>
      <c r="I11" s="393">
        <f t="shared" si="2"/>
        <v>0</v>
      </c>
      <c r="J11" s="393">
        <f t="shared" si="2"/>
        <v>0</v>
      </c>
      <c r="K11" s="393">
        <f t="shared" si="2"/>
        <v>0</v>
      </c>
      <c r="L11" s="393">
        <f t="shared" si="2"/>
        <v>0</v>
      </c>
      <c r="M11" s="393">
        <f t="shared" si="2"/>
        <v>0</v>
      </c>
      <c r="N11" s="393">
        <f t="shared" si="2"/>
        <v>0</v>
      </c>
      <c r="O11" s="393">
        <f t="shared" si="2"/>
        <v>0</v>
      </c>
      <c r="P11" s="393">
        <f t="shared" si="2"/>
        <v>0</v>
      </c>
      <c r="Q11" s="393">
        <f t="shared" si="2"/>
        <v>0</v>
      </c>
      <c r="R11" s="393">
        <f t="shared" si="2"/>
        <v>0</v>
      </c>
      <c r="T11" s="394"/>
      <c r="U11" s="394"/>
      <c r="V11" s="394"/>
      <c r="W11" s="394"/>
      <c r="X11" s="395"/>
      <c r="Y11" s="396" t="s">
        <v>159</v>
      </c>
      <c r="Z11" s="393">
        <f t="shared" ref="Z11:AO11" si="3">SUM(Z7:Z9)</f>
        <v>0</v>
      </c>
      <c r="AA11" s="393">
        <f t="shared" si="3"/>
        <v>0</v>
      </c>
      <c r="AB11" s="393">
        <f t="shared" si="3"/>
        <v>0</v>
      </c>
      <c r="AC11" s="393">
        <f t="shared" si="3"/>
        <v>0</v>
      </c>
      <c r="AD11" s="397">
        <f t="shared" si="3"/>
        <v>0</v>
      </c>
      <c r="AE11" s="397">
        <f t="shared" si="3"/>
        <v>0</v>
      </c>
      <c r="AF11" s="397">
        <f t="shared" si="3"/>
        <v>0</v>
      </c>
      <c r="AG11" s="397">
        <f t="shared" si="3"/>
        <v>0</v>
      </c>
      <c r="AH11" s="398">
        <f t="shared" si="3"/>
        <v>0</v>
      </c>
      <c r="AI11" s="398">
        <f t="shared" si="3"/>
        <v>0</v>
      </c>
      <c r="AJ11" s="398">
        <f t="shared" si="3"/>
        <v>0</v>
      </c>
      <c r="AK11" s="398">
        <f t="shared" si="3"/>
        <v>0</v>
      </c>
      <c r="AL11" s="393">
        <f t="shared" si="3"/>
        <v>0</v>
      </c>
      <c r="AM11" s="393">
        <f t="shared" si="3"/>
        <v>0</v>
      </c>
      <c r="AN11" s="393">
        <f t="shared" si="3"/>
        <v>0</v>
      </c>
      <c r="AO11" s="393">
        <f t="shared" si="3"/>
        <v>0</v>
      </c>
    </row>
    <row r="12" spans="1:48" ht="14.95" thickBot="1" x14ac:dyDescent="0.3">
      <c r="A12" s="100"/>
      <c r="B12" s="101"/>
      <c r="C12" s="800" t="s">
        <v>70</v>
      </c>
      <c r="D12" s="801"/>
      <c r="E12" s="802"/>
      <c r="F12" s="124">
        <f t="shared" ref="F12:R12" si="4">SUM(F3:F9)</f>
        <v>15</v>
      </c>
      <c r="G12" s="124">
        <f t="shared" si="4"/>
        <v>33</v>
      </c>
      <c r="H12" s="124">
        <f t="shared" si="4"/>
        <v>0</v>
      </c>
      <c r="I12" s="124">
        <f t="shared" si="4"/>
        <v>0</v>
      </c>
      <c r="J12" s="124">
        <f t="shared" si="4"/>
        <v>2</v>
      </c>
      <c r="K12" s="124">
        <f t="shared" si="4"/>
        <v>1</v>
      </c>
      <c r="L12" s="124">
        <f t="shared" si="4"/>
        <v>0</v>
      </c>
      <c r="M12" s="124">
        <f t="shared" si="4"/>
        <v>1</v>
      </c>
      <c r="N12" s="124">
        <f t="shared" si="4"/>
        <v>1</v>
      </c>
      <c r="O12" s="124">
        <f t="shared" si="4"/>
        <v>0</v>
      </c>
      <c r="P12" s="124">
        <f t="shared" si="4"/>
        <v>0</v>
      </c>
      <c r="Q12" s="124">
        <f t="shared" si="4"/>
        <v>0</v>
      </c>
      <c r="R12" s="124">
        <f t="shared" si="4"/>
        <v>5</v>
      </c>
      <c r="T12" s="187"/>
      <c r="U12" s="187"/>
      <c r="V12" s="187"/>
      <c r="W12" s="187"/>
      <c r="X12" s="12"/>
      <c r="Y12" s="129" t="s">
        <v>70</v>
      </c>
      <c r="Z12" s="124">
        <f t="shared" ref="Z12:AO12" si="5">SUM(Z3:Z9)</f>
        <v>1</v>
      </c>
      <c r="AA12" s="124">
        <f t="shared" si="5"/>
        <v>0</v>
      </c>
      <c r="AB12" s="124">
        <f t="shared" si="5"/>
        <v>0</v>
      </c>
      <c r="AC12" s="124">
        <f t="shared" si="5"/>
        <v>1</v>
      </c>
      <c r="AD12" s="122">
        <f t="shared" si="5"/>
        <v>0</v>
      </c>
      <c r="AE12" s="122">
        <f t="shared" si="5"/>
        <v>0</v>
      </c>
      <c r="AF12" s="122">
        <f t="shared" si="5"/>
        <v>0</v>
      </c>
      <c r="AG12" s="122">
        <f t="shared" si="5"/>
        <v>0</v>
      </c>
      <c r="AH12" s="123">
        <f t="shared" si="5"/>
        <v>1</v>
      </c>
      <c r="AI12" s="123">
        <f t="shared" si="5"/>
        <v>0</v>
      </c>
      <c r="AJ12" s="123">
        <f t="shared" si="5"/>
        <v>0</v>
      </c>
      <c r="AK12" s="123">
        <f t="shared" si="5"/>
        <v>1</v>
      </c>
      <c r="AL12" s="124">
        <f t="shared" si="5"/>
        <v>0</v>
      </c>
      <c r="AM12" s="124">
        <f t="shared" si="5"/>
        <v>0</v>
      </c>
      <c r="AN12" s="124">
        <f t="shared" si="5"/>
        <v>0</v>
      </c>
      <c r="AO12" s="124">
        <f t="shared" si="5"/>
        <v>0</v>
      </c>
    </row>
    <row r="13" spans="1:48" ht="14.3" customHeight="1" x14ac:dyDescent="0.25">
      <c r="A13" s="789" t="s">
        <v>53</v>
      </c>
      <c r="B13" s="790"/>
      <c r="C13" s="790"/>
      <c r="D13" s="790"/>
      <c r="E13" s="790"/>
      <c r="F13" s="790"/>
      <c r="G13" s="790"/>
      <c r="H13" s="790"/>
      <c r="I13" s="790"/>
      <c r="J13" s="790"/>
      <c r="K13" s="790"/>
      <c r="L13" s="790"/>
      <c r="M13" s="790"/>
      <c r="N13" s="790"/>
      <c r="O13" s="790"/>
      <c r="P13" s="790"/>
      <c r="Q13" s="790"/>
      <c r="R13" s="790"/>
    </row>
    <row r="14" spans="1:48" x14ac:dyDescent="0.25">
      <c r="A14" s="584" t="s">
        <v>439</v>
      </c>
    </row>
    <row r="15" spans="1:48" x14ac:dyDescent="0.25">
      <c r="S15" s="69"/>
    </row>
    <row r="16" spans="1:48" x14ac:dyDescent="0.25">
      <c r="A16" s="789" t="s">
        <v>440</v>
      </c>
      <c r="B16" s="790"/>
      <c r="C16" s="790"/>
      <c r="D16" s="790"/>
      <c r="E16" s="790"/>
      <c r="F16" s="790"/>
      <c r="G16" s="790"/>
      <c r="H16" s="790"/>
      <c r="I16" s="790"/>
      <c r="J16" s="790"/>
      <c r="K16" s="790"/>
      <c r="L16" s="790"/>
      <c r="M16" s="790"/>
      <c r="N16" s="790"/>
      <c r="O16" s="790"/>
      <c r="P16" s="790"/>
      <c r="Q16" s="790"/>
      <c r="R16" s="790"/>
      <c r="S16" s="69"/>
    </row>
    <row r="17" spans="1:41" x14ac:dyDescent="0.25">
      <c r="A17" t="s">
        <v>74</v>
      </c>
      <c r="S17" s="69"/>
    </row>
    <row r="18" spans="1:41" x14ac:dyDescent="0.25">
      <c r="A18" s="292"/>
      <c r="B18" s="69" t="s">
        <v>40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</row>
    <row r="19" spans="1:41" x14ac:dyDescent="0.25">
      <c r="A19" s="293"/>
      <c r="B19" s="69" t="s">
        <v>38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</row>
    <row r="20" spans="1:41" x14ac:dyDescent="0.25">
      <c r="A20" s="294"/>
      <c r="B20" s="69" t="s">
        <v>39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 ht="16.3" x14ac:dyDescent="0.3">
      <c r="A21" s="579" t="s">
        <v>28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</row>
  </sheetData>
  <mergeCells count="15">
    <mergeCell ref="A16:R16"/>
    <mergeCell ref="AH1:AK1"/>
    <mergeCell ref="AL1:AO1"/>
    <mergeCell ref="C10:E10"/>
    <mergeCell ref="A1:C1"/>
    <mergeCell ref="E1:G1"/>
    <mergeCell ref="H1:I1"/>
    <mergeCell ref="J1:M1"/>
    <mergeCell ref="N1:O1"/>
    <mergeCell ref="P1:R1"/>
    <mergeCell ref="A13:R13"/>
    <mergeCell ref="C12:E12"/>
    <mergeCell ref="C11:E11"/>
    <mergeCell ref="Z1:AC1"/>
    <mergeCell ref="AD1:AG1"/>
  </mergeCells>
  <pageMargins left="0.7" right="0.7" top="0.75" bottom="0.75" header="0.3" footer="0.3"/>
  <pageSetup paperSize="9" orientation="portrait" r:id="rId1"/>
  <ignoredErrors>
    <ignoredError sqref="T11:V11 X11 F11:R11 Z11:AO11 W11 W10 X10:Y10 T10:V10 F10:R10 Z10:AO10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29"/>
  <sheetViews>
    <sheetView zoomScaleNormal="100" workbookViewId="0">
      <pane ySplit="2" topLeftCell="A3" activePane="bottomLeft" state="frozen"/>
      <selection pane="bottomLeft" activeCell="S4" sqref="S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9" width="3.75" customWidth="1"/>
    <col min="10" max="10" width="3.875" customWidth="1"/>
    <col min="11" max="18" width="3.75" customWidth="1"/>
    <col min="19" max="20" width="6.25" customWidth="1"/>
    <col min="21" max="21" width="23.625" bestFit="1" customWidth="1"/>
    <col min="22" max="22" width="21.625" bestFit="1" customWidth="1"/>
    <col min="23" max="23" width="15.875" bestFit="1" customWidth="1"/>
    <col min="24" max="24" width="18.5" bestFit="1" customWidth="1"/>
    <col min="25" max="25" width="18.87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936" t="s">
        <v>502</v>
      </c>
      <c r="B1" s="937"/>
      <c r="C1" s="937"/>
      <c r="D1" s="44"/>
      <c r="E1" s="938" t="s">
        <v>24</v>
      </c>
      <c r="F1" s="939"/>
      <c r="G1" s="940"/>
      <c r="H1" s="938" t="s">
        <v>23</v>
      </c>
      <c r="I1" s="940"/>
      <c r="J1" s="941" t="s">
        <v>6</v>
      </c>
      <c r="K1" s="942"/>
      <c r="L1" s="942"/>
      <c r="M1" s="943"/>
      <c r="N1" s="941" t="s">
        <v>7</v>
      </c>
      <c r="O1" s="943"/>
      <c r="P1" s="941" t="s">
        <v>25</v>
      </c>
      <c r="Q1" s="942"/>
      <c r="R1" s="943"/>
      <c r="S1" s="128" t="s">
        <v>8</v>
      </c>
      <c r="T1" s="128" t="s">
        <v>9</v>
      </c>
      <c r="U1" s="31" t="s">
        <v>10</v>
      </c>
      <c r="V1" s="30" t="s">
        <v>11</v>
      </c>
      <c r="W1" s="31" t="s">
        <v>95</v>
      </c>
      <c r="X1" s="32" t="s">
        <v>26</v>
      </c>
      <c r="Y1" s="195" t="s">
        <v>27</v>
      </c>
      <c r="Z1" s="944" t="s">
        <v>20</v>
      </c>
      <c r="AA1" s="945"/>
      <c r="AB1" s="945"/>
      <c r="AC1" s="946"/>
      <c r="AD1" s="944" t="s">
        <v>56</v>
      </c>
      <c r="AE1" s="945"/>
      <c r="AF1" s="945"/>
      <c r="AG1" s="946"/>
      <c r="AH1" s="944" t="s">
        <v>57</v>
      </c>
      <c r="AI1" s="945"/>
      <c r="AJ1" s="945"/>
      <c r="AK1" s="946"/>
      <c r="AL1" s="944" t="s">
        <v>58</v>
      </c>
      <c r="AM1" s="945"/>
      <c r="AN1" s="945"/>
      <c r="AO1" s="946"/>
      <c r="AT1" s="69" t="s">
        <v>258</v>
      </c>
    </row>
    <row r="2" spans="1:47" ht="14.95" customHeight="1" thickBot="1" x14ac:dyDescent="0.3">
      <c r="A2" s="33" t="s">
        <v>19</v>
      </c>
      <c r="B2" s="34" t="s">
        <v>18</v>
      </c>
      <c r="C2" s="35" t="s">
        <v>17</v>
      </c>
      <c r="D2" s="35" t="s">
        <v>37</v>
      </c>
      <c r="E2" s="36" t="s">
        <v>16</v>
      </c>
      <c r="F2" s="36" t="s">
        <v>4</v>
      </c>
      <c r="G2" s="36" t="s">
        <v>5</v>
      </c>
      <c r="H2" s="37" t="s">
        <v>12</v>
      </c>
      <c r="I2" s="37" t="s">
        <v>3</v>
      </c>
      <c r="J2" s="37" t="s">
        <v>12</v>
      </c>
      <c r="K2" s="37" t="s">
        <v>13</v>
      </c>
      <c r="L2" s="37" t="s">
        <v>2</v>
      </c>
      <c r="M2" s="37" t="s">
        <v>14</v>
      </c>
      <c r="N2" s="37" t="s">
        <v>15</v>
      </c>
      <c r="O2" s="37" t="s">
        <v>16</v>
      </c>
      <c r="P2" s="37" t="s">
        <v>21</v>
      </c>
      <c r="Q2" s="37" t="s">
        <v>22</v>
      </c>
      <c r="R2" s="37" t="s">
        <v>12</v>
      </c>
      <c r="S2" s="38"/>
      <c r="T2" s="39"/>
      <c r="U2" s="40"/>
      <c r="V2" s="38"/>
      <c r="W2" s="40"/>
      <c r="X2" s="41"/>
      <c r="Y2" s="42"/>
      <c r="Z2" s="112" t="s">
        <v>0</v>
      </c>
      <c r="AA2" s="112" t="s">
        <v>1</v>
      </c>
      <c r="AB2" s="112" t="s">
        <v>2</v>
      </c>
      <c r="AC2" s="112" t="s">
        <v>3</v>
      </c>
      <c r="AD2" s="112" t="s">
        <v>0</v>
      </c>
      <c r="AE2" s="112" t="s">
        <v>1</v>
      </c>
      <c r="AF2" s="112" t="s">
        <v>2</v>
      </c>
      <c r="AG2" s="112" t="s">
        <v>3</v>
      </c>
      <c r="AH2" s="112" t="s">
        <v>0</v>
      </c>
      <c r="AI2" s="112" t="s">
        <v>1</v>
      </c>
      <c r="AJ2" s="112" t="s">
        <v>2</v>
      </c>
      <c r="AK2" s="112" t="s">
        <v>3</v>
      </c>
      <c r="AL2" s="112" t="s">
        <v>0</v>
      </c>
      <c r="AM2" s="112" t="s">
        <v>1</v>
      </c>
      <c r="AN2" s="112" t="s">
        <v>2</v>
      </c>
      <c r="AO2" s="112" t="s">
        <v>3</v>
      </c>
      <c r="AT2" s="443" t="s">
        <v>253</v>
      </c>
      <c r="AU2" s="444">
        <v>48</v>
      </c>
    </row>
    <row r="3" spans="1:47" ht="14.95" customHeight="1" thickBot="1" x14ac:dyDescent="0.35">
      <c r="A3" s="163" t="s">
        <v>492</v>
      </c>
      <c r="B3" s="164" t="s">
        <v>41</v>
      </c>
      <c r="C3" s="164" t="s">
        <v>32</v>
      </c>
      <c r="D3" s="164" t="s">
        <v>503</v>
      </c>
      <c r="E3" s="165" t="s">
        <v>1</v>
      </c>
      <c r="F3" s="165">
        <v>40</v>
      </c>
      <c r="G3" s="165">
        <v>7</v>
      </c>
      <c r="H3" s="344">
        <v>1</v>
      </c>
      <c r="I3" s="344">
        <v>0</v>
      </c>
      <c r="J3" s="344">
        <v>6</v>
      </c>
      <c r="K3" s="344">
        <v>5</v>
      </c>
      <c r="L3" s="344">
        <v>0</v>
      </c>
      <c r="M3" s="344">
        <v>0</v>
      </c>
      <c r="N3" s="344">
        <v>0</v>
      </c>
      <c r="O3" s="344">
        <v>0</v>
      </c>
      <c r="P3" s="344">
        <v>0</v>
      </c>
      <c r="Q3" s="344">
        <v>0</v>
      </c>
      <c r="R3" s="344">
        <v>1</v>
      </c>
      <c r="S3" s="166">
        <v>14876</v>
      </c>
      <c r="T3" s="172" t="s">
        <v>264</v>
      </c>
      <c r="U3" s="168" t="s">
        <v>121</v>
      </c>
      <c r="V3" s="166" t="s">
        <v>97</v>
      </c>
      <c r="W3" s="166" t="s">
        <v>527</v>
      </c>
      <c r="X3" s="169" t="s">
        <v>141</v>
      </c>
      <c r="Y3" s="349" t="s">
        <v>528</v>
      </c>
      <c r="Z3" s="169">
        <v>1</v>
      </c>
      <c r="AA3" s="169">
        <v>1</v>
      </c>
      <c r="AB3" s="169">
        <v>0</v>
      </c>
      <c r="AC3" s="316">
        <v>0</v>
      </c>
      <c r="AD3" s="169">
        <v>1</v>
      </c>
      <c r="AE3" s="169">
        <v>1</v>
      </c>
      <c r="AF3" s="169">
        <v>0</v>
      </c>
      <c r="AG3" s="316">
        <v>0</v>
      </c>
      <c r="AH3" s="169">
        <v>0</v>
      </c>
      <c r="AI3" s="169">
        <v>0</v>
      </c>
      <c r="AJ3" s="169">
        <v>0</v>
      </c>
      <c r="AK3" s="316">
        <v>0</v>
      </c>
      <c r="AL3" s="169">
        <v>0</v>
      </c>
      <c r="AM3" s="169">
        <v>0</v>
      </c>
      <c r="AN3" s="169">
        <v>0</v>
      </c>
      <c r="AO3" s="316">
        <v>0</v>
      </c>
      <c r="AT3" s="445" t="s">
        <v>254</v>
      </c>
      <c r="AU3" s="446">
        <v>33</v>
      </c>
    </row>
    <row r="4" spans="1:47" ht="14.95" customHeight="1" thickBot="1" x14ac:dyDescent="0.3">
      <c r="A4" s="151" t="s">
        <v>491</v>
      </c>
      <c r="B4" s="152" t="s">
        <v>41</v>
      </c>
      <c r="C4" s="152" t="s">
        <v>31</v>
      </c>
      <c r="D4" s="152" t="s">
        <v>516</v>
      </c>
      <c r="E4" s="153" t="s">
        <v>1</v>
      </c>
      <c r="F4" s="153">
        <v>38</v>
      </c>
      <c r="G4" s="153">
        <v>7</v>
      </c>
      <c r="H4" s="345">
        <v>1</v>
      </c>
      <c r="I4" s="345">
        <v>0</v>
      </c>
      <c r="J4" s="345">
        <v>6</v>
      </c>
      <c r="K4" s="345">
        <v>4</v>
      </c>
      <c r="L4" s="345">
        <v>0</v>
      </c>
      <c r="M4" s="345">
        <v>0</v>
      </c>
      <c r="N4" s="345">
        <v>2</v>
      </c>
      <c r="O4" s="345">
        <v>0</v>
      </c>
      <c r="P4" s="345">
        <v>0</v>
      </c>
      <c r="Q4" s="345">
        <v>0</v>
      </c>
      <c r="R4" s="345">
        <v>1</v>
      </c>
      <c r="S4" s="155">
        <v>4163</v>
      </c>
      <c r="T4" s="457" t="s">
        <v>598</v>
      </c>
      <c r="U4" s="157" t="s">
        <v>599</v>
      </c>
      <c r="V4" s="155" t="s">
        <v>193</v>
      </c>
      <c r="W4" s="155" t="s">
        <v>600</v>
      </c>
      <c r="X4" s="154" t="s">
        <v>109</v>
      </c>
      <c r="Y4" s="348" t="s">
        <v>528</v>
      </c>
      <c r="Z4" s="154">
        <v>1</v>
      </c>
      <c r="AA4" s="154">
        <v>1</v>
      </c>
      <c r="AB4" s="154">
        <v>0</v>
      </c>
      <c r="AC4" s="451">
        <v>0</v>
      </c>
      <c r="AD4" s="154">
        <v>0</v>
      </c>
      <c r="AE4" s="154">
        <v>0</v>
      </c>
      <c r="AF4" s="154">
        <v>0</v>
      </c>
      <c r="AG4" s="451">
        <v>0</v>
      </c>
      <c r="AH4" s="154">
        <v>1</v>
      </c>
      <c r="AI4" s="154">
        <v>1</v>
      </c>
      <c r="AJ4" s="154">
        <v>0</v>
      </c>
      <c r="AK4" s="451">
        <v>0</v>
      </c>
      <c r="AL4" s="154">
        <v>0</v>
      </c>
      <c r="AM4" s="154">
        <v>0</v>
      </c>
      <c r="AN4" s="154">
        <v>0</v>
      </c>
      <c r="AO4" s="451">
        <v>0</v>
      </c>
      <c r="AT4" s="445" t="s">
        <v>255</v>
      </c>
      <c r="AU4" s="446">
        <v>0</v>
      </c>
    </row>
    <row r="5" spans="1:47" ht="14.95" customHeight="1" thickBot="1" x14ac:dyDescent="0.35">
      <c r="A5" s="163" t="s">
        <v>493</v>
      </c>
      <c r="B5" s="164" t="s">
        <v>41</v>
      </c>
      <c r="C5" s="164" t="s">
        <v>35</v>
      </c>
      <c r="D5" s="164" t="s">
        <v>504</v>
      </c>
      <c r="E5" s="165"/>
      <c r="F5" s="165"/>
      <c r="G5" s="165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166"/>
      <c r="T5" s="172"/>
      <c r="U5" s="168"/>
      <c r="V5" s="166"/>
      <c r="W5" s="168"/>
      <c r="X5" s="168"/>
      <c r="Y5" s="169"/>
      <c r="Z5" s="169"/>
      <c r="AA5" s="169"/>
      <c r="AB5" s="169"/>
      <c r="AC5" s="316"/>
      <c r="AD5" s="169"/>
      <c r="AE5" s="169"/>
      <c r="AF5" s="169"/>
      <c r="AG5" s="316"/>
      <c r="AH5" s="169"/>
      <c r="AI5" s="169"/>
      <c r="AJ5" s="169"/>
      <c r="AK5" s="316"/>
      <c r="AL5" s="169"/>
      <c r="AM5" s="169"/>
      <c r="AN5" s="169"/>
      <c r="AO5" s="316"/>
      <c r="AT5" s="445" t="s">
        <v>256</v>
      </c>
      <c r="AU5" s="446">
        <v>15</v>
      </c>
    </row>
    <row r="6" spans="1:47" ht="14.95" customHeight="1" thickBot="1" x14ac:dyDescent="0.35">
      <c r="A6" s="151" t="s">
        <v>494</v>
      </c>
      <c r="B6" s="152" t="s">
        <v>41</v>
      </c>
      <c r="C6" s="152" t="s">
        <v>34</v>
      </c>
      <c r="D6" s="152" t="s">
        <v>80</v>
      </c>
      <c r="E6" s="153"/>
      <c r="F6" s="153"/>
      <c r="G6" s="153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155"/>
      <c r="T6" s="156"/>
      <c r="U6" s="157"/>
      <c r="V6" s="155"/>
      <c r="W6" s="155"/>
      <c r="X6" s="154"/>
      <c r="Y6" s="348"/>
      <c r="Z6" s="154"/>
      <c r="AA6" s="154"/>
      <c r="AB6" s="154"/>
      <c r="AC6" s="451"/>
      <c r="AD6" s="154"/>
      <c r="AE6" s="154"/>
      <c r="AF6" s="154"/>
      <c r="AG6" s="451"/>
      <c r="AH6" s="154"/>
      <c r="AI6" s="154"/>
      <c r="AJ6" s="154"/>
      <c r="AK6" s="451"/>
      <c r="AL6" s="154"/>
      <c r="AM6" s="154"/>
      <c r="AN6" s="154"/>
      <c r="AO6" s="451"/>
      <c r="AT6" s="445" t="s">
        <v>257</v>
      </c>
      <c r="AU6" s="446">
        <v>1243</v>
      </c>
    </row>
    <row r="7" spans="1:47" ht="14.95" customHeight="1" thickBot="1" x14ac:dyDescent="0.35">
      <c r="A7" s="163" t="s">
        <v>192</v>
      </c>
      <c r="B7" s="164" t="s">
        <v>41</v>
      </c>
      <c r="C7" s="164" t="s">
        <v>30</v>
      </c>
      <c r="D7" s="164" t="s">
        <v>495</v>
      </c>
      <c r="E7" s="165"/>
      <c r="F7" s="165"/>
      <c r="G7" s="165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166"/>
      <c r="T7" s="172"/>
      <c r="U7" s="168"/>
      <c r="V7" s="166"/>
      <c r="W7" s="166"/>
      <c r="X7" s="169"/>
      <c r="Y7" s="169"/>
      <c r="Z7" s="169"/>
      <c r="AA7" s="169"/>
      <c r="AB7" s="169"/>
      <c r="AC7" s="316"/>
      <c r="AD7" s="169"/>
      <c r="AE7" s="169"/>
      <c r="AF7" s="169"/>
      <c r="AG7" s="316"/>
      <c r="AH7" s="169"/>
      <c r="AI7" s="169"/>
      <c r="AJ7" s="169"/>
      <c r="AK7" s="316"/>
      <c r="AL7" s="169"/>
      <c r="AM7" s="169"/>
      <c r="AN7" s="169"/>
      <c r="AO7" s="316"/>
      <c r="AP7" s="12"/>
    </row>
    <row r="8" spans="1:47" ht="14.95" customHeight="1" thickBot="1" x14ac:dyDescent="0.3">
      <c r="A8" s="163"/>
      <c r="B8" s="164"/>
      <c r="C8" s="164"/>
      <c r="D8" s="164"/>
      <c r="E8" s="165"/>
      <c r="F8" s="165"/>
      <c r="G8" s="165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169"/>
      <c r="T8" s="301"/>
      <c r="U8" s="169"/>
      <c r="V8" s="169"/>
      <c r="W8" s="169"/>
      <c r="X8" s="169"/>
      <c r="Y8" s="170"/>
      <c r="Z8" s="169"/>
      <c r="AA8" s="169"/>
      <c r="AB8" s="169"/>
      <c r="AC8" s="316"/>
      <c r="AD8" s="169"/>
      <c r="AE8" s="169"/>
      <c r="AF8" s="169"/>
      <c r="AG8" s="316"/>
      <c r="AH8" s="169"/>
      <c r="AI8" s="169"/>
      <c r="AJ8" s="169"/>
      <c r="AK8" s="316"/>
      <c r="AL8" s="169"/>
      <c r="AM8" s="169"/>
      <c r="AN8" s="169"/>
      <c r="AO8" s="316"/>
      <c r="AP8" s="12"/>
    </row>
    <row r="9" spans="1:47" ht="14.95" customHeight="1" thickBot="1" x14ac:dyDescent="0.35">
      <c r="A9" s="163"/>
      <c r="B9" s="164"/>
      <c r="C9" s="164"/>
      <c r="D9" s="164"/>
      <c r="E9" s="165"/>
      <c r="F9" s="165"/>
      <c r="G9" s="165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169"/>
      <c r="T9" s="453"/>
      <c r="U9" s="169"/>
      <c r="V9" s="169"/>
      <c r="W9" s="169"/>
      <c r="X9" s="169"/>
      <c r="Y9" s="170"/>
      <c r="Z9" s="169"/>
      <c r="AA9" s="169"/>
      <c r="AB9" s="169"/>
      <c r="AC9" s="316"/>
      <c r="AD9" s="169"/>
      <c r="AE9" s="169"/>
      <c r="AF9" s="169"/>
      <c r="AG9" s="316"/>
      <c r="AH9" s="169"/>
      <c r="AI9" s="169"/>
      <c r="AJ9" s="169"/>
      <c r="AK9" s="316"/>
      <c r="AL9" s="169"/>
      <c r="AM9" s="169"/>
      <c r="AN9" s="169"/>
      <c r="AO9" s="169"/>
    </row>
    <row r="10" spans="1:47" ht="14.95" customHeight="1" thickBot="1" x14ac:dyDescent="0.35">
      <c r="A10" s="163"/>
      <c r="B10" s="164"/>
      <c r="C10" s="164"/>
      <c r="D10" s="164"/>
      <c r="E10" s="165"/>
      <c r="F10" s="165"/>
      <c r="G10" s="165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553"/>
      <c r="T10" s="453"/>
      <c r="U10" s="169"/>
      <c r="V10" s="169"/>
      <c r="W10" s="169"/>
      <c r="X10" s="169"/>
      <c r="Y10" s="170"/>
      <c r="Z10" s="169"/>
      <c r="AA10" s="169"/>
      <c r="AB10" s="169"/>
      <c r="AC10" s="316"/>
      <c r="AD10" s="169"/>
      <c r="AE10" s="169"/>
      <c r="AF10" s="169"/>
      <c r="AG10" s="316"/>
      <c r="AH10" s="169"/>
      <c r="AI10" s="169"/>
      <c r="AJ10" s="169"/>
      <c r="AK10" s="316"/>
      <c r="AL10" s="169"/>
      <c r="AM10" s="169"/>
      <c r="AN10" s="169"/>
      <c r="AO10" s="169"/>
    </row>
    <row r="11" spans="1:47" ht="14.95" customHeight="1" thickBot="1" x14ac:dyDescent="0.35">
      <c r="A11" s="163"/>
      <c r="B11" s="164"/>
      <c r="C11" s="164"/>
      <c r="D11" s="164"/>
      <c r="E11" s="165"/>
      <c r="F11" s="165"/>
      <c r="G11" s="165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169"/>
      <c r="T11" s="453"/>
      <c r="U11" s="169"/>
      <c r="V11" s="169"/>
      <c r="W11" s="169"/>
      <c r="X11" s="169"/>
      <c r="Y11" s="170"/>
      <c r="Z11" s="169"/>
      <c r="AA11" s="169"/>
      <c r="AB11" s="169"/>
      <c r="AC11" s="316"/>
      <c r="AD11" s="169"/>
      <c r="AE11" s="169"/>
      <c r="AF11" s="169"/>
      <c r="AG11" s="316"/>
      <c r="AH11" s="169"/>
      <c r="AI11" s="169"/>
      <c r="AJ11" s="169"/>
      <c r="AK11" s="316"/>
      <c r="AL11" s="169"/>
      <c r="AM11" s="169"/>
      <c r="AN11" s="169"/>
      <c r="AO11" s="316"/>
    </row>
    <row r="12" spans="1:47" ht="14.95" customHeight="1" thickBot="1" x14ac:dyDescent="0.3">
      <c r="A12" s="458"/>
      <c r="B12" s="173"/>
      <c r="C12" s="173"/>
      <c r="D12" s="173"/>
      <c r="E12" s="165"/>
      <c r="F12" s="165"/>
      <c r="G12" s="165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169"/>
      <c r="T12" s="452"/>
      <c r="U12" s="169"/>
      <c r="V12" s="169"/>
      <c r="W12" s="169"/>
      <c r="X12" s="169"/>
      <c r="Y12" s="169"/>
      <c r="Z12" s="169"/>
      <c r="AA12" s="169"/>
      <c r="AB12" s="169"/>
      <c r="AC12" s="316"/>
      <c r="AD12" s="169"/>
      <c r="AE12" s="169"/>
      <c r="AF12" s="169"/>
      <c r="AG12" s="316"/>
      <c r="AH12" s="169"/>
      <c r="AI12" s="169"/>
      <c r="AJ12" s="169"/>
      <c r="AK12" s="316"/>
      <c r="AL12" s="169"/>
      <c r="AM12" s="169"/>
      <c r="AN12" s="169"/>
      <c r="AO12" s="316"/>
    </row>
    <row r="13" spans="1:47" ht="14.95" thickBot="1" x14ac:dyDescent="0.3">
      <c r="A13" s="458"/>
      <c r="B13" s="173"/>
      <c r="C13" s="173"/>
      <c r="D13" s="173"/>
      <c r="E13" s="165"/>
      <c r="F13" s="165"/>
      <c r="G13" s="165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169"/>
      <c r="T13" s="301"/>
      <c r="U13" s="169"/>
      <c r="V13" s="169"/>
      <c r="W13" s="169"/>
      <c r="X13" s="169"/>
      <c r="Y13" s="169"/>
      <c r="Z13" s="169"/>
      <c r="AA13" s="169"/>
      <c r="AB13" s="169"/>
      <c r="AC13" s="316"/>
      <c r="AD13" s="169"/>
      <c r="AE13" s="169"/>
      <c r="AF13" s="169"/>
      <c r="AG13" s="316"/>
      <c r="AH13" s="169"/>
      <c r="AI13" s="169"/>
      <c r="AJ13" s="169"/>
      <c r="AK13" s="316"/>
      <c r="AL13" s="169"/>
      <c r="AM13" s="169"/>
      <c r="AN13" s="169"/>
      <c r="AO13" s="316"/>
    </row>
    <row r="14" spans="1:47" ht="14.95" thickBot="1" x14ac:dyDescent="0.3">
      <c r="A14" s="458"/>
      <c r="B14" s="173"/>
      <c r="C14" s="173"/>
      <c r="D14" s="173"/>
      <c r="E14" s="165"/>
      <c r="F14" s="165"/>
      <c r="G14" s="165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169"/>
      <c r="T14" s="301"/>
      <c r="U14" s="169"/>
      <c r="V14" s="169"/>
      <c r="W14" s="169"/>
      <c r="X14" s="169"/>
      <c r="Y14" s="169"/>
      <c r="Z14" s="169"/>
      <c r="AA14" s="169"/>
      <c r="AB14" s="169"/>
      <c r="AC14" s="316"/>
      <c r="AD14" s="169"/>
      <c r="AE14" s="169"/>
      <c r="AF14" s="169"/>
      <c r="AG14" s="316"/>
      <c r="AH14" s="169"/>
      <c r="AI14" s="169"/>
      <c r="AJ14" s="169"/>
      <c r="AK14" s="316"/>
      <c r="AL14" s="169"/>
      <c r="AM14" s="169"/>
      <c r="AN14" s="169"/>
      <c r="AO14" s="316"/>
    </row>
    <row r="15" spans="1:47" ht="14.95" thickBot="1" x14ac:dyDescent="0.3">
      <c r="A15" s="100"/>
      <c r="B15" s="101"/>
      <c r="C15" s="797" t="s">
        <v>71</v>
      </c>
      <c r="D15" s="798"/>
      <c r="E15" s="799"/>
      <c r="F15" s="385">
        <f>SUM(F3:F7)</f>
        <v>78</v>
      </c>
      <c r="G15" s="385">
        <f t="shared" ref="G15:R15" si="0">SUM(G3:G7)</f>
        <v>14</v>
      </c>
      <c r="H15" s="385">
        <f t="shared" si="0"/>
        <v>2</v>
      </c>
      <c r="I15" s="385">
        <f t="shared" si="0"/>
        <v>0</v>
      </c>
      <c r="J15" s="385">
        <f t="shared" si="0"/>
        <v>12</v>
      </c>
      <c r="K15" s="385">
        <f t="shared" si="0"/>
        <v>9</v>
      </c>
      <c r="L15" s="385">
        <f t="shared" si="0"/>
        <v>0</v>
      </c>
      <c r="M15" s="385">
        <f t="shared" si="0"/>
        <v>0</v>
      </c>
      <c r="N15" s="385">
        <f t="shared" si="0"/>
        <v>2</v>
      </c>
      <c r="O15" s="385">
        <f t="shared" si="0"/>
        <v>0</v>
      </c>
      <c r="P15" s="385">
        <f t="shared" si="0"/>
        <v>0</v>
      </c>
      <c r="Q15" s="385">
        <f t="shared" si="0"/>
        <v>0</v>
      </c>
      <c r="R15" s="385">
        <f t="shared" si="0"/>
        <v>2</v>
      </c>
      <c r="S15" s="386"/>
      <c r="T15" s="386"/>
      <c r="U15" s="386"/>
      <c r="V15" s="386"/>
      <c r="W15" s="386"/>
      <c r="X15" s="381"/>
      <c r="Y15" s="382" t="s">
        <v>71</v>
      </c>
      <c r="Z15" s="385">
        <f t="shared" ref="Z15:AC15" si="1">SUM(Z3:Z7)</f>
        <v>2</v>
      </c>
      <c r="AA15" s="385">
        <f t="shared" si="1"/>
        <v>2</v>
      </c>
      <c r="AB15" s="385">
        <f t="shared" si="1"/>
        <v>0</v>
      </c>
      <c r="AC15" s="385">
        <f t="shared" si="1"/>
        <v>0</v>
      </c>
      <c r="AD15" s="387">
        <f t="shared" ref="AD15:AO15" si="2">SUM(AD3:AD9)</f>
        <v>1</v>
      </c>
      <c r="AE15" s="387">
        <f t="shared" si="2"/>
        <v>1</v>
      </c>
      <c r="AF15" s="387">
        <f t="shared" si="2"/>
        <v>0</v>
      </c>
      <c r="AG15" s="387">
        <f t="shared" si="2"/>
        <v>0</v>
      </c>
      <c r="AH15" s="388">
        <f t="shared" si="2"/>
        <v>1</v>
      </c>
      <c r="AI15" s="388">
        <f t="shared" si="2"/>
        <v>1</v>
      </c>
      <c r="AJ15" s="388">
        <f t="shared" si="2"/>
        <v>0</v>
      </c>
      <c r="AK15" s="388">
        <f t="shared" si="2"/>
        <v>0</v>
      </c>
      <c r="AL15" s="385">
        <f t="shared" si="2"/>
        <v>0</v>
      </c>
      <c r="AM15" s="385">
        <f t="shared" si="2"/>
        <v>0</v>
      </c>
      <c r="AN15" s="385">
        <f t="shared" si="2"/>
        <v>0</v>
      </c>
      <c r="AO15" s="385">
        <f t="shared" si="2"/>
        <v>0</v>
      </c>
    </row>
    <row r="16" spans="1:47" ht="14.95" thickBot="1" x14ac:dyDescent="0.3">
      <c r="A16" s="100"/>
      <c r="B16" s="101"/>
      <c r="C16" s="808" t="s">
        <v>500</v>
      </c>
      <c r="D16" s="809"/>
      <c r="E16" s="810"/>
      <c r="F16" s="661">
        <f>SUM(F9:F14)</f>
        <v>0</v>
      </c>
      <c r="G16" s="661">
        <f t="shared" ref="G16:R16" si="3">SUM(G9:G14)</f>
        <v>0</v>
      </c>
      <c r="H16" s="661">
        <f t="shared" si="3"/>
        <v>0</v>
      </c>
      <c r="I16" s="661">
        <f t="shared" si="3"/>
        <v>0</v>
      </c>
      <c r="J16" s="661">
        <f t="shared" si="3"/>
        <v>0</v>
      </c>
      <c r="K16" s="661">
        <f t="shared" si="3"/>
        <v>0</v>
      </c>
      <c r="L16" s="661">
        <f t="shared" si="3"/>
        <v>0</v>
      </c>
      <c r="M16" s="661">
        <f t="shared" si="3"/>
        <v>0</v>
      </c>
      <c r="N16" s="661">
        <f t="shared" si="3"/>
        <v>0</v>
      </c>
      <c r="O16" s="661">
        <f t="shared" si="3"/>
        <v>0</v>
      </c>
      <c r="P16" s="661">
        <f t="shared" si="3"/>
        <v>0</v>
      </c>
      <c r="Q16" s="661">
        <f t="shared" si="3"/>
        <v>0</v>
      </c>
      <c r="R16" s="661">
        <f t="shared" si="3"/>
        <v>0</v>
      </c>
      <c r="S16" s="666"/>
      <c r="T16" s="666"/>
      <c r="U16" s="666"/>
      <c r="V16" s="666"/>
      <c r="W16" s="666"/>
      <c r="X16" s="663"/>
      <c r="Y16" s="660" t="s">
        <v>500</v>
      </c>
      <c r="Z16" s="661">
        <f t="shared" ref="Z16:AO16" si="4">SUM(Z9:Z14)</f>
        <v>0</v>
      </c>
      <c r="AA16" s="661">
        <f t="shared" si="4"/>
        <v>0</v>
      </c>
      <c r="AB16" s="661">
        <f t="shared" si="4"/>
        <v>0</v>
      </c>
      <c r="AC16" s="661">
        <f t="shared" si="4"/>
        <v>0</v>
      </c>
      <c r="AD16" s="664">
        <f t="shared" si="4"/>
        <v>0</v>
      </c>
      <c r="AE16" s="664">
        <f t="shared" si="4"/>
        <v>0</v>
      </c>
      <c r="AF16" s="664">
        <f t="shared" si="4"/>
        <v>0</v>
      </c>
      <c r="AG16" s="664">
        <f t="shared" si="4"/>
        <v>0</v>
      </c>
      <c r="AH16" s="665">
        <f t="shared" si="4"/>
        <v>0</v>
      </c>
      <c r="AI16" s="665">
        <f t="shared" si="4"/>
        <v>0</v>
      </c>
      <c r="AJ16" s="665">
        <f t="shared" si="4"/>
        <v>0</v>
      </c>
      <c r="AK16" s="665">
        <f t="shared" si="4"/>
        <v>0</v>
      </c>
      <c r="AL16" s="661">
        <f t="shared" si="4"/>
        <v>0</v>
      </c>
      <c r="AM16" s="661">
        <f t="shared" si="4"/>
        <v>0</v>
      </c>
      <c r="AN16" s="661">
        <f t="shared" si="4"/>
        <v>0</v>
      </c>
      <c r="AO16" s="661">
        <f t="shared" si="4"/>
        <v>0</v>
      </c>
    </row>
    <row r="17" spans="1:41" ht="14.95" thickBot="1" x14ac:dyDescent="0.3">
      <c r="A17" s="100"/>
      <c r="B17" s="101"/>
      <c r="C17" s="800" t="s">
        <v>70</v>
      </c>
      <c r="D17" s="801"/>
      <c r="E17" s="802"/>
      <c r="F17" s="124">
        <f>SUM(F3:F14)</f>
        <v>78</v>
      </c>
      <c r="G17" s="124">
        <f t="shared" ref="G17:R17" si="5">SUM(G3:G14)</f>
        <v>14</v>
      </c>
      <c r="H17" s="148">
        <f t="shared" si="5"/>
        <v>2</v>
      </c>
      <c r="I17" s="124">
        <f t="shared" si="5"/>
        <v>0</v>
      </c>
      <c r="J17" s="124">
        <f t="shared" si="5"/>
        <v>12</v>
      </c>
      <c r="K17" s="124">
        <f t="shared" si="5"/>
        <v>9</v>
      </c>
      <c r="L17" s="124">
        <f t="shared" si="5"/>
        <v>0</v>
      </c>
      <c r="M17" s="124">
        <f t="shared" si="5"/>
        <v>0</v>
      </c>
      <c r="N17" s="124">
        <f t="shared" si="5"/>
        <v>2</v>
      </c>
      <c r="O17" s="124">
        <f t="shared" si="5"/>
        <v>0</v>
      </c>
      <c r="P17" s="124">
        <f t="shared" si="5"/>
        <v>0</v>
      </c>
      <c r="Q17" s="124">
        <f t="shared" si="5"/>
        <v>0</v>
      </c>
      <c r="R17" s="124">
        <f t="shared" si="5"/>
        <v>2</v>
      </c>
      <c r="S17" s="121"/>
      <c r="T17" s="121"/>
      <c r="U17" s="121"/>
      <c r="V17" s="121"/>
      <c r="W17" s="121"/>
      <c r="X17" s="12"/>
      <c r="Y17" s="129" t="s">
        <v>70</v>
      </c>
      <c r="Z17" s="124">
        <f t="shared" ref="Z17:AO17" si="6">SUM(Z3:Z14)</f>
        <v>2</v>
      </c>
      <c r="AA17" s="124">
        <f t="shared" si="6"/>
        <v>2</v>
      </c>
      <c r="AB17" s="124">
        <f t="shared" si="6"/>
        <v>0</v>
      </c>
      <c r="AC17" s="124">
        <f t="shared" si="6"/>
        <v>0</v>
      </c>
      <c r="AD17" s="122">
        <f t="shared" si="6"/>
        <v>1</v>
      </c>
      <c r="AE17" s="122">
        <f t="shared" si="6"/>
        <v>1</v>
      </c>
      <c r="AF17" s="122">
        <f t="shared" si="6"/>
        <v>0</v>
      </c>
      <c r="AG17" s="122">
        <f t="shared" si="6"/>
        <v>0</v>
      </c>
      <c r="AH17" s="123">
        <f t="shared" si="6"/>
        <v>1</v>
      </c>
      <c r="AI17" s="123">
        <f t="shared" si="6"/>
        <v>1</v>
      </c>
      <c r="AJ17" s="123">
        <f t="shared" si="6"/>
        <v>0</v>
      </c>
      <c r="AK17" s="123">
        <f t="shared" si="6"/>
        <v>0</v>
      </c>
      <c r="AL17" s="124">
        <f t="shared" si="6"/>
        <v>0</v>
      </c>
      <c r="AM17" s="124">
        <f t="shared" si="6"/>
        <v>0</v>
      </c>
      <c r="AN17" s="124">
        <f t="shared" si="6"/>
        <v>0</v>
      </c>
      <c r="AO17" s="124">
        <f t="shared" si="6"/>
        <v>0</v>
      </c>
    </row>
    <row r="18" spans="1:41" x14ac:dyDescent="0.25">
      <c r="A18" s="789" t="s">
        <v>53</v>
      </c>
      <c r="B18" s="790"/>
      <c r="C18" s="790"/>
      <c r="D18" s="790"/>
      <c r="E18" s="790"/>
      <c r="F18" s="790"/>
      <c r="G18" s="790"/>
      <c r="H18" s="790"/>
      <c r="I18" s="790"/>
      <c r="J18" s="790"/>
      <c r="K18" s="790"/>
      <c r="L18" s="790"/>
      <c r="M18" s="790"/>
      <c r="N18" s="790"/>
      <c r="O18" s="790"/>
      <c r="P18" s="790"/>
      <c r="Q18" s="790"/>
      <c r="R18" s="790"/>
      <c r="S18" s="790"/>
      <c r="T18" s="790"/>
      <c r="U18" s="790"/>
      <c r="V18" s="790"/>
      <c r="W18" s="790"/>
      <c r="X18" s="790"/>
      <c r="Y18" s="790"/>
      <c r="Z18" s="790"/>
      <c r="AA18" s="790"/>
      <c r="AB18" s="790"/>
      <c r="AC18" s="790"/>
      <c r="AD18" s="790"/>
      <c r="AE18" s="790"/>
      <c r="AF18" s="790"/>
      <c r="AG18" s="790"/>
      <c r="AH18" s="790"/>
      <c r="AI18" s="790"/>
      <c r="AJ18" s="790"/>
      <c r="AK18" s="790"/>
      <c r="AL18" s="790"/>
      <c r="AM18" s="790"/>
      <c r="AN18" s="790"/>
      <c r="AO18" s="790"/>
    </row>
    <row r="19" spans="1:41" x14ac:dyDescent="0.25">
      <c r="A19" t="s">
        <v>517</v>
      </c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41" x14ac:dyDescent="0.25">
      <c r="A20" t="s">
        <v>505</v>
      </c>
      <c r="F20" s="13"/>
      <c r="G20" s="13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41" x14ac:dyDescent="0.25">
      <c r="A21" t="s">
        <v>497</v>
      </c>
      <c r="F21" s="13"/>
      <c r="G21" s="13"/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41" x14ac:dyDescent="0.25">
      <c r="F22" s="13"/>
      <c r="G22" s="13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41" x14ac:dyDescent="0.25">
      <c r="A23" s="789"/>
      <c r="B23" s="790"/>
      <c r="C23" s="790"/>
      <c r="D23" s="790"/>
      <c r="E23" s="790"/>
      <c r="F23" s="790"/>
      <c r="G23" s="790"/>
      <c r="H23" s="790"/>
      <c r="I23" s="790"/>
      <c r="J23" s="790"/>
      <c r="K23" s="790"/>
      <c r="L23" s="790"/>
      <c r="M23" s="790"/>
      <c r="N23" s="790"/>
      <c r="O23" s="790"/>
      <c r="P23" s="790"/>
      <c r="Q23" s="790"/>
      <c r="R23" s="790"/>
      <c r="S23" s="790"/>
      <c r="T23" s="790"/>
      <c r="U23" s="790"/>
      <c r="V23" s="790"/>
      <c r="W23" s="790"/>
      <c r="X23" s="790"/>
      <c r="Y23" s="790"/>
      <c r="Z23" s="790"/>
      <c r="AA23" s="790"/>
      <c r="AB23" s="790"/>
      <c r="AC23" s="790"/>
      <c r="AD23" s="790"/>
      <c r="AE23" s="790"/>
      <c r="AF23" s="790"/>
      <c r="AG23" s="790"/>
      <c r="AH23" s="790"/>
      <c r="AI23" s="790"/>
      <c r="AJ23" s="790"/>
      <c r="AK23" s="790"/>
      <c r="AL23" s="790"/>
      <c r="AM23" s="790"/>
      <c r="AN23" s="790"/>
      <c r="AO23" s="790"/>
    </row>
    <row r="24" spans="1:41" x14ac:dyDescent="0.25">
      <c r="A24" s="789" t="s">
        <v>515</v>
      </c>
      <c r="B24" s="790"/>
      <c r="C24" s="790"/>
      <c r="D24" s="790"/>
      <c r="E24" s="790"/>
      <c r="F24" s="790"/>
      <c r="G24" s="790"/>
      <c r="H24" s="790"/>
      <c r="I24" s="790"/>
      <c r="J24" s="790"/>
      <c r="K24" s="790"/>
      <c r="L24" s="790"/>
      <c r="M24" s="790"/>
      <c r="N24" s="790"/>
      <c r="O24" s="790"/>
      <c r="P24" s="790"/>
      <c r="Q24" s="790"/>
      <c r="R24" s="790"/>
    </row>
    <row r="25" spans="1:41" x14ac:dyDescent="0.25">
      <c r="A25" s="789" t="s">
        <v>506</v>
      </c>
      <c r="B25" s="790"/>
      <c r="C25" s="790"/>
      <c r="D25" s="790"/>
      <c r="E25" s="790"/>
      <c r="F25" s="790"/>
      <c r="G25" s="790"/>
      <c r="H25" s="790"/>
      <c r="I25" s="790"/>
      <c r="J25" s="790"/>
      <c r="K25" s="790"/>
      <c r="L25" s="790"/>
      <c r="M25" s="790"/>
      <c r="N25" s="790"/>
      <c r="O25" s="790"/>
      <c r="P25" s="790"/>
      <c r="Q25" s="790"/>
      <c r="R25" s="790"/>
      <c r="S25" s="790"/>
      <c r="T25" s="790"/>
      <c r="U25" s="790"/>
      <c r="V25" s="790"/>
      <c r="W25" s="790"/>
      <c r="X25" s="790"/>
      <c r="Y25" s="790"/>
      <c r="Z25" s="790"/>
      <c r="AA25" s="790"/>
      <c r="AB25" s="790"/>
      <c r="AC25" s="790"/>
      <c r="AD25" s="790"/>
      <c r="AE25" s="790"/>
      <c r="AF25" s="790"/>
      <c r="AG25" s="790"/>
      <c r="AH25" s="790"/>
      <c r="AI25" s="790"/>
      <c r="AJ25" s="790"/>
      <c r="AK25" s="790"/>
      <c r="AL25" s="790"/>
      <c r="AM25" s="790"/>
      <c r="AN25" s="790"/>
      <c r="AO25" s="790"/>
    </row>
    <row r="26" spans="1:41" x14ac:dyDescent="0.25">
      <c r="A26" s="292"/>
      <c r="B26" s="69" t="s">
        <v>40</v>
      </c>
      <c r="C26" s="69"/>
    </row>
    <row r="27" spans="1:41" x14ac:dyDescent="0.25">
      <c r="A27" s="293"/>
      <c r="B27" s="69" t="s">
        <v>38</v>
      </c>
      <c r="C27" s="69"/>
    </row>
    <row r="28" spans="1:41" x14ac:dyDescent="0.25">
      <c r="A28" s="294"/>
      <c r="B28" s="69" t="s">
        <v>39</v>
      </c>
      <c r="C28" s="69"/>
    </row>
    <row r="29" spans="1:41" ht="16.3" x14ac:dyDescent="0.3">
      <c r="A29" s="579" t="s">
        <v>28</v>
      </c>
    </row>
  </sheetData>
  <mergeCells count="17">
    <mergeCell ref="A24:R24"/>
    <mergeCell ref="A25:AO25"/>
    <mergeCell ref="C16:E16"/>
    <mergeCell ref="C17:E17"/>
    <mergeCell ref="A18:AO18"/>
    <mergeCell ref="A23:AO23"/>
    <mergeCell ref="Z1:AC1"/>
    <mergeCell ref="AD1:AG1"/>
    <mergeCell ref="AH1:AK1"/>
    <mergeCell ref="AL1:AO1"/>
    <mergeCell ref="N1:O1"/>
    <mergeCell ref="P1:R1"/>
    <mergeCell ref="A1:C1"/>
    <mergeCell ref="E1:G1"/>
    <mergeCell ref="H1:I1"/>
    <mergeCell ref="J1:M1"/>
    <mergeCell ref="C15:E15"/>
  </mergeCells>
  <pageMargins left="0.7" right="0.7" top="0.75" bottom="0.75" header="0.3" footer="0.3"/>
  <pageSetup paperSize="9" orientation="portrait" r:id="rId1"/>
  <ignoredErrors>
    <ignoredError sqref="F15:AC15 AD15:AO15 S16:X16 F16:R16 Z16:AO16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U28"/>
  <sheetViews>
    <sheetView workbookViewId="0">
      <pane ySplit="2" topLeftCell="A3" activePane="bottomLeft" state="frozen"/>
      <selection pane="bottomLeft" activeCell="S22" sqref="S22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3" width="3.75" customWidth="1"/>
    <col min="14" max="14" width="4.125" customWidth="1"/>
    <col min="15" max="18" width="3.75" customWidth="1"/>
    <col min="19" max="20" width="6.25" customWidth="1"/>
    <col min="21" max="21" width="17.625" bestFit="1" customWidth="1"/>
    <col min="22" max="22" width="18.625" bestFit="1" customWidth="1"/>
    <col min="23" max="23" width="16.75" bestFit="1" customWidth="1"/>
    <col min="24" max="24" width="24.375" bestFit="1" customWidth="1"/>
    <col min="25" max="25" width="22.2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803" t="s">
        <v>512</v>
      </c>
      <c r="B1" s="804"/>
      <c r="C1" s="804"/>
      <c r="D1" s="43"/>
      <c r="E1" s="805" t="s">
        <v>24</v>
      </c>
      <c r="F1" s="806"/>
      <c r="G1" s="807"/>
      <c r="H1" s="805" t="s">
        <v>23</v>
      </c>
      <c r="I1" s="807"/>
      <c r="J1" s="794" t="s">
        <v>6</v>
      </c>
      <c r="K1" s="795"/>
      <c r="L1" s="795"/>
      <c r="M1" s="796"/>
      <c r="N1" s="794" t="s">
        <v>7</v>
      </c>
      <c r="O1" s="796"/>
      <c r="P1" s="794" t="s">
        <v>25</v>
      </c>
      <c r="Q1" s="795"/>
      <c r="R1" s="796"/>
      <c r="S1" s="126" t="s">
        <v>8</v>
      </c>
      <c r="T1" s="126" t="s">
        <v>9</v>
      </c>
      <c r="U1" s="18" t="s">
        <v>10</v>
      </c>
      <c r="V1" s="17" t="s">
        <v>11</v>
      </c>
      <c r="W1" s="18" t="s">
        <v>95</v>
      </c>
      <c r="X1" s="19" t="s">
        <v>26</v>
      </c>
      <c r="Y1" s="47" t="s">
        <v>27</v>
      </c>
      <c r="Z1" s="791" t="s">
        <v>20</v>
      </c>
      <c r="AA1" s="792"/>
      <c r="AB1" s="792"/>
      <c r="AC1" s="793"/>
      <c r="AD1" s="791" t="s">
        <v>56</v>
      </c>
      <c r="AE1" s="792"/>
      <c r="AF1" s="792"/>
      <c r="AG1" s="793"/>
      <c r="AH1" s="791" t="s">
        <v>57</v>
      </c>
      <c r="AI1" s="792"/>
      <c r="AJ1" s="792"/>
      <c r="AK1" s="793"/>
      <c r="AL1" s="791" t="s">
        <v>58</v>
      </c>
      <c r="AM1" s="792"/>
      <c r="AN1" s="792"/>
      <c r="AO1" s="793"/>
      <c r="AT1" s="69" t="s">
        <v>258</v>
      </c>
    </row>
    <row r="2" spans="1:47" ht="14.95" customHeight="1" thickBot="1" x14ac:dyDescent="0.3">
      <c r="A2" s="20" t="s">
        <v>19</v>
      </c>
      <c r="B2" s="21" t="s">
        <v>18</v>
      </c>
      <c r="C2" s="22" t="s">
        <v>17</v>
      </c>
      <c r="D2" s="22" t="s">
        <v>37</v>
      </c>
      <c r="E2" s="23" t="s">
        <v>16</v>
      </c>
      <c r="F2" s="23" t="s">
        <v>4</v>
      </c>
      <c r="G2" s="23" t="s">
        <v>5</v>
      </c>
      <c r="H2" s="24" t="s">
        <v>12</v>
      </c>
      <c r="I2" s="24" t="s">
        <v>3</v>
      </c>
      <c r="J2" s="24" t="s">
        <v>12</v>
      </c>
      <c r="K2" s="24" t="s">
        <v>13</v>
      </c>
      <c r="L2" s="24" t="s">
        <v>2</v>
      </c>
      <c r="M2" s="24" t="s">
        <v>14</v>
      </c>
      <c r="N2" s="24" t="s">
        <v>15</v>
      </c>
      <c r="O2" s="24" t="s">
        <v>16</v>
      </c>
      <c r="P2" s="24" t="s">
        <v>21</v>
      </c>
      <c r="Q2" s="24" t="s">
        <v>22</v>
      </c>
      <c r="R2" s="24" t="s">
        <v>12</v>
      </c>
      <c r="S2" s="25"/>
      <c r="T2" s="26"/>
      <c r="U2" s="27"/>
      <c r="V2" s="25"/>
      <c r="W2" s="27"/>
      <c r="X2" s="28"/>
      <c r="Y2" s="29"/>
      <c r="Z2" s="107" t="s">
        <v>0</v>
      </c>
      <c r="AA2" s="107" t="s">
        <v>1</v>
      </c>
      <c r="AB2" s="107" t="s">
        <v>2</v>
      </c>
      <c r="AC2" s="107" t="s">
        <v>3</v>
      </c>
      <c r="AD2" s="107" t="s">
        <v>0</v>
      </c>
      <c r="AE2" s="107" t="s">
        <v>1</v>
      </c>
      <c r="AF2" s="107" t="s">
        <v>2</v>
      </c>
      <c r="AG2" s="107" t="s">
        <v>3</v>
      </c>
      <c r="AH2" s="107" t="s">
        <v>0</v>
      </c>
      <c r="AI2" s="107" t="s">
        <v>1</v>
      </c>
      <c r="AJ2" s="107" t="s">
        <v>2</v>
      </c>
      <c r="AK2" s="107" t="s">
        <v>3</v>
      </c>
      <c r="AL2" s="107" t="s">
        <v>0</v>
      </c>
      <c r="AM2" s="107" t="s">
        <v>1</v>
      </c>
      <c r="AN2" s="107" t="s">
        <v>2</v>
      </c>
      <c r="AO2" s="107" t="s">
        <v>3</v>
      </c>
      <c r="AT2" s="443" t="s">
        <v>253</v>
      </c>
      <c r="AU2" s="444">
        <v>38</v>
      </c>
    </row>
    <row r="3" spans="1:47" ht="14.95" customHeight="1" thickBot="1" x14ac:dyDescent="0.3">
      <c r="A3" s="151" t="s">
        <v>492</v>
      </c>
      <c r="B3" s="152" t="s">
        <v>41</v>
      </c>
      <c r="C3" s="152" t="s">
        <v>30</v>
      </c>
      <c r="D3" s="152" t="s">
        <v>87</v>
      </c>
      <c r="E3" s="153" t="s">
        <v>3</v>
      </c>
      <c r="F3" s="153">
        <v>12</v>
      </c>
      <c r="G3" s="153">
        <v>33</v>
      </c>
      <c r="H3" s="345">
        <v>0</v>
      </c>
      <c r="I3" s="345">
        <v>0</v>
      </c>
      <c r="J3" s="345">
        <v>2</v>
      </c>
      <c r="K3" s="345">
        <v>1</v>
      </c>
      <c r="L3" s="345">
        <v>0</v>
      </c>
      <c r="M3" s="345">
        <v>0</v>
      </c>
      <c r="N3" s="345">
        <v>0</v>
      </c>
      <c r="O3" s="345">
        <v>0</v>
      </c>
      <c r="P3" s="345">
        <v>1</v>
      </c>
      <c r="Q3" s="345">
        <v>0</v>
      </c>
      <c r="R3" s="345">
        <v>5</v>
      </c>
      <c r="S3" s="155">
        <v>77120</v>
      </c>
      <c r="T3" s="159" t="s">
        <v>251</v>
      </c>
      <c r="U3" s="157" t="s">
        <v>99</v>
      </c>
      <c r="V3" s="155" t="s">
        <v>193</v>
      </c>
      <c r="W3" s="155" t="s">
        <v>541</v>
      </c>
      <c r="X3" s="154" t="s">
        <v>111</v>
      </c>
      <c r="Y3" s="348" t="s">
        <v>275</v>
      </c>
      <c r="Z3" s="154">
        <v>1</v>
      </c>
      <c r="AA3" s="154">
        <v>0</v>
      </c>
      <c r="AB3" s="154">
        <v>0</v>
      </c>
      <c r="AC3" s="451">
        <v>1</v>
      </c>
      <c r="AD3" s="154">
        <v>0</v>
      </c>
      <c r="AE3" s="154">
        <v>0</v>
      </c>
      <c r="AF3" s="154">
        <v>0</v>
      </c>
      <c r="AG3" s="451">
        <v>0</v>
      </c>
      <c r="AH3" s="154">
        <v>1</v>
      </c>
      <c r="AI3" s="154">
        <v>0</v>
      </c>
      <c r="AJ3" s="154">
        <v>0</v>
      </c>
      <c r="AK3" s="451">
        <v>1</v>
      </c>
      <c r="AL3" s="154">
        <v>0</v>
      </c>
      <c r="AM3" s="154">
        <v>0</v>
      </c>
      <c r="AN3" s="154">
        <v>0</v>
      </c>
      <c r="AO3" s="451">
        <v>0</v>
      </c>
      <c r="AT3" s="445" t="s">
        <v>254</v>
      </c>
      <c r="AU3" s="446">
        <v>17</v>
      </c>
    </row>
    <row r="4" spans="1:47" ht="14.95" customHeight="1" thickBot="1" x14ac:dyDescent="0.35">
      <c r="A4" s="163" t="s">
        <v>491</v>
      </c>
      <c r="B4" s="164" t="s">
        <v>41</v>
      </c>
      <c r="C4" s="164" t="s">
        <v>32</v>
      </c>
      <c r="D4" s="164" t="s">
        <v>507</v>
      </c>
      <c r="E4" s="165" t="s">
        <v>1</v>
      </c>
      <c r="F4" s="165">
        <v>57</v>
      </c>
      <c r="G4" s="165">
        <v>20</v>
      </c>
      <c r="H4" s="344">
        <v>1</v>
      </c>
      <c r="I4" s="344">
        <v>0</v>
      </c>
      <c r="J4" s="344">
        <v>9</v>
      </c>
      <c r="K4" s="344">
        <v>6</v>
      </c>
      <c r="L4" s="344">
        <v>0</v>
      </c>
      <c r="M4" s="344">
        <v>0</v>
      </c>
      <c r="N4" s="344">
        <v>0</v>
      </c>
      <c r="O4" s="344">
        <v>0</v>
      </c>
      <c r="P4" s="344">
        <v>1</v>
      </c>
      <c r="Q4" s="344">
        <v>0</v>
      </c>
      <c r="R4" s="344">
        <v>4</v>
      </c>
      <c r="S4" s="166">
        <v>9206</v>
      </c>
      <c r="T4" s="172" t="s">
        <v>609</v>
      </c>
      <c r="U4" s="168" t="s">
        <v>127</v>
      </c>
      <c r="V4" s="166" t="s">
        <v>436</v>
      </c>
      <c r="W4" s="166" t="s">
        <v>527</v>
      </c>
      <c r="X4" s="169" t="s">
        <v>610</v>
      </c>
      <c r="Y4" s="349" t="s">
        <v>611</v>
      </c>
      <c r="Z4" s="169">
        <v>1</v>
      </c>
      <c r="AA4" s="169">
        <v>1</v>
      </c>
      <c r="AB4" s="169">
        <v>0</v>
      </c>
      <c r="AC4" s="316">
        <v>0</v>
      </c>
      <c r="AD4" s="169">
        <v>1</v>
      </c>
      <c r="AE4" s="169">
        <v>1</v>
      </c>
      <c r="AF4" s="169">
        <v>0</v>
      </c>
      <c r="AG4" s="316">
        <v>0</v>
      </c>
      <c r="AH4" s="169">
        <v>0</v>
      </c>
      <c r="AI4" s="169">
        <v>0</v>
      </c>
      <c r="AJ4" s="169">
        <v>0</v>
      </c>
      <c r="AK4" s="316">
        <v>0</v>
      </c>
      <c r="AL4" s="169">
        <v>0</v>
      </c>
      <c r="AM4" s="169">
        <v>0</v>
      </c>
      <c r="AN4" s="169">
        <v>0</v>
      </c>
      <c r="AO4" s="316">
        <v>0</v>
      </c>
      <c r="AT4" s="445" t="s">
        <v>255</v>
      </c>
      <c r="AU4" s="446">
        <v>0</v>
      </c>
    </row>
    <row r="5" spans="1:47" ht="14.95" customHeight="1" thickBot="1" x14ac:dyDescent="0.35">
      <c r="A5" s="151" t="s">
        <v>493</v>
      </c>
      <c r="B5" s="152" t="s">
        <v>41</v>
      </c>
      <c r="C5" s="152" t="s">
        <v>33</v>
      </c>
      <c r="D5" s="152" t="s">
        <v>504</v>
      </c>
      <c r="E5" s="153"/>
      <c r="F5" s="153"/>
      <c r="G5" s="153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155"/>
      <c r="T5" s="156"/>
      <c r="U5" s="157"/>
      <c r="V5" s="155"/>
      <c r="W5" s="157"/>
      <c r="X5" s="157"/>
      <c r="Y5" s="154"/>
      <c r="Z5" s="154"/>
      <c r="AA5" s="154"/>
      <c r="AB5" s="154"/>
      <c r="AC5" s="451"/>
      <c r="AD5" s="154"/>
      <c r="AE5" s="154"/>
      <c r="AF5" s="154"/>
      <c r="AG5" s="451"/>
      <c r="AH5" s="154"/>
      <c r="AI5" s="154"/>
      <c r="AJ5" s="154"/>
      <c r="AK5" s="451"/>
      <c r="AL5" s="154"/>
      <c r="AM5" s="154"/>
      <c r="AN5" s="154"/>
      <c r="AO5" s="451"/>
      <c r="AT5" s="445" t="s">
        <v>256</v>
      </c>
      <c r="AU5" s="446">
        <v>21</v>
      </c>
    </row>
    <row r="6" spans="1:47" ht="14.95" customHeight="1" thickBot="1" x14ac:dyDescent="0.35">
      <c r="A6" s="163" t="s">
        <v>494</v>
      </c>
      <c r="B6" s="164" t="s">
        <v>41</v>
      </c>
      <c r="C6" s="164" t="s">
        <v>31</v>
      </c>
      <c r="D6" s="164" t="s">
        <v>94</v>
      </c>
      <c r="E6" s="165"/>
      <c r="F6" s="165"/>
      <c r="G6" s="165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166"/>
      <c r="T6" s="172"/>
      <c r="U6" s="168"/>
      <c r="V6" s="166"/>
      <c r="W6" s="166"/>
      <c r="X6" s="169"/>
      <c r="Y6" s="349"/>
      <c r="Z6" s="169"/>
      <c r="AA6" s="169"/>
      <c r="AB6" s="169"/>
      <c r="AC6" s="316"/>
      <c r="AD6" s="169"/>
      <c r="AE6" s="169"/>
      <c r="AF6" s="169"/>
      <c r="AG6" s="316"/>
      <c r="AH6" s="169"/>
      <c r="AI6" s="169"/>
      <c r="AJ6" s="169"/>
      <c r="AK6" s="316"/>
      <c r="AL6" s="169"/>
      <c r="AM6" s="169"/>
      <c r="AN6" s="169"/>
      <c r="AO6" s="316"/>
      <c r="AT6" s="445" t="s">
        <v>257</v>
      </c>
      <c r="AU6" s="446">
        <v>588</v>
      </c>
    </row>
    <row r="7" spans="1:47" ht="14.95" customHeight="1" thickBot="1" x14ac:dyDescent="0.35">
      <c r="A7" s="163" t="s">
        <v>192</v>
      </c>
      <c r="B7" s="164" t="s">
        <v>41</v>
      </c>
      <c r="C7" s="164" t="s">
        <v>34</v>
      </c>
      <c r="D7" s="164" t="s">
        <v>509</v>
      </c>
      <c r="E7" s="165"/>
      <c r="F7" s="165"/>
      <c r="G7" s="165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166"/>
      <c r="T7" s="172"/>
      <c r="U7" s="168"/>
      <c r="V7" s="166"/>
      <c r="W7" s="166"/>
      <c r="X7" s="169"/>
      <c r="Y7" s="169"/>
      <c r="Z7" s="169"/>
      <c r="AA7" s="169"/>
      <c r="AB7" s="169"/>
      <c r="AC7" s="316"/>
      <c r="AD7" s="169"/>
      <c r="AE7" s="169"/>
      <c r="AF7" s="169"/>
      <c r="AG7" s="316"/>
      <c r="AH7" s="169"/>
      <c r="AI7" s="169"/>
      <c r="AJ7" s="169"/>
      <c r="AK7" s="316"/>
      <c r="AL7" s="169"/>
      <c r="AM7" s="169"/>
      <c r="AN7" s="169"/>
      <c r="AO7" s="316"/>
    </row>
    <row r="8" spans="1:47" ht="14.95" customHeight="1" thickBot="1" x14ac:dyDescent="0.3">
      <c r="A8" s="163"/>
      <c r="B8" s="164"/>
      <c r="C8" s="164"/>
      <c r="D8" s="164"/>
      <c r="E8" s="165"/>
      <c r="F8" s="165"/>
      <c r="G8" s="165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169"/>
      <c r="T8" s="452"/>
      <c r="U8" s="169"/>
      <c r="V8" s="169"/>
      <c r="W8" s="169"/>
      <c r="X8" s="169"/>
      <c r="Y8" s="170"/>
      <c r="Z8" s="169"/>
      <c r="AA8" s="169"/>
      <c r="AB8" s="169"/>
      <c r="AC8" s="316"/>
      <c r="AD8" s="169"/>
      <c r="AE8" s="169"/>
      <c r="AF8" s="169"/>
      <c r="AG8" s="316"/>
      <c r="AH8" s="169"/>
      <c r="AI8" s="169"/>
      <c r="AJ8" s="169"/>
      <c r="AK8" s="169"/>
      <c r="AL8" s="169"/>
      <c r="AM8" s="169"/>
      <c r="AN8" s="169"/>
      <c r="AO8" s="169"/>
    </row>
    <row r="9" spans="1:47" ht="14.95" customHeight="1" thickBot="1" x14ac:dyDescent="0.3">
      <c r="A9" s="163"/>
      <c r="B9" s="164"/>
      <c r="C9" s="164"/>
      <c r="D9" s="164"/>
      <c r="E9" s="165"/>
      <c r="F9" s="165"/>
      <c r="G9" s="165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169"/>
      <c r="T9" s="301"/>
      <c r="U9" s="169"/>
      <c r="V9" s="169"/>
      <c r="W9" s="169"/>
      <c r="X9" s="169"/>
      <c r="Y9" s="170"/>
      <c r="Z9" s="169"/>
      <c r="AA9" s="169"/>
      <c r="AB9" s="169"/>
      <c r="AC9" s="316"/>
      <c r="AD9" s="169"/>
      <c r="AE9" s="169"/>
      <c r="AF9" s="169"/>
      <c r="AG9" s="316"/>
      <c r="AH9" s="169"/>
      <c r="AI9" s="169"/>
      <c r="AJ9" s="169"/>
      <c r="AK9" s="169"/>
      <c r="AL9" s="169"/>
      <c r="AM9" s="169"/>
      <c r="AN9" s="169"/>
      <c r="AO9" s="169"/>
    </row>
    <row r="10" spans="1:47" ht="14.95" customHeight="1" thickBot="1" x14ac:dyDescent="0.35">
      <c r="A10" s="458"/>
      <c r="B10" s="173"/>
      <c r="C10" s="173"/>
      <c r="D10" s="173"/>
      <c r="E10" s="165"/>
      <c r="F10" s="165"/>
      <c r="G10" s="165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169"/>
      <c r="T10" s="453"/>
      <c r="U10" s="169"/>
      <c r="V10" s="169"/>
      <c r="W10" s="169"/>
      <c r="X10" s="169"/>
      <c r="Y10" s="169"/>
      <c r="Z10" s="169"/>
      <c r="AA10" s="169"/>
      <c r="AB10" s="169"/>
      <c r="AC10" s="316"/>
      <c r="AD10" s="169"/>
      <c r="AE10" s="169"/>
      <c r="AF10" s="169"/>
      <c r="AG10" s="316"/>
      <c r="AH10" s="169"/>
      <c r="AI10" s="169"/>
      <c r="AJ10" s="169"/>
      <c r="AK10" s="169"/>
      <c r="AL10" s="169"/>
      <c r="AM10" s="169"/>
      <c r="AN10" s="169"/>
      <c r="AO10" s="169"/>
    </row>
    <row r="11" spans="1:47" ht="15.8" customHeight="1" thickBot="1" x14ac:dyDescent="0.35">
      <c r="A11" s="458"/>
      <c r="B11" s="173"/>
      <c r="C11" s="667"/>
      <c r="D11" s="173"/>
      <c r="E11" s="668"/>
      <c r="F11" s="165"/>
      <c r="G11" s="165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169"/>
      <c r="T11" s="453"/>
      <c r="U11" s="169"/>
      <c r="V11" s="169"/>
      <c r="W11" s="169"/>
      <c r="X11" s="169"/>
      <c r="Y11" s="169"/>
      <c r="Z11" s="169"/>
      <c r="AA11" s="169"/>
      <c r="AB11" s="169"/>
      <c r="AC11" s="316"/>
      <c r="AD11" s="169"/>
      <c r="AE11" s="169"/>
      <c r="AF11" s="169"/>
      <c r="AG11" s="316"/>
      <c r="AH11" s="169"/>
      <c r="AI11" s="169"/>
      <c r="AJ11" s="169"/>
      <c r="AK11" s="169"/>
      <c r="AL11" s="169"/>
      <c r="AM11" s="169"/>
      <c r="AN11" s="169"/>
      <c r="AO11" s="169"/>
    </row>
    <row r="12" spans="1:47" ht="15.8" customHeight="1" thickBot="1" x14ac:dyDescent="0.3">
      <c r="A12" s="458"/>
      <c r="B12" s="173"/>
      <c r="C12" s="667"/>
      <c r="D12" s="173"/>
      <c r="E12" s="668"/>
      <c r="F12" s="165"/>
      <c r="G12" s="165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01"/>
      <c r="U12" s="169"/>
      <c r="V12" s="169"/>
      <c r="W12" s="169"/>
      <c r="X12" s="169"/>
      <c r="Y12" s="169"/>
      <c r="Z12" s="169"/>
      <c r="AA12" s="169"/>
      <c r="AB12" s="169"/>
      <c r="AC12" s="316"/>
      <c r="AD12" s="169"/>
      <c r="AE12" s="169"/>
      <c r="AF12" s="169"/>
      <c r="AG12" s="316"/>
      <c r="AH12" s="169"/>
      <c r="AI12" s="169"/>
      <c r="AJ12" s="169"/>
      <c r="AK12" s="169"/>
      <c r="AL12" s="169"/>
      <c r="AM12" s="169"/>
      <c r="AN12" s="169"/>
      <c r="AO12" s="169"/>
    </row>
    <row r="13" spans="1:47" ht="17" thickBot="1" x14ac:dyDescent="0.35">
      <c r="A13" s="458"/>
      <c r="B13" s="173"/>
      <c r="C13" s="173"/>
      <c r="D13" s="669"/>
      <c r="E13" s="668"/>
      <c r="F13" s="165"/>
      <c r="G13" s="165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169"/>
      <c r="T13" s="670"/>
      <c r="U13" s="169"/>
      <c r="V13" s="169"/>
      <c r="W13" s="169"/>
      <c r="X13" s="169"/>
      <c r="Y13" s="169"/>
      <c r="Z13" s="169"/>
      <c r="AA13" s="169"/>
      <c r="AB13" s="169"/>
      <c r="AC13" s="316"/>
      <c r="AD13" s="169"/>
      <c r="AE13" s="169"/>
      <c r="AF13" s="169"/>
      <c r="AG13" s="316"/>
      <c r="AH13" s="169"/>
      <c r="AI13" s="169"/>
      <c r="AJ13" s="169"/>
      <c r="AK13" s="169"/>
      <c r="AL13" s="169"/>
      <c r="AM13" s="169"/>
      <c r="AN13" s="169"/>
      <c r="AO13" s="169"/>
    </row>
    <row r="14" spans="1:47" ht="14.95" thickBot="1" x14ac:dyDescent="0.3">
      <c r="A14" s="100"/>
      <c r="B14" s="101"/>
      <c r="C14" s="797" t="s">
        <v>71</v>
      </c>
      <c r="D14" s="798"/>
      <c r="E14" s="799"/>
      <c r="F14" s="385">
        <f>SUM(F3:F7)</f>
        <v>69</v>
      </c>
      <c r="G14" s="385">
        <f t="shared" ref="G14:R14" si="0">SUM(G3:G7)</f>
        <v>53</v>
      </c>
      <c r="H14" s="385">
        <f t="shared" si="0"/>
        <v>1</v>
      </c>
      <c r="I14" s="385">
        <f t="shared" si="0"/>
        <v>0</v>
      </c>
      <c r="J14" s="385">
        <f t="shared" si="0"/>
        <v>11</v>
      </c>
      <c r="K14" s="385">
        <f t="shared" si="0"/>
        <v>7</v>
      </c>
      <c r="L14" s="385">
        <f t="shared" si="0"/>
        <v>0</v>
      </c>
      <c r="M14" s="385">
        <f t="shared" si="0"/>
        <v>0</v>
      </c>
      <c r="N14" s="385">
        <f t="shared" si="0"/>
        <v>0</v>
      </c>
      <c r="O14" s="385">
        <f t="shared" si="0"/>
        <v>0</v>
      </c>
      <c r="P14" s="385">
        <f t="shared" si="0"/>
        <v>2</v>
      </c>
      <c r="Q14" s="385">
        <f t="shared" si="0"/>
        <v>0</v>
      </c>
      <c r="R14" s="385">
        <f t="shared" si="0"/>
        <v>9</v>
      </c>
      <c r="S14" s="386"/>
      <c r="T14" s="386"/>
      <c r="U14" s="386"/>
      <c r="V14" s="386"/>
      <c r="W14" s="386"/>
      <c r="X14" s="381"/>
      <c r="Y14" s="389" t="s">
        <v>71</v>
      </c>
      <c r="Z14" s="385">
        <f t="shared" ref="Z14:AE14" si="1">SUM(Z3:Z7)</f>
        <v>2</v>
      </c>
      <c r="AA14" s="385">
        <f t="shared" si="1"/>
        <v>1</v>
      </c>
      <c r="AB14" s="385">
        <f t="shared" si="1"/>
        <v>0</v>
      </c>
      <c r="AC14" s="385">
        <f t="shared" si="1"/>
        <v>1</v>
      </c>
      <c r="AD14" s="387">
        <f t="shared" si="1"/>
        <v>1</v>
      </c>
      <c r="AE14" s="387">
        <f t="shared" si="1"/>
        <v>1</v>
      </c>
      <c r="AF14" s="387">
        <f t="shared" ref="AF14:AO14" si="2">SUM(AF3:AF10)</f>
        <v>0</v>
      </c>
      <c r="AG14" s="387">
        <f t="shared" si="2"/>
        <v>0</v>
      </c>
      <c r="AH14" s="388">
        <f t="shared" si="2"/>
        <v>1</v>
      </c>
      <c r="AI14" s="388">
        <f t="shared" si="2"/>
        <v>0</v>
      </c>
      <c r="AJ14" s="388">
        <f t="shared" si="2"/>
        <v>0</v>
      </c>
      <c r="AK14" s="388">
        <f t="shared" si="2"/>
        <v>1</v>
      </c>
      <c r="AL14" s="385">
        <f t="shared" si="2"/>
        <v>0</v>
      </c>
      <c r="AM14" s="385">
        <f t="shared" si="2"/>
        <v>0</v>
      </c>
      <c r="AN14" s="385">
        <f t="shared" si="2"/>
        <v>0</v>
      </c>
      <c r="AO14" s="385">
        <f t="shared" si="2"/>
        <v>0</v>
      </c>
    </row>
    <row r="15" spans="1:47" ht="14.95" thickBot="1" x14ac:dyDescent="0.3">
      <c r="A15" s="189"/>
      <c r="B15" s="190"/>
      <c r="C15" s="808" t="s">
        <v>500</v>
      </c>
      <c r="D15" s="809"/>
      <c r="E15" s="810"/>
      <c r="F15" s="661">
        <f>SUM(F10:F13)</f>
        <v>0</v>
      </c>
      <c r="G15" s="661">
        <f t="shared" ref="G15:R15" si="3">SUM(G10:G13)</f>
        <v>0</v>
      </c>
      <c r="H15" s="661">
        <f t="shared" si="3"/>
        <v>0</v>
      </c>
      <c r="I15" s="661">
        <f t="shared" si="3"/>
        <v>0</v>
      </c>
      <c r="J15" s="661">
        <f t="shared" si="3"/>
        <v>0</v>
      </c>
      <c r="K15" s="661">
        <f t="shared" si="3"/>
        <v>0</v>
      </c>
      <c r="L15" s="661">
        <f t="shared" si="3"/>
        <v>0</v>
      </c>
      <c r="M15" s="661">
        <f t="shared" si="3"/>
        <v>0</v>
      </c>
      <c r="N15" s="661">
        <f t="shared" si="3"/>
        <v>0</v>
      </c>
      <c r="O15" s="661">
        <f t="shared" si="3"/>
        <v>0</v>
      </c>
      <c r="P15" s="661">
        <f t="shared" si="3"/>
        <v>0</v>
      </c>
      <c r="Q15" s="661">
        <f t="shared" si="3"/>
        <v>0</v>
      </c>
      <c r="R15" s="661">
        <f t="shared" si="3"/>
        <v>0</v>
      </c>
      <c r="S15" s="666"/>
      <c r="T15" s="666"/>
      <c r="U15" s="666"/>
      <c r="V15" s="666"/>
      <c r="W15" s="666"/>
      <c r="X15" s="663"/>
      <c r="Y15" s="660" t="s">
        <v>500</v>
      </c>
      <c r="Z15" s="661">
        <f t="shared" ref="Z15:AO15" si="4">SUM(Z10:Z13)</f>
        <v>0</v>
      </c>
      <c r="AA15" s="661">
        <f t="shared" si="4"/>
        <v>0</v>
      </c>
      <c r="AB15" s="661">
        <f t="shared" si="4"/>
        <v>0</v>
      </c>
      <c r="AC15" s="661">
        <f t="shared" si="4"/>
        <v>0</v>
      </c>
      <c r="AD15" s="664">
        <f t="shared" si="4"/>
        <v>0</v>
      </c>
      <c r="AE15" s="664">
        <f t="shared" si="4"/>
        <v>0</v>
      </c>
      <c r="AF15" s="664">
        <f t="shared" si="4"/>
        <v>0</v>
      </c>
      <c r="AG15" s="664">
        <f t="shared" si="4"/>
        <v>0</v>
      </c>
      <c r="AH15" s="665">
        <f t="shared" si="4"/>
        <v>0</v>
      </c>
      <c r="AI15" s="665">
        <f t="shared" si="4"/>
        <v>0</v>
      </c>
      <c r="AJ15" s="665">
        <f t="shared" si="4"/>
        <v>0</v>
      </c>
      <c r="AK15" s="665">
        <f t="shared" si="4"/>
        <v>0</v>
      </c>
      <c r="AL15" s="661">
        <f t="shared" si="4"/>
        <v>0</v>
      </c>
      <c r="AM15" s="661">
        <f t="shared" si="4"/>
        <v>0</v>
      </c>
      <c r="AN15" s="661">
        <f t="shared" si="4"/>
        <v>0</v>
      </c>
      <c r="AO15" s="661">
        <f t="shared" si="4"/>
        <v>0</v>
      </c>
    </row>
    <row r="16" spans="1:47" ht="14.95" thickBot="1" x14ac:dyDescent="0.3">
      <c r="A16" s="100"/>
      <c r="B16" s="101"/>
      <c r="C16" s="800" t="s">
        <v>70</v>
      </c>
      <c r="D16" s="801"/>
      <c r="E16" s="802"/>
      <c r="F16" s="124">
        <f>SUM(F3:F13)</f>
        <v>69</v>
      </c>
      <c r="G16" s="124">
        <f t="shared" ref="G16:R16" si="5">SUM(G3:G13)</f>
        <v>53</v>
      </c>
      <c r="H16" s="124">
        <f t="shared" si="5"/>
        <v>1</v>
      </c>
      <c r="I16" s="124">
        <f t="shared" si="5"/>
        <v>0</v>
      </c>
      <c r="J16" s="124">
        <f t="shared" si="5"/>
        <v>11</v>
      </c>
      <c r="K16" s="124">
        <f t="shared" si="5"/>
        <v>7</v>
      </c>
      <c r="L16" s="124">
        <f t="shared" si="5"/>
        <v>0</v>
      </c>
      <c r="M16" s="124">
        <f t="shared" si="5"/>
        <v>0</v>
      </c>
      <c r="N16" s="124">
        <f t="shared" si="5"/>
        <v>0</v>
      </c>
      <c r="O16" s="124">
        <f t="shared" si="5"/>
        <v>0</v>
      </c>
      <c r="P16" s="124">
        <f t="shared" si="5"/>
        <v>2</v>
      </c>
      <c r="Q16" s="124">
        <f t="shared" si="5"/>
        <v>0</v>
      </c>
      <c r="R16" s="124">
        <f t="shared" si="5"/>
        <v>9</v>
      </c>
      <c r="S16" s="121"/>
      <c r="T16" s="121"/>
      <c r="U16" s="121"/>
      <c r="V16" s="121"/>
      <c r="W16" s="121"/>
      <c r="X16" s="12"/>
      <c r="Y16" s="129" t="s">
        <v>70</v>
      </c>
      <c r="Z16" s="124">
        <f t="shared" ref="Z16:AO16" si="6">SUM(Z3:Z13)</f>
        <v>2</v>
      </c>
      <c r="AA16" s="124">
        <f t="shared" si="6"/>
        <v>1</v>
      </c>
      <c r="AB16" s="124">
        <f t="shared" si="6"/>
        <v>0</v>
      </c>
      <c r="AC16" s="124">
        <f t="shared" si="6"/>
        <v>1</v>
      </c>
      <c r="AD16" s="122">
        <f t="shared" si="6"/>
        <v>1</v>
      </c>
      <c r="AE16" s="122">
        <f t="shared" si="6"/>
        <v>1</v>
      </c>
      <c r="AF16" s="122">
        <f t="shared" si="6"/>
        <v>0</v>
      </c>
      <c r="AG16" s="122">
        <f t="shared" si="6"/>
        <v>0</v>
      </c>
      <c r="AH16" s="123">
        <f t="shared" si="6"/>
        <v>1</v>
      </c>
      <c r="AI16" s="123">
        <f t="shared" si="6"/>
        <v>0</v>
      </c>
      <c r="AJ16" s="123">
        <f t="shared" si="6"/>
        <v>0</v>
      </c>
      <c r="AK16" s="123">
        <f t="shared" si="6"/>
        <v>1</v>
      </c>
      <c r="AL16" s="124">
        <f t="shared" si="6"/>
        <v>0</v>
      </c>
      <c r="AM16" s="124">
        <f t="shared" si="6"/>
        <v>0</v>
      </c>
      <c r="AN16" s="124">
        <f t="shared" si="6"/>
        <v>0</v>
      </c>
      <c r="AO16" s="124">
        <f t="shared" si="6"/>
        <v>0</v>
      </c>
    </row>
    <row r="17" spans="1:41" x14ac:dyDescent="0.25">
      <c r="A17" s="789" t="s">
        <v>546</v>
      </c>
      <c r="B17" s="790"/>
      <c r="C17" s="790"/>
      <c r="D17" s="790"/>
      <c r="E17" s="790"/>
      <c r="F17" s="790"/>
      <c r="G17" s="790"/>
      <c r="H17" s="790"/>
      <c r="I17" s="790"/>
      <c r="J17" s="790"/>
      <c r="K17" s="790"/>
      <c r="L17" s="790"/>
      <c r="M17" s="790"/>
      <c r="N17" s="790"/>
      <c r="O17" s="790"/>
      <c r="P17" s="790"/>
      <c r="Q17" s="790"/>
      <c r="R17" s="790"/>
      <c r="S17" s="790"/>
      <c r="T17" s="790"/>
      <c r="U17" s="790"/>
      <c r="V17" s="790"/>
      <c r="W17" s="790"/>
      <c r="X17" s="790"/>
      <c r="Y17" s="790"/>
      <c r="Z17" s="790"/>
      <c r="AA17" s="790"/>
      <c r="AB17" s="790"/>
      <c r="AC17" s="790"/>
      <c r="AD17" s="790"/>
      <c r="AE17" s="790"/>
      <c r="AF17" s="790"/>
      <c r="AG17" s="790"/>
      <c r="AH17" s="790"/>
      <c r="AI17" s="790"/>
      <c r="AJ17" s="790"/>
      <c r="AK17" s="790"/>
      <c r="AL17" s="790"/>
      <c r="AM17" s="790"/>
      <c r="AN17" s="790"/>
      <c r="AO17" s="790"/>
    </row>
    <row r="18" spans="1:41" x14ac:dyDescent="0.25">
      <c r="A18" s="789" t="s">
        <v>624</v>
      </c>
      <c r="B18" s="790"/>
      <c r="C18" s="790"/>
      <c r="D18" s="790"/>
      <c r="E18" s="790"/>
      <c r="F18" s="790"/>
      <c r="G18" s="790"/>
      <c r="H18" s="790"/>
      <c r="I18" s="790"/>
      <c r="J18" s="790"/>
      <c r="K18" s="790"/>
      <c r="L18" s="790"/>
      <c r="M18" s="790"/>
      <c r="N18" s="790"/>
      <c r="O18" s="790"/>
      <c r="P18" s="790"/>
      <c r="Q18" s="790"/>
      <c r="R18" s="790"/>
      <c r="S18" s="790"/>
      <c r="T18" s="790"/>
      <c r="U18" s="790"/>
      <c r="V18" s="790"/>
      <c r="W18" s="790"/>
      <c r="X18" s="790"/>
      <c r="Y18" s="790"/>
      <c r="Z18" s="790"/>
      <c r="AA18" s="790"/>
      <c r="AB18" s="790"/>
      <c r="AC18" s="790"/>
      <c r="AD18" s="790"/>
      <c r="AE18" s="790"/>
      <c r="AF18" s="790"/>
      <c r="AG18" s="790"/>
      <c r="AH18" s="790"/>
      <c r="AI18" s="790"/>
      <c r="AJ18" s="790"/>
      <c r="AK18" s="790"/>
      <c r="AL18" s="790"/>
      <c r="AM18" s="790"/>
      <c r="AN18" s="790"/>
      <c r="AO18" s="790"/>
    </row>
    <row r="19" spans="1:41" x14ac:dyDescent="0.25">
      <c r="A19" t="s">
        <v>508</v>
      </c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41" x14ac:dyDescent="0.25">
      <c r="A20" t="s">
        <v>511</v>
      </c>
      <c r="F20" s="13"/>
      <c r="G20" s="13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41" x14ac:dyDescent="0.25">
      <c r="A21" t="s">
        <v>510</v>
      </c>
    </row>
    <row r="23" spans="1:41" x14ac:dyDescent="0.25">
      <c r="A23" s="789" t="s">
        <v>515</v>
      </c>
      <c r="B23" s="790"/>
      <c r="C23" s="790"/>
      <c r="D23" s="790"/>
      <c r="E23" s="790"/>
      <c r="F23" s="790"/>
      <c r="G23" s="790"/>
      <c r="H23" s="790"/>
      <c r="I23" s="790"/>
      <c r="J23" s="790"/>
      <c r="K23" s="790"/>
      <c r="L23" s="790"/>
      <c r="M23" s="790"/>
      <c r="N23" s="790"/>
      <c r="O23" s="790"/>
      <c r="P23" s="790"/>
      <c r="Q23" s="790"/>
      <c r="R23" s="790"/>
    </row>
    <row r="24" spans="1:41" x14ac:dyDescent="0.25">
      <c r="A24" t="s">
        <v>74</v>
      </c>
    </row>
    <row r="25" spans="1:41" x14ac:dyDescent="0.25">
      <c r="A25" s="292"/>
      <c r="B25" s="69" t="s">
        <v>40</v>
      </c>
      <c r="C25" s="69"/>
    </row>
    <row r="26" spans="1:41" x14ac:dyDescent="0.25">
      <c r="A26" s="293"/>
      <c r="B26" s="69" t="s">
        <v>38</v>
      </c>
      <c r="C26" s="69"/>
    </row>
    <row r="27" spans="1:41" x14ac:dyDescent="0.25">
      <c r="A27" s="294"/>
      <c r="B27" s="69" t="s">
        <v>39</v>
      </c>
      <c r="C27" s="69"/>
    </row>
    <row r="28" spans="1:41" ht="16.3" x14ac:dyDescent="0.3">
      <c r="A28" s="579" t="s">
        <v>28</v>
      </c>
    </row>
  </sheetData>
  <mergeCells count="16">
    <mergeCell ref="A23:R23"/>
    <mergeCell ref="Z1:AC1"/>
    <mergeCell ref="AD1:AG1"/>
    <mergeCell ref="AH1:AK1"/>
    <mergeCell ref="AL1:AO1"/>
    <mergeCell ref="P1:R1"/>
    <mergeCell ref="C14:E14"/>
    <mergeCell ref="C16:E16"/>
    <mergeCell ref="A1:C1"/>
    <mergeCell ref="E1:G1"/>
    <mergeCell ref="H1:I1"/>
    <mergeCell ref="J1:M1"/>
    <mergeCell ref="N1:O1"/>
    <mergeCell ref="C15:E15"/>
    <mergeCell ref="A17:AO17"/>
    <mergeCell ref="A18:AO1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26"/>
  <sheetViews>
    <sheetView zoomScaleNormal="100" workbookViewId="0">
      <pane ySplit="2" topLeftCell="A3" activePane="bottomLeft" state="frozen"/>
      <selection pane="bottomLeft" activeCell="S4" sqref="S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25" customWidth="1"/>
    <col min="5" max="5" width="3.75" customWidth="1"/>
    <col min="6" max="7" width="4" bestFit="1" customWidth="1"/>
    <col min="8" max="18" width="3.75" customWidth="1"/>
    <col min="19" max="20" width="6.25" customWidth="1"/>
    <col min="21" max="21" width="23.625" bestFit="1" customWidth="1"/>
    <col min="22" max="22" width="21.625" bestFit="1" customWidth="1"/>
    <col min="23" max="23" width="15.875" bestFit="1" customWidth="1"/>
    <col min="24" max="24" width="15.375" bestFit="1" customWidth="1"/>
    <col min="25" max="25" width="22.2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953" t="s">
        <v>513</v>
      </c>
      <c r="B1" s="954"/>
      <c r="C1" s="954"/>
      <c r="D1" s="133"/>
      <c r="E1" s="955" t="s">
        <v>24</v>
      </c>
      <c r="F1" s="956"/>
      <c r="G1" s="957"/>
      <c r="H1" s="955" t="s">
        <v>23</v>
      </c>
      <c r="I1" s="957"/>
      <c r="J1" s="950" t="s">
        <v>6</v>
      </c>
      <c r="K1" s="951"/>
      <c r="L1" s="951"/>
      <c r="M1" s="952"/>
      <c r="N1" s="950" t="s">
        <v>7</v>
      </c>
      <c r="O1" s="952"/>
      <c r="P1" s="950" t="s">
        <v>25</v>
      </c>
      <c r="Q1" s="951"/>
      <c r="R1" s="952"/>
      <c r="S1" s="134" t="s">
        <v>8</v>
      </c>
      <c r="T1" s="134" t="s">
        <v>9</v>
      </c>
      <c r="U1" s="135" t="s">
        <v>10</v>
      </c>
      <c r="V1" s="136" t="s">
        <v>11</v>
      </c>
      <c r="W1" s="135" t="s">
        <v>95</v>
      </c>
      <c r="X1" s="137" t="s">
        <v>26</v>
      </c>
      <c r="Y1" s="355" t="s">
        <v>27</v>
      </c>
      <c r="Z1" s="947" t="s">
        <v>20</v>
      </c>
      <c r="AA1" s="948"/>
      <c r="AB1" s="948"/>
      <c r="AC1" s="949"/>
      <c r="AD1" s="947" t="s">
        <v>56</v>
      </c>
      <c r="AE1" s="948"/>
      <c r="AF1" s="948"/>
      <c r="AG1" s="949"/>
      <c r="AH1" s="947" t="s">
        <v>57</v>
      </c>
      <c r="AI1" s="948"/>
      <c r="AJ1" s="948"/>
      <c r="AK1" s="949"/>
      <c r="AL1" s="947" t="s">
        <v>58</v>
      </c>
      <c r="AM1" s="948"/>
      <c r="AN1" s="948"/>
      <c r="AO1" s="949"/>
    </row>
    <row r="2" spans="1:47" ht="14.95" customHeight="1" thickBot="1" x14ac:dyDescent="0.3">
      <c r="A2" s="138" t="s">
        <v>19</v>
      </c>
      <c r="B2" s="139" t="s">
        <v>18</v>
      </c>
      <c r="C2" s="140" t="s">
        <v>17</v>
      </c>
      <c r="D2" s="140" t="s">
        <v>37</v>
      </c>
      <c r="E2" s="141" t="s">
        <v>16</v>
      </c>
      <c r="F2" s="141" t="s">
        <v>4</v>
      </c>
      <c r="G2" s="141" t="s">
        <v>5</v>
      </c>
      <c r="H2" s="142" t="s">
        <v>12</v>
      </c>
      <c r="I2" s="142" t="s">
        <v>3</v>
      </c>
      <c r="J2" s="142" t="s">
        <v>12</v>
      </c>
      <c r="K2" s="142" t="s">
        <v>13</v>
      </c>
      <c r="L2" s="142" t="s">
        <v>2</v>
      </c>
      <c r="M2" s="142" t="s">
        <v>14</v>
      </c>
      <c r="N2" s="142" t="s">
        <v>15</v>
      </c>
      <c r="O2" s="142" t="s">
        <v>16</v>
      </c>
      <c r="P2" s="142" t="s">
        <v>21</v>
      </c>
      <c r="Q2" s="142" t="s">
        <v>22</v>
      </c>
      <c r="R2" s="142" t="s">
        <v>12</v>
      </c>
      <c r="S2" s="143"/>
      <c r="T2" s="144"/>
      <c r="U2" s="145"/>
      <c r="V2" s="143"/>
      <c r="W2" s="145"/>
      <c r="X2" s="146"/>
      <c r="Y2" s="356"/>
      <c r="Z2" s="147" t="s">
        <v>0</v>
      </c>
      <c r="AA2" s="147" t="s">
        <v>1</v>
      </c>
      <c r="AB2" s="147" t="s">
        <v>2</v>
      </c>
      <c r="AC2" s="147" t="s">
        <v>3</v>
      </c>
      <c r="AD2" s="147" t="s">
        <v>0</v>
      </c>
      <c r="AE2" s="147" t="s">
        <v>1</v>
      </c>
      <c r="AF2" s="147" t="s">
        <v>2</v>
      </c>
      <c r="AG2" s="147" t="s">
        <v>3</v>
      </c>
      <c r="AH2" s="147" t="s">
        <v>0</v>
      </c>
      <c r="AI2" s="147" t="s">
        <v>1</v>
      </c>
      <c r="AJ2" s="147" t="s">
        <v>2</v>
      </c>
      <c r="AK2" s="147" t="s">
        <v>3</v>
      </c>
      <c r="AL2" s="147" t="s">
        <v>0</v>
      </c>
      <c r="AM2" s="147" t="s">
        <v>1</v>
      </c>
      <c r="AN2" s="147" t="s">
        <v>2</v>
      </c>
      <c r="AO2" s="147" t="s">
        <v>3</v>
      </c>
      <c r="AT2" s="69" t="s">
        <v>258</v>
      </c>
    </row>
    <row r="3" spans="1:47" ht="14.95" customHeight="1" thickBot="1" x14ac:dyDescent="0.3">
      <c r="A3" s="151" t="s">
        <v>492</v>
      </c>
      <c r="B3" s="152" t="s">
        <v>41</v>
      </c>
      <c r="C3" s="152" t="s">
        <v>33</v>
      </c>
      <c r="D3" s="152" t="s">
        <v>503</v>
      </c>
      <c r="E3" s="153" t="s">
        <v>3</v>
      </c>
      <c r="F3" s="153">
        <v>7</v>
      </c>
      <c r="G3" s="153">
        <v>40</v>
      </c>
      <c r="H3" s="345">
        <v>0</v>
      </c>
      <c r="I3" s="345">
        <v>0</v>
      </c>
      <c r="J3" s="345">
        <v>1</v>
      </c>
      <c r="K3" s="345">
        <v>1</v>
      </c>
      <c r="L3" s="345">
        <v>0</v>
      </c>
      <c r="M3" s="345">
        <v>0</v>
      </c>
      <c r="N3" s="345">
        <v>1</v>
      </c>
      <c r="O3" s="345">
        <v>0</v>
      </c>
      <c r="P3" s="345">
        <v>1</v>
      </c>
      <c r="Q3" s="345">
        <v>0</v>
      </c>
      <c r="R3" s="345">
        <v>6</v>
      </c>
      <c r="S3" s="155">
        <v>14876</v>
      </c>
      <c r="T3" s="159" t="s">
        <v>529</v>
      </c>
      <c r="U3" s="157" t="s">
        <v>121</v>
      </c>
      <c r="V3" s="155" t="s">
        <v>97</v>
      </c>
      <c r="W3" s="155" t="s">
        <v>527</v>
      </c>
      <c r="X3" s="154" t="s">
        <v>141</v>
      </c>
      <c r="Y3" s="348" t="s">
        <v>528</v>
      </c>
      <c r="Z3" s="154">
        <v>1</v>
      </c>
      <c r="AA3" s="154">
        <v>0</v>
      </c>
      <c r="AB3" s="154">
        <v>0</v>
      </c>
      <c r="AC3" s="451">
        <v>1</v>
      </c>
      <c r="AD3" s="154">
        <v>0</v>
      </c>
      <c r="AE3" s="154">
        <v>0</v>
      </c>
      <c r="AF3" s="154">
        <v>0</v>
      </c>
      <c r="AG3" s="451">
        <v>0</v>
      </c>
      <c r="AH3" s="154">
        <v>1</v>
      </c>
      <c r="AI3" s="154">
        <v>0</v>
      </c>
      <c r="AJ3" s="154">
        <v>0</v>
      </c>
      <c r="AK3" s="451">
        <v>1</v>
      </c>
      <c r="AL3" s="154">
        <v>0</v>
      </c>
      <c r="AM3" s="154">
        <v>0</v>
      </c>
      <c r="AN3" s="154">
        <v>0</v>
      </c>
      <c r="AO3" s="451">
        <v>0</v>
      </c>
      <c r="AT3" s="443" t="s">
        <v>253</v>
      </c>
      <c r="AU3" s="444">
        <v>25</v>
      </c>
    </row>
    <row r="4" spans="1:47" ht="14.95" customHeight="1" thickBot="1" x14ac:dyDescent="0.3">
      <c r="A4" s="151" t="s">
        <v>491</v>
      </c>
      <c r="B4" s="152" t="s">
        <v>41</v>
      </c>
      <c r="C4" s="152" t="s">
        <v>35</v>
      </c>
      <c r="D4" s="152" t="s">
        <v>507</v>
      </c>
      <c r="E4" s="153" t="s">
        <v>3</v>
      </c>
      <c r="F4" s="153">
        <v>20</v>
      </c>
      <c r="G4" s="153">
        <v>57</v>
      </c>
      <c r="H4" s="345">
        <v>1</v>
      </c>
      <c r="I4" s="345">
        <v>0</v>
      </c>
      <c r="J4" s="345">
        <v>4</v>
      </c>
      <c r="K4" s="345">
        <v>0</v>
      </c>
      <c r="L4" s="345">
        <v>0</v>
      </c>
      <c r="M4" s="345">
        <v>0</v>
      </c>
      <c r="N4" s="345">
        <v>0</v>
      </c>
      <c r="O4" s="345">
        <v>0</v>
      </c>
      <c r="P4" s="345">
        <v>1</v>
      </c>
      <c r="Q4" s="345">
        <v>0</v>
      </c>
      <c r="R4" s="345">
        <v>9</v>
      </c>
      <c r="S4" s="155">
        <v>9206</v>
      </c>
      <c r="T4" s="159" t="s">
        <v>612</v>
      </c>
      <c r="U4" s="157" t="s">
        <v>127</v>
      </c>
      <c r="V4" s="155" t="s">
        <v>436</v>
      </c>
      <c r="W4" s="155" t="s">
        <v>527</v>
      </c>
      <c r="X4" s="154" t="s">
        <v>610</v>
      </c>
      <c r="Y4" s="348" t="s">
        <v>611</v>
      </c>
      <c r="Z4" s="154">
        <v>1</v>
      </c>
      <c r="AA4" s="154">
        <v>0</v>
      </c>
      <c r="AB4" s="154">
        <v>0</v>
      </c>
      <c r="AC4" s="451">
        <v>1</v>
      </c>
      <c r="AD4" s="154">
        <v>0</v>
      </c>
      <c r="AE4" s="154">
        <v>0</v>
      </c>
      <c r="AF4" s="154">
        <v>0</v>
      </c>
      <c r="AG4" s="451">
        <v>0</v>
      </c>
      <c r="AH4" s="154">
        <v>1</v>
      </c>
      <c r="AI4" s="154">
        <v>0</v>
      </c>
      <c r="AJ4" s="154">
        <v>0</v>
      </c>
      <c r="AK4" s="451">
        <v>1</v>
      </c>
      <c r="AL4" s="154">
        <v>0</v>
      </c>
      <c r="AM4" s="154">
        <v>0</v>
      </c>
      <c r="AN4" s="154">
        <v>0</v>
      </c>
      <c r="AO4" s="451">
        <v>0</v>
      </c>
      <c r="AT4" s="445" t="s">
        <v>254</v>
      </c>
      <c r="AU4" s="446">
        <v>9</v>
      </c>
    </row>
    <row r="5" spans="1:47" ht="14.95" customHeight="1" thickBot="1" x14ac:dyDescent="0.35">
      <c r="A5" s="163" t="s">
        <v>493</v>
      </c>
      <c r="B5" s="164" t="s">
        <v>41</v>
      </c>
      <c r="C5" s="164" t="s">
        <v>34</v>
      </c>
      <c r="D5" s="164" t="s">
        <v>149</v>
      </c>
      <c r="E5" s="165"/>
      <c r="F5" s="165"/>
      <c r="G5" s="165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166"/>
      <c r="T5" s="172"/>
      <c r="U5" s="168"/>
      <c r="V5" s="166"/>
      <c r="W5" s="168"/>
      <c r="X5" s="168"/>
      <c r="Y5" s="169"/>
      <c r="Z5" s="169"/>
      <c r="AA5" s="169"/>
      <c r="AB5" s="169"/>
      <c r="AC5" s="316"/>
      <c r="AD5" s="169"/>
      <c r="AE5" s="169"/>
      <c r="AF5" s="169"/>
      <c r="AG5" s="316"/>
      <c r="AH5" s="169"/>
      <c r="AI5" s="169"/>
      <c r="AJ5" s="169"/>
      <c r="AK5" s="316"/>
      <c r="AL5" s="169"/>
      <c r="AM5" s="169"/>
      <c r="AN5" s="169"/>
      <c r="AO5" s="316"/>
      <c r="AT5" s="445" t="s">
        <v>255</v>
      </c>
      <c r="AU5" s="446">
        <v>0</v>
      </c>
    </row>
    <row r="6" spans="1:47" ht="14.95" customHeight="1" thickBot="1" x14ac:dyDescent="0.35">
      <c r="A6" s="163" t="s">
        <v>494</v>
      </c>
      <c r="B6" s="164" t="s">
        <v>41</v>
      </c>
      <c r="C6" s="164" t="s">
        <v>30</v>
      </c>
      <c r="D6" s="164" t="s">
        <v>149</v>
      </c>
      <c r="E6" s="165"/>
      <c r="F6" s="165"/>
      <c r="G6" s="165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166"/>
      <c r="T6" s="172"/>
      <c r="U6" s="168"/>
      <c r="V6" s="166"/>
      <c r="W6" s="166"/>
      <c r="X6" s="169"/>
      <c r="Y6" s="349"/>
      <c r="Z6" s="169"/>
      <c r="AA6" s="169"/>
      <c r="AB6" s="169"/>
      <c r="AC6" s="316"/>
      <c r="AD6" s="169"/>
      <c r="AE6" s="169"/>
      <c r="AF6" s="169"/>
      <c r="AG6" s="316"/>
      <c r="AH6" s="169"/>
      <c r="AI6" s="169"/>
      <c r="AJ6" s="169"/>
      <c r="AK6" s="316"/>
      <c r="AL6" s="169"/>
      <c r="AM6" s="169"/>
      <c r="AN6" s="169"/>
      <c r="AO6" s="316"/>
      <c r="AT6" s="445" t="s">
        <v>256</v>
      </c>
      <c r="AU6" s="446">
        <v>16</v>
      </c>
    </row>
    <row r="7" spans="1:47" ht="14.95" customHeight="1" thickBot="1" x14ac:dyDescent="0.35">
      <c r="A7" s="151" t="s">
        <v>192</v>
      </c>
      <c r="B7" s="152" t="s">
        <v>41</v>
      </c>
      <c r="C7" s="152" t="s">
        <v>31</v>
      </c>
      <c r="D7" s="152" t="s">
        <v>516</v>
      </c>
      <c r="E7" s="153"/>
      <c r="F7" s="153"/>
      <c r="G7" s="153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155"/>
      <c r="T7" s="156"/>
      <c r="U7" s="157"/>
      <c r="V7" s="155"/>
      <c r="W7" s="155"/>
      <c r="X7" s="154"/>
      <c r="Y7" s="154"/>
      <c r="Z7" s="154"/>
      <c r="AA7" s="154"/>
      <c r="AB7" s="154"/>
      <c r="AC7" s="451"/>
      <c r="AD7" s="154"/>
      <c r="AE7" s="154"/>
      <c r="AF7" s="154"/>
      <c r="AG7" s="451"/>
      <c r="AH7" s="154"/>
      <c r="AI7" s="154"/>
      <c r="AJ7" s="154"/>
      <c r="AK7" s="451"/>
      <c r="AL7" s="154"/>
      <c r="AM7" s="154"/>
      <c r="AN7" s="154"/>
      <c r="AO7" s="451"/>
      <c r="AT7" s="445" t="s">
        <v>257</v>
      </c>
      <c r="AU7" s="446">
        <v>408</v>
      </c>
    </row>
    <row r="8" spans="1:47" ht="14.95" customHeight="1" thickBot="1" x14ac:dyDescent="0.35">
      <c r="A8" s="163"/>
      <c r="B8" s="164"/>
      <c r="C8" s="164"/>
      <c r="D8" s="164"/>
      <c r="E8" s="165"/>
      <c r="F8" s="165"/>
      <c r="G8" s="165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166"/>
      <c r="T8" s="172"/>
      <c r="U8" s="168"/>
      <c r="V8" s="166"/>
      <c r="W8" s="166"/>
      <c r="X8" s="170"/>
      <c r="Y8" s="349"/>
      <c r="Z8" s="169"/>
      <c r="AA8" s="169"/>
      <c r="AB8" s="169"/>
      <c r="AC8" s="316"/>
      <c r="AD8" s="169"/>
      <c r="AE8" s="169"/>
      <c r="AF8" s="169"/>
      <c r="AG8" s="316"/>
      <c r="AH8" s="169"/>
      <c r="AI8" s="169"/>
      <c r="AJ8" s="169"/>
      <c r="AK8" s="316"/>
      <c r="AL8" s="169"/>
      <c r="AM8" s="169"/>
      <c r="AN8" s="169"/>
      <c r="AO8" s="316"/>
      <c r="AT8" s="447"/>
      <c r="AU8" s="448"/>
    </row>
    <row r="9" spans="1:47" ht="14.95" customHeight="1" thickBot="1" x14ac:dyDescent="0.35">
      <c r="A9" s="163"/>
      <c r="B9" s="164"/>
      <c r="C9" s="164"/>
      <c r="D9" s="164"/>
      <c r="E9" s="165"/>
      <c r="F9" s="165"/>
      <c r="G9" s="165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166"/>
      <c r="T9" s="172"/>
      <c r="U9" s="168"/>
      <c r="V9" s="166"/>
      <c r="W9" s="166"/>
      <c r="X9" s="170"/>
      <c r="Y9" s="349"/>
      <c r="Z9" s="169"/>
      <c r="AA9" s="169"/>
      <c r="AB9" s="169"/>
      <c r="AC9" s="316"/>
      <c r="AD9" s="169"/>
      <c r="AE9" s="169"/>
      <c r="AF9" s="169"/>
      <c r="AG9" s="316"/>
      <c r="AH9" s="169"/>
      <c r="AI9" s="169"/>
      <c r="AJ9" s="169"/>
      <c r="AK9" s="316"/>
      <c r="AL9" s="169"/>
      <c r="AM9" s="169"/>
      <c r="AN9" s="169"/>
      <c r="AO9" s="316"/>
    </row>
    <row r="10" spans="1:47" ht="14.95" customHeight="1" thickBot="1" x14ac:dyDescent="0.3">
      <c r="A10" s="163"/>
      <c r="B10" s="164"/>
      <c r="C10" s="164"/>
      <c r="D10" s="164"/>
      <c r="E10" s="165"/>
      <c r="F10" s="165"/>
      <c r="G10" s="165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169"/>
      <c r="T10" s="301"/>
      <c r="U10" s="169"/>
      <c r="V10" s="169"/>
      <c r="W10" s="169"/>
      <c r="X10" s="169"/>
      <c r="Y10" s="170"/>
      <c r="Z10" s="169"/>
      <c r="AA10" s="169"/>
      <c r="AB10" s="169"/>
      <c r="AC10" s="316"/>
      <c r="AD10" s="169"/>
      <c r="AE10" s="169"/>
      <c r="AF10" s="169"/>
      <c r="AG10" s="316"/>
      <c r="AH10" s="169"/>
      <c r="AI10" s="169"/>
      <c r="AJ10" s="169"/>
      <c r="AK10" s="316"/>
      <c r="AL10" s="169"/>
      <c r="AM10" s="169"/>
      <c r="AN10" s="169"/>
      <c r="AO10" s="316"/>
    </row>
    <row r="11" spans="1:47" ht="14.95" customHeight="1" thickBot="1" x14ac:dyDescent="0.3">
      <c r="A11" s="163"/>
      <c r="B11" s="164"/>
      <c r="C11" s="164"/>
      <c r="D11" s="164"/>
      <c r="E11" s="165"/>
      <c r="F11" s="165"/>
      <c r="G11" s="165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166"/>
      <c r="T11" s="167"/>
      <c r="U11" s="168"/>
      <c r="V11" s="166"/>
      <c r="W11" s="166"/>
      <c r="X11" s="169"/>
      <c r="Y11" s="541"/>
      <c r="Z11" s="169"/>
      <c r="AA11" s="169"/>
      <c r="AB11" s="169"/>
      <c r="AC11" s="316"/>
      <c r="AD11" s="169"/>
      <c r="AE11" s="169"/>
      <c r="AF11" s="169"/>
      <c r="AG11" s="316"/>
      <c r="AH11" s="169"/>
      <c r="AI11" s="169"/>
      <c r="AJ11" s="169"/>
      <c r="AK11" s="316"/>
      <c r="AL11" s="169"/>
      <c r="AM11" s="169"/>
      <c r="AN11" s="169"/>
      <c r="AO11" s="316"/>
    </row>
    <row r="12" spans="1:47" ht="14.95" customHeight="1" thickBot="1" x14ac:dyDescent="0.3">
      <c r="A12" s="163"/>
      <c r="B12" s="164"/>
      <c r="C12" s="164"/>
      <c r="D12" s="164"/>
      <c r="E12" s="165"/>
      <c r="F12" s="165"/>
      <c r="G12" s="165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166"/>
      <c r="T12" s="671"/>
      <c r="U12" s="168"/>
      <c r="V12" s="166"/>
      <c r="W12" s="166"/>
      <c r="X12" s="169"/>
      <c r="Y12" s="169"/>
      <c r="Z12" s="169"/>
      <c r="AA12" s="169"/>
      <c r="AB12" s="169"/>
      <c r="AC12" s="316"/>
      <c r="AD12" s="169"/>
      <c r="AE12" s="169"/>
      <c r="AF12" s="169"/>
      <c r="AG12" s="316"/>
      <c r="AH12" s="169"/>
      <c r="AI12" s="169"/>
      <c r="AJ12" s="169"/>
      <c r="AK12" s="316"/>
      <c r="AL12" s="169"/>
      <c r="AM12" s="169"/>
      <c r="AN12" s="169"/>
      <c r="AO12" s="316"/>
    </row>
    <row r="13" spans="1:47" ht="14.95" thickBot="1" x14ac:dyDescent="0.3">
      <c r="A13" s="100"/>
      <c r="B13" s="101"/>
      <c r="C13" s="797" t="s">
        <v>71</v>
      </c>
      <c r="D13" s="798"/>
      <c r="E13" s="799"/>
      <c r="F13" s="385">
        <f>SUM(F3:F7)</f>
        <v>27</v>
      </c>
      <c r="G13" s="385">
        <f t="shared" ref="G13:R13" si="0">SUM(G3:G7)</f>
        <v>97</v>
      </c>
      <c r="H13" s="385">
        <f t="shared" si="0"/>
        <v>1</v>
      </c>
      <c r="I13" s="385">
        <f t="shared" si="0"/>
        <v>0</v>
      </c>
      <c r="J13" s="385">
        <f t="shared" si="0"/>
        <v>5</v>
      </c>
      <c r="K13" s="385">
        <f t="shared" si="0"/>
        <v>1</v>
      </c>
      <c r="L13" s="385">
        <f t="shared" si="0"/>
        <v>0</v>
      </c>
      <c r="M13" s="385">
        <f t="shared" si="0"/>
        <v>0</v>
      </c>
      <c r="N13" s="385">
        <f t="shared" si="0"/>
        <v>1</v>
      </c>
      <c r="O13" s="385">
        <f t="shared" si="0"/>
        <v>0</v>
      </c>
      <c r="P13" s="385">
        <f t="shared" si="0"/>
        <v>2</v>
      </c>
      <c r="Q13" s="385">
        <f t="shared" si="0"/>
        <v>0</v>
      </c>
      <c r="R13" s="385">
        <f t="shared" si="0"/>
        <v>15</v>
      </c>
      <c r="S13" s="386"/>
      <c r="T13" s="386"/>
      <c r="U13" s="386"/>
      <c r="V13" s="386"/>
      <c r="W13" s="386"/>
      <c r="X13" s="381"/>
      <c r="Y13" s="389" t="s">
        <v>71</v>
      </c>
      <c r="Z13" s="385">
        <f t="shared" ref="Z13:AO13" si="1">SUM(Z3:Z7)</f>
        <v>2</v>
      </c>
      <c r="AA13" s="385">
        <f t="shared" si="1"/>
        <v>0</v>
      </c>
      <c r="AB13" s="385">
        <f t="shared" si="1"/>
        <v>0</v>
      </c>
      <c r="AC13" s="385">
        <f t="shared" si="1"/>
        <v>2</v>
      </c>
      <c r="AD13" s="387">
        <f t="shared" si="1"/>
        <v>0</v>
      </c>
      <c r="AE13" s="387">
        <f t="shared" si="1"/>
        <v>0</v>
      </c>
      <c r="AF13" s="387">
        <f t="shared" si="1"/>
        <v>0</v>
      </c>
      <c r="AG13" s="387">
        <f t="shared" si="1"/>
        <v>0</v>
      </c>
      <c r="AH13" s="388">
        <f t="shared" si="1"/>
        <v>2</v>
      </c>
      <c r="AI13" s="388">
        <f t="shared" si="1"/>
        <v>0</v>
      </c>
      <c r="AJ13" s="388">
        <f t="shared" si="1"/>
        <v>0</v>
      </c>
      <c r="AK13" s="388">
        <f t="shared" si="1"/>
        <v>2</v>
      </c>
      <c r="AL13" s="385">
        <f t="shared" si="1"/>
        <v>0</v>
      </c>
      <c r="AM13" s="385">
        <f t="shared" si="1"/>
        <v>0</v>
      </c>
      <c r="AN13" s="385">
        <f t="shared" si="1"/>
        <v>0</v>
      </c>
      <c r="AO13" s="385">
        <f t="shared" si="1"/>
        <v>0</v>
      </c>
    </row>
    <row r="14" spans="1:47" ht="14.95" thickBot="1" x14ac:dyDescent="0.3">
      <c r="A14" s="189"/>
      <c r="B14" s="190"/>
      <c r="C14" s="808" t="s">
        <v>500</v>
      </c>
      <c r="D14" s="809"/>
      <c r="E14" s="810"/>
      <c r="F14" s="661">
        <f>SUM(F10:F12)</f>
        <v>0</v>
      </c>
      <c r="G14" s="661">
        <f t="shared" ref="G14:R14" si="2">SUM(G10:G12)</f>
        <v>0</v>
      </c>
      <c r="H14" s="661">
        <f t="shared" si="2"/>
        <v>0</v>
      </c>
      <c r="I14" s="661">
        <f t="shared" si="2"/>
        <v>0</v>
      </c>
      <c r="J14" s="661">
        <f t="shared" si="2"/>
        <v>0</v>
      </c>
      <c r="K14" s="661">
        <f t="shared" si="2"/>
        <v>0</v>
      </c>
      <c r="L14" s="661">
        <f t="shared" si="2"/>
        <v>0</v>
      </c>
      <c r="M14" s="661">
        <f t="shared" si="2"/>
        <v>0</v>
      </c>
      <c r="N14" s="661">
        <f t="shared" si="2"/>
        <v>0</v>
      </c>
      <c r="O14" s="661">
        <f t="shared" si="2"/>
        <v>0</v>
      </c>
      <c r="P14" s="661">
        <f t="shared" si="2"/>
        <v>0</v>
      </c>
      <c r="Q14" s="661">
        <f t="shared" si="2"/>
        <v>0</v>
      </c>
      <c r="R14" s="661">
        <f t="shared" si="2"/>
        <v>0</v>
      </c>
      <c r="S14" s="666"/>
      <c r="T14" s="666"/>
      <c r="U14" s="666"/>
      <c r="V14" s="666"/>
      <c r="W14" s="666"/>
      <c r="X14" s="663"/>
      <c r="Y14" s="660" t="s">
        <v>500</v>
      </c>
      <c r="Z14" s="661">
        <f t="shared" ref="Z14:AO14" si="3">SUM(Z10:Z12)</f>
        <v>0</v>
      </c>
      <c r="AA14" s="661">
        <f t="shared" si="3"/>
        <v>0</v>
      </c>
      <c r="AB14" s="661">
        <f t="shared" si="3"/>
        <v>0</v>
      </c>
      <c r="AC14" s="661">
        <f t="shared" si="3"/>
        <v>0</v>
      </c>
      <c r="AD14" s="664">
        <f t="shared" si="3"/>
        <v>0</v>
      </c>
      <c r="AE14" s="664">
        <f t="shared" si="3"/>
        <v>0</v>
      </c>
      <c r="AF14" s="664">
        <f t="shared" si="3"/>
        <v>0</v>
      </c>
      <c r="AG14" s="664">
        <f t="shared" si="3"/>
        <v>0</v>
      </c>
      <c r="AH14" s="665">
        <f t="shared" si="3"/>
        <v>0</v>
      </c>
      <c r="AI14" s="665">
        <f t="shared" si="3"/>
        <v>0</v>
      </c>
      <c r="AJ14" s="665">
        <f t="shared" si="3"/>
        <v>0</v>
      </c>
      <c r="AK14" s="665">
        <f t="shared" si="3"/>
        <v>0</v>
      </c>
      <c r="AL14" s="661">
        <f t="shared" si="3"/>
        <v>0</v>
      </c>
      <c r="AM14" s="661">
        <f t="shared" si="3"/>
        <v>0</v>
      </c>
      <c r="AN14" s="661">
        <f t="shared" si="3"/>
        <v>0</v>
      </c>
      <c r="AO14" s="661">
        <f t="shared" si="3"/>
        <v>0</v>
      </c>
    </row>
    <row r="15" spans="1:47" ht="14.95" thickBot="1" x14ac:dyDescent="0.3">
      <c r="A15" s="100"/>
      <c r="B15" s="101"/>
      <c r="C15" s="800" t="s">
        <v>70</v>
      </c>
      <c r="D15" s="801"/>
      <c r="E15" s="802"/>
      <c r="F15" s="124">
        <f t="shared" ref="F15:R15" si="4">SUM(F3:F12)</f>
        <v>27</v>
      </c>
      <c r="G15" s="124">
        <f t="shared" si="4"/>
        <v>97</v>
      </c>
      <c r="H15" s="124">
        <f t="shared" si="4"/>
        <v>1</v>
      </c>
      <c r="I15" s="124">
        <f t="shared" si="4"/>
        <v>0</v>
      </c>
      <c r="J15" s="124">
        <f t="shared" si="4"/>
        <v>5</v>
      </c>
      <c r="K15" s="124">
        <f t="shared" si="4"/>
        <v>1</v>
      </c>
      <c r="L15" s="124">
        <f t="shared" si="4"/>
        <v>0</v>
      </c>
      <c r="M15" s="124">
        <f t="shared" si="4"/>
        <v>0</v>
      </c>
      <c r="N15" s="124">
        <f t="shared" si="4"/>
        <v>1</v>
      </c>
      <c r="O15" s="124">
        <f t="shared" si="4"/>
        <v>0</v>
      </c>
      <c r="P15" s="124">
        <f t="shared" si="4"/>
        <v>2</v>
      </c>
      <c r="Q15" s="124">
        <f t="shared" si="4"/>
        <v>0</v>
      </c>
      <c r="R15" s="124">
        <f t="shared" si="4"/>
        <v>15</v>
      </c>
      <c r="S15" s="121"/>
      <c r="T15" s="121"/>
      <c r="U15" s="121"/>
      <c r="V15" s="121"/>
      <c r="W15" s="121"/>
      <c r="X15" s="12"/>
      <c r="Y15" s="129" t="s">
        <v>70</v>
      </c>
      <c r="Z15" s="124">
        <f t="shared" ref="Z15:AO15" si="5">SUM(Z3:Z12)</f>
        <v>2</v>
      </c>
      <c r="AA15" s="124">
        <f t="shared" si="5"/>
        <v>0</v>
      </c>
      <c r="AB15" s="124">
        <f t="shared" si="5"/>
        <v>0</v>
      </c>
      <c r="AC15" s="124">
        <f t="shared" si="5"/>
        <v>2</v>
      </c>
      <c r="AD15" s="122">
        <f t="shared" si="5"/>
        <v>0</v>
      </c>
      <c r="AE15" s="122">
        <f t="shared" si="5"/>
        <v>0</v>
      </c>
      <c r="AF15" s="122">
        <f t="shared" si="5"/>
        <v>0</v>
      </c>
      <c r="AG15" s="122">
        <f t="shared" si="5"/>
        <v>0</v>
      </c>
      <c r="AH15" s="123">
        <f t="shared" si="5"/>
        <v>2</v>
      </c>
      <c r="AI15" s="123">
        <f t="shared" si="5"/>
        <v>0</v>
      </c>
      <c r="AJ15" s="123">
        <f t="shared" si="5"/>
        <v>0</v>
      </c>
      <c r="AK15" s="123">
        <f t="shared" si="5"/>
        <v>2</v>
      </c>
      <c r="AL15" s="124">
        <f t="shared" si="5"/>
        <v>0</v>
      </c>
      <c r="AM15" s="124">
        <f t="shared" si="5"/>
        <v>0</v>
      </c>
      <c r="AN15" s="124">
        <f t="shared" si="5"/>
        <v>0</v>
      </c>
      <c r="AO15" s="124">
        <f t="shared" si="5"/>
        <v>0</v>
      </c>
    </row>
    <row r="16" spans="1:47" x14ac:dyDescent="0.25">
      <c r="A16" s="789" t="s">
        <v>53</v>
      </c>
      <c r="B16" s="790"/>
      <c r="C16" s="790"/>
      <c r="D16" s="790"/>
      <c r="E16" s="790"/>
      <c r="F16" s="790"/>
      <c r="G16" s="790"/>
      <c r="H16" s="790"/>
      <c r="I16" s="790"/>
      <c r="J16" s="790"/>
      <c r="K16" s="790"/>
      <c r="L16" s="790"/>
      <c r="M16" s="790"/>
      <c r="N16" s="790"/>
      <c r="O16" s="790"/>
      <c r="P16" s="790"/>
      <c r="Q16" s="790"/>
      <c r="R16" s="790"/>
    </row>
    <row r="17" spans="1:18" x14ac:dyDescent="0.25">
      <c r="A17" t="s">
        <v>514</v>
      </c>
      <c r="F17" s="13"/>
      <c r="G17" s="13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x14ac:dyDescent="0.25">
      <c r="A18" t="s">
        <v>518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5">
      <c r="A19" s="174"/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x14ac:dyDescent="0.25">
      <c r="A20" s="174"/>
      <c r="F20" s="13"/>
      <c r="G20" s="13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5">
      <c r="A21" s="789" t="s">
        <v>515</v>
      </c>
      <c r="B21" s="790"/>
      <c r="C21" s="790"/>
      <c r="D21" s="790"/>
      <c r="E21" s="790"/>
      <c r="F21" s="790"/>
      <c r="G21" s="790"/>
      <c r="H21" s="790"/>
      <c r="I21" s="790"/>
      <c r="J21" s="790"/>
      <c r="K21" s="790"/>
      <c r="L21" s="790"/>
      <c r="M21" s="790"/>
      <c r="N21" s="790"/>
      <c r="O21" s="790"/>
      <c r="P21" s="790"/>
      <c r="Q21" s="790"/>
      <c r="R21" s="790"/>
    </row>
    <row r="22" spans="1:18" x14ac:dyDescent="0.25">
      <c r="A22" t="s">
        <v>76</v>
      </c>
    </row>
    <row r="23" spans="1:18" x14ac:dyDescent="0.25">
      <c r="A23" s="292"/>
      <c r="B23" s="69" t="s">
        <v>40</v>
      </c>
      <c r="C23" s="69"/>
    </row>
    <row r="24" spans="1:18" x14ac:dyDescent="0.25">
      <c r="A24" s="293"/>
      <c r="B24" s="69" t="s">
        <v>38</v>
      </c>
      <c r="C24" s="69"/>
    </row>
    <row r="25" spans="1:18" x14ac:dyDescent="0.25">
      <c r="A25" s="294"/>
      <c r="B25" s="69" t="s">
        <v>39</v>
      </c>
      <c r="C25" s="69"/>
    </row>
    <row r="26" spans="1:18" ht="16.3" x14ac:dyDescent="0.3">
      <c r="A26" s="579" t="s">
        <v>28</v>
      </c>
    </row>
  </sheetData>
  <mergeCells count="15">
    <mergeCell ref="A21:R21"/>
    <mergeCell ref="Z1:AC1"/>
    <mergeCell ref="AD1:AG1"/>
    <mergeCell ref="AH1:AK1"/>
    <mergeCell ref="AL1:AO1"/>
    <mergeCell ref="C13:E13"/>
    <mergeCell ref="A16:R16"/>
    <mergeCell ref="C15:E15"/>
    <mergeCell ref="P1:R1"/>
    <mergeCell ref="A1:C1"/>
    <mergeCell ref="E1:G1"/>
    <mergeCell ref="H1:I1"/>
    <mergeCell ref="J1:M1"/>
    <mergeCell ref="N1:O1"/>
    <mergeCell ref="C14:E14"/>
  </mergeCells>
  <pageMargins left="0.7" right="0.7" top="0.75" bottom="0.75" header="0.3" footer="0.3"/>
  <pageSetup paperSize="9" orientation="portrait" r:id="rId1"/>
  <ignoredErrors>
    <ignoredError sqref="T4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7C5A-F628-40BC-9697-E8083126C3E9}">
  <dimension ref="A1:AV25"/>
  <sheetViews>
    <sheetView workbookViewId="0">
      <selection activeCell="A25" sqref="A25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0.25" bestFit="1" customWidth="1"/>
    <col min="22" max="22" width="17.375" bestFit="1" customWidth="1"/>
    <col min="23" max="23" width="21.875" bestFit="1" customWidth="1"/>
    <col min="24" max="24" width="23.625" bestFit="1" customWidth="1"/>
    <col min="25" max="25" width="24.3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961" t="s">
        <v>557</v>
      </c>
      <c r="B1" s="962"/>
      <c r="C1" s="962"/>
      <c r="D1" s="215"/>
      <c r="E1" s="963" t="s">
        <v>24</v>
      </c>
      <c r="F1" s="964"/>
      <c r="G1" s="965"/>
      <c r="H1" s="963" t="s">
        <v>73</v>
      </c>
      <c r="I1" s="965"/>
      <c r="J1" s="966" t="s">
        <v>6</v>
      </c>
      <c r="K1" s="967"/>
      <c r="L1" s="967"/>
      <c r="M1" s="968"/>
      <c r="N1" s="966" t="s">
        <v>7</v>
      </c>
      <c r="O1" s="968"/>
      <c r="P1" s="966" t="s">
        <v>25</v>
      </c>
      <c r="Q1" s="967"/>
      <c r="R1" s="968"/>
      <c r="S1" s="532" t="s">
        <v>8</v>
      </c>
      <c r="T1" s="216" t="s">
        <v>9</v>
      </c>
      <c r="U1" s="217" t="s">
        <v>10</v>
      </c>
      <c r="V1" s="217" t="s">
        <v>11</v>
      </c>
      <c r="W1" s="217" t="s">
        <v>95</v>
      </c>
      <c r="X1" s="217" t="s">
        <v>26</v>
      </c>
      <c r="Y1" s="217" t="s">
        <v>27</v>
      </c>
      <c r="Z1" s="958" t="s">
        <v>20</v>
      </c>
      <c r="AA1" s="959"/>
      <c r="AB1" s="959"/>
      <c r="AC1" s="960"/>
      <c r="AD1" s="958" t="s">
        <v>56</v>
      </c>
      <c r="AE1" s="959"/>
      <c r="AF1" s="959"/>
      <c r="AG1" s="960"/>
      <c r="AH1" s="958" t="s">
        <v>57</v>
      </c>
      <c r="AI1" s="959"/>
      <c r="AJ1" s="959"/>
      <c r="AK1" s="960"/>
      <c r="AL1" s="958" t="s">
        <v>58</v>
      </c>
      <c r="AM1" s="959"/>
      <c r="AN1" s="959"/>
      <c r="AO1" s="960"/>
    </row>
    <row r="2" spans="1:48" ht="14.95" customHeight="1" thickBot="1" x14ac:dyDescent="0.3">
      <c r="A2" s="218" t="s">
        <v>19</v>
      </c>
      <c r="B2" s="219" t="s">
        <v>18</v>
      </c>
      <c r="C2" s="220" t="s">
        <v>17</v>
      </c>
      <c r="D2" s="220" t="s">
        <v>37</v>
      </c>
      <c r="E2" s="221" t="s">
        <v>16</v>
      </c>
      <c r="F2" s="221" t="s">
        <v>4</v>
      </c>
      <c r="G2" s="221" t="s">
        <v>5</v>
      </c>
      <c r="H2" s="222" t="s">
        <v>12</v>
      </c>
      <c r="I2" s="222" t="s">
        <v>3</v>
      </c>
      <c r="J2" s="222" t="s">
        <v>12</v>
      </c>
      <c r="K2" s="222" t="s">
        <v>13</v>
      </c>
      <c r="L2" s="222" t="s">
        <v>2</v>
      </c>
      <c r="M2" s="222" t="s">
        <v>14</v>
      </c>
      <c r="N2" s="222" t="s">
        <v>15</v>
      </c>
      <c r="O2" s="222" t="s">
        <v>16</v>
      </c>
      <c r="P2" s="222" t="s">
        <v>21</v>
      </c>
      <c r="Q2" s="222" t="s">
        <v>22</v>
      </c>
      <c r="R2" s="222" t="s">
        <v>12</v>
      </c>
      <c r="S2" s="568"/>
      <c r="T2" s="224"/>
      <c r="U2" s="225"/>
      <c r="V2" s="223"/>
      <c r="W2" s="223"/>
      <c r="X2" s="217"/>
      <c r="Y2" s="226"/>
      <c r="Z2" s="227" t="s">
        <v>0</v>
      </c>
      <c r="AA2" s="227" t="s">
        <v>1</v>
      </c>
      <c r="AB2" s="227" t="s">
        <v>2</v>
      </c>
      <c r="AC2" s="227" t="s">
        <v>3</v>
      </c>
      <c r="AD2" s="227" t="s">
        <v>0</v>
      </c>
      <c r="AE2" s="227" t="s">
        <v>1</v>
      </c>
      <c r="AF2" s="227" t="s">
        <v>2</v>
      </c>
      <c r="AG2" s="227" t="s">
        <v>3</v>
      </c>
      <c r="AH2" s="227" t="s">
        <v>0</v>
      </c>
      <c r="AI2" s="227" t="s">
        <v>1</v>
      </c>
      <c r="AJ2" s="227" t="s">
        <v>2</v>
      </c>
      <c r="AK2" s="227" t="s">
        <v>3</v>
      </c>
      <c r="AL2" s="227" t="s">
        <v>0</v>
      </c>
      <c r="AM2" s="227" t="s">
        <v>1</v>
      </c>
      <c r="AN2" s="227" t="s">
        <v>2</v>
      </c>
      <c r="AO2" s="227" t="s">
        <v>3</v>
      </c>
      <c r="AU2" s="69" t="s">
        <v>356</v>
      </c>
    </row>
    <row r="3" spans="1:48" ht="14.95" customHeight="1" thickBot="1" x14ac:dyDescent="0.3">
      <c r="A3" s="151" t="s">
        <v>171</v>
      </c>
      <c r="B3" s="152" t="s">
        <v>128</v>
      </c>
      <c r="C3" s="152" t="s">
        <v>55</v>
      </c>
      <c r="D3" s="152" t="s">
        <v>182</v>
      </c>
      <c r="E3" s="153" t="s">
        <v>1</v>
      </c>
      <c r="F3" s="153">
        <v>39</v>
      </c>
      <c r="G3" s="153">
        <v>33</v>
      </c>
      <c r="H3" s="345" t="s">
        <v>69</v>
      </c>
      <c r="I3" s="345" t="s">
        <v>69</v>
      </c>
      <c r="J3" s="345">
        <v>6</v>
      </c>
      <c r="K3" s="345">
        <v>3</v>
      </c>
      <c r="L3" s="345">
        <v>0</v>
      </c>
      <c r="M3" s="345">
        <v>1</v>
      </c>
      <c r="N3" s="345">
        <v>0</v>
      </c>
      <c r="O3" s="345">
        <v>0</v>
      </c>
      <c r="P3" s="345" t="s">
        <v>69</v>
      </c>
      <c r="Q3" s="345" t="s">
        <v>69</v>
      </c>
      <c r="R3" s="345">
        <v>5</v>
      </c>
      <c r="S3" s="535"/>
      <c r="T3" s="162" t="s">
        <v>183</v>
      </c>
      <c r="U3" s="157" t="s">
        <v>103</v>
      </c>
      <c r="V3" s="155" t="s">
        <v>92</v>
      </c>
      <c r="W3" s="155" t="s">
        <v>92</v>
      </c>
      <c r="X3" s="154" t="s">
        <v>144</v>
      </c>
      <c r="Y3" s="158" t="s">
        <v>142</v>
      </c>
      <c r="Z3" s="154">
        <v>1</v>
      </c>
      <c r="AA3" s="154">
        <v>1</v>
      </c>
      <c r="AB3" s="154">
        <v>0</v>
      </c>
      <c r="AC3" s="451">
        <v>0</v>
      </c>
      <c r="AD3" s="154">
        <v>0</v>
      </c>
      <c r="AE3" s="154">
        <v>0</v>
      </c>
      <c r="AF3" s="154">
        <v>0</v>
      </c>
      <c r="AG3" s="451">
        <v>0</v>
      </c>
      <c r="AH3" s="154">
        <v>1</v>
      </c>
      <c r="AI3" s="154">
        <v>1</v>
      </c>
      <c r="AJ3" s="154">
        <v>0</v>
      </c>
      <c r="AK3" s="451">
        <v>0</v>
      </c>
      <c r="AL3" s="154">
        <v>0</v>
      </c>
      <c r="AM3" s="154">
        <v>0</v>
      </c>
      <c r="AN3" s="154">
        <v>0</v>
      </c>
      <c r="AO3" s="451">
        <v>0</v>
      </c>
      <c r="AU3" s="443" t="s">
        <v>253</v>
      </c>
      <c r="AV3" s="444">
        <v>23</v>
      </c>
    </row>
    <row r="4" spans="1:48" ht="14.95" customHeight="1" thickBot="1" x14ac:dyDescent="0.35">
      <c r="A4" s="163" t="s">
        <v>186</v>
      </c>
      <c r="B4" s="164" t="s">
        <v>134</v>
      </c>
      <c r="C4" s="164" t="s">
        <v>132</v>
      </c>
      <c r="D4" s="164" t="s">
        <v>187</v>
      </c>
      <c r="E4" s="165" t="s">
        <v>1</v>
      </c>
      <c r="F4" s="165">
        <v>90</v>
      </c>
      <c r="G4" s="165">
        <v>0</v>
      </c>
      <c r="H4" s="344">
        <v>1</v>
      </c>
      <c r="I4" s="344">
        <v>0</v>
      </c>
      <c r="J4" s="344">
        <v>14</v>
      </c>
      <c r="K4" s="344">
        <v>10</v>
      </c>
      <c r="L4" s="344">
        <v>0</v>
      </c>
      <c r="M4" s="344">
        <v>0</v>
      </c>
      <c r="N4" s="344">
        <v>0</v>
      </c>
      <c r="O4" s="344">
        <v>0</v>
      </c>
      <c r="P4" s="344">
        <v>0</v>
      </c>
      <c r="Q4" s="344">
        <v>0</v>
      </c>
      <c r="R4" s="344">
        <v>0</v>
      </c>
      <c r="S4" s="549"/>
      <c r="T4" s="172" t="s">
        <v>135</v>
      </c>
      <c r="U4" s="169" t="s">
        <v>138</v>
      </c>
      <c r="V4" s="166" t="s">
        <v>191</v>
      </c>
      <c r="W4" s="166" t="s">
        <v>92</v>
      </c>
      <c r="X4" s="169" t="s">
        <v>189</v>
      </c>
      <c r="Y4" s="170" t="s">
        <v>190</v>
      </c>
      <c r="Z4" s="169">
        <v>1</v>
      </c>
      <c r="AA4" s="169">
        <v>1</v>
      </c>
      <c r="AB4" s="169">
        <v>0</v>
      </c>
      <c r="AC4" s="316">
        <v>0</v>
      </c>
      <c r="AD4" s="169">
        <v>1</v>
      </c>
      <c r="AE4" s="169">
        <v>1</v>
      </c>
      <c r="AF4" s="169">
        <v>0</v>
      </c>
      <c r="AG4" s="316">
        <v>0</v>
      </c>
      <c r="AH4" s="169">
        <v>0</v>
      </c>
      <c r="AI4" s="169">
        <v>0</v>
      </c>
      <c r="AJ4" s="169">
        <v>0</v>
      </c>
      <c r="AK4" s="316">
        <v>0</v>
      </c>
      <c r="AL4" s="169">
        <v>0</v>
      </c>
      <c r="AM4" s="169">
        <v>0</v>
      </c>
      <c r="AN4" s="169">
        <v>0</v>
      </c>
      <c r="AO4" s="316">
        <v>0</v>
      </c>
      <c r="AU4" s="445" t="s">
        <v>254</v>
      </c>
      <c r="AV4" s="446">
        <v>4</v>
      </c>
    </row>
    <row r="5" spans="1:48" ht="14.95" customHeight="1" thickBot="1" x14ac:dyDescent="0.35">
      <c r="A5" s="163" t="s">
        <v>197</v>
      </c>
      <c r="B5" s="164" t="s">
        <v>134</v>
      </c>
      <c r="C5" s="164" t="s">
        <v>145</v>
      </c>
      <c r="D5" s="164" t="s">
        <v>187</v>
      </c>
      <c r="E5" s="165" t="s">
        <v>1</v>
      </c>
      <c r="F5" s="165">
        <v>63</v>
      </c>
      <c r="G5" s="165">
        <v>5</v>
      </c>
      <c r="H5" s="344">
        <v>1</v>
      </c>
      <c r="I5" s="344">
        <v>0</v>
      </c>
      <c r="J5" s="344">
        <v>11</v>
      </c>
      <c r="K5" s="344">
        <v>4</v>
      </c>
      <c r="L5" s="344">
        <v>0</v>
      </c>
      <c r="M5" s="344">
        <v>0</v>
      </c>
      <c r="N5" s="344">
        <v>0</v>
      </c>
      <c r="O5" s="344">
        <v>0</v>
      </c>
      <c r="P5" s="344">
        <v>0</v>
      </c>
      <c r="Q5" s="344">
        <v>0</v>
      </c>
      <c r="R5" s="344">
        <v>1</v>
      </c>
      <c r="S5" s="549"/>
      <c r="T5" s="172" t="s">
        <v>198</v>
      </c>
      <c r="U5" s="168" t="s">
        <v>199</v>
      </c>
      <c r="V5" s="166" t="s">
        <v>200</v>
      </c>
      <c r="W5" s="166" t="s">
        <v>92</v>
      </c>
      <c r="X5" s="169" t="s">
        <v>201</v>
      </c>
      <c r="Y5" s="170" t="s">
        <v>202</v>
      </c>
      <c r="Z5" s="169">
        <v>1</v>
      </c>
      <c r="AA5" s="169">
        <v>1</v>
      </c>
      <c r="AB5" s="169">
        <v>0</v>
      </c>
      <c r="AC5" s="316">
        <v>0</v>
      </c>
      <c r="AD5" s="169">
        <v>1</v>
      </c>
      <c r="AE5" s="169">
        <v>1</v>
      </c>
      <c r="AF5" s="169">
        <v>0</v>
      </c>
      <c r="AG5" s="316">
        <v>0</v>
      </c>
      <c r="AH5" s="169">
        <v>0</v>
      </c>
      <c r="AI5" s="169">
        <v>0</v>
      </c>
      <c r="AJ5" s="169">
        <v>0</v>
      </c>
      <c r="AK5" s="316">
        <v>0</v>
      </c>
      <c r="AL5" s="169">
        <v>0</v>
      </c>
      <c r="AM5" s="169">
        <v>0</v>
      </c>
      <c r="AN5" s="169">
        <v>0</v>
      </c>
      <c r="AO5" s="316">
        <v>0</v>
      </c>
      <c r="AU5" s="445" t="s">
        <v>255</v>
      </c>
      <c r="AV5" s="446">
        <v>0</v>
      </c>
    </row>
    <row r="6" spans="1:48" ht="14.95" customHeight="1" thickBot="1" x14ac:dyDescent="0.35">
      <c r="A6" s="163" t="s">
        <v>259</v>
      </c>
      <c r="B6" s="164" t="s">
        <v>128</v>
      </c>
      <c r="C6" s="164" t="s">
        <v>112</v>
      </c>
      <c r="D6" s="164" t="s">
        <v>260</v>
      </c>
      <c r="E6" s="165" t="s">
        <v>1</v>
      </c>
      <c r="F6" s="165">
        <v>32</v>
      </c>
      <c r="G6" s="165">
        <v>19</v>
      </c>
      <c r="H6" s="344" t="s">
        <v>69</v>
      </c>
      <c r="I6" s="344" t="s">
        <v>69</v>
      </c>
      <c r="J6" s="344">
        <v>5</v>
      </c>
      <c r="K6" s="344">
        <v>2</v>
      </c>
      <c r="L6" s="344">
        <v>0</v>
      </c>
      <c r="M6" s="344">
        <v>1</v>
      </c>
      <c r="N6" s="344">
        <v>0</v>
      </c>
      <c r="O6" s="344">
        <v>0</v>
      </c>
      <c r="P6" s="344" t="s">
        <v>69</v>
      </c>
      <c r="Q6" s="344" t="s">
        <v>69</v>
      </c>
      <c r="R6" s="344">
        <v>3</v>
      </c>
      <c r="S6" s="549"/>
      <c r="T6" s="172" t="s">
        <v>261</v>
      </c>
      <c r="U6" s="169" t="s">
        <v>169</v>
      </c>
      <c r="V6" s="166" t="s">
        <v>92</v>
      </c>
      <c r="W6" s="166" t="s">
        <v>92</v>
      </c>
      <c r="X6" s="169" t="s">
        <v>109</v>
      </c>
      <c r="Y6" s="170" t="s">
        <v>262</v>
      </c>
      <c r="Z6" s="169">
        <v>1</v>
      </c>
      <c r="AA6" s="169">
        <v>1</v>
      </c>
      <c r="AB6" s="169">
        <v>0</v>
      </c>
      <c r="AC6" s="316">
        <v>0</v>
      </c>
      <c r="AD6" s="169">
        <v>1</v>
      </c>
      <c r="AE6" s="169">
        <v>1</v>
      </c>
      <c r="AF6" s="169">
        <v>0</v>
      </c>
      <c r="AG6" s="316">
        <v>0</v>
      </c>
      <c r="AH6" s="169">
        <v>0</v>
      </c>
      <c r="AI6" s="169">
        <v>0</v>
      </c>
      <c r="AJ6" s="169">
        <v>0</v>
      </c>
      <c r="AK6" s="316">
        <v>0</v>
      </c>
      <c r="AL6" s="169">
        <v>0</v>
      </c>
      <c r="AM6" s="169">
        <v>0</v>
      </c>
      <c r="AN6" s="169">
        <v>0</v>
      </c>
      <c r="AO6" s="316">
        <v>0</v>
      </c>
      <c r="AU6" s="445" t="s">
        <v>256</v>
      </c>
      <c r="AV6" s="446">
        <v>19</v>
      </c>
    </row>
    <row r="7" spans="1:48" ht="14.95" customHeight="1" thickBot="1" x14ac:dyDescent="0.35">
      <c r="A7" s="163" t="s">
        <v>266</v>
      </c>
      <c r="B7" s="164" t="s">
        <v>128</v>
      </c>
      <c r="C7" s="164" t="s">
        <v>112</v>
      </c>
      <c r="D7" s="164" t="s">
        <v>268</v>
      </c>
      <c r="E7" s="165" t="s">
        <v>1</v>
      </c>
      <c r="F7" s="165">
        <v>30</v>
      </c>
      <c r="G7" s="165">
        <v>19</v>
      </c>
      <c r="H7" s="344" t="s">
        <v>69</v>
      </c>
      <c r="I7" s="344" t="s">
        <v>69</v>
      </c>
      <c r="J7" s="344">
        <v>5</v>
      </c>
      <c r="K7" s="344">
        <v>1</v>
      </c>
      <c r="L7" s="344">
        <v>0</v>
      </c>
      <c r="M7" s="344">
        <v>1</v>
      </c>
      <c r="N7" s="344">
        <v>0</v>
      </c>
      <c r="O7" s="344">
        <v>0</v>
      </c>
      <c r="P7" s="344" t="s">
        <v>69</v>
      </c>
      <c r="Q7" s="344" t="s">
        <v>69</v>
      </c>
      <c r="R7" s="344">
        <v>3</v>
      </c>
      <c r="S7" s="549"/>
      <c r="T7" s="172" t="s">
        <v>270</v>
      </c>
      <c r="U7" s="168" t="s">
        <v>169</v>
      </c>
      <c r="V7" s="166" t="s">
        <v>92</v>
      </c>
      <c r="W7" s="166" t="s">
        <v>92</v>
      </c>
      <c r="X7" s="169" t="s">
        <v>109</v>
      </c>
      <c r="Y7" s="170" t="s">
        <v>262</v>
      </c>
      <c r="Z7" s="169">
        <v>1</v>
      </c>
      <c r="AA7" s="169">
        <v>1</v>
      </c>
      <c r="AB7" s="169">
        <v>0</v>
      </c>
      <c r="AC7" s="316">
        <v>0</v>
      </c>
      <c r="AD7" s="169">
        <v>1</v>
      </c>
      <c r="AE7" s="169">
        <v>1</v>
      </c>
      <c r="AF7" s="169">
        <v>0</v>
      </c>
      <c r="AG7" s="316">
        <v>0</v>
      </c>
      <c r="AH7" s="169">
        <v>0</v>
      </c>
      <c r="AI7" s="169">
        <v>0</v>
      </c>
      <c r="AJ7" s="169">
        <v>0</v>
      </c>
      <c r="AK7" s="316">
        <v>0</v>
      </c>
      <c r="AL7" s="169">
        <v>0</v>
      </c>
      <c r="AM7" s="169">
        <v>0</v>
      </c>
      <c r="AN7" s="169">
        <v>0</v>
      </c>
      <c r="AO7" s="316">
        <v>0</v>
      </c>
      <c r="AU7" s="445" t="s">
        <v>257</v>
      </c>
      <c r="AV7" s="446">
        <v>235</v>
      </c>
    </row>
    <row r="8" spans="1:48" ht="14.95" customHeight="1" thickBot="1" x14ac:dyDescent="0.3">
      <c r="A8" s="151" t="s">
        <v>286</v>
      </c>
      <c r="B8" s="152" t="s">
        <v>128</v>
      </c>
      <c r="C8" s="152" t="s">
        <v>32</v>
      </c>
      <c r="D8" s="152" t="s">
        <v>291</v>
      </c>
      <c r="E8" s="153" t="s">
        <v>3</v>
      </c>
      <c r="F8" s="153">
        <v>15</v>
      </c>
      <c r="G8" s="153">
        <v>33</v>
      </c>
      <c r="H8" s="345" t="s">
        <v>69</v>
      </c>
      <c r="I8" s="345" t="s">
        <v>69</v>
      </c>
      <c r="J8" s="345">
        <v>3</v>
      </c>
      <c r="K8" s="345">
        <v>0</v>
      </c>
      <c r="L8" s="345">
        <v>0</v>
      </c>
      <c r="M8" s="345">
        <v>0</v>
      </c>
      <c r="N8" s="345">
        <v>0</v>
      </c>
      <c r="O8" s="345">
        <v>0</v>
      </c>
      <c r="P8" s="345" t="s">
        <v>69</v>
      </c>
      <c r="Q8" s="345" t="s">
        <v>69</v>
      </c>
      <c r="R8" s="345">
        <v>5</v>
      </c>
      <c r="S8" s="535"/>
      <c r="T8" s="159" t="s">
        <v>292</v>
      </c>
      <c r="U8" s="157" t="s">
        <v>101</v>
      </c>
      <c r="V8" s="155" t="s">
        <v>92</v>
      </c>
      <c r="W8" s="158" t="s">
        <v>92</v>
      </c>
      <c r="X8" s="158" t="s">
        <v>102</v>
      </c>
      <c r="Y8" s="154" t="s">
        <v>111</v>
      </c>
      <c r="Z8" s="154">
        <v>1</v>
      </c>
      <c r="AA8" s="154">
        <v>0</v>
      </c>
      <c r="AB8" s="154">
        <v>0</v>
      </c>
      <c r="AC8" s="451">
        <v>1</v>
      </c>
      <c r="AD8" s="154">
        <v>0</v>
      </c>
      <c r="AE8" s="154">
        <v>0</v>
      </c>
      <c r="AF8" s="154">
        <v>0</v>
      </c>
      <c r="AG8" s="451">
        <v>0</v>
      </c>
      <c r="AH8" s="154">
        <v>1</v>
      </c>
      <c r="AI8" s="154">
        <v>0</v>
      </c>
      <c r="AJ8" s="154">
        <v>0</v>
      </c>
      <c r="AK8" s="451">
        <v>1</v>
      </c>
      <c r="AL8" s="154">
        <v>0</v>
      </c>
      <c r="AM8" s="154">
        <v>0</v>
      </c>
      <c r="AN8" s="154">
        <v>0</v>
      </c>
      <c r="AO8" s="451">
        <v>0</v>
      </c>
    </row>
    <row r="9" spans="1:48" ht="14.95" customHeight="1" thickBot="1" x14ac:dyDescent="0.3">
      <c r="A9" s="177" t="s">
        <v>164</v>
      </c>
      <c r="B9" s="178" t="s">
        <v>155</v>
      </c>
      <c r="C9" s="178" t="s">
        <v>35</v>
      </c>
      <c r="D9" s="178" t="s">
        <v>158</v>
      </c>
      <c r="E9" s="175" t="s">
        <v>3</v>
      </c>
      <c r="F9" s="175">
        <v>14</v>
      </c>
      <c r="G9" s="175">
        <v>42</v>
      </c>
      <c r="H9" s="343">
        <v>0</v>
      </c>
      <c r="I9" s="343">
        <v>0</v>
      </c>
      <c r="J9" s="343">
        <v>2</v>
      </c>
      <c r="K9" s="343">
        <v>2</v>
      </c>
      <c r="L9" s="343">
        <v>0</v>
      </c>
      <c r="M9" s="343">
        <v>0</v>
      </c>
      <c r="N9" s="343">
        <v>0</v>
      </c>
      <c r="O9" s="343">
        <v>0</v>
      </c>
      <c r="P9" s="343">
        <v>1</v>
      </c>
      <c r="Q9" s="343">
        <v>0</v>
      </c>
      <c r="R9" s="343">
        <v>6</v>
      </c>
      <c r="S9" s="176">
        <v>13053</v>
      </c>
      <c r="T9" s="188" t="s">
        <v>347</v>
      </c>
      <c r="U9" s="180" t="s">
        <v>99</v>
      </c>
      <c r="V9" s="179" t="s">
        <v>114</v>
      </c>
      <c r="W9" s="179" t="s">
        <v>116</v>
      </c>
      <c r="X9" s="181" t="s">
        <v>355</v>
      </c>
      <c r="Y9" s="176" t="s">
        <v>124</v>
      </c>
      <c r="Z9" s="176">
        <v>1</v>
      </c>
      <c r="AA9" s="176">
        <v>0</v>
      </c>
      <c r="AB9" s="315">
        <v>0</v>
      </c>
      <c r="AC9" s="176">
        <v>1</v>
      </c>
      <c r="AD9" s="176">
        <v>0</v>
      </c>
      <c r="AE9" s="176">
        <v>0</v>
      </c>
      <c r="AF9" s="176">
        <v>0</v>
      </c>
      <c r="AG9" s="315">
        <v>0</v>
      </c>
      <c r="AH9" s="176">
        <v>0</v>
      </c>
      <c r="AI9" s="176">
        <v>0</v>
      </c>
      <c r="AJ9" s="176">
        <v>0</v>
      </c>
      <c r="AK9" s="315">
        <v>0</v>
      </c>
      <c r="AL9" s="176">
        <v>1</v>
      </c>
      <c r="AM9" s="176">
        <v>0</v>
      </c>
      <c r="AN9" s="176">
        <v>0</v>
      </c>
      <c r="AO9" s="315">
        <v>1</v>
      </c>
    </row>
    <row r="10" spans="1:48" ht="14.95" customHeight="1" thickBot="1" x14ac:dyDescent="0.3">
      <c r="A10" s="177" t="s">
        <v>162</v>
      </c>
      <c r="B10" s="178" t="s">
        <v>155</v>
      </c>
      <c r="C10" s="178" t="s">
        <v>72</v>
      </c>
      <c r="D10" s="178" t="s">
        <v>161</v>
      </c>
      <c r="E10" s="175" t="s">
        <v>3</v>
      </c>
      <c r="F10" s="175">
        <v>19</v>
      </c>
      <c r="G10" s="175">
        <v>62</v>
      </c>
      <c r="H10" s="343">
        <v>0</v>
      </c>
      <c r="I10" s="343">
        <v>0</v>
      </c>
      <c r="J10" s="343">
        <v>3</v>
      </c>
      <c r="K10" s="343">
        <v>1</v>
      </c>
      <c r="L10" s="343">
        <v>0</v>
      </c>
      <c r="M10" s="343">
        <v>0</v>
      </c>
      <c r="N10" s="343">
        <v>1</v>
      </c>
      <c r="O10" s="343">
        <v>0</v>
      </c>
      <c r="P10" s="343">
        <v>1</v>
      </c>
      <c r="Q10" s="343">
        <v>0</v>
      </c>
      <c r="R10" s="343">
        <v>10</v>
      </c>
      <c r="S10" s="359">
        <v>13902</v>
      </c>
      <c r="T10" s="188" t="s">
        <v>385</v>
      </c>
      <c r="U10" s="180" t="s">
        <v>103</v>
      </c>
      <c r="V10" s="179" t="s">
        <v>100</v>
      </c>
      <c r="W10" s="179" t="s">
        <v>97</v>
      </c>
      <c r="X10" s="181" t="s">
        <v>121</v>
      </c>
      <c r="Y10" s="176" t="s">
        <v>130</v>
      </c>
      <c r="Z10" s="176">
        <v>1</v>
      </c>
      <c r="AA10" s="176">
        <v>0</v>
      </c>
      <c r="AB10" s="315">
        <v>0</v>
      </c>
      <c r="AC10" s="315">
        <v>1</v>
      </c>
      <c r="AD10" s="176">
        <v>0</v>
      </c>
      <c r="AE10" s="176">
        <v>0</v>
      </c>
      <c r="AF10" s="176">
        <v>0</v>
      </c>
      <c r="AG10" s="315">
        <v>0</v>
      </c>
      <c r="AH10" s="176">
        <v>0</v>
      </c>
      <c r="AI10" s="176">
        <v>0</v>
      </c>
      <c r="AJ10" s="176">
        <v>0</v>
      </c>
      <c r="AK10" s="315">
        <v>0</v>
      </c>
      <c r="AL10" s="176">
        <v>1</v>
      </c>
      <c r="AM10" s="176">
        <v>0</v>
      </c>
      <c r="AN10" s="176">
        <v>0</v>
      </c>
      <c r="AO10" s="315">
        <v>1</v>
      </c>
    </row>
    <row r="11" spans="1:48" ht="14.95" customHeight="1" thickBot="1" x14ac:dyDescent="0.3">
      <c r="A11" s="177" t="s">
        <v>137</v>
      </c>
      <c r="B11" s="178" t="s">
        <v>155</v>
      </c>
      <c r="C11" s="178" t="s">
        <v>112</v>
      </c>
      <c r="D11" s="178" t="s">
        <v>146</v>
      </c>
      <c r="E11" s="175" t="s">
        <v>1</v>
      </c>
      <c r="F11" s="175">
        <v>29</v>
      </c>
      <c r="G11" s="175">
        <v>21</v>
      </c>
      <c r="H11" s="343">
        <v>1</v>
      </c>
      <c r="I11" s="343">
        <v>0</v>
      </c>
      <c r="J11" s="343">
        <v>5</v>
      </c>
      <c r="K11" s="343">
        <v>2</v>
      </c>
      <c r="L11" s="343">
        <v>0</v>
      </c>
      <c r="M11" s="343">
        <v>0</v>
      </c>
      <c r="N11" s="343">
        <v>0</v>
      </c>
      <c r="O11" s="343">
        <v>0</v>
      </c>
      <c r="P11" s="343">
        <v>0</v>
      </c>
      <c r="Q11" s="343">
        <v>0</v>
      </c>
      <c r="R11" s="343">
        <v>1</v>
      </c>
      <c r="S11" s="359"/>
      <c r="T11" s="561" t="s">
        <v>374</v>
      </c>
      <c r="U11" s="176" t="s">
        <v>101</v>
      </c>
      <c r="V11" s="176" t="s">
        <v>96</v>
      </c>
      <c r="W11" s="176" t="s">
        <v>114</v>
      </c>
      <c r="X11" s="176" t="s">
        <v>102</v>
      </c>
      <c r="Y11" s="181" t="s">
        <v>111</v>
      </c>
      <c r="Z11" s="176">
        <v>1</v>
      </c>
      <c r="AA11" s="176">
        <v>1</v>
      </c>
      <c r="AB11" s="176">
        <v>0</v>
      </c>
      <c r="AC11" s="315">
        <v>0</v>
      </c>
      <c r="AD11" s="176">
        <v>0</v>
      </c>
      <c r="AE11" s="176">
        <v>0</v>
      </c>
      <c r="AF11" s="176">
        <v>0</v>
      </c>
      <c r="AG11" s="315">
        <v>0</v>
      </c>
      <c r="AH11" s="176">
        <v>0</v>
      </c>
      <c r="AI11" s="176">
        <v>0</v>
      </c>
      <c r="AJ11" s="176">
        <v>0</v>
      </c>
      <c r="AK11" s="315">
        <v>0</v>
      </c>
      <c r="AL11" s="176">
        <v>1</v>
      </c>
      <c r="AM11" s="176">
        <v>1</v>
      </c>
      <c r="AN11" s="176">
        <v>0</v>
      </c>
      <c r="AO11" s="315">
        <v>0</v>
      </c>
    </row>
    <row r="12" spans="1:48" ht="14.95" customHeight="1" thickBot="1" x14ac:dyDescent="0.3">
      <c r="A12" s="323"/>
      <c r="B12" s="56"/>
      <c r="C12" s="969" t="s">
        <v>133</v>
      </c>
      <c r="D12" s="970"/>
      <c r="E12" s="971"/>
      <c r="F12" s="175">
        <f t="shared" ref="F12:R12" si="0">SUM(F4:F5)</f>
        <v>153</v>
      </c>
      <c r="G12" s="175">
        <f t="shared" si="0"/>
        <v>5</v>
      </c>
      <c r="H12" s="175">
        <f t="shared" si="0"/>
        <v>2</v>
      </c>
      <c r="I12" s="175">
        <f t="shared" si="0"/>
        <v>0</v>
      </c>
      <c r="J12" s="175">
        <f t="shared" si="0"/>
        <v>25</v>
      </c>
      <c r="K12" s="175">
        <f t="shared" si="0"/>
        <v>14</v>
      </c>
      <c r="L12" s="175">
        <f t="shared" si="0"/>
        <v>0</v>
      </c>
      <c r="M12" s="175">
        <f t="shared" si="0"/>
        <v>0</v>
      </c>
      <c r="N12" s="175">
        <f t="shared" si="0"/>
        <v>0</v>
      </c>
      <c r="O12" s="175">
        <f t="shared" si="0"/>
        <v>0</v>
      </c>
      <c r="P12" s="175">
        <f t="shared" si="0"/>
        <v>0</v>
      </c>
      <c r="Q12" s="175">
        <f t="shared" si="0"/>
        <v>0</v>
      </c>
      <c r="R12" s="175">
        <f t="shared" si="0"/>
        <v>1</v>
      </c>
      <c r="T12" s="569"/>
      <c r="U12" s="353"/>
      <c r="V12" s="353"/>
      <c r="W12" s="353"/>
      <c r="X12" s="354"/>
      <c r="Y12" s="326" t="s">
        <v>133</v>
      </c>
      <c r="Z12" s="324">
        <f t="shared" ref="Z12:AO12" si="1">SUM(Z4:Z5)</f>
        <v>2</v>
      </c>
      <c r="AA12" s="324">
        <f t="shared" si="1"/>
        <v>2</v>
      </c>
      <c r="AB12" s="324">
        <f t="shared" si="1"/>
        <v>0</v>
      </c>
      <c r="AC12" s="325">
        <f t="shared" si="1"/>
        <v>0</v>
      </c>
      <c r="AD12" s="327">
        <f t="shared" si="1"/>
        <v>2</v>
      </c>
      <c r="AE12" s="327">
        <f t="shared" si="1"/>
        <v>2</v>
      </c>
      <c r="AF12" s="327">
        <f t="shared" si="1"/>
        <v>0</v>
      </c>
      <c r="AG12" s="328">
        <f t="shared" si="1"/>
        <v>0</v>
      </c>
      <c r="AH12" s="329">
        <f t="shared" si="1"/>
        <v>0</v>
      </c>
      <c r="AI12" s="329">
        <f t="shared" si="1"/>
        <v>0</v>
      </c>
      <c r="AJ12" s="329">
        <f t="shared" si="1"/>
        <v>0</v>
      </c>
      <c r="AK12" s="330">
        <f t="shared" si="1"/>
        <v>0</v>
      </c>
      <c r="AL12" s="324">
        <f t="shared" si="1"/>
        <v>0</v>
      </c>
      <c r="AM12" s="324">
        <f t="shared" si="1"/>
        <v>0</v>
      </c>
      <c r="AN12" s="324">
        <f t="shared" si="1"/>
        <v>0</v>
      </c>
      <c r="AO12" s="325">
        <f t="shared" si="1"/>
        <v>0</v>
      </c>
    </row>
    <row r="13" spans="1:48" ht="14.95" thickBot="1" x14ac:dyDescent="0.3">
      <c r="A13" s="100"/>
      <c r="B13" s="101"/>
      <c r="C13" s="884" t="s">
        <v>159</v>
      </c>
      <c r="D13" s="885"/>
      <c r="E13" s="886"/>
      <c r="F13" s="401">
        <f>SUM(F9:F11)</f>
        <v>62</v>
      </c>
      <c r="G13" s="401">
        <f t="shared" ref="G13:R13" si="2">SUM(G9:G11)</f>
        <v>125</v>
      </c>
      <c r="H13" s="401">
        <f t="shared" si="2"/>
        <v>1</v>
      </c>
      <c r="I13" s="401">
        <f t="shared" si="2"/>
        <v>0</v>
      </c>
      <c r="J13" s="401">
        <f t="shared" si="2"/>
        <v>10</v>
      </c>
      <c r="K13" s="401">
        <f t="shared" si="2"/>
        <v>5</v>
      </c>
      <c r="L13" s="401">
        <f t="shared" si="2"/>
        <v>0</v>
      </c>
      <c r="M13" s="401">
        <f t="shared" si="2"/>
        <v>0</v>
      </c>
      <c r="N13" s="401">
        <f t="shared" si="2"/>
        <v>1</v>
      </c>
      <c r="O13" s="401">
        <f t="shared" si="2"/>
        <v>0</v>
      </c>
      <c r="P13" s="401">
        <f t="shared" si="2"/>
        <v>2</v>
      </c>
      <c r="Q13" s="401">
        <f t="shared" si="2"/>
        <v>0</v>
      </c>
      <c r="R13" s="401">
        <f t="shared" si="2"/>
        <v>17</v>
      </c>
      <c r="T13" s="394"/>
      <c r="U13" s="394"/>
      <c r="V13" s="394"/>
      <c r="W13" s="394"/>
      <c r="X13" s="402"/>
      <c r="Y13" s="396" t="s">
        <v>159</v>
      </c>
      <c r="Z13" s="401">
        <f t="shared" ref="Z13:AO13" si="3">SUM(Z9:Z11)</f>
        <v>3</v>
      </c>
      <c r="AA13" s="401">
        <f t="shared" si="3"/>
        <v>1</v>
      </c>
      <c r="AB13" s="401">
        <f t="shared" si="3"/>
        <v>0</v>
      </c>
      <c r="AC13" s="401">
        <f t="shared" si="3"/>
        <v>2</v>
      </c>
      <c r="AD13" s="403">
        <f t="shared" si="3"/>
        <v>0</v>
      </c>
      <c r="AE13" s="403">
        <f t="shared" si="3"/>
        <v>0</v>
      </c>
      <c r="AF13" s="403">
        <f t="shared" si="3"/>
        <v>0</v>
      </c>
      <c r="AG13" s="403">
        <f t="shared" si="3"/>
        <v>0</v>
      </c>
      <c r="AH13" s="404">
        <f t="shared" si="3"/>
        <v>0</v>
      </c>
      <c r="AI13" s="404">
        <f t="shared" si="3"/>
        <v>0</v>
      </c>
      <c r="AJ13" s="404">
        <f t="shared" si="3"/>
        <v>0</v>
      </c>
      <c r="AK13" s="404">
        <f t="shared" si="3"/>
        <v>0</v>
      </c>
      <c r="AL13" s="401">
        <f t="shared" si="3"/>
        <v>3</v>
      </c>
      <c r="AM13" s="401">
        <f t="shared" si="3"/>
        <v>1</v>
      </c>
      <c r="AN13" s="401">
        <f t="shared" si="3"/>
        <v>0</v>
      </c>
      <c r="AO13" s="401">
        <f t="shared" si="3"/>
        <v>2</v>
      </c>
    </row>
    <row r="14" spans="1:48" ht="14.95" thickBot="1" x14ac:dyDescent="0.3">
      <c r="A14" s="100"/>
      <c r="B14" s="101"/>
      <c r="C14" s="800" t="s">
        <v>70</v>
      </c>
      <c r="D14" s="801"/>
      <c r="E14" s="802"/>
      <c r="F14" s="124">
        <f t="shared" ref="F14:R14" si="4">SUM(F3:F11)</f>
        <v>331</v>
      </c>
      <c r="G14" s="124">
        <f t="shared" si="4"/>
        <v>234</v>
      </c>
      <c r="H14" s="124">
        <f t="shared" si="4"/>
        <v>3</v>
      </c>
      <c r="I14" s="124">
        <f t="shared" si="4"/>
        <v>0</v>
      </c>
      <c r="J14" s="124">
        <f t="shared" si="4"/>
        <v>54</v>
      </c>
      <c r="K14" s="124">
        <f t="shared" si="4"/>
        <v>25</v>
      </c>
      <c r="L14" s="124">
        <f t="shared" si="4"/>
        <v>0</v>
      </c>
      <c r="M14" s="124">
        <f t="shared" si="4"/>
        <v>3</v>
      </c>
      <c r="N14" s="124">
        <f t="shared" si="4"/>
        <v>1</v>
      </c>
      <c r="O14" s="124">
        <f t="shared" si="4"/>
        <v>0</v>
      </c>
      <c r="P14" s="124">
        <f t="shared" si="4"/>
        <v>2</v>
      </c>
      <c r="Q14" s="124">
        <f t="shared" si="4"/>
        <v>0</v>
      </c>
      <c r="R14" s="124">
        <f t="shared" si="4"/>
        <v>34</v>
      </c>
      <c r="T14" s="187"/>
      <c r="U14" s="187"/>
      <c r="V14" s="187"/>
      <c r="W14" s="187"/>
      <c r="X14" s="12"/>
      <c r="Y14" s="129" t="s">
        <v>70</v>
      </c>
      <c r="Z14" s="124">
        <f t="shared" ref="Z14:AO14" si="5">SUM(Z3:Z11)</f>
        <v>9</v>
      </c>
      <c r="AA14" s="124">
        <f t="shared" si="5"/>
        <v>6</v>
      </c>
      <c r="AB14" s="124">
        <f t="shared" si="5"/>
        <v>0</v>
      </c>
      <c r="AC14" s="124">
        <f t="shared" si="5"/>
        <v>3</v>
      </c>
      <c r="AD14" s="122">
        <f t="shared" si="5"/>
        <v>4</v>
      </c>
      <c r="AE14" s="122">
        <f t="shared" si="5"/>
        <v>4</v>
      </c>
      <c r="AF14" s="122">
        <f t="shared" si="5"/>
        <v>0</v>
      </c>
      <c r="AG14" s="122">
        <f t="shared" si="5"/>
        <v>0</v>
      </c>
      <c r="AH14" s="123">
        <f t="shared" si="5"/>
        <v>2</v>
      </c>
      <c r="AI14" s="123">
        <f t="shared" si="5"/>
        <v>1</v>
      </c>
      <c r="AJ14" s="123">
        <f t="shared" si="5"/>
        <v>0</v>
      </c>
      <c r="AK14" s="123">
        <f t="shared" si="5"/>
        <v>1</v>
      </c>
      <c r="AL14" s="124">
        <f t="shared" si="5"/>
        <v>3</v>
      </c>
      <c r="AM14" s="124">
        <f t="shared" si="5"/>
        <v>1</v>
      </c>
      <c r="AN14" s="124">
        <f t="shared" si="5"/>
        <v>0</v>
      </c>
      <c r="AO14" s="124">
        <f t="shared" si="5"/>
        <v>2</v>
      </c>
    </row>
    <row r="15" spans="1:48" ht="14.3" customHeight="1" x14ac:dyDescent="0.25">
      <c r="A15" s="789" t="s">
        <v>53</v>
      </c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</row>
    <row r="16" spans="1:48" x14ac:dyDescent="0.25">
      <c r="A16" s="365" t="s">
        <v>188</v>
      </c>
    </row>
    <row r="17" spans="1:41" x14ac:dyDescent="0.25">
      <c r="A17" t="s">
        <v>269</v>
      </c>
    </row>
    <row r="18" spans="1:41" x14ac:dyDescent="0.25">
      <c r="A18" t="s">
        <v>293</v>
      </c>
    </row>
    <row r="19" spans="1:41" x14ac:dyDescent="0.25">
      <c r="A19" t="s">
        <v>294</v>
      </c>
      <c r="S19" s="69"/>
    </row>
    <row r="20" spans="1:41" x14ac:dyDescent="0.25">
      <c r="A20" s="789" t="s">
        <v>391</v>
      </c>
      <c r="B20" s="790"/>
      <c r="C20" s="790"/>
      <c r="D20" s="790"/>
      <c r="E20" s="790"/>
      <c r="F20" s="790"/>
      <c r="G20" s="790"/>
      <c r="H20" s="790"/>
      <c r="I20" s="790"/>
      <c r="J20" s="790"/>
      <c r="K20" s="790"/>
      <c r="L20" s="790"/>
      <c r="M20" s="790"/>
      <c r="N20" s="790"/>
      <c r="O20" s="790"/>
      <c r="P20" s="790"/>
      <c r="Q20" s="790"/>
      <c r="R20" s="790"/>
      <c r="S20" s="69"/>
    </row>
    <row r="21" spans="1:41" x14ac:dyDescent="0.25">
      <c r="A21" t="s">
        <v>386</v>
      </c>
      <c r="S21" s="69"/>
    </row>
    <row r="22" spans="1:41" x14ac:dyDescent="0.25">
      <c r="A22" s="292"/>
      <c r="B22" s="69" t="s">
        <v>40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 x14ac:dyDescent="0.25">
      <c r="A23" s="293"/>
      <c r="B23" s="69" t="s">
        <v>38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 x14ac:dyDescent="0.25">
      <c r="A24" s="294"/>
      <c r="B24" s="69" t="s">
        <v>39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 ht="16.3" x14ac:dyDescent="0.3">
      <c r="A25" s="579" t="s">
        <v>28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</sheetData>
  <mergeCells count="15">
    <mergeCell ref="AH1:AK1"/>
    <mergeCell ref="AL1:AO1"/>
    <mergeCell ref="C13:E13"/>
    <mergeCell ref="A1:C1"/>
    <mergeCell ref="E1:G1"/>
    <mergeCell ref="H1:I1"/>
    <mergeCell ref="J1:M1"/>
    <mergeCell ref="N1:O1"/>
    <mergeCell ref="P1:R1"/>
    <mergeCell ref="C12:E12"/>
    <mergeCell ref="A15:R15"/>
    <mergeCell ref="A20:R20"/>
    <mergeCell ref="C14:E14"/>
    <mergeCell ref="Z1:AC1"/>
    <mergeCell ref="AD1:AG1"/>
  </mergeCells>
  <pageMargins left="0.7" right="0.7" top="0.75" bottom="0.75" header="0.3" footer="0.3"/>
  <pageSetup paperSize="9" orientation="portrait" r:id="rId1"/>
  <ignoredErrors>
    <ignoredError sqref="T13:V13 X13 D13:R13 Z13:AO13 W13 T12:V12 X12:Y12 F12:R12 Z12:AO12 W12" formulaRange="1"/>
    <ignoredError sqref="T9:T11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DE93-AE69-4D04-A1BF-CDC2EE99770D}">
  <dimension ref="A1:AU27"/>
  <sheetViews>
    <sheetView zoomScaleNormal="100" workbookViewId="0">
      <selection activeCell="V23" sqref="V23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19" width="7.125" customWidth="1"/>
    <col min="20" max="20" width="6.25" customWidth="1"/>
    <col min="21" max="21" width="23" bestFit="1" customWidth="1"/>
    <col min="22" max="23" width="18.75" bestFit="1" customWidth="1"/>
    <col min="24" max="24" width="19.375" bestFit="1" customWidth="1"/>
    <col min="25" max="25" width="18.62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978" t="s">
        <v>572</v>
      </c>
      <c r="B1" s="979"/>
      <c r="C1" s="979"/>
      <c r="D1" s="246"/>
      <c r="E1" s="980" t="s">
        <v>24</v>
      </c>
      <c r="F1" s="981"/>
      <c r="G1" s="982"/>
      <c r="H1" s="980" t="s">
        <v>73</v>
      </c>
      <c r="I1" s="982"/>
      <c r="J1" s="983" t="s">
        <v>6</v>
      </c>
      <c r="K1" s="984"/>
      <c r="L1" s="984"/>
      <c r="M1" s="985"/>
      <c r="N1" s="983" t="s">
        <v>7</v>
      </c>
      <c r="O1" s="985"/>
      <c r="P1" s="983" t="s">
        <v>25</v>
      </c>
      <c r="Q1" s="984"/>
      <c r="R1" s="985"/>
      <c r="S1" s="533" t="s">
        <v>8</v>
      </c>
      <c r="T1" s="247" t="s">
        <v>9</v>
      </c>
      <c r="U1" s="248" t="s">
        <v>10</v>
      </c>
      <c r="V1" s="248" t="s">
        <v>11</v>
      </c>
      <c r="W1" s="248" t="s">
        <v>95</v>
      </c>
      <c r="X1" s="248" t="s">
        <v>26</v>
      </c>
      <c r="Y1" s="248" t="s">
        <v>27</v>
      </c>
      <c r="Z1" s="972" t="s">
        <v>20</v>
      </c>
      <c r="AA1" s="973"/>
      <c r="AB1" s="973"/>
      <c r="AC1" s="974"/>
      <c r="AD1" s="972" t="s">
        <v>56</v>
      </c>
      <c r="AE1" s="973"/>
      <c r="AF1" s="973"/>
      <c r="AG1" s="974"/>
      <c r="AH1" s="972" t="s">
        <v>57</v>
      </c>
      <c r="AI1" s="973"/>
      <c r="AJ1" s="973"/>
      <c r="AK1" s="974"/>
      <c r="AL1" s="972" t="s">
        <v>58</v>
      </c>
      <c r="AM1" s="973"/>
      <c r="AN1" s="973"/>
      <c r="AO1" s="974"/>
    </row>
    <row r="2" spans="1:47" ht="14.95" customHeight="1" thickBot="1" x14ac:dyDescent="0.3">
      <c r="A2" s="249" t="s">
        <v>19</v>
      </c>
      <c r="B2" s="250" t="s">
        <v>18</v>
      </c>
      <c r="C2" s="251" t="s">
        <v>17</v>
      </c>
      <c r="D2" s="251" t="s">
        <v>37</v>
      </c>
      <c r="E2" s="252" t="s">
        <v>16</v>
      </c>
      <c r="F2" s="252" t="s">
        <v>4</v>
      </c>
      <c r="G2" s="252" t="s">
        <v>5</v>
      </c>
      <c r="H2" s="253" t="s">
        <v>12</v>
      </c>
      <c r="I2" s="253" t="s">
        <v>3</v>
      </c>
      <c r="J2" s="253" t="s">
        <v>12</v>
      </c>
      <c r="K2" s="253" t="s">
        <v>13</v>
      </c>
      <c r="L2" s="253" t="s">
        <v>2</v>
      </c>
      <c r="M2" s="253" t="s">
        <v>14</v>
      </c>
      <c r="N2" s="253" t="s">
        <v>15</v>
      </c>
      <c r="O2" s="253" t="s">
        <v>16</v>
      </c>
      <c r="P2" s="253" t="s">
        <v>21</v>
      </c>
      <c r="Q2" s="253" t="s">
        <v>22</v>
      </c>
      <c r="R2" s="253" t="s">
        <v>12</v>
      </c>
      <c r="S2" s="570"/>
      <c r="T2" s="255"/>
      <c r="U2" s="256"/>
      <c r="V2" s="254"/>
      <c r="W2" s="254"/>
      <c r="X2" s="248"/>
      <c r="Y2" s="257"/>
      <c r="Z2" s="258" t="s">
        <v>0</v>
      </c>
      <c r="AA2" s="258" t="s">
        <v>1</v>
      </c>
      <c r="AB2" s="258" t="s">
        <v>2</v>
      </c>
      <c r="AC2" s="258" t="s">
        <v>3</v>
      </c>
      <c r="AD2" s="258" t="s">
        <v>0</v>
      </c>
      <c r="AE2" s="258" t="s">
        <v>1</v>
      </c>
      <c r="AF2" s="258" t="s">
        <v>2</v>
      </c>
      <c r="AG2" s="258" t="s">
        <v>3</v>
      </c>
      <c r="AH2" s="258" t="s">
        <v>0</v>
      </c>
      <c r="AI2" s="258" t="s">
        <v>1</v>
      </c>
      <c r="AJ2" s="258" t="s">
        <v>2</v>
      </c>
      <c r="AK2" s="258" t="s">
        <v>3</v>
      </c>
      <c r="AL2" s="258" t="s">
        <v>0</v>
      </c>
      <c r="AM2" s="258" t="s">
        <v>1</v>
      </c>
      <c r="AN2" s="258" t="s">
        <v>2</v>
      </c>
      <c r="AO2" s="258" t="s">
        <v>3</v>
      </c>
      <c r="AT2" s="69" t="s">
        <v>258</v>
      </c>
    </row>
    <row r="3" spans="1:47" ht="14.95" customHeight="1" thickBot="1" x14ac:dyDescent="0.35">
      <c r="A3" s="1064" t="s">
        <v>492</v>
      </c>
      <c r="B3" s="1065" t="s">
        <v>123</v>
      </c>
      <c r="C3" s="1065" t="s">
        <v>55</v>
      </c>
      <c r="D3" s="1065" t="s">
        <v>562</v>
      </c>
      <c r="E3" s="1066" t="s">
        <v>1</v>
      </c>
      <c r="F3" s="1066">
        <v>48</v>
      </c>
      <c r="G3" s="1066">
        <v>15</v>
      </c>
      <c r="H3" s="1063">
        <v>1</v>
      </c>
      <c r="I3" s="1063">
        <v>0</v>
      </c>
      <c r="J3" s="1063">
        <v>7</v>
      </c>
      <c r="K3" s="1063">
        <v>5</v>
      </c>
      <c r="L3" s="1063">
        <v>0</v>
      </c>
      <c r="M3" s="1063">
        <v>1</v>
      </c>
      <c r="N3" s="1063">
        <v>2</v>
      </c>
      <c r="O3" s="1063">
        <v>1</v>
      </c>
      <c r="P3" s="1063">
        <v>0</v>
      </c>
      <c r="Q3" s="1063">
        <v>0</v>
      </c>
      <c r="R3" s="1063">
        <v>2</v>
      </c>
      <c r="S3" s="1067">
        <v>1548</v>
      </c>
      <c r="T3" s="1068" t="s">
        <v>568</v>
      </c>
      <c r="U3" s="1069" t="s">
        <v>564</v>
      </c>
      <c r="V3" s="1070" t="s">
        <v>565</v>
      </c>
      <c r="W3" s="1069" t="s">
        <v>566</v>
      </c>
      <c r="X3" s="1069" t="s">
        <v>142</v>
      </c>
      <c r="Y3" s="1071" t="s">
        <v>144</v>
      </c>
      <c r="Z3" s="1071">
        <v>1</v>
      </c>
      <c r="AA3" s="1071">
        <v>1</v>
      </c>
      <c r="AB3" s="1071">
        <v>0</v>
      </c>
      <c r="AC3" s="1072">
        <v>0</v>
      </c>
      <c r="AD3" s="1071">
        <v>0</v>
      </c>
      <c r="AE3" s="1071">
        <v>0</v>
      </c>
      <c r="AF3" s="1071">
        <v>0</v>
      </c>
      <c r="AG3" s="1072">
        <v>0</v>
      </c>
      <c r="AH3" s="1071">
        <v>1</v>
      </c>
      <c r="AI3" s="1071">
        <v>1</v>
      </c>
      <c r="AJ3" s="1071">
        <v>0</v>
      </c>
      <c r="AK3" s="1072">
        <v>0</v>
      </c>
      <c r="AL3" s="1071">
        <v>0</v>
      </c>
      <c r="AM3" s="1071">
        <v>0</v>
      </c>
      <c r="AN3" s="1071">
        <v>0</v>
      </c>
      <c r="AO3" s="1072">
        <v>0</v>
      </c>
      <c r="AT3" s="443" t="s">
        <v>253</v>
      </c>
      <c r="AU3" s="444">
        <v>43</v>
      </c>
    </row>
    <row r="4" spans="1:47" ht="14.95" customHeight="1" thickBot="1" x14ac:dyDescent="0.3">
      <c r="A4" s="1051" t="s">
        <v>625</v>
      </c>
      <c r="B4" s="1052" t="s">
        <v>123</v>
      </c>
      <c r="C4" s="1052" t="s">
        <v>36</v>
      </c>
      <c r="D4" s="1052" t="s">
        <v>626</v>
      </c>
      <c r="E4" s="1053" t="s">
        <v>1</v>
      </c>
      <c r="F4" s="1053">
        <v>36</v>
      </c>
      <c r="G4" s="1053">
        <v>14</v>
      </c>
      <c r="H4" s="1054">
        <v>1</v>
      </c>
      <c r="I4" s="1054">
        <v>0</v>
      </c>
      <c r="J4" s="1054">
        <v>6</v>
      </c>
      <c r="K4" s="1054">
        <v>3</v>
      </c>
      <c r="L4" s="1054">
        <v>0</v>
      </c>
      <c r="M4" s="1054">
        <v>0</v>
      </c>
      <c r="N4" s="1054">
        <v>1</v>
      </c>
      <c r="O4" s="1054">
        <v>0</v>
      </c>
      <c r="P4" s="1054">
        <v>0</v>
      </c>
      <c r="Q4" s="1054">
        <v>0</v>
      </c>
      <c r="R4" s="1054">
        <v>2</v>
      </c>
      <c r="S4" s="1055">
        <v>11214</v>
      </c>
      <c r="T4" s="1056" t="s">
        <v>375</v>
      </c>
      <c r="U4" s="1057" t="s">
        <v>121</v>
      </c>
      <c r="V4" s="1058" t="s">
        <v>566</v>
      </c>
      <c r="W4" s="1058" t="s">
        <v>565</v>
      </c>
      <c r="X4" s="1059" t="s">
        <v>124</v>
      </c>
      <c r="Y4" s="1060" t="s">
        <v>630</v>
      </c>
      <c r="Z4" s="1059">
        <v>1</v>
      </c>
      <c r="AA4" s="1059">
        <v>1</v>
      </c>
      <c r="AB4" s="1059">
        <v>0</v>
      </c>
      <c r="AC4" s="1061">
        <v>0</v>
      </c>
      <c r="AD4" s="1059">
        <v>0</v>
      </c>
      <c r="AE4" s="1059">
        <v>0</v>
      </c>
      <c r="AF4" s="1059">
        <v>0</v>
      </c>
      <c r="AG4" s="1061">
        <v>0</v>
      </c>
      <c r="AH4" s="1059">
        <v>0</v>
      </c>
      <c r="AI4" s="1059">
        <v>0</v>
      </c>
      <c r="AJ4" s="1059">
        <v>0</v>
      </c>
      <c r="AK4" s="1061">
        <v>0</v>
      </c>
      <c r="AL4" s="1059">
        <v>1</v>
      </c>
      <c r="AM4" s="1059">
        <v>1</v>
      </c>
      <c r="AN4" s="1059">
        <v>0</v>
      </c>
      <c r="AO4" s="1061">
        <v>0</v>
      </c>
      <c r="AT4" s="445" t="s">
        <v>254</v>
      </c>
      <c r="AU4" s="446">
        <v>41</v>
      </c>
    </row>
    <row r="5" spans="1:47" ht="14.95" customHeight="1" thickBot="1" x14ac:dyDescent="0.35">
      <c r="A5" s="163"/>
      <c r="B5" s="164"/>
      <c r="C5" s="164"/>
      <c r="D5" s="164"/>
      <c r="E5" s="165"/>
      <c r="F5" s="165"/>
      <c r="G5" s="165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543"/>
      <c r="T5" s="172"/>
      <c r="U5" s="168"/>
      <c r="V5" s="166"/>
      <c r="W5" s="166"/>
      <c r="X5" s="169"/>
      <c r="Y5" s="168"/>
      <c r="Z5" s="169"/>
      <c r="AA5" s="169"/>
      <c r="AB5" s="169"/>
      <c r="AC5" s="316"/>
      <c r="AD5" s="169"/>
      <c r="AE5" s="169"/>
      <c r="AF5" s="169"/>
      <c r="AG5" s="316"/>
      <c r="AH5" s="169"/>
      <c r="AI5" s="169"/>
      <c r="AJ5" s="169"/>
      <c r="AK5" s="316"/>
      <c r="AL5" s="169"/>
      <c r="AM5" s="169"/>
      <c r="AN5" s="169"/>
      <c r="AO5" s="316"/>
      <c r="AT5" s="445" t="s">
        <v>255</v>
      </c>
      <c r="AU5" s="446">
        <v>0</v>
      </c>
    </row>
    <row r="6" spans="1:47" ht="14.95" customHeight="1" thickBot="1" x14ac:dyDescent="0.35">
      <c r="A6" s="163"/>
      <c r="B6" s="164"/>
      <c r="C6" s="164"/>
      <c r="D6" s="164"/>
      <c r="E6" s="165"/>
      <c r="F6" s="165"/>
      <c r="G6" s="165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543"/>
      <c r="T6" s="172"/>
      <c r="U6" s="168"/>
      <c r="V6" s="166"/>
      <c r="W6" s="166"/>
      <c r="X6" s="168"/>
      <c r="Y6" s="170"/>
      <c r="Z6" s="169"/>
      <c r="AA6" s="169"/>
      <c r="AB6" s="169"/>
      <c r="AC6" s="316"/>
      <c r="AD6" s="169"/>
      <c r="AE6" s="169"/>
      <c r="AF6" s="169"/>
      <c r="AG6" s="316"/>
      <c r="AH6" s="169"/>
      <c r="AI6" s="169"/>
      <c r="AJ6" s="169"/>
      <c r="AK6" s="316"/>
      <c r="AL6" s="169"/>
      <c r="AM6" s="169"/>
      <c r="AN6" s="169"/>
      <c r="AO6" s="316"/>
      <c r="AT6" s="445" t="s">
        <v>256</v>
      </c>
      <c r="AU6" s="446">
        <v>2</v>
      </c>
    </row>
    <row r="7" spans="1:47" ht="14.95" customHeight="1" thickBot="1" x14ac:dyDescent="0.35">
      <c r="A7" s="177"/>
      <c r="B7" s="178"/>
      <c r="C7" s="178"/>
      <c r="D7" s="178"/>
      <c r="E7" s="175"/>
      <c r="F7" s="175"/>
      <c r="G7" s="175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34"/>
      <c r="U7" s="176"/>
      <c r="V7" s="176"/>
      <c r="W7" s="176"/>
      <c r="X7" s="528"/>
      <c r="Y7" s="529"/>
      <c r="Z7" s="176"/>
      <c r="AA7" s="176"/>
      <c r="AB7" s="176"/>
      <c r="AC7" s="315"/>
      <c r="AD7" s="176"/>
      <c r="AE7" s="176"/>
      <c r="AF7" s="176"/>
      <c r="AG7" s="315"/>
      <c r="AH7" s="176"/>
      <c r="AI7" s="176"/>
      <c r="AJ7" s="176"/>
      <c r="AK7" s="315"/>
      <c r="AL7" s="176"/>
      <c r="AM7" s="176"/>
      <c r="AN7" s="176"/>
      <c r="AO7" s="315"/>
      <c r="AT7" s="445" t="s">
        <v>257</v>
      </c>
      <c r="AU7" s="446">
        <v>2038</v>
      </c>
    </row>
    <row r="8" spans="1:47" ht="14.95" customHeight="1" thickBot="1" x14ac:dyDescent="0.35">
      <c r="A8" s="191"/>
      <c r="B8" s="192"/>
      <c r="C8" s="192"/>
      <c r="D8" s="192"/>
      <c r="E8" s="175"/>
      <c r="F8" s="175"/>
      <c r="G8" s="175"/>
      <c r="H8" s="343"/>
      <c r="I8" s="343"/>
      <c r="J8" s="343"/>
      <c r="K8" s="343"/>
      <c r="L8" s="343"/>
      <c r="M8" s="343"/>
      <c r="N8" s="343"/>
      <c r="O8" s="521"/>
      <c r="P8" s="343"/>
      <c r="Q8" s="343"/>
      <c r="R8" s="343"/>
      <c r="S8" s="343"/>
      <c r="T8" s="334"/>
      <c r="U8" s="180"/>
      <c r="V8" s="179"/>
      <c r="W8" s="282"/>
      <c r="X8" s="180"/>
      <c r="Y8" s="176"/>
      <c r="Z8" s="176"/>
      <c r="AA8" s="176"/>
      <c r="AB8" s="176"/>
      <c r="AC8" s="315"/>
      <c r="AD8" s="176"/>
      <c r="AE8" s="176"/>
      <c r="AF8" s="176"/>
      <c r="AG8" s="315"/>
      <c r="AH8" s="176"/>
      <c r="AI8" s="176"/>
      <c r="AJ8" s="176"/>
      <c r="AK8" s="315"/>
      <c r="AL8" s="176"/>
      <c r="AM8" s="176"/>
      <c r="AN8" s="176"/>
      <c r="AO8" s="315"/>
    </row>
    <row r="9" spans="1:47" ht="14.95" customHeight="1" thickBot="1" x14ac:dyDescent="0.35">
      <c r="A9" s="191"/>
      <c r="B9" s="192"/>
      <c r="C9" s="192"/>
      <c r="D9" s="192"/>
      <c r="E9" s="175"/>
      <c r="F9" s="175"/>
      <c r="G9" s="175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34"/>
      <c r="U9" s="176"/>
      <c r="V9" s="176"/>
      <c r="W9" s="176"/>
      <c r="X9" s="176"/>
      <c r="Y9" s="176"/>
      <c r="Z9" s="176"/>
      <c r="AA9" s="176"/>
      <c r="AB9" s="176"/>
      <c r="AC9" s="315"/>
      <c r="AD9" s="176"/>
      <c r="AE9" s="176"/>
      <c r="AF9" s="176"/>
      <c r="AG9" s="315"/>
      <c r="AH9" s="176"/>
      <c r="AI9" s="176"/>
      <c r="AJ9" s="176"/>
      <c r="AK9" s="315"/>
      <c r="AL9" s="176"/>
      <c r="AM9" s="176"/>
      <c r="AN9" s="176"/>
      <c r="AO9" s="315"/>
    </row>
    <row r="10" spans="1:47" ht="14.95" customHeight="1" thickBot="1" x14ac:dyDescent="0.3">
      <c r="A10" s="191"/>
      <c r="B10" s="534"/>
      <c r="C10" s="192"/>
      <c r="D10" s="192"/>
      <c r="E10" s="175"/>
      <c r="F10" s="175"/>
      <c r="G10" s="175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575"/>
      <c r="U10" s="176"/>
      <c r="V10" s="176"/>
      <c r="W10" s="176"/>
      <c r="X10" s="176"/>
      <c r="Y10" s="176"/>
      <c r="Z10" s="176"/>
      <c r="AA10" s="176"/>
      <c r="AB10" s="176"/>
      <c r="AC10" s="315"/>
      <c r="AD10" s="176"/>
      <c r="AE10" s="176"/>
      <c r="AF10" s="176"/>
      <c r="AG10" s="315"/>
      <c r="AH10" s="176"/>
      <c r="AI10" s="176"/>
      <c r="AJ10" s="176"/>
      <c r="AK10" s="315"/>
      <c r="AL10" s="176"/>
      <c r="AM10" s="176"/>
      <c r="AN10" s="176"/>
      <c r="AO10" s="315"/>
    </row>
    <row r="11" spans="1:47" ht="14.95" customHeight="1" thickBot="1" x14ac:dyDescent="0.3">
      <c r="A11" s="191"/>
      <c r="B11" s="192"/>
      <c r="C11" s="192"/>
      <c r="D11" s="192"/>
      <c r="E11" s="175"/>
      <c r="F11" s="175"/>
      <c r="G11" s="175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59"/>
      <c r="T11" s="194"/>
      <c r="U11" s="176"/>
      <c r="V11" s="176"/>
      <c r="W11" s="176"/>
      <c r="X11" s="176"/>
      <c r="Y11" s="176"/>
      <c r="Z11" s="176"/>
      <c r="AA11" s="176"/>
      <c r="AB11" s="176"/>
      <c r="AC11" s="315"/>
      <c r="AD11" s="176"/>
      <c r="AE11" s="176"/>
      <c r="AF11" s="176"/>
      <c r="AG11" s="315"/>
      <c r="AH11" s="176"/>
      <c r="AI11" s="176"/>
      <c r="AJ11" s="176"/>
      <c r="AK11" s="315"/>
      <c r="AL11" s="176"/>
      <c r="AM11" s="176"/>
      <c r="AN11" s="176"/>
      <c r="AO11" s="315"/>
    </row>
    <row r="12" spans="1:47" ht="14.95" customHeight="1" thickBot="1" x14ac:dyDescent="0.3">
      <c r="A12" s="191"/>
      <c r="B12" s="192"/>
      <c r="C12" s="192"/>
      <c r="D12" s="192"/>
      <c r="E12" s="175"/>
      <c r="F12" s="175"/>
      <c r="G12" s="175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59"/>
      <c r="T12" s="575"/>
      <c r="U12" s="176"/>
      <c r="V12" s="176"/>
      <c r="W12" s="176"/>
      <c r="X12" s="176"/>
      <c r="Y12" s="176"/>
      <c r="Z12" s="176"/>
      <c r="AA12" s="176"/>
      <c r="AB12" s="176"/>
      <c r="AC12" s="315"/>
      <c r="AD12" s="176"/>
      <c r="AE12" s="176"/>
      <c r="AF12" s="176"/>
      <c r="AG12" s="315"/>
      <c r="AH12" s="176"/>
      <c r="AI12" s="176"/>
      <c r="AJ12" s="176"/>
      <c r="AK12" s="315"/>
      <c r="AL12" s="176"/>
      <c r="AM12" s="176"/>
      <c r="AN12" s="176"/>
      <c r="AO12" s="315"/>
    </row>
    <row r="13" spans="1:47" ht="14.95" customHeight="1" thickBot="1" x14ac:dyDescent="0.3">
      <c r="A13" s="100"/>
      <c r="B13" s="101"/>
      <c r="C13" s="975" t="s">
        <v>567</v>
      </c>
      <c r="D13" s="976"/>
      <c r="E13" s="977"/>
      <c r="F13" s="703">
        <f t="shared" ref="F13:R13" si="0">SUM(F3:F5)</f>
        <v>84</v>
      </c>
      <c r="G13" s="703">
        <f t="shared" si="0"/>
        <v>29</v>
      </c>
      <c r="H13" s="703">
        <f t="shared" si="0"/>
        <v>2</v>
      </c>
      <c r="I13" s="703">
        <f t="shared" si="0"/>
        <v>0</v>
      </c>
      <c r="J13" s="703">
        <f t="shared" si="0"/>
        <v>13</v>
      </c>
      <c r="K13" s="703">
        <f t="shared" si="0"/>
        <v>8</v>
      </c>
      <c r="L13" s="703">
        <f t="shared" si="0"/>
        <v>0</v>
      </c>
      <c r="M13" s="703">
        <f t="shared" si="0"/>
        <v>1</v>
      </c>
      <c r="N13" s="703">
        <f t="shared" si="0"/>
        <v>3</v>
      </c>
      <c r="O13" s="703">
        <f t="shared" si="0"/>
        <v>1</v>
      </c>
      <c r="P13" s="703">
        <f t="shared" si="0"/>
        <v>0</v>
      </c>
      <c r="Q13" s="703">
        <f t="shared" si="0"/>
        <v>0</v>
      </c>
      <c r="R13" s="703">
        <f t="shared" si="0"/>
        <v>4</v>
      </c>
      <c r="S13" s="731"/>
      <c r="T13" s="732"/>
      <c r="U13" s="732"/>
      <c r="V13" s="732"/>
      <c r="W13" s="732"/>
      <c r="X13" s="733"/>
      <c r="Y13" s="704" t="s">
        <v>567</v>
      </c>
      <c r="Z13" s="703">
        <f t="shared" ref="Z13:AO13" si="1">SUM(Z3:Z5)</f>
        <v>2</v>
      </c>
      <c r="AA13" s="703">
        <f t="shared" si="1"/>
        <v>2</v>
      </c>
      <c r="AB13" s="703">
        <f t="shared" si="1"/>
        <v>0</v>
      </c>
      <c r="AC13" s="703">
        <f t="shared" si="1"/>
        <v>0</v>
      </c>
      <c r="AD13" s="734">
        <f t="shared" si="1"/>
        <v>0</v>
      </c>
      <c r="AE13" s="734">
        <f t="shared" si="1"/>
        <v>0</v>
      </c>
      <c r="AF13" s="734">
        <f t="shared" si="1"/>
        <v>0</v>
      </c>
      <c r="AG13" s="734">
        <f t="shared" si="1"/>
        <v>0</v>
      </c>
      <c r="AH13" s="735">
        <f t="shared" si="1"/>
        <v>1</v>
      </c>
      <c r="AI13" s="735">
        <f t="shared" si="1"/>
        <v>1</v>
      </c>
      <c r="AJ13" s="735">
        <f t="shared" si="1"/>
        <v>0</v>
      </c>
      <c r="AK13" s="735">
        <f t="shared" si="1"/>
        <v>0</v>
      </c>
      <c r="AL13" s="703">
        <f t="shared" si="1"/>
        <v>1</v>
      </c>
      <c r="AM13" s="703">
        <f t="shared" si="1"/>
        <v>1</v>
      </c>
      <c r="AN13" s="703">
        <f t="shared" si="1"/>
        <v>0</v>
      </c>
      <c r="AO13" s="703">
        <f t="shared" si="1"/>
        <v>0</v>
      </c>
    </row>
    <row r="14" spans="1:47" ht="14.95" customHeight="1" thickBot="1" x14ac:dyDescent="0.3">
      <c r="A14" s="100"/>
      <c r="B14" s="101"/>
      <c r="C14" s="808" t="s">
        <v>500</v>
      </c>
      <c r="D14" s="809"/>
      <c r="E14" s="810"/>
      <c r="F14" s="393">
        <f>SUM(F7:F12)</f>
        <v>0</v>
      </c>
      <c r="G14" s="393">
        <f t="shared" ref="G14:R14" si="2">SUM(G7:G12)</f>
        <v>0</v>
      </c>
      <c r="H14" s="393">
        <f t="shared" si="2"/>
        <v>0</v>
      </c>
      <c r="I14" s="393">
        <f t="shared" si="2"/>
        <v>0</v>
      </c>
      <c r="J14" s="393">
        <f t="shared" si="2"/>
        <v>0</v>
      </c>
      <c r="K14" s="393">
        <f t="shared" si="2"/>
        <v>0</v>
      </c>
      <c r="L14" s="393">
        <f t="shared" si="2"/>
        <v>0</v>
      </c>
      <c r="M14" s="393">
        <f t="shared" si="2"/>
        <v>0</v>
      </c>
      <c r="N14" s="393">
        <f t="shared" si="2"/>
        <v>0</v>
      </c>
      <c r="O14" s="393">
        <f t="shared" si="2"/>
        <v>0</v>
      </c>
      <c r="P14" s="393">
        <f t="shared" si="2"/>
        <v>0</v>
      </c>
      <c r="Q14" s="393">
        <f t="shared" si="2"/>
        <v>0</v>
      </c>
      <c r="R14" s="393">
        <f t="shared" si="2"/>
        <v>0</v>
      </c>
      <c r="S14" s="571"/>
      <c r="T14" s="394"/>
      <c r="U14" s="394"/>
      <c r="V14" s="394"/>
      <c r="W14" s="394"/>
      <c r="X14" s="395"/>
      <c r="Y14" s="677" t="s">
        <v>500</v>
      </c>
      <c r="Z14" s="729"/>
      <c r="AA14" s="730"/>
      <c r="AB14" s="393">
        <f t="shared" ref="AB14:AO14" si="3">SUM(AB7:AB12)</f>
        <v>0</v>
      </c>
      <c r="AC14" s="393">
        <f t="shared" si="3"/>
        <v>0</v>
      </c>
      <c r="AD14" s="397">
        <f t="shared" si="3"/>
        <v>0</v>
      </c>
      <c r="AE14" s="397">
        <f t="shared" si="3"/>
        <v>0</v>
      </c>
      <c r="AF14" s="397">
        <f t="shared" si="3"/>
        <v>0</v>
      </c>
      <c r="AG14" s="397">
        <f t="shared" si="3"/>
        <v>0</v>
      </c>
      <c r="AH14" s="398">
        <f t="shared" si="3"/>
        <v>0</v>
      </c>
      <c r="AI14" s="398">
        <f t="shared" si="3"/>
        <v>0</v>
      </c>
      <c r="AJ14" s="398">
        <f t="shared" si="3"/>
        <v>0</v>
      </c>
      <c r="AK14" s="398">
        <f t="shared" si="3"/>
        <v>0</v>
      </c>
      <c r="AL14" s="393">
        <f t="shared" si="3"/>
        <v>0</v>
      </c>
      <c r="AM14" s="393">
        <f t="shared" si="3"/>
        <v>0</v>
      </c>
      <c r="AN14" s="393">
        <f t="shared" si="3"/>
        <v>0</v>
      </c>
      <c r="AO14" s="393">
        <f t="shared" si="3"/>
        <v>0</v>
      </c>
    </row>
    <row r="15" spans="1:47" ht="14.95" customHeight="1" thickBot="1" x14ac:dyDescent="0.3">
      <c r="A15" s="100"/>
      <c r="B15" s="101"/>
      <c r="C15" s="800" t="s">
        <v>70</v>
      </c>
      <c r="D15" s="801"/>
      <c r="E15" s="802"/>
      <c r="F15" s="124">
        <f>SUM(F3:F12)</f>
        <v>84</v>
      </c>
      <c r="G15" s="124">
        <f t="shared" ref="G15:R15" si="4">SUM(G3:G12)</f>
        <v>29</v>
      </c>
      <c r="H15" s="124">
        <f t="shared" si="4"/>
        <v>2</v>
      </c>
      <c r="I15" s="124">
        <f t="shared" si="4"/>
        <v>0</v>
      </c>
      <c r="J15" s="124">
        <f t="shared" si="4"/>
        <v>13</v>
      </c>
      <c r="K15" s="124">
        <f t="shared" si="4"/>
        <v>8</v>
      </c>
      <c r="L15" s="124">
        <f t="shared" si="4"/>
        <v>0</v>
      </c>
      <c r="M15" s="124">
        <f t="shared" si="4"/>
        <v>1</v>
      </c>
      <c r="N15" s="124">
        <f t="shared" si="4"/>
        <v>3</v>
      </c>
      <c r="O15" s="124">
        <f t="shared" si="4"/>
        <v>1</v>
      </c>
      <c r="P15" s="124">
        <f t="shared" si="4"/>
        <v>0</v>
      </c>
      <c r="Q15" s="124">
        <f t="shared" si="4"/>
        <v>0</v>
      </c>
      <c r="R15" s="124">
        <f t="shared" si="4"/>
        <v>4</v>
      </c>
      <c r="S15" s="572"/>
      <c r="T15" s="187"/>
      <c r="U15" s="187"/>
      <c r="V15" s="187"/>
      <c r="W15" s="187"/>
      <c r="X15" s="12"/>
      <c r="Y15" s="129" t="s">
        <v>70</v>
      </c>
      <c r="Z15" s="124">
        <f t="shared" ref="Z15:AO15" si="5">SUM(Z3:Z12)</f>
        <v>2</v>
      </c>
      <c r="AA15" s="124">
        <f t="shared" si="5"/>
        <v>2</v>
      </c>
      <c r="AB15" s="124">
        <f t="shared" si="5"/>
        <v>0</v>
      </c>
      <c r="AC15" s="124">
        <f t="shared" si="5"/>
        <v>0</v>
      </c>
      <c r="AD15" s="122">
        <f t="shared" si="5"/>
        <v>0</v>
      </c>
      <c r="AE15" s="122">
        <f t="shared" si="5"/>
        <v>0</v>
      </c>
      <c r="AF15" s="122">
        <f t="shared" si="5"/>
        <v>0</v>
      </c>
      <c r="AG15" s="122">
        <f t="shared" si="5"/>
        <v>0</v>
      </c>
      <c r="AH15" s="123">
        <f t="shared" si="5"/>
        <v>1</v>
      </c>
      <c r="AI15" s="123">
        <f t="shared" si="5"/>
        <v>1</v>
      </c>
      <c r="AJ15" s="123">
        <f t="shared" si="5"/>
        <v>0</v>
      </c>
      <c r="AK15" s="123">
        <f t="shared" si="5"/>
        <v>0</v>
      </c>
      <c r="AL15" s="124">
        <f t="shared" si="5"/>
        <v>1</v>
      </c>
      <c r="AM15" s="124">
        <f t="shared" si="5"/>
        <v>1</v>
      </c>
      <c r="AN15" s="124">
        <f t="shared" si="5"/>
        <v>0</v>
      </c>
      <c r="AO15" s="124">
        <f t="shared" si="5"/>
        <v>0</v>
      </c>
    </row>
    <row r="16" spans="1:47" ht="14.95" customHeight="1" x14ac:dyDescent="0.25">
      <c r="A16" s="789" t="s">
        <v>53</v>
      </c>
      <c r="B16" s="790"/>
      <c r="C16" s="790"/>
      <c r="D16" s="790"/>
      <c r="E16" s="790"/>
      <c r="F16" s="790"/>
      <c r="G16" s="790"/>
      <c r="H16" s="790"/>
      <c r="I16" s="790"/>
      <c r="J16" s="790"/>
      <c r="K16" s="790"/>
      <c r="L16" s="790"/>
      <c r="M16" s="790"/>
      <c r="N16" s="790"/>
      <c r="O16" s="790"/>
      <c r="P16" s="790"/>
      <c r="Q16" s="790"/>
      <c r="R16" s="790"/>
      <c r="S16" s="790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0"/>
      <c r="AE16" s="790"/>
      <c r="AF16" s="790"/>
      <c r="AG16" s="790"/>
      <c r="AH16" s="790"/>
      <c r="AI16" s="790"/>
      <c r="AJ16" s="790"/>
      <c r="AK16" s="790"/>
      <c r="AL16" s="790"/>
      <c r="AM16" s="790"/>
      <c r="AN16" s="790"/>
      <c r="AO16" s="790"/>
    </row>
    <row r="17" spans="1:41" ht="14.95" customHeight="1" x14ac:dyDescent="0.25">
      <c r="A17" s="1050" t="s">
        <v>627</v>
      </c>
    </row>
    <row r="18" spans="1:41" ht="14.95" customHeight="1" x14ac:dyDescent="0.25"/>
    <row r="19" spans="1:41" ht="14.95" customHeight="1" x14ac:dyDescent="0.25"/>
    <row r="20" spans="1:41" ht="14.95" customHeight="1" x14ac:dyDescent="0.25">
      <c r="A20" s="789" t="s">
        <v>570</v>
      </c>
      <c r="B20" s="790"/>
      <c r="C20" s="790"/>
      <c r="D20" s="790"/>
      <c r="E20" s="790"/>
      <c r="F20" s="790"/>
      <c r="G20" s="790"/>
      <c r="H20" s="790"/>
      <c r="I20" s="790"/>
      <c r="J20" s="790"/>
      <c r="K20" s="790"/>
      <c r="L20" s="790"/>
      <c r="M20" s="790"/>
      <c r="N20" s="790"/>
      <c r="O20" s="790"/>
      <c r="P20" s="790"/>
      <c r="Q20" s="790"/>
      <c r="R20" s="790"/>
      <c r="S20" s="790"/>
      <c r="T20" s="790"/>
      <c r="U20" s="790"/>
      <c r="V20" s="790"/>
      <c r="W20" s="790"/>
      <c r="X20" s="790"/>
      <c r="Y20" s="790"/>
      <c r="Z20" s="790"/>
      <c r="AA20" s="790"/>
      <c r="AB20" s="790"/>
      <c r="AC20" s="790"/>
      <c r="AD20" s="790"/>
      <c r="AE20" s="790"/>
      <c r="AF20" s="790"/>
      <c r="AG20" s="790"/>
      <c r="AH20" s="790"/>
      <c r="AI20" s="790"/>
      <c r="AJ20" s="790"/>
      <c r="AK20" s="790"/>
      <c r="AL20" s="790"/>
      <c r="AM20" s="790"/>
      <c r="AN20" s="790"/>
      <c r="AO20" s="790"/>
    </row>
    <row r="21" spans="1:41" ht="14.95" customHeight="1" x14ac:dyDescent="0.25">
      <c r="A21" s="789" t="s">
        <v>571</v>
      </c>
      <c r="B21" s="790"/>
      <c r="C21" s="790"/>
      <c r="D21" s="790"/>
      <c r="E21" s="790"/>
      <c r="F21" s="790"/>
      <c r="G21" s="790"/>
      <c r="H21" s="790"/>
      <c r="I21" s="790"/>
      <c r="J21" s="790"/>
      <c r="K21" s="790"/>
      <c r="L21" s="790"/>
      <c r="M21" s="790"/>
      <c r="N21" s="790"/>
      <c r="O21" s="790"/>
      <c r="P21" s="790"/>
      <c r="Q21" s="790"/>
      <c r="R21" s="790"/>
    </row>
    <row r="22" spans="1:41" ht="14.95" customHeight="1" x14ac:dyDescent="0.25">
      <c r="A22" s="789"/>
      <c r="B22" s="790"/>
      <c r="C22" s="790"/>
      <c r="D22" s="790"/>
      <c r="E22" s="790"/>
      <c r="F22" s="790"/>
      <c r="G22" s="790"/>
      <c r="H22" s="790"/>
      <c r="I22" s="790"/>
      <c r="J22" s="790"/>
      <c r="K22" s="790"/>
      <c r="L22" s="790"/>
      <c r="M22" s="790"/>
      <c r="N22" s="790"/>
      <c r="O22" s="790"/>
      <c r="P22" s="790"/>
      <c r="Q22" s="790"/>
      <c r="R22" s="790"/>
    </row>
    <row r="23" spans="1:41" ht="14.95" customHeight="1" x14ac:dyDescent="0.25">
      <c r="A23" t="s">
        <v>74</v>
      </c>
    </row>
    <row r="24" spans="1:41" ht="14.95" customHeight="1" x14ac:dyDescent="0.25">
      <c r="A24" s="292"/>
      <c r="B24" s="69" t="s">
        <v>40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 ht="14.95" customHeight="1" x14ac:dyDescent="0.25">
      <c r="A25" s="293"/>
      <c r="B25" s="69" t="s">
        <v>38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 x14ac:dyDescent="0.25">
      <c r="A26" s="294"/>
      <c r="B26" s="69" t="s">
        <v>39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  <row r="27" spans="1:41" ht="16.3" x14ac:dyDescent="0.3">
      <c r="A27" s="579" t="s">
        <v>28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</row>
  </sheetData>
  <mergeCells count="17">
    <mergeCell ref="A22:R22"/>
    <mergeCell ref="Z1:AC1"/>
    <mergeCell ref="AD1:AG1"/>
    <mergeCell ref="AH1:AK1"/>
    <mergeCell ref="A20:AO20"/>
    <mergeCell ref="A21:R21"/>
    <mergeCell ref="C15:E15"/>
    <mergeCell ref="A16:AO16"/>
    <mergeCell ref="AL1:AO1"/>
    <mergeCell ref="C13:E13"/>
    <mergeCell ref="A1:C1"/>
    <mergeCell ref="E1:G1"/>
    <mergeCell ref="H1:I1"/>
    <mergeCell ref="J1:M1"/>
    <mergeCell ref="N1:O1"/>
    <mergeCell ref="P1:R1"/>
    <mergeCell ref="C14:E14"/>
  </mergeCells>
  <pageMargins left="0.7" right="0.7" top="0.75" bottom="0.75" header="0.3" footer="0.3"/>
  <pageSetup paperSize="9" orientation="portrait" r:id="rId1"/>
  <ignoredErrors>
    <ignoredError sqref="T14:X14 T13:X13 F13:R13 F14:S14 S13 AB14:AO14 Z13:AO13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51F5-1FFA-42EC-B298-10B326711905}">
  <dimension ref="A1:AU19"/>
  <sheetViews>
    <sheetView workbookViewId="0">
      <selection activeCell="A19" sqref="A19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19" width="6.625" customWidth="1"/>
    <col min="20" max="20" width="6.25" customWidth="1"/>
    <col min="21" max="21" width="21.625" bestFit="1" customWidth="1"/>
    <col min="22" max="22" width="17.375" bestFit="1" customWidth="1"/>
    <col min="23" max="23" width="21.875" bestFit="1" customWidth="1"/>
    <col min="24" max="24" width="18.5" bestFit="1" customWidth="1"/>
    <col min="25" max="25" width="24.37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953" t="s">
        <v>558</v>
      </c>
      <c r="B1" s="954"/>
      <c r="C1" s="954"/>
      <c r="D1" s="423"/>
      <c r="E1" s="955" t="s">
        <v>24</v>
      </c>
      <c r="F1" s="956"/>
      <c r="G1" s="957"/>
      <c r="H1" s="955" t="s">
        <v>73</v>
      </c>
      <c r="I1" s="957"/>
      <c r="J1" s="950" t="s">
        <v>6</v>
      </c>
      <c r="K1" s="951"/>
      <c r="L1" s="951"/>
      <c r="M1" s="952"/>
      <c r="N1" s="950" t="s">
        <v>7</v>
      </c>
      <c r="O1" s="952"/>
      <c r="P1" s="950" t="s">
        <v>25</v>
      </c>
      <c r="Q1" s="951"/>
      <c r="R1" s="952"/>
      <c r="S1" s="475" t="s">
        <v>8</v>
      </c>
      <c r="T1" s="134" t="s">
        <v>9</v>
      </c>
      <c r="U1" s="136" t="s">
        <v>10</v>
      </c>
      <c r="V1" s="136" t="s">
        <v>11</v>
      </c>
      <c r="W1" s="136" t="s">
        <v>95</v>
      </c>
      <c r="X1" s="136" t="s">
        <v>26</v>
      </c>
      <c r="Y1" s="136" t="s">
        <v>27</v>
      </c>
      <c r="Z1" s="947" t="s">
        <v>20</v>
      </c>
      <c r="AA1" s="986"/>
      <c r="AB1" s="986"/>
      <c r="AC1" s="987"/>
      <c r="AD1" s="947" t="s">
        <v>56</v>
      </c>
      <c r="AE1" s="986"/>
      <c r="AF1" s="986"/>
      <c r="AG1" s="987"/>
      <c r="AH1" s="947" t="s">
        <v>57</v>
      </c>
      <c r="AI1" s="986"/>
      <c r="AJ1" s="986"/>
      <c r="AK1" s="987"/>
      <c r="AL1" s="947" t="s">
        <v>58</v>
      </c>
      <c r="AM1" s="986"/>
      <c r="AN1" s="986"/>
      <c r="AO1" s="987"/>
    </row>
    <row r="2" spans="1:47" ht="14.95" customHeight="1" thickBot="1" x14ac:dyDescent="0.3">
      <c r="A2" s="138" t="s">
        <v>19</v>
      </c>
      <c r="B2" s="139" t="s">
        <v>18</v>
      </c>
      <c r="C2" s="140" t="s">
        <v>17</v>
      </c>
      <c r="D2" s="140" t="s">
        <v>37</v>
      </c>
      <c r="E2" s="141" t="s">
        <v>16</v>
      </c>
      <c r="F2" s="141" t="s">
        <v>4</v>
      </c>
      <c r="G2" s="141" t="s">
        <v>5</v>
      </c>
      <c r="H2" s="142" t="s">
        <v>12</v>
      </c>
      <c r="I2" s="142" t="s">
        <v>3</v>
      </c>
      <c r="J2" s="142" t="s">
        <v>12</v>
      </c>
      <c r="K2" s="142" t="s">
        <v>13</v>
      </c>
      <c r="L2" s="142" t="s">
        <v>2</v>
      </c>
      <c r="M2" s="142" t="s">
        <v>14</v>
      </c>
      <c r="N2" s="142" t="s">
        <v>15</v>
      </c>
      <c r="O2" s="142" t="s">
        <v>16</v>
      </c>
      <c r="P2" s="142" t="s">
        <v>21</v>
      </c>
      <c r="Q2" s="142" t="s">
        <v>22</v>
      </c>
      <c r="R2" s="142" t="s">
        <v>12</v>
      </c>
      <c r="S2" s="546"/>
      <c r="T2" s="424"/>
      <c r="U2" s="425"/>
      <c r="V2" s="426"/>
      <c r="W2" s="426"/>
      <c r="X2" s="136"/>
      <c r="Y2" s="427"/>
      <c r="Z2" s="147" t="s">
        <v>0</v>
      </c>
      <c r="AA2" s="147" t="s">
        <v>1</v>
      </c>
      <c r="AB2" s="147" t="s">
        <v>2</v>
      </c>
      <c r="AC2" s="147" t="s">
        <v>3</v>
      </c>
      <c r="AD2" s="147" t="s">
        <v>0</v>
      </c>
      <c r="AE2" s="147" t="s">
        <v>1</v>
      </c>
      <c r="AF2" s="147" t="s">
        <v>2</v>
      </c>
      <c r="AG2" s="147" t="s">
        <v>3</v>
      </c>
      <c r="AH2" s="147" t="s">
        <v>0</v>
      </c>
      <c r="AI2" s="147" t="s">
        <v>1</v>
      </c>
      <c r="AJ2" s="147" t="s">
        <v>2</v>
      </c>
      <c r="AK2" s="147" t="s">
        <v>3</v>
      </c>
      <c r="AL2" s="147" t="s">
        <v>0</v>
      </c>
      <c r="AM2" s="147" t="s">
        <v>1</v>
      </c>
      <c r="AN2" s="147" t="s">
        <v>2</v>
      </c>
      <c r="AO2" s="147" t="s">
        <v>3</v>
      </c>
      <c r="AT2" s="69" t="s">
        <v>258</v>
      </c>
    </row>
    <row r="3" spans="1:47" ht="14.95" customHeight="1" thickBot="1" x14ac:dyDescent="0.35">
      <c r="A3" s="177" t="s">
        <v>225</v>
      </c>
      <c r="B3" s="178" t="s">
        <v>204</v>
      </c>
      <c r="C3" s="178" t="s">
        <v>203</v>
      </c>
      <c r="D3" s="178" t="s">
        <v>205</v>
      </c>
      <c r="E3" s="175" t="s">
        <v>1</v>
      </c>
      <c r="F3" s="175">
        <v>64</v>
      </c>
      <c r="G3" s="175">
        <v>14</v>
      </c>
      <c r="H3" s="343">
        <v>1</v>
      </c>
      <c r="I3" s="343">
        <v>0</v>
      </c>
      <c r="J3" s="343">
        <v>10</v>
      </c>
      <c r="K3" s="343">
        <v>6</v>
      </c>
      <c r="L3" s="343">
        <v>0</v>
      </c>
      <c r="M3" s="343">
        <v>0</v>
      </c>
      <c r="N3" s="343">
        <v>0</v>
      </c>
      <c r="O3" s="343">
        <v>0</v>
      </c>
      <c r="P3" s="343">
        <v>0</v>
      </c>
      <c r="Q3" s="343">
        <v>0</v>
      </c>
      <c r="R3" s="343">
        <v>2</v>
      </c>
      <c r="S3" s="547"/>
      <c r="T3" s="182" t="s">
        <v>226</v>
      </c>
      <c r="U3" s="180" t="s">
        <v>227</v>
      </c>
      <c r="V3" s="179" t="s">
        <v>92</v>
      </c>
      <c r="W3" s="179" t="s">
        <v>92</v>
      </c>
      <c r="X3" s="176" t="s">
        <v>228</v>
      </c>
      <c r="Y3" s="181" t="s">
        <v>229</v>
      </c>
      <c r="Z3" s="176">
        <v>1</v>
      </c>
      <c r="AA3" s="176">
        <v>1</v>
      </c>
      <c r="AB3" s="176">
        <v>0</v>
      </c>
      <c r="AC3" s="315">
        <v>0</v>
      </c>
      <c r="AD3" s="176">
        <v>0</v>
      </c>
      <c r="AE3" s="176">
        <v>0</v>
      </c>
      <c r="AF3" s="176">
        <v>0</v>
      </c>
      <c r="AG3" s="315">
        <v>0</v>
      </c>
      <c r="AH3" s="176">
        <v>0</v>
      </c>
      <c r="AI3" s="176">
        <v>0</v>
      </c>
      <c r="AJ3" s="176">
        <v>0</v>
      </c>
      <c r="AK3" s="315">
        <v>0</v>
      </c>
      <c r="AL3" s="176">
        <v>1</v>
      </c>
      <c r="AM3" s="176">
        <v>1</v>
      </c>
      <c r="AN3" s="176">
        <v>0</v>
      </c>
      <c r="AO3" s="315">
        <v>0</v>
      </c>
      <c r="AT3" s="443" t="s">
        <v>253</v>
      </c>
      <c r="AU3" s="444">
        <v>17</v>
      </c>
    </row>
    <row r="4" spans="1:47" ht="14.95" customHeight="1" thickBot="1" x14ac:dyDescent="0.3">
      <c r="A4" s="151" t="s">
        <v>217</v>
      </c>
      <c r="B4" s="152" t="s">
        <v>204</v>
      </c>
      <c r="C4" s="152" t="s">
        <v>131</v>
      </c>
      <c r="D4" s="152" t="s">
        <v>205</v>
      </c>
      <c r="E4" s="153" t="s">
        <v>3</v>
      </c>
      <c r="F4" s="153">
        <v>20</v>
      </c>
      <c r="G4" s="153">
        <v>24</v>
      </c>
      <c r="H4" s="345">
        <v>1</v>
      </c>
      <c r="I4" s="345">
        <v>1</v>
      </c>
      <c r="J4" s="345">
        <v>4</v>
      </c>
      <c r="K4" s="345">
        <v>0</v>
      </c>
      <c r="L4" s="345">
        <v>0</v>
      </c>
      <c r="M4" s="345">
        <v>0</v>
      </c>
      <c r="N4" s="345">
        <v>2</v>
      </c>
      <c r="O4" s="345">
        <v>0</v>
      </c>
      <c r="P4" s="345">
        <v>1</v>
      </c>
      <c r="Q4" s="345">
        <v>0</v>
      </c>
      <c r="R4" s="345">
        <v>4</v>
      </c>
      <c r="S4" s="542"/>
      <c r="T4" s="159" t="s">
        <v>139</v>
      </c>
      <c r="U4" s="154" t="s">
        <v>206</v>
      </c>
      <c r="V4" s="155" t="s">
        <v>92</v>
      </c>
      <c r="W4" s="155" t="s">
        <v>92</v>
      </c>
      <c r="X4" s="154" t="s">
        <v>207</v>
      </c>
      <c r="Y4" s="158" t="s">
        <v>231</v>
      </c>
      <c r="Z4" s="154">
        <v>1</v>
      </c>
      <c r="AA4" s="154">
        <v>0</v>
      </c>
      <c r="AB4" s="154">
        <v>0</v>
      </c>
      <c r="AC4" s="451">
        <v>1</v>
      </c>
      <c r="AD4" s="154">
        <v>0</v>
      </c>
      <c r="AE4" s="154">
        <v>0</v>
      </c>
      <c r="AF4" s="154">
        <v>0</v>
      </c>
      <c r="AG4" s="451">
        <v>0</v>
      </c>
      <c r="AH4" s="154">
        <v>1</v>
      </c>
      <c r="AI4" s="154">
        <v>0</v>
      </c>
      <c r="AJ4" s="154">
        <v>0</v>
      </c>
      <c r="AK4" s="451">
        <v>1</v>
      </c>
      <c r="AL4" s="154">
        <v>0</v>
      </c>
      <c r="AM4" s="154">
        <v>0</v>
      </c>
      <c r="AN4" s="154">
        <v>0</v>
      </c>
      <c r="AO4" s="451">
        <v>0</v>
      </c>
      <c r="AT4" s="445" t="s">
        <v>254</v>
      </c>
      <c r="AU4" s="446">
        <v>6</v>
      </c>
    </row>
    <row r="5" spans="1:47" ht="14.95" customHeight="1" thickBot="1" x14ac:dyDescent="0.3">
      <c r="A5" s="177" t="s">
        <v>160</v>
      </c>
      <c r="B5" s="178" t="s">
        <v>155</v>
      </c>
      <c r="C5" s="178" t="s">
        <v>29</v>
      </c>
      <c r="D5" s="178" t="s">
        <v>165</v>
      </c>
      <c r="E5" s="175" t="s">
        <v>3</v>
      </c>
      <c r="F5" s="175">
        <v>0</v>
      </c>
      <c r="G5" s="175">
        <v>73</v>
      </c>
      <c r="H5" s="343">
        <v>0</v>
      </c>
      <c r="I5" s="343">
        <v>0</v>
      </c>
      <c r="J5" s="343">
        <v>0</v>
      </c>
      <c r="K5" s="343">
        <v>0</v>
      </c>
      <c r="L5" s="343">
        <v>0</v>
      </c>
      <c r="M5" s="343">
        <v>0</v>
      </c>
      <c r="N5" s="343">
        <v>1</v>
      </c>
      <c r="O5" s="521">
        <v>1</v>
      </c>
      <c r="P5" s="343">
        <v>1</v>
      </c>
      <c r="Q5" s="343">
        <v>0</v>
      </c>
      <c r="R5" s="343">
        <v>11</v>
      </c>
      <c r="S5" s="547">
        <v>10054</v>
      </c>
      <c r="T5" s="188" t="s">
        <v>348</v>
      </c>
      <c r="U5" s="180" t="s">
        <v>169</v>
      </c>
      <c r="V5" s="179" t="s">
        <v>114</v>
      </c>
      <c r="W5" s="179" t="s">
        <v>116</v>
      </c>
      <c r="X5" s="181" t="s">
        <v>109</v>
      </c>
      <c r="Y5" s="176" t="s">
        <v>124</v>
      </c>
      <c r="Z5" s="176">
        <v>1</v>
      </c>
      <c r="AA5" s="176">
        <v>0</v>
      </c>
      <c r="AB5" s="315">
        <v>0</v>
      </c>
      <c r="AC5" s="176">
        <v>1</v>
      </c>
      <c r="AD5" s="176">
        <v>0</v>
      </c>
      <c r="AE5" s="176">
        <v>0</v>
      </c>
      <c r="AF5" s="176">
        <v>0</v>
      </c>
      <c r="AG5" s="315">
        <v>0</v>
      </c>
      <c r="AH5" s="176">
        <v>0</v>
      </c>
      <c r="AI5" s="176">
        <v>0</v>
      </c>
      <c r="AJ5" s="176">
        <v>0</v>
      </c>
      <c r="AK5" s="315">
        <v>0</v>
      </c>
      <c r="AL5" s="176">
        <v>1</v>
      </c>
      <c r="AM5" s="176">
        <v>0</v>
      </c>
      <c r="AN5" s="176">
        <v>0</v>
      </c>
      <c r="AO5" s="315">
        <v>1</v>
      </c>
      <c r="AT5" s="445" t="s">
        <v>255</v>
      </c>
      <c r="AU5" s="446">
        <v>0</v>
      </c>
    </row>
    <row r="6" spans="1:47" ht="14.95" customHeight="1" thickBot="1" x14ac:dyDescent="0.3">
      <c r="A6" s="151" t="s">
        <v>157</v>
      </c>
      <c r="B6" s="152" t="s">
        <v>155</v>
      </c>
      <c r="C6" s="152" t="s">
        <v>30</v>
      </c>
      <c r="D6" s="152" t="s">
        <v>158</v>
      </c>
      <c r="E6" s="153" t="s">
        <v>3</v>
      </c>
      <c r="F6" s="153">
        <v>3</v>
      </c>
      <c r="G6" s="153">
        <v>92</v>
      </c>
      <c r="H6" s="345">
        <v>0</v>
      </c>
      <c r="I6" s="345">
        <v>0</v>
      </c>
      <c r="J6" s="345">
        <v>0</v>
      </c>
      <c r="K6" s="345">
        <v>0</v>
      </c>
      <c r="L6" s="345">
        <v>0</v>
      </c>
      <c r="M6" s="345">
        <v>1</v>
      </c>
      <c r="N6" s="345">
        <v>0</v>
      </c>
      <c r="O6" s="345">
        <v>0</v>
      </c>
      <c r="P6" s="345">
        <v>0</v>
      </c>
      <c r="Q6" s="345">
        <v>0</v>
      </c>
      <c r="R6" s="345">
        <v>14</v>
      </c>
      <c r="S6" s="542">
        <v>13615</v>
      </c>
      <c r="T6" s="159" t="s">
        <v>371</v>
      </c>
      <c r="U6" s="157" t="s">
        <v>119</v>
      </c>
      <c r="V6" s="155" t="s">
        <v>114</v>
      </c>
      <c r="W6" s="155" t="s">
        <v>97</v>
      </c>
      <c r="X6" s="158" t="s">
        <v>99</v>
      </c>
      <c r="Y6" s="154" t="s">
        <v>111</v>
      </c>
      <c r="Z6" s="154">
        <v>1</v>
      </c>
      <c r="AA6" s="154">
        <v>0</v>
      </c>
      <c r="AB6" s="451">
        <v>0</v>
      </c>
      <c r="AC6" s="451">
        <v>1</v>
      </c>
      <c r="AD6" s="154">
        <v>0</v>
      </c>
      <c r="AE6" s="154">
        <v>0</v>
      </c>
      <c r="AF6" s="154">
        <v>0</v>
      </c>
      <c r="AG6" s="451">
        <v>0</v>
      </c>
      <c r="AH6" s="154">
        <v>1</v>
      </c>
      <c r="AI6" s="154">
        <v>0</v>
      </c>
      <c r="AJ6" s="154">
        <v>0</v>
      </c>
      <c r="AK6" s="451">
        <v>1</v>
      </c>
      <c r="AL6" s="154">
        <v>0</v>
      </c>
      <c r="AM6" s="154">
        <v>0</v>
      </c>
      <c r="AN6" s="154">
        <v>0</v>
      </c>
      <c r="AO6" s="451">
        <v>0</v>
      </c>
      <c r="AT6" s="445" t="s">
        <v>256</v>
      </c>
      <c r="AU6" s="446">
        <v>11</v>
      </c>
    </row>
    <row r="7" spans="1:47" ht="14.95" customHeight="1" thickBot="1" x14ac:dyDescent="0.3">
      <c r="A7" s="177" t="s">
        <v>136</v>
      </c>
      <c r="B7" s="178" t="s">
        <v>155</v>
      </c>
      <c r="C7" s="178" t="s">
        <v>55</v>
      </c>
      <c r="D7" s="178" t="s">
        <v>146</v>
      </c>
      <c r="E7" s="175" t="s">
        <v>3</v>
      </c>
      <c r="F7" s="175">
        <v>0</v>
      </c>
      <c r="G7" s="175">
        <v>60</v>
      </c>
      <c r="H7" s="343">
        <v>0</v>
      </c>
      <c r="I7" s="343">
        <v>0</v>
      </c>
      <c r="J7" s="343">
        <v>0</v>
      </c>
      <c r="K7" s="343">
        <v>0</v>
      </c>
      <c r="L7" s="343">
        <v>0</v>
      </c>
      <c r="M7" s="343">
        <v>0</v>
      </c>
      <c r="N7" s="343">
        <v>0</v>
      </c>
      <c r="O7" s="343">
        <v>0</v>
      </c>
      <c r="P7" s="343">
        <v>1</v>
      </c>
      <c r="Q7" s="343">
        <v>0</v>
      </c>
      <c r="R7" s="343">
        <v>10</v>
      </c>
      <c r="S7" s="343"/>
      <c r="T7" s="188" t="s">
        <v>401</v>
      </c>
      <c r="U7" s="179" t="s">
        <v>120</v>
      </c>
      <c r="V7" s="179" t="s">
        <v>96</v>
      </c>
      <c r="W7" s="179" t="s">
        <v>114</v>
      </c>
      <c r="X7" s="176" t="s">
        <v>400</v>
      </c>
      <c r="Y7" s="193" t="s">
        <v>111</v>
      </c>
      <c r="Z7" s="176">
        <v>1</v>
      </c>
      <c r="AA7" s="176">
        <v>0</v>
      </c>
      <c r="AB7" s="176">
        <v>0</v>
      </c>
      <c r="AC7" s="315">
        <v>1</v>
      </c>
      <c r="AD7" s="176">
        <v>0</v>
      </c>
      <c r="AE7" s="176">
        <v>0</v>
      </c>
      <c r="AF7" s="176">
        <v>0</v>
      </c>
      <c r="AG7" s="315">
        <v>0</v>
      </c>
      <c r="AH7" s="176">
        <v>0</v>
      </c>
      <c r="AI7" s="176">
        <v>0</v>
      </c>
      <c r="AJ7" s="176">
        <v>0</v>
      </c>
      <c r="AK7" s="315">
        <v>0</v>
      </c>
      <c r="AL7" s="176">
        <v>1</v>
      </c>
      <c r="AM7" s="176">
        <v>0</v>
      </c>
      <c r="AN7" s="176">
        <v>0</v>
      </c>
      <c r="AO7" s="315">
        <v>1</v>
      </c>
      <c r="AT7" s="445" t="s">
        <v>257</v>
      </c>
      <c r="AU7" s="446">
        <v>224</v>
      </c>
    </row>
    <row r="8" spans="1:47" ht="14.95" customHeight="1" thickBot="1" x14ac:dyDescent="0.3">
      <c r="A8" s="323"/>
      <c r="B8" s="56"/>
      <c r="C8" s="969" t="s">
        <v>86</v>
      </c>
      <c r="D8" s="970"/>
      <c r="E8" s="971"/>
      <c r="F8" s="175">
        <f t="shared" ref="F8:R8" si="0">SUM(F3:F4)</f>
        <v>84</v>
      </c>
      <c r="G8" s="175">
        <f t="shared" si="0"/>
        <v>38</v>
      </c>
      <c r="H8" s="175">
        <f t="shared" si="0"/>
        <v>2</v>
      </c>
      <c r="I8" s="175">
        <f t="shared" si="0"/>
        <v>1</v>
      </c>
      <c r="J8" s="175">
        <f t="shared" si="0"/>
        <v>14</v>
      </c>
      <c r="K8" s="175">
        <f t="shared" si="0"/>
        <v>6</v>
      </c>
      <c r="L8" s="175">
        <f t="shared" si="0"/>
        <v>0</v>
      </c>
      <c r="M8" s="175">
        <f t="shared" si="0"/>
        <v>0</v>
      </c>
      <c r="N8" s="175">
        <f t="shared" si="0"/>
        <v>2</v>
      </c>
      <c r="O8" s="175">
        <f t="shared" si="0"/>
        <v>0</v>
      </c>
      <c r="P8" s="175">
        <f t="shared" si="0"/>
        <v>1</v>
      </c>
      <c r="Q8" s="175">
        <f t="shared" si="0"/>
        <v>0</v>
      </c>
      <c r="R8" s="175">
        <f t="shared" si="0"/>
        <v>6</v>
      </c>
      <c r="S8" s="545"/>
      <c r="T8" s="352"/>
      <c r="U8" s="353"/>
      <c r="V8" s="353"/>
      <c r="W8" s="353"/>
      <c r="X8" s="354"/>
      <c r="Y8" s="326" t="s">
        <v>86</v>
      </c>
      <c r="Z8" s="324">
        <f t="shared" ref="Z8:AO8" si="1">SUM(Z3:Z4)</f>
        <v>2</v>
      </c>
      <c r="AA8" s="324">
        <f t="shared" si="1"/>
        <v>1</v>
      </c>
      <c r="AB8" s="324">
        <f t="shared" si="1"/>
        <v>0</v>
      </c>
      <c r="AC8" s="325">
        <f t="shared" si="1"/>
        <v>1</v>
      </c>
      <c r="AD8" s="327">
        <f t="shared" si="1"/>
        <v>0</v>
      </c>
      <c r="AE8" s="327">
        <f t="shared" si="1"/>
        <v>0</v>
      </c>
      <c r="AF8" s="327">
        <f t="shared" si="1"/>
        <v>0</v>
      </c>
      <c r="AG8" s="328">
        <f t="shared" si="1"/>
        <v>0</v>
      </c>
      <c r="AH8" s="329">
        <f t="shared" si="1"/>
        <v>1</v>
      </c>
      <c r="AI8" s="329">
        <f t="shared" si="1"/>
        <v>0</v>
      </c>
      <c r="AJ8" s="329">
        <f t="shared" si="1"/>
        <v>0</v>
      </c>
      <c r="AK8" s="330">
        <f t="shared" si="1"/>
        <v>1</v>
      </c>
      <c r="AL8" s="324">
        <f t="shared" si="1"/>
        <v>1</v>
      </c>
      <c r="AM8" s="324">
        <f t="shared" si="1"/>
        <v>1</v>
      </c>
      <c r="AN8" s="324">
        <f t="shared" si="1"/>
        <v>0</v>
      </c>
      <c r="AO8" s="325">
        <f t="shared" si="1"/>
        <v>0</v>
      </c>
    </row>
    <row r="9" spans="1:47" ht="14.95" customHeight="1" thickBot="1" x14ac:dyDescent="0.3">
      <c r="A9" s="100"/>
      <c r="B9" s="101"/>
      <c r="C9" s="884" t="s">
        <v>159</v>
      </c>
      <c r="D9" s="885"/>
      <c r="E9" s="886"/>
      <c r="F9" s="401">
        <f>SUM(F5:F7)</f>
        <v>3</v>
      </c>
      <c r="G9" s="401">
        <f t="shared" ref="G9:R9" si="2">SUM(G5:G7)</f>
        <v>225</v>
      </c>
      <c r="H9" s="401">
        <f t="shared" si="2"/>
        <v>0</v>
      </c>
      <c r="I9" s="401">
        <f t="shared" si="2"/>
        <v>0</v>
      </c>
      <c r="J9" s="401">
        <f t="shared" si="2"/>
        <v>0</v>
      </c>
      <c r="K9" s="401">
        <f t="shared" si="2"/>
        <v>0</v>
      </c>
      <c r="L9" s="401">
        <f t="shared" si="2"/>
        <v>0</v>
      </c>
      <c r="M9" s="401">
        <f t="shared" si="2"/>
        <v>1</v>
      </c>
      <c r="N9" s="401">
        <f t="shared" si="2"/>
        <v>1</v>
      </c>
      <c r="O9" s="401">
        <f t="shared" si="2"/>
        <v>1</v>
      </c>
      <c r="P9" s="401">
        <f t="shared" si="2"/>
        <v>2</v>
      </c>
      <c r="Q9" s="401">
        <f t="shared" si="2"/>
        <v>0</v>
      </c>
      <c r="R9" s="401">
        <f t="shared" si="2"/>
        <v>35</v>
      </c>
      <c r="S9" s="544"/>
      <c r="T9" s="394"/>
      <c r="U9" s="394"/>
      <c r="V9" s="394"/>
      <c r="W9" s="394"/>
      <c r="X9" s="402"/>
      <c r="Y9" s="396" t="s">
        <v>159</v>
      </c>
      <c r="Z9" s="401">
        <f t="shared" ref="Z9:AO9" si="3">SUM(Z5:Z7)</f>
        <v>3</v>
      </c>
      <c r="AA9" s="401">
        <f t="shared" si="3"/>
        <v>0</v>
      </c>
      <c r="AB9" s="401">
        <f t="shared" si="3"/>
        <v>0</v>
      </c>
      <c r="AC9" s="401">
        <f t="shared" si="3"/>
        <v>3</v>
      </c>
      <c r="AD9" s="403">
        <f t="shared" si="3"/>
        <v>0</v>
      </c>
      <c r="AE9" s="403">
        <f t="shared" si="3"/>
        <v>0</v>
      </c>
      <c r="AF9" s="403">
        <f t="shared" si="3"/>
        <v>0</v>
      </c>
      <c r="AG9" s="403">
        <f t="shared" si="3"/>
        <v>0</v>
      </c>
      <c r="AH9" s="404">
        <f t="shared" si="3"/>
        <v>1</v>
      </c>
      <c r="AI9" s="404">
        <f t="shared" si="3"/>
        <v>0</v>
      </c>
      <c r="AJ9" s="404">
        <f t="shared" si="3"/>
        <v>0</v>
      </c>
      <c r="AK9" s="404">
        <f t="shared" si="3"/>
        <v>1</v>
      </c>
      <c r="AL9" s="401">
        <f t="shared" si="3"/>
        <v>2</v>
      </c>
      <c r="AM9" s="401">
        <f t="shared" si="3"/>
        <v>0</v>
      </c>
      <c r="AN9" s="401">
        <f t="shared" si="3"/>
        <v>0</v>
      </c>
      <c r="AO9" s="401">
        <f t="shared" si="3"/>
        <v>2</v>
      </c>
    </row>
    <row r="10" spans="1:47" ht="14.95" customHeight="1" thickBot="1" x14ac:dyDescent="0.3">
      <c r="A10" s="100"/>
      <c r="B10" s="101"/>
      <c r="C10" s="800" t="s">
        <v>70</v>
      </c>
      <c r="D10" s="801"/>
      <c r="E10" s="802"/>
      <c r="F10" s="124">
        <f t="shared" ref="F10:R10" si="4">SUM(F3:F7)</f>
        <v>87</v>
      </c>
      <c r="G10" s="124">
        <f t="shared" si="4"/>
        <v>263</v>
      </c>
      <c r="H10" s="124">
        <f t="shared" si="4"/>
        <v>2</v>
      </c>
      <c r="I10" s="124">
        <f t="shared" si="4"/>
        <v>1</v>
      </c>
      <c r="J10" s="124">
        <f t="shared" si="4"/>
        <v>14</v>
      </c>
      <c r="K10" s="124">
        <f t="shared" si="4"/>
        <v>6</v>
      </c>
      <c r="L10" s="124">
        <f t="shared" si="4"/>
        <v>0</v>
      </c>
      <c r="M10" s="124">
        <f t="shared" si="4"/>
        <v>1</v>
      </c>
      <c r="N10" s="124">
        <f t="shared" si="4"/>
        <v>3</v>
      </c>
      <c r="O10" s="124">
        <f t="shared" si="4"/>
        <v>1</v>
      </c>
      <c r="P10" s="124">
        <f t="shared" si="4"/>
        <v>3</v>
      </c>
      <c r="Q10" s="124">
        <f t="shared" si="4"/>
        <v>0</v>
      </c>
      <c r="R10" s="124">
        <f t="shared" si="4"/>
        <v>41</v>
      </c>
      <c r="S10" s="545"/>
      <c r="T10" s="187"/>
      <c r="U10" s="187"/>
      <c r="V10" s="187"/>
      <c r="W10" s="187"/>
      <c r="X10" s="12"/>
      <c r="Y10" s="129" t="s">
        <v>70</v>
      </c>
      <c r="Z10" s="124">
        <f t="shared" ref="Z10:AO10" si="5">SUM(Z3:Z7)</f>
        <v>5</v>
      </c>
      <c r="AA10" s="124">
        <f t="shared" si="5"/>
        <v>1</v>
      </c>
      <c r="AB10" s="124">
        <f t="shared" si="5"/>
        <v>0</v>
      </c>
      <c r="AC10" s="124">
        <f t="shared" si="5"/>
        <v>4</v>
      </c>
      <c r="AD10" s="122">
        <f t="shared" si="5"/>
        <v>0</v>
      </c>
      <c r="AE10" s="122">
        <f t="shared" si="5"/>
        <v>0</v>
      </c>
      <c r="AF10" s="122">
        <f t="shared" si="5"/>
        <v>0</v>
      </c>
      <c r="AG10" s="122">
        <f t="shared" si="5"/>
        <v>0</v>
      </c>
      <c r="AH10" s="123">
        <f t="shared" si="5"/>
        <v>2</v>
      </c>
      <c r="AI10" s="123">
        <f t="shared" si="5"/>
        <v>0</v>
      </c>
      <c r="AJ10" s="123">
        <f t="shared" si="5"/>
        <v>0</v>
      </c>
      <c r="AK10" s="123">
        <f t="shared" si="5"/>
        <v>2</v>
      </c>
      <c r="AL10" s="124">
        <f t="shared" si="5"/>
        <v>3</v>
      </c>
      <c r="AM10" s="124">
        <f t="shared" si="5"/>
        <v>1</v>
      </c>
      <c r="AN10" s="124">
        <f t="shared" si="5"/>
        <v>0</v>
      </c>
      <c r="AO10" s="124">
        <f t="shared" si="5"/>
        <v>2</v>
      </c>
    </row>
    <row r="11" spans="1:47" ht="14.95" customHeight="1" x14ac:dyDescent="0.25">
      <c r="A11" s="789" t="s">
        <v>53</v>
      </c>
      <c r="B11" s="790"/>
      <c r="C11" s="790"/>
      <c r="D11" s="790"/>
      <c r="E11" s="790"/>
      <c r="F11" s="790"/>
      <c r="G11" s="790"/>
      <c r="H11" s="790"/>
      <c r="I11" s="790"/>
      <c r="J11" s="790"/>
      <c r="K11" s="790"/>
      <c r="L11" s="790"/>
      <c r="M11" s="790"/>
      <c r="N11" s="790"/>
      <c r="O11" s="790"/>
      <c r="P11" s="790"/>
      <c r="Q11" s="790"/>
      <c r="R11" s="790"/>
      <c r="S11" s="790"/>
      <c r="T11" s="790"/>
      <c r="U11" s="790"/>
      <c r="V11" s="790"/>
      <c r="W11" s="790"/>
      <c r="X11" s="790"/>
      <c r="Y11" s="790"/>
      <c r="Z11" s="790"/>
      <c r="AA11" s="790"/>
      <c r="AB11" s="790"/>
      <c r="AC11" s="790"/>
      <c r="AD11" s="790"/>
      <c r="AE11" s="790"/>
      <c r="AF11" s="790"/>
      <c r="AG11" s="790"/>
      <c r="AH11" s="790"/>
      <c r="AI11" s="790"/>
      <c r="AJ11" s="790"/>
      <c r="AK11" s="790"/>
      <c r="AL11" s="790"/>
      <c r="AM11" s="790"/>
      <c r="AN11" s="790"/>
      <c r="AO11" s="790"/>
    </row>
    <row r="12" spans="1:47" ht="14.95" customHeight="1" x14ac:dyDescent="0.25">
      <c r="A12" s="465" t="s">
        <v>288</v>
      </c>
    </row>
    <row r="13" spans="1:47" ht="14.95" customHeight="1" x14ac:dyDescent="0.25">
      <c r="A13" t="s">
        <v>289</v>
      </c>
    </row>
    <row r="14" spans="1:47" x14ac:dyDescent="0.25">
      <c r="A14" s="789" t="s">
        <v>392</v>
      </c>
      <c r="B14" s="790"/>
      <c r="C14" s="790"/>
      <c r="D14" s="790"/>
      <c r="E14" s="790"/>
      <c r="F14" s="790"/>
      <c r="G14" s="790"/>
      <c r="H14" s="790"/>
      <c r="I14" s="790"/>
      <c r="J14" s="790"/>
      <c r="K14" s="790"/>
      <c r="L14" s="790"/>
      <c r="M14" s="790"/>
      <c r="N14" s="790"/>
      <c r="O14" s="790"/>
      <c r="P14" s="790"/>
      <c r="Q14" s="790"/>
      <c r="R14" s="790"/>
      <c r="S14" s="790"/>
      <c r="T14" s="790"/>
      <c r="U14" s="790"/>
      <c r="V14" s="790"/>
      <c r="W14" s="790"/>
      <c r="X14" s="790"/>
      <c r="Y14" s="790"/>
      <c r="Z14" s="790"/>
      <c r="AA14" s="790"/>
      <c r="AB14" s="790"/>
      <c r="AC14" s="790"/>
      <c r="AD14" s="790"/>
      <c r="AE14" s="790"/>
      <c r="AF14" s="790"/>
      <c r="AG14" s="790"/>
      <c r="AH14" s="790"/>
      <c r="AI14" s="790"/>
      <c r="AJ14" s="790"/>
      <c r="AK14" s="790"/>
      <c r="AL14" s="790"/>
      <c r="AM14" s="790"/>
      <c r="AN14" s="790"/>
      <c r="AO14" s="790"/>
    </row>
    <row r="15" spans="1:47" x14ac:dyDescent="0.25">
      <c r="A15" t="s">
        <v>230</v>
      </c>
    </row>
    <row r="16" spans="1:47" x14ac:dyDescent="0.25">
      <c r="A16" s="292"/>
      <c r="B16" s="69" t="s">
        <v>40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</row>
    <row r="17" spans="1:41" x14ac:dyDescent="0.25">
      <c r="A17" s="293"/>
      <c r="B17" s="69" t="s">
        <v>38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</row>
    <row r="18" spans="1:41" x14ac:dyDescent="0.25">
      <c r="A18" s="294"/>
      <c r="B18" s="69" t="s">
        <v>39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</row>
    <row r="19" spans="1:41" ht="16.3" x14ac:dyDescent="0.3">
      <c r="A19" s="579" t="s">
        <v>28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</row>
  </sheetData>
  <mergeCells count="15">
    <mergeCell ref="A14:AO14"/>
    <mergeCell ref="C10:E10"/>
    <mergeCell ref="A11:AO11"/>
    <mergeCell ref="Z1:AC1"/>
    <mergeCell ref="AD1:AG1"/>
    <mergeCell ref="AH1:AK1"/>
    <mergeCell ref="AL1:AO1"/>
    <mergeCell ref="C8:E8"/>
    <mergeCell ref="C9:E9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T4" twoDigitTextYear="1"/>
    <ignoredError sqref="T9:AO9 T8:AO8 F8:R8 F9:R9" formulaRange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U27"/>
  <sheetViews>
    <sheetView workbookViewId="0">
      <selection activeCell="S4" sqref="S4:Y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17.625" bestFit="1" customWidth="1"/>
    <col min="22" max="22" width="21.625" bestFit="1" customWidth="1"/>
    <col min="23" max="23" width="16.5" bestFit="1" customWidth="1"/>
    <col min="24" max="24" width="19.5" bestFit="1" customWidth="1"/>
    <col min="25" max="25" width="18.62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936" t="s">
        <v>520</v>
      </c>
      <c r="B1" s="937"/>
      <c r="C1" s="937"/>
      <c r="D1" s="44"/>
      <c r="E1" s="938" t="s">
        <v>24</v>
      </c>
      <c r="F1" s="939"/>
      <c r="G1" s="940"/>
      <c r="H1" s="938" t="s">
        <v>23</v>
      </c>
      <c r="I1" s="940"/>
      <c r="J1" s="941" t="s">
        <v>6</v>
      </c>
      <c r="K1" s="942"/>
      <c r="L1" s="942"/>
      <c r="M1" s="943"/>
      <c r="N1" s="941" t="s">
        <v>7</v>
      </c>
      <c r="O1" s="943"/>
      <c r="P1" s="941" t="s">
        <v>25</v>
      </c>
      <c r="Q1" s="942"/>
      <c r="R1" s="943"/>
      <c r="S1" s="128" t="s">
        <v>8</v>
      </c>
      <c r="T1" s="128" t="s">
        <v>9</v>
      </c>
      <c r="U1" s="31" t="s">
        <v>10</v>
      </c>
      <c r="V1" s="30" t="s">
        <v>11</v>
      </c>
      <c r="W1" s="31" t="s">
        <v>95</v>
      </c>
      <c r="X1" s="32" t="s">
        <v>26</v>
      </c>
      <c r="Y1" s="195" t="s">
        <v>27</v>
      </c>
      <c r="Z1" s="944" t="s">
        <v>20</v>
      </c>
      <c r="AA1" s="792"/>
      <c r="AB1" s="792"/>
      <c r="AC1" s="793"/>
      <c r="AD1" s="944" t="s">
        <v>56</v>
      </c>
      <c r="AE1" s="792"/>
      <c r="AF1" s="792"/>
      <c r="AG1" s="793"/>
      <c r="AH1" s="944" t="s">
        <v>57</v>
      </c>
      <c r="AI1" s="792"/>
      <c r="AJ1" s="792"/>
      <c r="AK1" s="793"/>
      <c r="AL1" s="944" t="s">
        <v>58</v>
      </c>
      <c r="AM1" s="792"/>
      <c r="AN1" s="792"/>
      <c r="AO1" s="793"/>
    </row>
    <row r="2" spans="1:47" ht="14.95" customHeight="1" thickBot="1" x14ac:dyDescent="0.3">
      <c r="A2" s="33" t="s">
        <v>19</v>
      </c>
      <c r="B2" s="34" t="s">
        <v>18</v>
      </c>
      <c r="C2" s="35" t="s">
        <v>17</v>
      </c>
      <c r="D2" s="36" t="s">
        <v>37</v>
      </c>
      <c r="E2" s="36" t="s">
        <v>16</v>
      </c>
      <c r="F2" s="36" t="s">
        <v>4</v>
      </c>
      <c r="G2" s="36" t="s">
        <v>5</v>
      </c>
      <c r="H2" s="37" t="s">
        <v>12</v>
      </c>
      <c r="I2" s="37" t="s">
        <v>3</v>
      </c>
      <c r="J2" s="37" t="s">
        <v>12</v>
      </c>
      <c r="K2" s="37" t="s">
        <v>13</v>
      </c>
      <c r="L2" s="37" t="s">
        <v>2</v>
      </c>
      <c r="M2" s="37" t="s">
        <v>14</v>
      </c>
      <c r="N2" s="37" t="s">
        <v>15</v>
      </c>
      <c r="O2" s="37" t="s">
        <v>16</v>
      </c>
      <c r="P2" s="37" t="s">
        <v>21</v>
      </c>
      <c r="Q2" s="37" t="s">
        <v>22</v>
      </c>
      <c r="R2" s="37" t="s">
        <v>12</v>
      </c>
      <c r="S2" s="38"/>
      <c r="T2" s="39"/>
      <c r="U2" s="40"/>
      <c r="V2" s="38"/>
      <c r="W2" s="40"/>
      <c r="X2" s="41"/>
      <c r="Y2" s="42"/>
      <c r="Z2" s="112" t="s">
        <v>0</v>
      </c>
      <c r="AA2" s="112" t="s">
        <v>1</v>
      </c>
      <c r="AB2" s="112" t="s">
        <v>2</v>
      </c>
      <c r="AC2" s="112" t="s">
        <v>3</v>
      </c>
      <c r="AD2" s="112" t="s">
        <v>0</v>
      </c>
      <c r="AE2" s="112" t="s">
        <v>1</v>
      </c>
      <c r="AF2" s="112" t="s">
        <v>2</v>
      </c>
      <c r="AG2" s="112" t="s">
        <v>3</v>
      </c>
      <c r="AH2" s="112" t="s">
        <v>0</v>
      </c>
      <c r="AI2" s="112" t="s">
        <v>1</v>
      </c>
      <c r="AJ2" s="112" t="s">
        <v>2</v>
      </c>
      <c r="AK2" s="112" t="s">
        <v>3</v>
      </c>
      <c r="AL2" s="112" t="s">
        <v>0</v>
      </c>
      <c r="AM2" s="112" t="s">
        <v>1</v>
      </c>
      <c r="AN2" s="112" t="s">
        <v>2</v>
      </c>
      <c r="AO2" s="112" t="s">
        <v>3</v>
      </c>
      <c r="AT2" s="69" t="s">
        <v>258</v>
      </c>
    </row>
    <row r="3" spans="1:47" ht="14.95" customHeight="1" thickBot="1" x14ac:dyDescent="0.3">
      <c r="A3" s="151" t="s">
        <v>492</v>
      </c>
      <c r="B3" s="152" t="s">
        <v>41</v>
      </c>
      <c r="C3" s="152" t="s">
        <v>31</v>
      </c>
      <c r="D3" s="152" t="s">
        <v>151</v>
      </c>
      <c r="E3" s="153" t="s">
        <v>1</v>
      </c>
      <c r="F3" s="153">
        <v>24</v>
      </c>
      <c r="G3" s="153">
        <v>19</v>
      </c>
      <c r="H3" s="345">
        <v>0</v>
      </c>
      <c r="I3" s="345">
        <v>0</v>
      </c>
      <c r="J3" s="345">
        <v>3</v>
      </c>
      <c r="K3" s="345">
        <v>3</v>
      </c>
      <c r="L3" s="345">
        <v>0</v>
      </c>
      <c r="M3" s="345">
        <v>1</v>
      </c>
      <c r="N3" s="345">
        <v>2</v>
      </c>
      <c r="O3" s="345">
        <v>0</v>
      </c>
      <c r="P3" s="345">
        <v>0</v>
      </c>
      <c r="Q3" s="345">
        <v>1</v>
      </c>
      <c r="R3" s="345">
        <v>3</v>
      </c>
      <c r="S3" s="155">
        <v>10569</v>
      </c>
      <c r="T3" s="162" t="s">
        <v>549</v>
      </c>
      <c r="U3" s="157" t="s">
        <v>127</v>
      </c>
      <c r="V3" s="155" t="s">
        <v>436</v>
      </c>
      <c r="W3" s="155" t="s">
        <v>548</v>
      </c>
      <c r="X3" s="154" t="s">
        <v>355</v>
      </c>
      <c r="Y3" s="348" t="s">
        <v>174</v>
      </c>
      <c r="Z3" s="154">
        <v>1</v>
      </c>
      <c r="AA3" s="154">
        <v>1</v>
      </c>
      <c r="AB3" s="154">
        <v>0</v>
      </c>
      <c r="AC3" s="451">
        <v>0</v>
      </c>
      <c r="AD3" s="154">
        <v>0</v>
      </c>
      <c r="AE3" s="154">
        <v>0</v>
      </c>
      <c r="AF3" s="154">
        <v>0</v>
      </c>
      <c r="AG3" s="451">
        <v>0</v>
      </c>
      <c r="AH3" s="154">
        <v>1</v>
      </c>
      <c r="AI3" s="154">
        <v>1</v>
      </c>
      <c r="AJ3" s="154">
        <v>0</v>
      </c>
      <c r="AK3" s="451">
        <v>0</v>
      </c>
      <c r="AL3" s="154">
        <v>0</v>
      </c>
      <c r="AM3" s="154">
        <v>0</v>
      </c>
      <c r="AN3" s="154">
        <v>0</v>
      </c>
      <c r="AO3" s="451">
        <v>0</v>
      </c>
      <c r="AT3" s="443" t="s">
        <v>253</v>
      </c>
      <c r="AU3" s="444">
        <v>31</v>
      </c>
    </row>
    <row r="4" spans="1:47" ht="14.95" customHeight="1" thickBot="1" x14ac:dyDescent="0.3">
      <c r="A4" s="163" t="s">
        <v>491</v>
      </c>
      <c r="B4" s="164" t="s">
        <v>41</v>
      </c>
      <c r="C4" s="164" t="s">
        <v>30</v>
      </c>
      <c r="D4" s="164" t="s">
        <v>490</v>
      </c>
      <c r="E4" s="165" t="s">
        <v>3</v>
      </c>
      <c r="F4" s="165">
        <v>7</v>
      </c>
      <c r="G4" s="165">
        <v>84</v>
      </c>
      <c r="H4" s="344">
        <v>0</v>
      </c>
      <c r="I4" s="344">
        <v>0</v>
      </c>
      <c r="J4" s="344">
        <v>1</v>
      </c>
      <c r="K4" s="344">
        <v>1</v>
      </c>
      <c r="L4" s="344">
        <v>0</v>
      </c>
      <c r="M4" s="344">
        <v>0</v>
      </c>
      <c r="N4" s="344">
        <v>0</v>
      </c>
      <c r="O4" s="344">
        <v>0</v>
      </c>
      <c r="P4" s="344">
        <v>1</v>
      </c>
      <c r="Q4" s="344">
        <v>0</v>
      </c>
      <c r="R4" s="344">
        <v>12</v>
      </c>
      <c r="S4" s="166">
        <v>30498</v>
      </c>
      <c r="T4" s="167" t="s">
        <v>588</v>
      </c>
      <c r="U4" s="168" t="s">
        <v>141</v>
      </c>
      <c r="V4" s="166" t="s">
        <v>97</v>
      </c>
      <c r="W4" s="166" t="s">
        <v>589</v>
      </c>
      <c r="X4" s="169" t="s">
        <v>99</v>
      </c>
      <c r="Y4" s="349" t="s">
        <v>275</v>
      </c>
      <c r="Z4" s="169">
        <v>1</v>
      </c>
      <c r="AA4" s="169">
        <v>0</v>
      </c>
      <c r="AB4" s="169">
        <v>0</v>
      </c>
      <c r="AC4" s="316">
        <v>1</v>
      </c>
      <c r="AD4" s="169">
        <v>1</v>
      </c>
      <c r="AE4" s="169">
        <v>0</v>
      </c>
      <c r="AF4" s="169">
        <v>0</v>
      </c>
      <c r="AG4" s="316">
        <v>1</v>
      </c>
      <c r="AH4" s="169">
        <v>0</v>
      </c>
      <c r="AI4" s="169">
        <v>0</v>
      </c>
      <c r="AJ4" s="169">
        <v>0</v>
      </c>
      <c r="AK4" s="316">
        <v>0</v>
      </c>
      <c r="AL4" s="169">
        <v>0</v>
      </c>
      <c r="AM4" s="169">
        <v>0</v>
      </c>
      <c r="AN4" s="169">
        <v>0</v>
      </c>
      <c r="AO4" s="316">
        <v>0</v>
      </c>
      <c r="AT4" s="445" t="s">
        <v>254</v>
      </c>
      <c r="AU4" s="446">
        <v>13</v>
      </c>
    </row>
    <row r="5" spans="1:47" ht="14.95" customHeight="1" thickBot="1" x14ac:dyDescent="0.35">
      <c r="A5" s="151" t="s">
        <v>493</v>
      </c>
      <c r="B5" s="152" t="s">
        <v>41</v>
      </c>
      <c r="C5" s="152" t="s">
        <v>32</v>
      </c>
      <c r="D5" s="152" t="s">
        <v>149</v>
      </c>
      <c r="E5" s="153"/>
      <c r="F5" s="153"/>
      <c r="G5" s="153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155"/>
      <c r="T5" s="156"/>
      <c r="U5" s="157"/>
      <c r="V5" s="155"/>
      <c r="W5" s="157"/>
      <c r="X5" s="157"/>
      <c r="Y5" s="154"/>
      <c r="Z5" s="154"/>
      <c r="AA5" s="154"/>
      <c r="AB5" s="154"/>
      <c r="AC5" s="451"/>
      <c r="AD5" s="154"/>
      <c r="AE5" s="154"/>
      <c r="AF5" s="154"/>
      <c r="AG5" s="451"/>
      <c r="AH5" s="154"/>
      <c r="AI5" s="154"/>
      <c r="AJ5" s="154"/>
      <c r="AK5" s="451"/>
      <c r="AL5" s="154"/>
      <c r="AM5" s="154"/>
      <c r="AN5" s="154"/>
      <c r="AO5" s="451"/>
      <c r="AT5" s="445" t="s">
        <v>255</v>
      </c>
      <c r="AU5" s="446">
        <v>0</v>
      </c>
    </row>
    <row r="6" spans="1:47" ht="14.95" customHeight="1" thickBot="1" x14ac:dyDescent="0.35">
      <c r="A6" s="163" t="s">
        <v>494</v>
      </c>
      <c r="B6" s="164" t="s">
        <v>41</v>
      </c>
      <c r="C6" s="164" t="s">
        <v>33</v>
      </c>
      <c r="D6" s="164" t="s">
        <v>80</v>
      </c>
      <c r="E6" s="165"/>
      <c r="F6" s="165"/>
      <c r="G6" s="165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166"/>
      <c r="T6" s="172"/>
      <c r="U6" s="168"/>
      <c r="V6" s="166"/>
      <c r="W6" s="166"/>
      <c r="X6" s="169"/>
      <c r="Y6" s="349"/>
      <c r="Z6" s="169"/>
      <c r="AA6" s="169"/>
      <c r="AB6" s="169"/>
      <c r="AC6" s="316"/>
      <c r="AD6" s="169"/>
      <c r="AE6" s="169"/>
      <c r="AF6" s="169"/>
      <c r="AG6" s="316"/>
      <c r="AH6" s="169"/>
      <c r="AI6" s="169"/>
      <c r="AJ6" s="169"/>
      <c r="AK6" s="316"/>
      <c r="AL6" s="169"/>
      <c r="AM6" s="169"/>
      <c r="AN6" s="169"/>
      <c r="AO6" s="316"/>
      <c r="AT6" s="445" t="s">
        <v>256</v>
      </c>
      <c r="AU6" s="446">
        <v>18</v>
      </c>
    </row>
    <row r="7" spans="1:47" ht="14.95" customHeight="1" thickBot="1" x14ac:dyDescent="0.35">
      <c r="A7" s="151" t="s">
        <v>192</v>
      </c>
      <c r="B7" s="152" t="s">
        <v>41</v>
      </c>
      <c r="C7" s="152" t="s">
        <v>35</v>
      </c>
      <c r="D7" s="152" t="s">
        <v>509</v>
      </c>
      <c r="E7" s="153"/>
      <c r="F7" s="153"/>
      <c r="G7" s="153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155"/>
      <c r="T7" s="156"/>
      <c r="U7" s="157"/>
      <c r="V7" s="155"/>
      <c r="W7" s="155"/>
      <c r="X7" s="154"/>
      <c r="Y7" s="154"/>
      <c r="Z7" s="154"/>
      <c r="AA7" s="154"/>
      <c r="AB7" s="154"/>
      <c r="AC7" s="451"/>
      <c r="AD7" s="154"/>
      <c r="AE7" s="154"/>
      <c r="AF7" s="154"/>
      <c r="AG7" s="451"/>
      <c r="AH7" s="154"/>
      <c r="AI7" s="154"/>
      <c r="AJ7" s="154"/>
      <c r="AK7" s="451"/>
      <c r="AL7" s="154"/>
      <c r="AM7" s="154"/>
      <c r="AN7" s="154"/>
      <c r="AO7" s="451"/>
      <c r="AT7" s="445" t="s">
        <v>257</v>
      </c>
      <c r="AU7" s="446">
        <v>474</v>
      </c>
    </row>
    <row r="8" spans="1:47" ht="14.95" customHeight="1" thickBot="1" x14ac:dyDescent="0.3">
      <c r="A8" s="163"/>
      <c r="B8" s="164"/>
      <c r="C8" s="164"/>
      <c r="D8" s="171"/>
      <c r="E8" s="165"/>
      <c r="F8" s="165"/>
      <c r="G8" s="165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166"/>
      <c r="T8" s="167"/>
      <c r="U8" s="168"/>
      <c r="V8" s="166"/>
      <c r="W8" s="168"/>
      <c r="X8" s="168"/>
      <c r="Y8" s="349"/>
      <c r="Z8" s="169"/>
      <c r="AA8" s="169"/>
      <c r="AB8" s="169"/>
      <c r="AC8" s="316"/>
      <c r="AD8" s="169"/>
      <c r="AE8" s="169"/>
      <c r="AF8" s="169"/>
      <c r="AG8" s="316"/>
      <c r="AH8" s="169"/>
      <c r="AI8" s="169"/>
      <c r="AJ8" s="169"/>
      <c r="AK8" s="169"/>
      <c r="AL8" s="169"/>
      <c r="AM8" s="169"/>
      <c r="AN8" s="169"/>
      <c r="AO8" s="169"/>
    </row>
    <row r="9" spans="1:47" ht="14.95" customHeight="1" thickBot="1" x14ac:dyDescent="0.35">
      <c r="A9" s="163"/>
      <c r="B9" s="164"/>
      <c r="C9" s="164"/>
      <c r="D9" s="171"/>
      <c r="E9" s="165"/>
      <c r="F9" s="165"/>
      <c r="G9" s="165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166"/>
      <c r="T9" s="672"/>
      <c r="U9" s="169"/>
      <c r="V9" s="169"/>
      <c r="W9" s="169"/>
      <c r="X9" s="169"/>
      <c r="Y9" s="170"/>
      <c r="Z9" s="169"/>
      <c r="AA9" s="169"/>
      <c r="AB9" s="169"/>
      <c r="AC9" s="316"/>
      <c r="AD9" s="169"/>
      <c r="AE9" s="169"/>
      <c r="AF9" s="169"/>
      <c r="AG9" s="316"/>
      <c r="AH9" s="541"/>
      <c r="AI9" s="541"/>
      <c r="AJ9" s="541"/>
      <c r="AK9" s="541"/>
      <c r="AL9" s="169"/>
      <c r="AM9" s="169"/>
      <c r="AN9" s="169"/>
      <c r="AO9" s="169"/>
    </row>
    <row r="10" spans="1:47" ht="14.95" customHeight="1" thickBot="1" x14ac:dyDescent="0.35">
      <c r="A10" s="163"/>
      <c r="B10" s="164"/>
      <c r="C10" s="164"/>
      <c r="D10" s="171"/>
      <c r="E10" s="165"/>
      <c r="F10" s="165"/>
      <c r="G10" s="165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166"/>
      <c r="T10" s="172"/>
      <c r="U10" s="168"/>
      <c r="V10" s="166"/>
      <c r="W10" s="168"/>
      <c r="X10" s="169"/>
      <c r="Y10" s="349"/>
      <c r="Z10" s="169"/>
      <c r="AA10" s="169"/>
      <c r="AB10" s="169"/>
      <c r="AC10" s="316"/>
      <c r="AD10" s="169"/>
      <c r="AE10" s="169"/>
      <c r="AF10" s="169"/>
      <c r="AG10" s="169"/>
      <c r="AH10" s="169"/>
      <c r="AI10" s="169"/>
      <c r="AJ10" s="169"/>
      <c r="AK10" s="316"/>
      <c r="AL10" s="169"/>
      <c r="AM10" s="169"/>
      <c r="AN10" s="169"/>
      <c r="AO10" s="169"/>
    </row>
    <row r="11" spans="1:47" ht="14.95" customHeight="1" thickBot="1" x14ac:dyDescent="0.35">
      <c r="A11" s="163"/>
      <c r="B11" s="164"/>
      <c r="C11" s="164"/>
      <c r="D11" s="171"/>
      <c r="E11" s="165"/>
      <c r="F11" s="165"/>
      <c r="G11" s="165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169"/>
      <c r="T11" s="172"/>
      <c r="U11" s="168"/>
      <c r="V11" s="168"/>
      <c r="W11" s="166"/>
      <c r="X11" s="166"/>
      <c r="Y11" s="349"/>
      <c r="Z11" s="169"/>
      <c r="AA11" s="169"/>
      <c r="AB11" s="169"/>
      <c r="AC11" s="316"/>
      <c r="AD11" s="169"/>
      <c r="AE11" s="169"/>
      <c r="AF11" s="169"/>
      <c r="AG11" s="316"/>
      <c r="AH11" s="169"/>
      <c r="AI11" s="169"/>
      <c r="AJ11" s="169"/>
      <c r="AK11" s="316"/>
      <c r="AL11" s="169"/>
      <c r="AM11" s="169"/>
      <c r="AN11" s="169"/>
      <c r="AO11" s="316"/>
    </row>
    <row r="12" spans="1:47" ht="14.95" customHeight="1" thickBot="1" x14ac:dyDescent="0.3">
      <c r="A12" s="163"/>
      <c r="B12" s="164"/>
      <c r="C12" s="164"/>
      <c r="D12" s="171"/>
      <c r="E12" s="165"/>
      <c r="F12" s="165"/>
      <c r="G12" s="165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01"/>
      <c r="U12" s="169"/>
      <c r="V12" s="169"/>
      <c r="W12" s="169"/>
      <c r="X12" s="169"/>
      <c r="Y12" s="169"/>
      <c r="Z12" s="169"/>
      <c r="AA12" s="169"/>
      <c r="AB12" s="169"/>
      <c r="AC12" s="316"/>
      <c r="AD12" s="169"/>
      <c r="AE12" s="169"/>
      <c r="AF12" s="169"/>
      <c r="AG12" s="316"/>
      <c r="AH12" s="169"/>
      <c r="AI12" s="169"/>
      <c r="AJ12" s="169"/>
      <c r="AK12" s="316"/>
      <c r="AL12" s="169"/>
      <c r="AM12" s="169"/>
      <c r="AN12" s="169"/>
      <c r="AO12" s="316"/>
    </row>
    <row r="13" spans="1:47" ht="14.95" customHeight="1" thickBot="1" x14ac:dyDescent="0.3">
      <c r="A13" s="458"/>
      <c r="B13" s="173"/>
      <c r="C13" s="173"/>
      <c r="D13" s="673"/>
      <c r="E13" s="165"/>
      <c r="F13" s="165"/>
      <c r="G13" s="165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169"/>
      <c r="T13" s="301"/>
      <c r="U13" s="169"/>
      <c r="V13" s="169"/>
      <c r="W13" s="169"/>
      <c r="X13" s="169"/>
      <c r="Y13" s="169"/>
      <c r="Z13" s="169"/>
      <c r="AA13" s="169"/>
      <c r="AB13" s="169"/>
      <c r="AC13" s="316"/>
      <c r="AD13" s="169"/>
      <c r="AE13" s="169"/>
      <c r="AF13" s="169"/>
      <c r="AG13" s="316"/>
      <c r="AH13" s="169"/>
      <c r="AI13" s="169"/>
      <c r="AJ13" s="169"/>
      <c r="AK13" s="316"/>
      <c r="AL13" s="169"/>
      <c r="AM13" s="169"/>
      <c r="AN13" s="169"/>
      <c r="AO13" s="316"/>
    </row>
    <row r="14" spans="1:47" ht="14.95" customHeight="1" thickBot="1" x14ac:dyDescent="0.3">
      <c r="A14" s="100"/>
      <c r="B14" s="101"/>
      <c r="C14" s="797" t="s">
        <v>71</v>
      </c>
      <c r="D14" s="798"/>
      <c r="E14" s="799"/>
      <c r="F14" s="385">
        <f>SUM(F3:F7)</f>
        <v>31</v>
      </c>
      <c r="G14" s="385">
        <f t="shared" ref="G14:R14" si="0">SUM(G3:G7)</f>
        <v>103</v>
      </c>
      <c r="H14" s="385">
        <f t="shared" si="0"/>
        <v>0</v>
      </c>
      <c r="I14" s="385">
        <f t="shared" si="0"/>
        <v>0</v>
      </c>
      <c r="J14" s="385">
        <f t="shared" si="0"/>
        <v>4</v>
      </c>
      <c r="K14" s="385">
        <f t="shared" si="0"/>
        <v>4</v>
      </c>
      <c r="L14" s="385">
        <f t="shared" si="0"/>
        <v>0</v>
      </c>
      <c r="M14" s="385">
        <f t="shared" si="0"/>
        <v>1</v>
      </c>
      <c r="N14" s="385">
        <f t="shared" si="0"/>
        <v>2</v>
      </c>
      <c r="O14" s="385">
        <f t="shared" si="0"/>
        <v>0</v>
      </c>
      <c r="P14" s="385">
        <f t="shared" si="0"/>
        <v>1</v>
      </c>
      <c r="Q14" s="385">
        <f t="shared" si="0"/>
        <v>1</v>
      </c>
      <c r="R14" s="385">
        <f t="shared" si="0"/>
        <v>15</v>
      </c>
      <c r="S14" s="386"/>
      <c r="T14" s="386"/>
      <c r="U14" s="386"/>
      <c r="V14" s="386"/>
      <c r="W14" s="386"/>
      <c r="X14" s="381"/>
      <c r="Y14" s="389" t="s">
        <v>71</v>
      </c>
      <c r="Z14" s="385">
        <f t="shared" ref="Z14:AO14" si="1">SUM(Z3:Z7)</f>
        <v>2</v>
      </c>
      <c r="AA14" s="385">
        <f t="shared" si="1"/>
        <v>1</v>
      </c>
      <c r="AB14" s="385">
        <f t="shared" si="1"/>
        <v>0</v>
      </c>
      <c r="AC14" s="385">
        <f t="shared" si="1"/>
        <v>1</v>
      </c>
      <c r="AD14" s="387">
        <f t="shared" si="1"/>
        <v>1</v>
      </c>
      <c r="AE14" s="387">
        <f t="shared" si="1"/>
        <v>0</v>
      </c>
      <c r="AF14" s="387">
        <f t="shared" si="1"/>
        <v>0</v>
      </c>
      <c r="AG14" s="387">
        <f t="shared" si="1"/>
        <v>1</v>
      </c>
      <c r="AH14" s="388">
        <f t="shared" si="1"/>
        <v>1</v>
      </c>
      <c r="AI14" s="388">
        <f t="shared" si="1"/>
        <v>1</v>
      </c>
      <c r="AJ14" s="388">
        <f t="shared" si="1"/>
        <v>0</v>
      </c>
      <c r="AK14" s="388">
        <f t="shared" si="1"/>
        <v>0</v>
      </c>
      <c r="AL14" s="385">
        <f t="shared" si="1"/>
        <v>0</v>
      </c>
      <c r="AM14" s="385">
        <f t="shared" si="1"/>
        <v>0</v>
      </c>
      <c r="AN14" s="385">
        <f t="shared" si="1"/>
        <v>0</v>
      </c>
      <c r="AO14" s="385">
        <f t="shared" si="1"/>
        <v>0</v>
      </c>
    </row>
    <row r="15" spans="1:47" ht="14.95" thickBot="1" x14ac:dyDescent="0.3">
      <c r="A15" s="100"/>
      <c r="B15" s="101"/>
      <c r="C15" s="808" t="s">
        <v>500</v>
      </c>
      <c r="D15" s="809"/>
      <c r="E15" s="810"/>
      <c r="F15" s="393">
        <f>SUM(F10:F13)</f>
        <v>0</v>
      </c>
      <c r="G15" s="393">
        <f t="shared" ref="G15:R15" si="2">SUM(G10:G13)</f>
        <v>0</v>
      </c>
      <c r="H15" s="393">
        <f t="shared" si="2"/>
        <v>0</v>
      </c>
      <c r="I15" s="393">
        <f t="shared" si="2"/>
        <v>0</v>
      </c>
      <c r="J15" s="393">
        <f t="shared" si="2"/>
        <v>0</v>
      </c>
      <c r="K15" s="393">
        <f t="shared" si="2"/>
        <v>0</v>
      </c>
      <c r="L15" s="393">
        <f t="shared" si="2"/>
        <v>0</v>
      </c>
      <c r="M15" s="393">
        <f t="shared" si="2"/>
        <v>0</v>
      </c>
      <c r="N15" s="393">
        <f t="shared" si="2"/>
        <v>0</v>
      </c>
      <c r="O15" s="393">
        <f t="shared" si="2"/>
        <v>0</v>
      </c>
      <c r="P15" s="393">
        <f t="shared" si="2"/>
        <v>0</v>
      </c>
      <c r="Q15" s="393">
        <f t="shared" si="2"/>
        <v>0</v>
      </c>
      <c r="R15" s="393">
        <f t="shared" si="2"/>
        <v>0</v>
      </c>
      <c r="S15" s="394"/>
      <c r="T15" s="394"/>
      <c r="U15" s="394"/>
      <c r="V15" s="394"/>
      <c r="W15" s="394"/>
      <c r="X15" s="395"/>
      <c r="Y15" s="660" t="s">
        <v>500</v>
      </c>
      <c r="Z15" s="393">
        <f t="shared" ref="Z15:AO15" si="3">SUM(Z10:Z13)</f>
        <v>0</v>
      </c>
      <c r="AA15" s="393">
        <f t="shared" si="3"/>
        <v>0</v>
      </c>
      <c r="AB15" s="393">
        <f t="shared" si="3"/>
        <v>0</v>
      </c>
      <c r="AC15" s="393">
        <f t="shared" si="3"/>
        <v>0</v>
      </c>
      <c r="AD15" s="397">
        <f t="shared" si="3"/>
        <v>0</v>
      </c>
      <c r="AE15" s="397">
        <f t="shared" si="3"/>
        <v>0</v>
      </c>
      <c r="AF15" s="397">
        <f t="shared" si="3"/>
        <v>0</v>
      </c>
      <c r="AG15" s="397">
        <f t="shared" si="3"/>
        <v>0</v>
      </c>
      <c r="AH15" s="398">
        <f t="shared" si="3"/>
        <v>0</v>
      </c>
      <c r="AI15" s="398">
        <f t="shared" si="3"/>
        <v>0</v>
      </c>
      <c r="AJ15" s="398">
        <f t="shared" si="3"/>
        <v>0</v>
      </c>
      <c r="AK15" s="398">
        <f t="shared" si="3"/>
        <v>0</v>
      </c>
      <c r="AL15" s="393">
        <f t="shared" si="3"/>
        <v>0</v>
      </c>
      <c r="AM15" s="393">
        <f t="shared" si="3"/>
        <v>0</v>
      </c>
      <c r="AN15" s="393">
        <f t="shared" si="3"/>
        <v>0</v>
      </c>
      <c r="AO15" s="393">
        <f t="shared" si="3"/>
        <v>0</v>
      </c>
    </row>
    <row r="16" spans="1:47" ht="14.95" thickBot="1" x14ac:dyDescent="0.3">
      <c r="A16" s="100"/>
      <c r="B16" s="101"/>
      <c r="C16" s="800" t="s">
        <v>70</v>
      </c>
      <c r="D16" s="801"/>
      <c r="E16" s="802"/>
      <c r="F16" s="124">
        <f>SUM(F3:F13)</f>
        <v>31</v>
      </c>
      <c r="G16" s="124">
        <f t="shared" ref="G16:R16" si="4">SUM(G3:G13)</f>
        <v>103</v>
      </c>
      <c r="H16" s="124">
        <f t="shared" si="4"/>
        <v>0</v>
      </c>
      <c r="I16" s="124">
        <f t="shared" si="4"/>
        <v>0</v>
      </c>
      <c r="J16" s="124">
        <f t="shared" si="4"/>
        <v>4</v>
      </c>
      <c r="K16" s="124">
        <f t="shared" si="4"/>
        <v>4</v>
      </c>
      <c r="L16" s="124">
        <f t="shared" si="4"/>
        <v>0</v>
      </c>
      <c r="M16" s="124">
        <f t="shared" si="4"/>
        <v>1</v>
      </c>
      <c r="N16" s="124">
        <f t="shared" si="4"/>
        <v>2</v>
      </c>
      <c r="O16" s="124">
        <f t="shared" si="4"/>
        <v>0</v>
      </c>
      <c r="P16" s="124">
        <f t="shared" si="4"/>
        <v>1</v>
      </c>
      <c r="Q16" s="124">
        <f t="shared" si="4"/>
        <v>1</v>
      </c>
      <c r="R16" s="124">
        <f t="shared" si="4"/>
        <v>15</v>
      </c>
      <c r="S16" s="121"/>
      <c r="T16" s="121"/>
      <c r="U16" s="121"/>
      <c r="V16" s="121"/>
      <c r="W16" s="121"/>
      <c r="X16" s="12"/>
      <c r="Y16" s="129" t="s">
        <v>70</v>
      </c>
      <c r="Z16" s="124">
        <f t="shared" ref="Z16:AO16" si="5">SUM(Z3:Z13)</f>
        <v>2</v>
      </c>
      <c r="AA16" s="124">
        <f t="shared" si="5"/>
        <v>1</v>
      </c>
      <c r="AB16" s="124">
        <f t="shared" si="5"/>
        <v>0</v>
      </c>
      <c r="AC16" s="124">
        <f t="shared" si="5"/>
        <v>1</v>
      </c>
      <c r="AD16" s="122">
        <f t="shared" si="5"/>
        <v>1</v>
      </c>
      <c r="AE16" s="122">
        <f t="shared" si="5"/>
        <v>0</v>
      </c>
      <c r="AF16" s="122">
        <f t="shared" si="5"/>
        <v>0</v>
      </c>
      <c r="AG16" s="122">
        <f t="shared" si="5"/>
        <v>1</v>
      </c>
      <c r="AH16" s="123">
        <f t="shared" si="5"/>
        <v>1</v>
      </c>
      <c r="AI16" s="123">
        <f t="shared" si="5"/>
        <v>1</v>
      </c>
      <c r="AJ16" s="123">
        <f t="shared" si="5"/>
        <v>0</v>
      </c>
      <c r="AK16" s="123">
        <f t="shared" si="5"/>
        <v>0</v>
      </c>
      <c r="AL16" s="124">
        <f t="shared" si="5"/>
        <v>0</v>
      </c>
      <c r="AM16" s="124">
        <f t="shared" si="5"/>
        <v>0</v>
      </c>
      <c r="AN16" s="124">
        <f t="shared" si="5"/>
        <v>0</v>
      </c>
      <c r="AO16" s="124">
        <f t="shared" si="5"/>
        <v>0</v>
      </c>
    </row>
    <row r="17" spans="1:18" x14ac:dyDescent="0.25">
      <c r="A17" s="789" t="s">
        <v>586</v>
      </c>
      <c r="B17" s="789"/>
      <c r="C17" s="789"/>
      <c r="D17" s="789"/>
      <c r="E17" s="789"/>
      <c r="F17" s="789"/>
      <c r="G17" s="789"/>
      <c r="H17" s="789"/>
      <c r="I17" s="789"/>
      <c r="J17" s="789"/>
      <c r="K17" s="789"/>
      <c r="L17" s="789"/>
      <c r="M17" s="789"/>
      <c r="N17" s="789"/>
      <c r="O17" s="789"/>
      <c r="P17" s="789"/>
      <c r="Q17" s="789"/>
      <c r="R17" s="789"/>
    </row>
    <row r="18" spans="1:18" x14ac:dyDescent="0.25">
      <c r="A18" s="634" t="s">
        <v>519</v>
      </c>
    </row>
    <row r="19" spans="1:18" x14ac:dyDescent="0.25">
      <c r="A19" s="634" t="s">
        <v>521</v>
      </c>
    </row>
    <row r="20" spans="1:18" x14ac:dyDescent="0.25">
      <c r="A20" s="634" t="s">
        <v>510</v>
      </c>
    </row>
    <row r="21" spans="1:18" x14ac:dyDescent="0.25">
      <c r="A21" s="174"/>
    </row>
    <row r="22" spans="1:18" x14ac:dyDescent="0.25">
      <c r="A22" s="789" t="s">
        <v>515</v>
      </c>
      <c r="B22" s="789"/>
      <c r="C22" s="789"/>
      <c r="D22" s="789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</row>
    <row r="23" spans="1:18" x14ac:dyDescent="0.25">
      <c r="A23" s="174" t="s">
        <v>74</v>
      </c>
    </row>
    <row r="24" spans="1:18" x14ac:dyDescent="0.25">
      <c r="A24" s="292"/>
      <c r="B24" s="69" t="s">
        <v>40</v>
      </c>
      <c r="C24" s="69"/>
    </row>
    <row r="25" spans="1:18" x14ac:dyDescent="0.25">
      <c r="A25" s="293"/>
      <c r="B25" s="69" t="s">
        <v>38</v>
      </c>
      <c r="C25" s="69"/>
    </row>
    <row r="26" spans="1:18" x14ac:dyDescent="0.25">
      <c r="A26" s="294"/>
      <c r="B26" s="69" t="s">
        <v>39</v>
      </c>
      <c r="C26" s="69"/>
    </row>
    <row r="27" spans="1:18" ht="16.3" x14ac:dyDescent="0.3">
      <c r="A27" s="579" t="s">
        <v>28</v>
      </c>
    </row>
  </sheetData>
  <mergeCells count="15">
    <mergeCell ref="AL1:AO1"/>
    <mergeCell ref="P1:R1"/>
    <mergeCell ref="H1:I1"/>
    <mergeCell ref="J1:M1"/>
    <mergeCell ref="N1:O1"/>
    <mergeCell ref="Z1:AC1"/>
    <mergeCell ref="AD1:AG1"/>
    <mergeCell ref="A22:R22"/>
    <mergeCell ref="A17:R17"/>
    <mergeCell ref="AH1:AK1"/>
    <mergeCell ref="C14:E14"/>
    <mergeCell ref="C16:E16"/>
    <mergeCell ref="A1:C1"/>
    <mergeCell ref="E1:G1"/>
    <mergeCell ref="C15:E15"/>
  </mergeCells>
  <pageMargins left="0.7" right="0.7" top="0.75" bottom="0.75" header="0.3" footer="0.3"/>
  <pageSetup paperSize="9" orientation="portrait" r:id="rId1"/>
  <ignoredErrors>
    <ignoredError sqref="C14:E14 F14 S14:Y14 G14:R14 Z14:AO14 S15:X15 F16:AO16 F15:R15 Z15:AO15" formulaRange="1"/>
    <ignoredError sqref="T4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57"/>
  <sheetViews>
    <sheetView workbookViewId="0">
      <selection activeCell="AL35" sqref="AL35"/>
    </sheetView>
  </sheetViews>
  <sheetFormatPr defaultRowHeight="14.3" x14ac:dyDescent="0.25"/>
  <cols>
    <col min="1" max="1" width="4.75" customWidth="1"/>
    <col min="2" max="2" width="4" bestFit="1" customWidth="1"/>
    <col min="4" max="9" width="4" customWidth="1"/>
    <col min="10" max="10" width="4.375" bestFit="1" customWidth="1"/>
    <col min="11" max="16" width="4" customWidth="1"/>
    <col min="17" max="17" width="1.625" customWidth="1"/>
    <col min="19" max="27" width="5.375" customWidth="1"/>
    <col min="28" max="28" width="5.625" customWidth="1"/>
    <col min="29" max="29" width="5.375" customWidth="1"/>
    <col min="30" max="30" width="1.625" customWidth="1"/>
    <col min="32" max="41" width="5.375" customWidth="1"/>
    <col min="42" max="42" width="5.875" bestFit="1" customWidth="1"/>
    <col min="43" max="43" width="3.75" bestFit="1" customWidth="1"/>
  </cols>
  <sheetData>
    <row r="1" spans="1:43" ht="14.95" thickBot="1" x14ac:dyDescent="0.3">
      <c r="A1" s="586" t="s">
        <v>442</v>
      </c>
      <c r="B1" s="586"/>
      <c r="C1" s="586"/>
      <c r="D1" s="587"/>
      <c r="E1" s="587"/>
      <c r="F1" s="814"/>
      <c r="G1" s="815"/>
      <c r="H1" s="587"/>
      <c r="I1" s="587"/>
      <c r="J1" s="587"/>
      <c r="K1" s="587"/>
      <c r="L1" s="587"/>
      <c r="M1" s="587"/>
      <c r="N1" s="587"/>
      <c r="O1" s="816"/>
      <c r="P1" s="817"/>
      <c r="R1" s="586" t="s">
        <v>307</v>
      </c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E1" s="586" t="s">
        <v>308</v>
      </c>
      <c r="AF1" s="587"/>
      <c r="AG1" s="587"/>
      <c r="AH1" s="587"/>
      <c r="AI1" s="587"/>
      <c r="AJ1" s="587"/>
      <c r="AK1" s="587"/>
      <c r="AL1" s="587"/>
      <c r="AM1" s="587"/>
      <c r="AN1" s="587"/>
      <c r="AO1" s="587"/>
      <c r="AP1" s="587"/>
      <c r="AQ1" s="587"/>
    </row>
    <row r="2" spans="1:43" ht="14.95" customHeight="1" thickBot="1" x14ac:dyDescent="0.3">
      <c r="A2" s="588" t="s">
        <v>448</v>
      </c>
      <c r="B2" s="589"/>
      <c r="C2" s="818" t="s">
        <v>33</v>
      </c>
      <c r="D2" s="819"/>
      <c r="E2" s="819"/>
      <c r="F2" s="586">
        <v>40</v>
      </c>
      <c r="G2" s="591" t="s">
        <v>533</v>
      </c>
      <c r="H2" s="590">
        <v>7</v>
      </c>
      <c r="I2" s="820" t="s">
        <v>32</v>
      </c>
      <c r="J2" s="815"/>
      <c r="K2" s="815"/>
      <c r="L2" s="818" t="s">
        <v>452</v>
      </c>
      <c r="M2" s="818"/>
      <c r="N2" s="818"/>
      <c r="O2" s="585"/>
      <c r="P2" s="585"/>
      <c r="R2" s="480"/>
      <c r="S2" s="481" t="s">
        <v>271</v>
      </c>
      <c r="T2" s="592" t="s">
        <v>309</v>
      </c>
      <c r="U2" s="593" t="s">
        <v>310</v>
      </c>
      <c r="V2" s="594" t="s">
        <v>311</v>
      </c>
      <c r="W2" s="459" t="s">
        <v>312</v>
      </c>
      <c r="X2" s="595" t="s">
        <v>313</v>
      </c>
      <c r="Y2" s="595" t="s">
        <v>314</v>
      </c>
      <c r="Z2" s="596" t="s">
        <v>315</v>
      </c>
      <c r="AA2" s="596" t="s">
        <v>316</v>
      </c>
      <c r="AB2" s="597" t="s">
        <v>317</v>
      </c>
      <c r="AC2" s="598" t="s">
        <v>318</v>
      </c>
      <c r="AE2" s="480"/>
      <c r="AF2" s="599" t="s">
        <v>271</v>
      </c>
      <c r="AG2" s="592" t="s">
        <v>309</v>
      </c>
      <c r="AH2" s="594" t="s">
        <v>310</v>
      </c>
      <c r="AI2" s="594" t="s">
        <v>311</v>
      </c>
      <c r="AJ2" s="459" t="s">
        <v>312</v>
      </c>
      <c r="AK2" s="524" t="s">
        <v>313</v>
      </c>
      <c r="AL2" s="595" t="s">
        <v>314</v>
      </c>
      <c r="AM2" s="596" t="s">
        <v>315</v>
      </c>
      <c r="AN2" s="824" t="s">
        <v>316</v>
      </c>
      <c r="AO2" s="825"/>
      <c r="AP2" s="442" t="s">
        <v>317</v>
      </c>
      <c r="AQ2" s="678" t="s">
        <v>459</v>
      </c>
    </row>
    <row r="3" spans="1:43" ht="14.95" thickBot="1" x14ac:dyDescent="0.3">
      <c r="A3" s="588" t="s">
        <v>448</v>
      </c>
      <c r="B3" s="586"/>
      <c r="C3" s="813" t="s">
        <v>30</v>
      </c>
      <c r="D3" s="813"/>
      <c r="E3" s="813"/>
      <c r="F3" s="586">
        <v>33</v>
      </c>
      <c r="G3" s="591" t="s">
        <v>533</v>
      </c>
      <c r="H3" s="590">
        <v>12</v>
      </c>
      <c r="I3" s="586" t="s">
        <v>35</v>
      </c>
      <c r="J3" s="586"/>
      <c r="K3" s="586"/>
      <c r="L3" s="813" t="s">
        <v>443</v>
      </c>
      <c r="M3" s="813"/>
      <c r="N3" s="813"/>
      <c r="O3" s="585"/>
      <c r="P3" s="585"/>
      <c r="R3" s="93" t="s">
        <v>30</v>
      </c>
      <c r="S3" s="483">
        <v>2</v>
      </c>
      <c r="T3" s="484">
        <v>2</v>
      </c>
      <c r="U3" s="485">
        <v>1</v>
      </c>
      <c r="V3" s="486">
        <v>3</v>
      </c>
      <c r="W3" s="487">
        <f t="shared" ref="W3:W8" si="0">SUM(S3:V3)</f>
        <v>8</v>
      </c>
      <c r="X3" s="488">
        <v>1</v>
      </c>
      <c r="Y3" s="489">
        <v>3</v>
      </c>
      <c r="Z3" s="490">
        <v>2</v>
      </c>
      <c r="AA3" s="491">
        <v>3</v>
      </c>
      <c r="AB3" s="492">
        <f t="shared" ref="AB3:AB8" si="1">SUM(X3:AA3)</f>
        <v>9</v>
      </c>
      <c r="AC3" s="600">
        <f t="shared" ref="AC3:AC8" si="2">SUM(W3+AB3)</f>
        <v>17</v>
      </c>
      <c r="AE3" s="494"/>
      <c r="AF3" s="495" t="s">
        <v>319</v>
      </c>
      <c r="AG3" s="495" t="s">
        <v>319</v>
      </c>
      <c r="AH3" s="496" t="s">
        <v>319</v>
      </c>
      <c r="AI3" s="496" t="s">
        <v>319</v>
      </c>
      <c r="AJ3" s="165" t="s">
        <v>53</v>
      </c>
      <c r="AK3" s="497" t="s">
        <v>319</v>
      </c>
      <c r="AL3" s="497" t="s">
        <v>319</v>
      </c>
      <c r="AM3" s="498" t="s">
        <v>319</v>
      </c>
      <c r="AN3" s="498" t="s">
        <v>319</v>
      </c>
      <c r="AO3" s="498" t="s">
        <v>320</v>
      </c>
      <c r="AP3" s="442"/>
      <c r="AQ3" s="678"/>
    </row>
    <row r="4" spans="1:43" ht="14.95" thickBot="1" x14ac:dyDescent="0.3">
      <c r="A4" s="588" t="s">
        <v>448</v>
      </c>
      <c r="B4" s="589"/>
      <c r="C4" s="818" t="s">
        <v>31</v>
      </c>
      <c r="D4" s="819"/>
      <c r="E4" s="819"/>
      <c r="F4" s="586">
        <v>19</v>
      </c>
      <c r="G4" s="591" t="s">
        <v>533</v>
      </c>
      <c r="H4" s="590">
        <v>24</v>
      </c>
      <c r="I4" s="821" t="s">
        <v>34</v>
      </c>
      <c r="J4" s="821"/>
      <c r="K4" s="821"/>
      <c r="L4" s="813" t="s">
        <v>446</v>
      </c>
      <c r="M4" s="813"/>
      <c r="N4" s="813"/>
      <c r="O4" s="585"/>
      <c r="P4" s="585"/>
      <c r="R4" s="34" t="s">
        <v>33</v>
      </c>
      <c r="S4" s="483"/>
      <c r="T4" s="484"/>
      <c r="U4" s="485">
        <v>2</v>
      </c>
      <c r="V4" s="486"/>
      <c r="W4" s="487">
        <f t="shared" si="0"/>
        <v>2</v>
      </c>
      <c r="X4" s="488">
        <v>2</v>
      </c>
      <c r="Y4" s="489">
        <v>4</v>
      </c>
      <c r="Z4" s="490">
        <v>2</v>
      </c>
      <c r="AA4" s="491">
        <v>2</v>
      </c>
      <c r="AB4" s="492">
        <f t="shared" si="1"/>
        <v>10</v>
      </c>
      <c r="AC4" s="600">
        <f t="shared" si="2"/>
        <v>12</v>
      </c>
      <c r="AE4" s="93" t="s">
        <v>30</v>
      </c>
      <c r="AF4" s="483"/>
      <c r="AG4" s="484"/>
      <c r="AH4" s="486"/>
      <c r="AI4" s="485">
        <v>1</v>
      </c>
      <c r="AJ4" s="487">
        <f>SUM(AE4:AI4)</f>
        <v>1</v>
      </c>
      <c r="AK4" s="488"/>
      <c r="AL4" s="489">
        <v>1</v>
      </c>
      <c r="AM4" s="490"/>
      <c r="AN4" s="490"/>
      <c r="AO4" s="491"/>
      <c r="AP4" s="492">
        <f t="shared" ref="AP4:AP9" si="3">SUM(AK4:AO4)</f>
        <v>1</v>
      </c>
      <c r="AQ4" s="492">
        <f>SUM(AJ4:AN4)</f>
        <v>2</v>
      </c>
    </row>
    <row r="5" spans="1:43" ht="14.95" thickBot="1" x14ac:dyDescent="0.3">
      <c r="A5" s="588" t="s">
        <v>449</v>
      </c>
      <c r="B5" s="589"/>
      <c r="C5" s="818" t="s">
        <v>34</v>
      </c>
      <c r="D5" s="819"/>
      <c r="E5" s="819"/>
      <c r="F5" s="586">
        <v>7</v>
      </c>
      <c r="G5" s="591" t="s">
        <v>533</v>
      </c>
      <c r="H5" s="590">
        <v>84</v>
      </c>
      <c r="I5" s="586" t="s">
        <v>30</v>
      </c>
      <c r="J5" s="586"/>
      <c r="K5" s="586"/>
      <c r="L5" s="813" t="s">
        <v>445</v>
      </c>
      <c r="M5" s="813"/>
      <c r="N5" s="813"/>
      <c r="O5" s="585"/>
      <c r="P5" s="585"/>
      <c r="R5" s="21" t="s">
        <v>35</v>
      </c>
      <c r="S5" s="483">
        <v>1</v>
      </c>
      <c r="T5" s="484">
        <v>2</v>
      </c>
      <c r="U5" s="485">
        <v>2</v>
      </c>
      <c r="V5" s="486">
        <v>2</v>
      </c>
      <c r="W5" s="487">
        <f t="shared" si="0"/>
        <v>7</v>
      </c>
      <c r="X5" s="488">
        <v>1</v>
      </c>
      <c r="Y5" s="489"/>
      <c r="Z5" s="490">
        <v>1</v>
      </c>
      <c r="AA5" s="491">
        <v>2</v>
      </c>
      <c r="AB5" s="492">
        <f t="shared" si="1"/>
        <v>4</v>
      </c>
      <c r="AC5" s="600">
        <f t="shared" si="2"/>
        <v>11</v>
      </c>
      <c r="AE5" s="34" t="s">
        <v>33</v>
      </c>
      <c r="AF5" s="483"/>
      <c r="AG5" s="484"/>
      <c r="AH5" s="486"/>
      <c r="AI5" s="485"/>
      <c r="AJ5" s="487">
        <f t="shared" ref="AJ5:AJ9" si="4">SUM(AE5:AI5)</f>
        <v>0</v>
      </c>
      <c r="AK5" s="488"/>
      <c r="AL5" s="489">
        <v>2</v>
      </c>
      <c r="AM5" s="490"/>
      <c r="AN5" s="490"/>
      <c r="AO5" s="491"/>
      <c r="AP5" s="492">
        <f t="shared" si="3"/>
        <v>2</v>
      </c>
      <c r="AQ5" s="492">
        <f t="shared" ref="AQ5:AQ9" si="5">SUM(AJ5:AN5)</f>
        <v>2</v>
      </c>
    </row>
    <row r="6" spans="1:43" ht="14.95" thickBot="1" x14ac:dyDescent="0.3">
      <c r="A6" s="588" t="s">
        <v>449</v>
      </c>
      <c r="B6" s="589"/>
      <c r="C6" s="813" t="s">
        <v>31</v>
      </c>
      <c r="D6" s="813"/>
      <c r="E6" s="813"/>
      <c r="F6" s="586">
        <v>7</v>
      </c>
      <c r="G6" s="591" t="s">
        <v>533</v>
      </c>
      <c r="H6" s="590">
        <v>38</v>
      </c>
      <c r="I6" s="586" t="s">
        <v>33</v>
      </c>
      <c r="J6" s="586"/>
      <c r="K6" s="586"/>
      <c r="L6" s="813" t="s">
        <v>446</v>
      </c>
      <c r="M6" s="813"/>
      <c r="N6" s="813"/>
      <c r="O6" s="585"/>
      <c r="P6" s="585"/>
      <c r="R6" s="601" t="s">
        <v>32</v>
      </c>
      <c r="S6" s="483"/>
      <c r="T6" s="484">
        <v>1</v>
      </c>
      <c r="U6" s="485"/>
      <c r="V6" s="486">
        <v>1</v>
      </c>
      <c r="W6" s="487">
        <f t="shared" si="0"/>
        <v>2</v>
      </c>
      <c r="X6" s="488">
        <v>1</v>
      </c>
      <c r="Y6" s="489"/>
      <c r="Z6" s="490"/>
      <c r="AA6" s="491">
        <v>2</v>
      </c>
      <c r="AB6" s="492">
        <f t="shared" si="1"/>
        <v>3</v>
      </c>
      <c r="AC6" s="600">
        <f t="shared" si="2"/>
        <v>5</v>
      </c>
      <c r="AE6" s="21" t="s">
        <v>35</v>
      </c>
      <c r="AF6" s="483"/>
      <c r="AG6" s="484"/>
      <c r="AH6" s="486"/>
      <c r="AI6" s="485"/>
      <c r="AJ6" s="487">
        <f t="shared" si="4"/>
        <v>0</v>
      </c>
      <c r="AK6" s="488"/>
      <c r="AL6" s="489"/>
      <c r="AM6" s="490"/>
      <c r="AN6" s="490"/>
      <c r="AO6" s="491"/>
      <c r="AP6" s="492">
        <f t="shared" si="3"/>
        <v>0</v>
      </c>
      <c r="AQ6" s="492">
        <f t="shared" si="5"/>
        <v>0</v>
      </c>
    </row>
    <row r="7" spans="1:43" ht="14.95" thickBot="1" x14ac:dyDescent="0.3">
      <c r="A7" s="588" t="s">
        <v>449</v>
      </c>
      <c r="B7" s="589"/>
      <c r="C7" s="818" t="s">
        <v>35</v>
      </c>
      <c r="D7" s="819"/>
      <c r="E7" s="819"/>
      <c r="F7" s="586">
        <v>57</v>
      </c>
      <c r="G7" s="591" t="s">
        <v>533</v>
      </c>
      <c r="H7" s="590">
        <v>20</v>
      </c>
      <c r="I7" s="586" t="s">
        <v>32</v>
      </c>
      <c r="J7" s="586"/>
      <c r="K7" s="586"/>
      <c r="L7" s="813" t="s">
        <v>453</v>
      </c>
      <c r="M7" s="813"/>
      <c r="N7" s="813"/>
      <c r="O7" s="585"/>
      <c r="P7" s="585"/>
      <c r="R7" s="34" t="s">
        <v>34</v>
      </c>
      <c r="S7" s="483">
        <v>1</v>
      </c>
      <c r="T7" s="484"/>
      <c r="U7" s="485"/>
      <c r="V7" s="486">
        <v>1</v>
      </c>
      <c r="W7" s="487">
        <f t="shared" si="0"/>
        <v>2</v>
      </c>
      <c r="X7" s="488"/>
      <c r="Y7" s="489">
        <v>1</v>
      </c>
      <c r="Z7" s="490">
        <v>1</v>
      </c>
      <c r="AA7" s="491"/>
      <c r="AB7" s="492">
        <f t="shared" si="1"/>
        <v>2</v>
      </c>
      <c r="AC7" s="600">
        <f t="shared" si="2"/>
        <v>4</v>
      </c>
      <c r="AE7" s="601" t="s">
        <v>32</v>
      </c>
      <c r="AF7" s="483"/>
      <c r="AG7" s="484"/>
      <c r="AH7" s="486"/>
      <c r="AI7" s="485"/>
      <c r="AJ7" s="487">
        <f t="shared" si="4"/>
        <v>0</v>
      </c>
      <c r="AK7" s="488"/>
      <c r="AL7" s="489"/>
      <c r="AM7" s="490"/>
      <c r="AN7" s="490"/>
      <c r="AO7" s="491"/>
      <c r="AP7" s="492">
        <f t="shared" si="3"/>
        <v>0</v>
      </c>
      <c r="AQ7" s="492">
        <f t="shared" si="5"/>
        <v>0</v>
      </c>
    </row>
    <row r="8" spans="1:43" ht="14.95" thickBot="1" x14ac:dyDescent="0.3">
      <c r="A8" s="588" t="s">
        <v>450</v>
      </c>
      <c r="B8" s="589"/>
      <c r="C8" s="818" t="s">
        <v>30</v>
      </c>
      <c r="D8" s="819"/>
      <c r="E8" s="819"/>
      <c r="F8" s="586"/>
      <c r="G8" s="591" t="s">
        <v>447</v>
      </c>
      <c r="H8" s="590"/>
      <c r="I8" s="586" t="s">
        <v>31</v>
      </c>
      <c r="J8" s="586"/>
      <c r="K8" s="586"/>
      <c r="L8" s="813" t="s">
        <v>454</v>
      </c>
      <c r="M8" s="813"/>
      <c r="N8" s="813"/>
      <c r="O8" s="585"/>
      <c r="P8" s="585"/>
      <c r="Q8" s="53" t="s">
        <v>53</v>
      </c>
      <c r="R8" s="8" t="s">
        <v>31</v>
      </c>
      <c r="S8" s="483"/>
      <c r="T8" s="484">
        <v>3</v>
      </c>
      <c r="U8" s="485"/>
      <c r="V8" s="486"/>
      <c r="W8" s="487">
        <f t="shared" si="0"/>
        <v>3</v>
      </c>
      <c r="X8" s="488"/>
      <c r="Y8" s="489"/>
      <c r="Z8" s="490"/>
      <c r="AA8" s="491">
        <v>1</v>
      </c>
      <c r="AB8" s="602">
        <f t="shared" si="1"/>
        <v>1</v>
      </c>
      <c r="AC8" s="603">
        <f t="shared" si="2"/>
        <v>4</v>
      </c>
      <c r="AE8" s="34" t="s">
        <v>34</v>
      </c>
      <c r="AF8" s="483"/>
      <c r="AG8" s="484"/>
      <c r="AH8" s="486"/>
      <c r="AI8" s="485"/>
      <c r="AJ8" s="487">
        <f t="shared" si="4"/>
        <v>0</v>
      </c>
      <c r="AK8" s="488"/>
      <c r="AL8" s="489"/>
      <c r="AM8" s="490"/>
      <c r="AN8" s="490"/>
      <c r="AO8" s="491"/>
      <c r="AP8" s="492">
        <f t="shared" si="3"/>
        <v>0</v>
      </c>
      <c r="AQ8" s="492">
        <f t="shared" si="5"/>
        <v>0</v>
      </c>
    </row>
    <row r="9" spans="1:43" ht="14.95" thickBot="1" x14ac:dyDescent="0.3">
      <c r="A9" s="588" t="s">
        <v>450</v>
      </c>
      <c r="B9" s="589"/>
      <c r="C9" s="813" t="s">
        <v>32</v>
      </c>
      <c r="D9" s="813"/>
      <c r="E9" s="813"/>
      <c r="F9" s="586"/>
      <c r="G9" s="591" t="s">
        <v>447</v>
      </c>
      <c r="H9" s="590"/>
      <c r="I9" s="586" t="s">
        <v>34</v>
      </c>
      <c r="J9" s="586"/>
      <c r="K9" s="586"/>
      <c r="L9" s="813" t="s">
        <v>455</v>
      </c>
      <c r="M9" s="813"/>
      <c r="N9" s="813"/>
      <c r="O9" s="585"/>
      <c r="P9" s="585"/>
      <c r="AC9" s="493">
        <f>SUM(AC3:AC8)</f>
        <v>53</v>
      </c>
      <c r="AE9" s="8" t="s">
        <v>31</v>
      </c>
      <c r="AF9" s="483"/>
      <c r="AG9" s="484"/>
      <c r="AH9" s="486"/>
      <c r="AI9" s="485"/>
      <c r="AJ9" s="487">
        <f t="shared" si="4"/>
        <v>0</v>
      </c>
      <c r="AK9" s="488"/>
      <c r="AL9" s="489"/>
      <c r="AM9" s="490"/>
      <c r="AN9" s="490"/>
      <c r="AO9" s="491">
        <v>1</v>
      </c>
      <c r="AP9" s="492">
        <f t="shared" si="3"/>
        <v>1</v>
      </c>
      <c r="AQ9" s="492">
        <f t="shared" si="5"/>
        <v>0</v>
      </c>
    </row>
    <row r="10" spans="1:43" ht="15.8" customHeight="1" thickBot="1" x14ac:dyDescent="0.3">
      <c r="A10" s="588" t="s">
        <v>450</v>
      </c>
      <c r="B10" s="589"/>
      <c r="C10" s="818" t="s">
        <v>33</v>
      </c>
      <c r="D10" s="819"/>
      <c r="E10" s="819"/>
      <c r="F10" s="586"/>
      <c r="G10" s="591" t="s">
        <v>447</v>
      </c>
      <c r="H10" s="590"/>
      <c r="I10" s="586" t="s">
        <v>35</v>
      </c>
      <c r="J10" s="586"/>
      <c r="K10" s="586"/>
      <c r="L10" s="813" t="s">
        <v>456</v>
      </c>
      <c r="M10" s="813"/>
      <c r="N10" s="813"/>
      <c r="O10" s="585"/>
      <c r="P10" s="585"/>
      <c r="R10" s="586" t="s">
        <v>321</v>
      </c>
      <c r="S10" s="587"/>
      <c r="T10" s="587"/>
      <c r="U10" s="587"/>
      <c r="V10" s="587"/>
      <c r="W10" s="587"/>
      <c r="X10" s="587"/>
      <c r="Y10" s="587"/>
      <c r="Z10" s="587"/>
      <c r="AA10" s="587"/>
      <c r="AB10" s="587"/>
      <c r="AC10" s="587"/>
      <c r="AO10">
        <f>SUM(AO4:AO9)</f>
        <v>1</v>
      </c>
      <c r="AQ10" s="679">
        <f>SUM(AQ4:AQ9)</f>
        <v>4</v>
      </c>
    </row>
    <row r="11" spans="1:43" ht="15.8" customHeight="1" thickBot="1" x14ac:dyDescent="0.3">
      <c r="A11" s="588" t="s">
        <v>451</v>
      </c>
      <c r="B11" s="589"/>
      <c r="C11" s="818" t="s">
        <v>32</v>
      </c>
      <c r="D11" s="819"/>
      <c r="E11" s="819"/>
      <c r="F11" s="586"/>
      <c r="G11" s="591" t="s">
        <v>447</v>
      </c>
      <c r="H11" s="590"/>
      <c r="I11" s="586" t="s">
        <v>30</v>
      </c>
      <c r="J11" s="586"/>
      <c r="K11" s="586"/>
      <c r="L11" s="813" t="s">
        <v>455</v>
      </c>
      <c r="M11" s="813"/>
      <c r="N11" s="813"/>
      <c r="O11" s="585"/>
      <c r="P11" s="585"/>
      <c r="R11" s="480"/>
      <c r="S11" s="481" t="s">
        <v>271</v>
      </c>
      <c r="T11" s="599" t="s">
        <v>309</v>
      </c>
      <c r="U11" s="594" t="s">
        <v>310</v>
      </c>
      <c r="V11" s="594" t="s">
        <v>311</v>
      </c>
      <c r="W11" s="459" t="s">
        <v>312</v>
      </c>
      <c r="X11" s="595" t="s">
        <v>313</v>
      </c>
      <c r="Y11" s="595" t="s">
        <v>314</v>
      </c>
      <c r="Z11" s="596" t="s">
        <v>315</v>
      </c>
      <c r="AA11" s="596" t="s">
        <v>316</v>
      </c>
      <c r="AB11" s="597" t="s">
        <v>317</v>
      </c>
      <c r="AC11" s="598" t="s">
        <v>318</v>
      </c>
      <c r="AE11" s="586" t="s">
        <v>325</v>
      </c>
      <c r="AF11" s="587"/>
      <c r="AG11" s="587"/>
      <c r="AH11" s="587"/>
      <c r="AI11" s="587"/>
      <c r="AJ11" s="587"/>
      <c r="AK11" s="587"/>
      <c r="AL11" s="587"/>
      <c r="AM11" s="587"/>
      <c r="AN11" s="587"/>
      <c r="AO11" s="587"/>
      <c r="AP11" s="587"/>
      <c r="AQ11" s="680"/>
    </row>
    <row r="12" spans="1:43" ht="15.8" customHeight="1" thickBot="1" x14ac:dyDescent="0.3">
      <c r="A12" s="588" t="s">
        <v>451</v>
      </c>
      <c r="B12" s="589"/>
      <c r="C12" s="813" t="s">
        <v>34</v>
      </c>
      <c r="D12" s="813"/>
      <c r="E12" s="813"/>
      <c r="F12" s="586"/>
      <c r="G12" s="591" t="s">
        <v>447</v>
      </c>
      <c r="H12" s="590"/>
      <c r="I12" s="586" t="s">
        <v>33</v>
      </c>
      <c r="J12" s="586"/>
      <c r="K12" s="586"/>
      <c r="L12" s="813" t="s">
        <v>445</v>
      </c>
      <c r="M12" s="813"/>
      <c r="N12" s="813"/>
      <c r="O12" s="585"/>
      <c r="P12" s="585"/>
      <c r="R12" s="93" t="s">
        <v>30</v>
      </c>
      <c r="S12" s="483"/>
      <c r="T12" s="484"/>
      <c r="U12" s="486"/>
      <c r="V12" s="485">
        <v>1</v>
      </c>
      <c r="W12" s="487">
        <f t="shared" ref="W12:W17" si="6">SUM(S12:V12)</f>
        <v>1</v>
      </c>
      <c r="X12" s="488"/>
      <c r="Y12" s="489"/>
      <c r="Z12" s="490">
        <v>1</v>
      </c>
      <c r="AA12" s="491">
        <v>1</v>
      </c>
      <c r="AB12" s="492">
        <f t="shared" ref="AB12:AB17" si="7">SUM(X12:AA12)</f>
        <v>2</v>
      </c>
      <c r="AC12" s="600">
        <f>SUM(W12+AB12)</f>
        <v>3</v>
      </c>
      <c r="AE12" s="480"/>
      <c r="AF12" s="599" t="s">
        <v>271</v>
      </c>
      <c r="AG12" s="592" t="s">
        <v>309</v>
      </c>
      <c r="AH12" s="594" t="s">
        <v>310</v>
      </c>
      <c r="AI12" s="594" t="s">
        <v>311</v>
      </c>
      <c r="AJ12" s="459" t="s">
        <v>312</v>
      </c>
      <c r="AK12" s="524" t="s">
        <v>313</v>
      </c>
      <c r="AL12" s="595" t="s">
        <v>314</v>
      </c>
      <c r="AM12" s="596" t="s">
        <v>315</v>
      </c>
      <c r="AN12" s="824" t="s">
        <v>316</v>
      </c>
      <c r="AO12" s="825"/>
      <c r="AP12" s="442" t="s">
        <v>317</v>
      </c>
      <c r="AQ12" s="678" t="s">
        <v>459</v>
      </c>
    </row>
    <row r="13" spans="1:43" ht="15.8" customHeight="1" thickBot="1" x14ac:dyDescent="0.3">
      <c r="A13" s="588" t="s">
        <v>451</v>
      </c>
      <c r="B13" s="589"/>
      <c r="C13" s="818" t="s">
        <v>35</v>
      </c>
      <c r="D13" s="819"/>
      <c r="E13" s="819"/>
      <c r="F13" s="586"/>
      <c r="G13" s="591" t="s">
        <v>447</v>
      </c>
      <c r="H13" s="590"/>
      <c r="I13" s="586" t="s">
        <v>31</v>
      </c>
      <c r="J13" s="586"/>
      <c r="K13" s="586"/>
      <c r="L13" s="813" t="s">
        <v>457</v>
      </c>
      <c r="M13" s="813"/>
      <c r="N13" s="813"/>
      <c r="O13" s="585"/>
      <c r="P13" s="585"/>
      <c r="R13" s="34" t="s">
        <v>33</v>
      </c>
      <c r="S13" s="483"/>
      <c r="T13" s="484">
        <v>1</v>
      </c>
      <c r="U13" s="486"/>
      <c r="V13" s="485"/>
      <c r="W13" s="487">
        <f t="shared" si="6"/>
        <v>1</v>
      </c>
      <c r="X13" s="488"/>
      <c r="Y13" s="489"/>
      <c r="Z13" s="490"/>
      <c r="AA13" s="491">
        <v>1</v>
      </c>
      <c r="AB13" s="492">
        <f t="shared" si="7"/>
        <v>1</v>
      </c>
      <c r="AC13" s="600">
        <f t="shared" ref="AC13:AC17" si="8">SUM(W13+AB13)</f>
        <v>2</v>
      </c>
      <c r="AE13" s="494"/>
      <c r="AF13" s="495" t="s">
        <v>319</v>
      </c>
      <c r="AG13" s="495" t="s">
        <v>319</v>
      </c>
      <c r="AH13" s="496" t="s">
        <v>319</v>
      </c>
      <c r="AI13" s="496" t="s">
        <v>319</v>
      </c>
      <c r="AJ13" s="165" t="s">
        <v>53</v>
      </c>
      <c r="AK13" s="497" t="s">
        <v>319</v>
      </c>
      <c r="AL13" s="497" t="s">
        <v>319</v>
      </c>
      <c r="AM13" s="498" t="s">
        <v>319</v>
      </c>
      <c r="AN13" s="498" t="s">
        <v>319</v>
      </c>
      <c r="AO13" s="498" t="s">
        <v>320</v>
      </c>
      <c r="AP13" s="442"/>
      <c r="AQ13" s="442"/>
    </row>
    <row r="14" spans="1:43" ht="15.8" customHeight="1" thickBot="1" x14ac:dyDescent="0.3">
      <c r="A14" s="588" t="s">
        <v>129</v>
      </c>
      <c r="B14" s="589"/>
      <c r="C14" s="818" t="s">
        <v>31</v>
      </c>
      <c r="D14" s="819"/>
      <c r="E14" s="819"/>
      <c r="F14" s="586"/>
      <c r="G14" s="591" t="s">
        <v>447</v>
      </c>
      <c r="H14" s="590"/>
      <c r="I14" s="586" t="s">
        <v>32</v>
      </c>
      <c r="J14" s="586"/>
      <c r="K14" s="586"/>
      <c r="L14" s="813" t="s">
        <v>446</v>
      </c>
      <c r="M14" s="813"/>
      <c r="N14" s="813"/>
      <c r="O14" s="585"/>
      <c r="P14" s="585"/>
      <c r="R14" s="21" t="s">
        <v>35</v>
      </c>
      <c r="S14" s="483">
        <v>1</v>
      </c>
      <c r="T14" s="484">
        <v>2</v>
      </c>
      <c r="U14" s="486"/>
      <c r="V14" s="485">
        <v>2</v>
      </c>
      <c r="W14" s="487">
        <f t="shared" si="6"/>
        <v>5</v>
      </c>
      <c r="X14" s="488">
        <v>1</v>
      </c>
      <c r="Y14" s="489">
        <v>1</v>
      </c>
      <c r="Z14" s="490">
        <v>1</v>
      </c>
      <c r="AA14" s="491">
        <v>1</v>
      </c>
      <c r="AB14" s="492">
        <f t="shared" si="7"/>
        <v>4</v>
      </c>
      <c r="AC14" s="600">
        <f t="shared" si="8"/>
        <v>9</v>
      </c>
      <c r="AE14" s="93" t="s">
        <v>30</v>
      </c>
      <c r="AF14" s="483"/>
      <c r="AG14" s="484"/>
      <c r="AH14" s="486"/>
      <c r="AI14" s="485"/>
      <c r="AJ14" s="487">
        <f t="shared" ref="AJ14:AJ19" si="9">SUM(AE14:AI14)</f>
        <v>0</v>
      </c>
      <c r="AK14" s="488"/>
      <c r="AL14" s="489"/>
      <c r="AM14" s="490"/>
      <c r="AN14" s="490"/>
      <c r="AO14" s="491"/>
      <c r="AP14" s="492">
        <f t="shared" ref="AP14:AP19" si="10">SUM(AK14:AO14)</f>
        <v>0</v>
      </c>
      <c r="AQ14" s="492">
        <f t="shared" ref="AQ14:AQ19" si="11">SUM(AJ14:AN14)</f>
        <v>0</v>
      </c>
    </row>
    <row r="15" spans="1:43" ht="15.8" customHeight="1" thickBot="1" x14ac:dyDescent="0.3">
      <c r="A15" s="588" t="s">
        <v>129</v>
      </c>
      <c r="B15" s="589"/>
      <c r="C15" s="813" t="s">
        <v>35</v>
      </c>
      <c r="D15" s="813"/>
      <c r="E15" s="813"/>
      <c r="F15" s="586"/>
      <c r="G15" s="591" t="s">
        <v>447</v>
      </c>
      <c r="H15" s="590"/>
      <c r="I15" s="586" t="s">
        <v>34</v>
      </c>
      <c r="J15" s="586"/>
      <c r="K15" s="586"/>
      <c r="L15" s="813" t="s">
        <v>444</v>
      </c>
      <c r="M15" s="813"/>
      <c r="N15" s="813"/>
      <c r="O15" s="585"/>
      <c r="P15" s="585"/>
      <c r="R15" s="601" t="s">
        <v>32</v>
      </c>
      <c r="S15" s="483">
        <v>1</v>
      </c>
      <c r="T15" s="484">
        <v>2</v>
      </c>
      <c r="U15" s="486">
        <v>3</v>
      </c>
      <c r="V15" s="485">
        <v>2</v>
      </c>
      <c r="W15" s="487">
        <f t="shared" si="6"/>
        <v>8</v>
      </c>
      <c r="X15" s="488">
        <v>2</v>
      </c>
      <c r="Y15" s="489">
        <v>2</v>
      </c>
      <c r="Z15" s="490">
        <v>1</v>
      </c>
      <c r="AA15" s="491">
        <v>2</v>
      </c>
      <c r="AB15" s="492">
        <f t="shared" si="7"/>
        <v>7</v>
      </c>
      <c r="AC15" s="600">
        <f t="shared" si="8"/>
        <v>15</v>
      </c>
      <c r="AE15" s="34" t="s">
        <v>33</v>
      </c>
      <c r="AF15" s="483"/>
      <c r="AG15" s="484"/>
      <c r="AH15" s="486"/>
      <c r="AI15" s="485"/>
      <c r="AJ15" s="487">
        <f t="shared" si="9"/>
        <v>0</v>
      </c>
      <c r="AK15" s="488"/>
      <c r="AL15" s="489"/>
      <c r="AM15" s="490"/>
      <c r="AN15" s="490"/>
      <c r="AO15" s="491"/>
      <c r="AP15" s="492">
        <f t="shared" si="10"/>
        <v>0</v>
      </c>
      <c r="AQ15" s="492">
        <f t="shared" si="11"/>
        <v>0</v>
      </c>
    </row>
    <row r="16" spans="1:43" ht="15.8" customHeight="1" thickBot="1" x14ac:dyDescent="0.3">
      <c r="A16" s="588" t="s">
        <v>129</v>
      </c>
      <c r="B16" s="589"/>
      <c r="C16" s="818" t="s">
        <v>33</v>
      </c>
      <c r="D16" s="819"/>
      <c r="E16" s="819"/>
      <c r="F16" s="586"/>
      <c r="G16" s="591" t="s">
        <v>447</v>
      </c>
      <c r="H16" s="590"/>
      <c r="I16" s="586" t="s">
        <v>30</v>
      </c>
      <c r="J16" s="586"/>
      <c r="K16" s="586"/>
      <c r="L16" s="818" t="s">
        <v>458</v>
      </c>
      <c r="M16" s="818"/>
      <c r="N16" s="818"/>
      <c r="O16" s="585"/>
      <c r="P16" s="585"/>
      <c r="R16" s="34" t="s">
        <v>34</v>
      </c>
      <c r="S16" s="483">
        <v>1</v>
      </c>
      <c r="T16" s="484">
        <v>3</v>
      </c>
      <c r="U16" s="486">
        <v>1</v>
      </c>
      <c r="V16" s="485">
        <v>2</v>
      </c>
      <c r="W16" s="487">
        <f t="shared" si="6"/>
        <v>7</v>
      </c>
      <c r="X16" s="488">
        <v>1</v>
      </c>
      <c r="Y16" s="489">
        <v>2</v>
      </c>
      <c r="Z16" s="490">
        <v>1</v>
      </c>
      <c r="AA16" s="491">
        <v>4</v>
      </c>
      <c r="AB16" s="492">
        <f t="shared" si="7"/>
        <v>8</v>
      </c>
      <c r="AC16" s="600">
        <f t="shared" si="8"/>
        <v>15</v>
      </c>
      <c r="AE16" s="21" t="s">
        <v>35</v>
      </c>
      <c r="AF16" s="483"/>
      <c r="AG16" s="484"/>
      <c r="AH16" s="486"/>
      <c r="AI16" s="485"/>
      <c r="AJ16" s="487">
        <f t="shared" si="9"/>
        <v>0</v>
      </c>
      <c r="AK16" s="488"/>
      <c r="AL16" s="489">
        <v>1</v>
      </c>
      <c r="AM16" s="490"/>
      <c r="AN16" s="490"/>
      <c r="AO16" s="491"/>
      <c r="AP16" s="492">
        <f t="shared" si="10"/>
        <v>1</v>
      </c>
      <c r="AQ16" s="492">
        <f t="shared" si="11"/>
        <v>1</v>
      </c>
    </row>
    <row r="17" spans="1:43" ht="15.8" customHeight="1" thickBot="1" x14ac:dyDescent="0.3">
      <c r="R17" s="8" t="s">
        <v>31</v>
      </c>
      <c r="S17" s="483">
        <v>1</v>
      </c>
      <c r="T17" s="484"/>
      <c r="U17" s="486">
        <v>1</v>
      </c>
      <c r="V17" s="485"/>
      <c r="W17" s="487">
        <f t="shared" si="6"/>
        <v>2</v>
      </c>
      <c r="X17" s="488">
        <v>1</v>
      </c>
      <c r="Y17" s="489">
        <v>3</v>
      </c>
      <c r="Z17" s="490">
        <v>2</v>
      </c>
      <c r="AA17" s="491">
        <v>1</v>
      </c>
      <c r="AB17" s="602">
        <f t="shared" si="7"/>
        <v>7</v>
      </c>
      <c r="AC17" s="603">
        <f t="shared" si="8"/>
        <v>9</v>
      </c>
      <c r="AE17" s="601" t="s">
        <v>32</v>
      </c>
      <c r="AF17" s="483"/>
      <c r="AG17" s="484"/>
      <c r="AH17" s="486"/>
      <c r="AI17" s="485"/>
      <c r="AJ17" s="487">
        <f t="shared" si="9"/>
        <v>0</v>
      </c>
      <c r="AK17" s="488"/>
      <c r="AL17" s="489">
        <v>1</v>
      </c>
      <c r="AM17" s="490"/>
      <c r="AN17" s="490"/>
      <c r="AO17" s="491"/>
      <c r="AP17" s="492">
        <f t="shared" si="10"/>
        <v>1</v>
      </c>
      <c r="AQ17" s="492">
        <f t="shared" si="11"/>
        <v>1</v>
      </c>
    </row>
    <row r="18" spans="1:43" ht="15.8" customHeight="1" thickBot="1" x14ac:dyDescent="0.3">
      <c r="A18" s="94" t="s">
        <v>42</v>
      </c>
      <c r="B18" s="95" t="s">
        <v>43</v>
      </c>
      <c r="C18" s="49"/>
      <c r="D18" s="49" t="s">
        <v>0</v>
      </c>
      <c r="E18" s="50" t="s">
        <v>1</v>
      </c>
      <c r="F18" s="49" t="s">
        <v>2</v>
      </c>
      <c r="G18" s="49" t="s">
        <v>3</v>
      </c>
      <c r="H18" s="49" t="s">
        <v>4</v>
      </c>
      <c r="I18" s="49" t="s">
        <v>5</v>
      </c>
      <c r="J18" s="50" t="s">
        <v>44</v>
      </c>
      <c r="K18" s="49" t="s">
        <v>21</v>
      </c>
      <c r="L18" s="49" t="s">
        <v>22</v>
      </c>
      <c r="M18" s="49" t="s">
        <v>59</v>
      </c>
      <c r="N18" s="49" t="s">
        <v>47</v>
      </c>
      <c r="O18" s="49" t="s">
        <v>48</v>
      </c>
      <c r="P18" s="50" t="s">
        <v>45</v>
      </c>
      <c r="R18" s="470"/>
      <c r="AC18" s="493">
        <f>SUM(AC12:AC17)</f>
        <v>53</v>
      </c>
      <c r="AE18" s="34" t="s">
        <v>34</v>
      </c>
      <c r="AF18" s="483"/>
      <c r="AG18" s="484"/>
      <c r="AH18" s="486"/>
      <c r="AI18" s="485">
        <v>1</v>
      </c>
      <c r="AJ18" s="487">
        <f t="shared" si="9"/>
        <v>1</v>
      </c>
      <c r="AK18" s="488"/>
      <c r="AL18" s="489"/>
      <c r="AM18" s="490"/>
      <c r="AN18" s="490"/>
      <c r="AO18" s="491">
        <v>1</v>
      </c>
      <c r="AP18" s="492">
        <f t="shared" si="10"/>
        <v>1</v>
      </c>
      <c r="AQ18" s="492">
        <f t="shared" si="11"/>
        <v>1</v>
      </c>
    </row>
    <row r="19" spans="1:43" ht="15.8" customHeight="1" thickBot="1" x14ac:dyDescent="0.3">
      <c r="A19" s="132">
        <v>1</v>
      </c>
      <c r="B19" s="149" t="s">
        <v>613</v>
      </c>
      <c r="C19" s="92" t="s">
        <v>30</v>
      </c>
      <c r="D19" s="638">
        <f>Englandplayed</f>
        <v>2</v>
      </c>
      <c r="E19" s="639">
        <f>Englandwon</f>
        <v>2</v>
      </c>
      <c r="F19" s="638">
        <f>Englanddrawn</f>
        <v>0</v>
      </c>
      <c r="G19" s="638">
        <f>Englandlost</f>
        <v>0</v>
      </c>
      <c r="H19" s="638">
        <f>Englandptsscored</f>
        <v>117</v>
      </c>
      <c r="I19" s="638">
        <f>Englandptsagainst</f>
        <v>19</v>
      </c>
      <c r="J19" s="210">
        <f t="shared" ref="J19:J24" si="12">SUM(H19-I19)</f>
        <v>98</v>
      </c>
      <c r="K19" s="637">
        <f>Englandtrybonus</f>
        <v>2</v>
      </c>
      <c r="L19" s="637">
        <f>Englandlosingbonus</f>
        <v>0</v>
      </c>
      <c r="M19" s="637">
        <v>0</v>
      </c>
      <c r="N19" s="638">
        <f>Englandtriesscored</f>
        <v>17</v>
      </c>
      <c r="O19" s="638">
        <f>Englandtriesagainst</f>
        <v>3</v>
      </c>
      <c r="P19" s="210">
        <f t="shared" ref="P19:P24" si="13">SUM(E19*4)+(F19*2)+K19+L19+M19</f>
        <v>10</v>
      </c>
      <c r="R19" s="586" t="s">
        <v>326</v>
      </c>
      <c r="S19" s="587"/>
      <c r="T19" s="587"/>
      <c r="U19" s="587"/>
      <c r="V19" s="587"/>
      <c r="W19" s="587"/>
      <c r="X19" s="587"/>
      <c r="Y19" s="587"/>
      <c r="Z19" s="586"/>
      <c r="AA19" s="587"/>
      <c r="AB19" s="587"/>
      <c r="AC19" s="13"/>
      <c r="AE19" s="8" t="s">
        <v>31</v>
      </c>
      <c r="AF19" s="483"/>
      <c r="AG19" s="484"/>
      <c r="AH19" s="486"/>
      <c r="AI19" s="485"/>
      <c r="AJ19" s="487">
        <f t="shared" si="9"/>
        <v>0</v>
      </c>
      <c r="AK19" s="488"/>
      <c r="AL19" s="489">
        <v>1</v>
      </c>
      <c r="AM19" s="490"/>
      <c r="AN19" s="490"/>
      <c r="AO19" s="491"/>
      <c r="AP19" s="492">
        <f t="shared" si="10"/>
        <v>1</v>
      </c>
      <c r="AQ19" s="492">
        <f t="shared" si="11"/>
        <v>1</v>
      </c>
    </row>
    <row r="20" spans="1:43" ht="15.8" customHeight="1" thickBot="1" x14ac:dyDescent="0.3">
      <c r="A20" s="96">
        <v>2</v>
      </c>
      <c r="B20" s="149" t="s">
        <v>615</v>
      </c>
      <c r="C20" s="201" t="s">
        <v>33</v>
      </c>
      <c r="D20" s="637">
        <f>Franceplayed</f>
        <v>2</v>
      </c>
      <c r="E20" s="210">
        <f>Francewon</f>
        <v>2</v>
      </c>
      <c r="F20" s="637">
        <f>Francedrawn</f>
        <v>0</v>
      </c>
      <c r="G20" s="637">
        <f>Francelost</f>
        <v>0</v>
      </c>
      <c r="H20" s="637">
        <f>Franceptsscored</f>
        <v>78</v>
      </c>
      <c r="I20" s="637">
        <f>Franceptsagainst</f>
        <v>14</v>
      </c>
      <c r="J20" s="210">
        <f t="shared" si="12"/>
        <v>64</v>
      </c>
      <c r="K20" s="637">
        <f>Francetrybonus</f>
        <v>2</v>
      </c>
      <c r="L20" s="637">
        <f>Francelosingbonus</f>
        <v>0</v>
      </c>
      <c r="M20" s="637">
        <v>0</v>
      </c>
      <c r="N20" s="637">
        <f>Francetriesscored</f>
        <v>12</v>
      </c>
      <c r="O20" s="637">
        <f>Francetriesagainst</f>
        <v>2</v>
      </c>
      <c r="P20" s="210">
        <f t="shared" si="13"/>
        <v>10</v>
      </c>
      <c r="R20" s="480"/>
      <c r="S20" s="502" t="s">
        <v>313</v>
      </c>
      <c r="T20" s="502" t="s">
        <v>314</v>
      </c>
      <c r="U20" s="503" t="s">
        <v>315</v>
      </c>
      <c r="V20" s="503" t="s">
        <v>316</v>
      </c>
      <c r="W20" s="504" t="s">
        <v>327</v>
      </c>
      <c r="X20" s="505"/>
      <c r="Y20" s="506"/>
      <c r="AE20" s="470"/>
      <c r="AO20">
        <f>SUM(AO14:AO19)</f>
        <v>1</v>
      </c>
      <c r="AQ20" s="493">
        <f>SUM(AQ14:AQ19)</f>
        <v>4</v>
      </c>
    </row>
    <row r="21" spans="1:43" ht="15.8" customHeight="1" thickBot="1" x14ac:dyDescent="0.3">
      <c r="A21" s="96">
        <v>3</v>
      </c>
      <c r="B21" s="149" t="s">
        <v>614</v>
      </c>
      <c r="C21" s="55" t="s">
        <v>35</v>
      </c>
      <c r="D21" s="637">
        <f>Irelandplayed</f>
        <v>2</v>
      </c>
      <c r="E21" s="210">
        <f>Irelandwon</f>
        <v>1</v>
      </c>
      <c r="F21" s="637">
        <f>Irelanddrawn</f>
        <v>0</v>
      </c>
      <c r="G21" s="637">
        <f>Irelandlost</f>
        <v>1</v>
      </c>
      <c r="H21" s="637">
        <f>Irelandptsscored</f>
        <v>69</v>
      </c>
      <c r="I21" s="637">
        <f>Irelandptsagainst</f>
        <v>53</v>
      </c>
      <c r="J21" s="210">
        <f t="shared" si="12"/>
        <v>16</v>
      </c>
      <c r="K21" s="637">
        <f>Irelandtrybonus</f>
        <v>1</v>
      </c>
      <c r="L21" s="637">
        <f>Irelandlosingbonus</f>
        <v>0</v>
      </c>
      <c r="M21" s="637">
        <v>0</v>
      </c>
      <c r="N21" s="637">
        <f>Irelandtriesscored</f>
        <v>11</v>
      </c>
      <c r="O21" s="637">
        <f>Irelandtriesagainst</f>
        <v>9</v>
      </c>
      <c r="P21" s="210">
        <f t="shared" si="13"/>
        <v>5</v>
      </c>
      <c r="R21" s="93" t="s">
        <v>30</v>
      </c>
      <c r="S21" s="483"/>
      <c r="T21" s="484"/>
      <c r="U21" s="486"/>
      <c r="V21" s="485"/>
      <c r="W21" s="507">
        <f>SUM(S21:V21)</f>
        <v>0</v>
      </c>
      <c r="X21" s="52"/>
      <c r="Y21" s="508"/>
      <c r="AE21" s="586" t="s">
        <v>460</v>
      </c>
      <c r="AF21" s="587"/>
      <c r="AG21" s="587"/>
      <c r="AH21" s="587"/>
      <c r="AI21" s="13"/>
      <c r="AJ21" s="13"/>
      <c r="AK21" s="586" t="s">
        <v>461</v>
      </c>
      <c r="AL21" s="587"/>
      <c r="AM21" s="587"/>
      <c r="AN21" s="587"/>
      <c r="AO21" s="13"/>
      <c r="AP21" s="13"/>
    </row>
    <row r="22" spans="1:43" ht="15.8" customHeight="1" thickBot="1" x14ac:dyDescent="0.3">
      <c r="A22" s="96">
        <v>4</v>
      </c>
      <c r="B22" s="149" t="s">
        <v>615</v>
      </c>
      <c r="C22" s="201" t="s">
        <v>34</v>
      </c>
      <c r="D22" s="637">
        <f>Scotlandplayed</f>
        <v>2</v>
      </c>
      <c r="E22" s="210">
        <f>Scotlandwon</f>
        <v>1</v>
      </c>
      <c r="F22" s="637">
        <f>Scotlanddrawn</f>
        <v>0</v>
      </c>
      <c r="G22" s="637">
        <f>Scotlandlost</f>
        <v>1</v>
      </c>
      <c r="H22" s="637">
        <f>Scotlandptsscored</f>
        <v>31</v>
      </c>
      <c r="I22" s="637">
        <f>Scotlandptsagainst</f>
        <v>103</v>
      </c>
      <c r="J22" s="210">
        <f t="shared" si="12"/>
        <v>-72</v>
      </c>
      <c r="K22" s="637">
        <f>Scotlandtrybonus</f>
        <v>0</v>
      </c>
      <c r="L22" s="637">
        <f>Scotlandlosingbonus</f>
        <v>0</v>
      </c>
      <c r="M22" s="637">
        <v>0</v>
      </c>
      <c r="N22" s="637">
        <f>Scotlandtriesscored</f>
        <v>4</v>
      </c>
      <c r="O22" s="637">
        <f>Scotlandtriesagainst</f>
        <v>15</v>
      </c>
      <c r="P22" s="210">
        <f t="shared" si="13"/>
        <v>4</v>
      </c>
      <c r="R22" s="34" t="s">
        <v>33</v>
      </c>
      <c r="S22" s="483"/>
      <c r="T22" s="484"/>
      <c r="U22" s="486"/>
      <c r="V22" s="485"/>
      <c r="W22" s="507">
        <f t="shared" ref="W22:W26" si="14">SUM(S22:V22)</f>
        <v>0</v>
      </c>
      <c r="X22" s="52"/>
      <c r="Y22" s="508"/>
      <c r="AE22" s="97" t="s">
        <v>30</v>
      </c>
      <c r="AF22" s="509"/>
      <c r="AK22" s="468" t="s">
        <v>616</v>
      </c>
      <c r="AL22" s="466"/>
      <c r="AM22" s="13" t="s">
        <v>617</v>
      </c>
      <c r="AN22" s="13"/>
      <c r="AO22" s="174"/>
      <c r="AP22" s="174"/>
    </row>
    <row r="23" spans="1:43" ht="15.8" customHeight="1" thickBot="1" x14ac:dyDescent="0.3">
      <c r="A23" s="96">
        <v>5</v>
      </c>
      <c r="B23" s="149" t="s">
        <v>615</v>
      </c>
      <c r="C23" s="54" t="s">
        <v>31</v>
      </c>
      <c r="D23" s="637">
        <f>Walesplayed</f>
        <v>2</v>
      </c>
      <c r="E23" s="210">
        <f>Waleswon</f>
        <v>0</v>
      </c>
      <c r="F23" s="637">
        <f>Walesdrawn</f>
        <v>0</v>
      </c>
      <c r="G23" s="637">
        <f>Waleslost</f>
        <v>2</v>
      </c>
      <c r="H23" s="637">
        <f>Walesptsscored</f>
        <v>26</v>
      </c>
      <c r="I23" s="637">
        <f>Walesptsagainst</f>
        <v>62</v>
      </c>
      <c r="J23" s="210">
        <f t="shared" si="12"/>
        <v>-36</v>
      </c>
      <c r="K23" s="637">
        <f>Walestrybonus</f>
        <v>0</v>
      </c>
      <c r="L23" s="637">
        <f>Waleslosingbonus</f>
        <v>1</v>
      </c>
      <c r="M23" s="637">
        <v>0</v>
      </c>
      <c r="N23" s="637">
        <f>Walestriesscored</f>
        <v>4</v>
      </c>
      <c r="O23" s="637">
        <f>Walestriesagainst</f>
        <v>9</v>
      </c>
      <c r="P23" s="210">
        <f t="shared" si="13"/>
        <v>1</v>
      </c>
      <c r="R23" s="21" t="s">
        <v>35</v>
      </c>
      <c r="S23" s="483"/>
      <c r="T23" s="484"/>
      <c r="U23" s="486"/>
      <c r="V23" s="485"/>
      <c r="W23" s="507">
        <f t="shared" si="14"/>
        <v>0</v>
      </c>
      <c r="X23" s="52"/>
      <c r="Y23" s="508"/>
      <c r="AE23" s="34" t="s">
        <v>33</v>
      </c>
      <c r="AF23" s="510"/>
      <c r="AK23" s="468" t="s">
        <v>594</v>
      </c>
      <c r="AL23" s="466"/>
      <c r="AM23" s="13" t="s">
        <v>618</v>
      </c>
      <c r="AN23" s="13"/>
      <c r="AO23" s="174"/>
      <c r="AP23" s="174"/>
    </row>
    <row r="24" spans="1:43" ht="15.8" customHeight="1" thickBot="1" x14ac:dyDescent="0.3">
      <c r="A24" s="96">
        <v>6</v>
      </c>
      <c r="B24" s="114" t="s">
        <v>46</v>
      </c>
      <c r="C24" s="682" t="s">
        <v>32</v>
      </c>
      <c r="D24" s="637">
        <f>Italyplayed</f>
        <v>2</v>
      </c>
      <c r="E24" s="210">
        <f>Italywon</f>
        <v>0</v>
      </c>
      <c r="F24" s="637">
        <f>Italydrawn</f>
        <v>0</v>
      </c>
      <c r="G24" s="637">
        <f>Italylost</f>
        <v>2</v>
      </c>
      <c r="H24" s="637">
        <f>Italyptsscored</f>
        <v>27</v>
      </c>
      <c r="I24" s="637">
        <f>Italyptsagainst</f>
        <v>97</v>
      </c>
      <c r="J24" s="210">
        <f t="shared" si="12"/>
        <v>-70</v>
      </c>
      <c r="K24" s="637">
        <f>Italytrybonus</f>
        <v>1</v>
      </c>
      <c r="L24" s="637">
        <f>Italylosingbonus</f>
        <v>0</v>
      </c>
      <c r="M24" s="637">
        <v>0</v>
      </c>
      <c r="N24" s="637">
        <f>Italytriesscored</f>
        <v>5</v>
      </c>
      <c r="O24" s="637">
        <f>Italytriesagainst</f>
        <v>15</v>
      </c>
      <c r="P24" s="210">
        <f t="shared" si="13"/>
        <v>1</v>
      </c>
      <c r="R24" s="601" t="s">
        <v>32</v>
      </c>
      <c r="S24" s="483"/>
      <c r="T24" s="484"/>
      <c r="U24" s="486"/>
      <c r="V24" s="485"/>
      <c r="W24" s="507">
        <f t="shared" si="14"/>
        <v>0</v>
      </c>
      <c r="X24" s="52"/>
      <c r="Y24" s="508"/>
      <c r="AE24" s="21" t="s">
        <v>35</v>
      </c>
      <c r="AF24" s="510"/>
      <c r="AK24" s="604"/>
      <c r="AL24" s="605" t="s">
        <v>462</v>
      </c>
      <c r="AM24" s="515"/>
      <c r="AN24" s="515"/>
      <c r="AO24" s="174"/>
      <c r="AP24" s="174"/>
    </row>
    <row r="25" spans="1:43" ht="15.8" customHeight="1" thickBot="1" x14ac:dyDescent="0.3">
      <c r="A25" s="51"/>
      <c r="B25" s="52"/>
      <c r="C25" s="56"/>
      <c r="D25" s="53"/>
      <c r="E25" s="53"/>
      <c r="F25" s="53"/>
      <c r="G25" s="53"/>
      <c r="H25" s="633">
        <f>SUM(H19:H24)</f>
        <v>348</v>
      </c>
      <c r="I25" s="633">
        <f>SUM(I19:I24)</f>
        <v>348</v>
      </c>
      <c r="J25" s="633"/>
      <c r="K25" s="633">
        <f t="shared" ref="K25:L25" si="15">SUM(K19:K24)</f>
        <v>6</v>
      </c>
      <c r="L25" s="633">
        <f t="shared" si="15"/>
        <v>1</v>
      </c>
      <c r="M25" s="633"/>
      <c r="N25" s="633">
        <f t="shared" ref="N25:P25" si="16">SUM(N19:N24)</f>
        <v>53</v>
      </c>
      <c r="O25" s="633">
        <f t="shared" si="16"/>
        <v>53</v>
      </c>
      <c r="P25" s="633">
        <f t="shared" si="16"/>
        <v>31</v>
      </c>
      <c r="R25" s="34" t="s">
        <v>34</v>
      </c>
      <c r="S25" s="483"/>
      <c r="T25" s="484"/>
      <c r="U25" s="486"/>
      <c r="V25" s="485"/>
      <c r="W25" s="507">
        <f t="shared" si="14"/>
        <v>0</v>
      </c>
      <c r="X25" s="52"/>
      <c r="Y25" s="508"/>
      <c r="AE25" s="601" t="s">
        <v>32</v>
      </c>
      <c r="AF25" s="510"/>
      <c r="AK25" s="468" t="s">
        <v>543</v>
      </c>
      <c r="AL25" s="466"/>
      <c r="AM25" s="13" t="s">
        <v>544</v>
      </c>
      <c r="AN25" s="13"/>
      <c r="AO25" s="174"/>
      <c r="AP25" s="13"/>
    </row>
    <row r="26" spans="1:43" ht="15.8" customHeight="1" thickBot="1" x14ac:dyDescent="0.3">
      <c r="A26" t="s">
        <v>60</v>
      </c>
      <c r="R26" s="8" t="s">
        <v>31</v>
      </c>
      <c r="S26" s="483"/>
      <c r="T26" s="484">
        <v>1</v>
      </c>
      <c r="U26" s="486"/>
      <c r="V26" s="485"/>
      <c r="W26" s="507">
        <f t="shared" si="14"/>
        <v>1</v>
      </c>
      <c r="X26" s="52"/>
      <c r="Y26" s="508"/>
      <c r="AE26" s="34" t="s">
        <v>34</v>
      </c>
      <c r="AF26" s="510"/>
      <c r="AK26" s="468" t="s">
        <v>606</v>
      </c>
      <c r="AL26" s="466"/>
      <c r="AM26" s="13" t="s">
        <v>607</v>
      </c>
      <c r="AN26" s="13"/>
      <c r="AO26" s="174"/>
      <c r="AP26" s="13"/>
    </row>
    <row r="27" spans="1:43" ht="15.8" customHeight="1" thickBot="1" x14ac:dyDescent="0.3">
      <c r="A27" t="s">
        <v>477</v>
      </c>
      <c r="R27" s="470"/>
      <c r="AE27" s="8" t="s">
        <v>31</v>
      </c>
      <c r="AF27" s="510"/>
      <c r="AK27" s="468" t="s">
        <v>534</v>
      </c>
      <c r="AL27" s="466"/>
      <c r="AM27" s="13" t="s">
        <v>536</v>
      </c>
      <c r="AN27" s="13"/>
      <c r="AO27" s="174"/>
      <c r="AP27" s="13"/>
    </row>
    <row r="28" spans="1:43" ht="15.8" customHeight="1" thickBot="1" x14ac:dyDescent="0.3">
      <c r="A28" s="583" t="s">
        <v>53</v>
      </c>
      <c r="B28" s="629"/>
      <c r="C28" s="812" t="s">
        <v>478</v>
      </c>
      <c r="D28" s="812"/>
      <c r="E28" s="812"/>
      <c r="F28" s="812"/>
      <c r="G28" s="812"/>
      <c r="H28" s="812"/>
      <c r="I28" s="630"/>
      <c r="J28" s="306"/>
      <c r="R28" s="586" t="s">
        <v>463</v>
      </c>
      <c r="S28" s="587"/>
      <c r="T28" s="587"/>
      <c r="U28" s="587"/>
      <c r="V28" s="587"/>
      <c r="W28" s="587"/>
      <c r="X28" s="587"/>
      <c r="Y28" s="587"/>
      <c r="Z28" s="587"/>
      <c r="AA28" s="587"/>
      <c r="AE28" s="470"/>
      <c r="AK28" s="468" t="s">
        <v>619</v>
      </c>
      <c r="AL28" s="466"/>
      <c r="AM28" s="13" t="s">
        <v>620</v>
      </c>
      <c r="AN28" s="13"/>
      <c r="AO28" s="13"/>
      <c r="AP28" s="13"/>
    </row>
    <row r="29" spans="1:43" ht="15.8" customHeight="1" thickBot="1" x14ac:dyDescent="0.3">
      <c r="A29" s="333" t="s">
        <v>479</v>
      </c>
      <c r="B29" s="631" t="s">
        <v>322</v>
      </c>
      <c r="C29" s="631" t="s">
        <v>480</v>
      </c>
      <c r="D29" s="632" t="s">
        <v>481</v>
      </c>
      <c r="E29" s="631" t="s">
        <v>482</v>
      </c>
      <c r="F29" s="631" t="s">
        <v>483</v>
      </c>
      <c r="G29" s="631" t="s">
        <v>484</v>
      </c>
      <c r="H29" s="467" t="s">
        <v>485</v>
      </c>
      <c r="I29" s="467" t="s">
        <v>21</v>
      </c>
      <c r="J29" s="629" t="s">
        <v>324</v>
      </c>
      <c r="R29" s="480"/>
      <c r="S29" s="826" t="s">
        <v>56</v>
      </c>
      <c r="T29" s="827"/>
      <c r="U29" s="828"/>
      <c r="V29" s="829" t="s">
        <v>57</v>
      </c>
      <c r="W29" s="827"/>
      <c r="X29" s="828"/>
      <c r="Y29" s="830" t="s">
        <v>52</v>
      </c>
      <c r="Z29" s="831"/>
      <c r="AA29" s="832"/>
      <c r="AE29" s="586" t="s">
        <v>464</v>
      </c>
      <c r="AF29" s="587"/>
      <c r="AG29" s="587"/>
      <c r="AH29" s="587"/>
      <c r="AI29" s="587"/>
      <c r="AK29" s="468"/>
      <c r="AL29" s="466"/>
      <c r="AM29" s="13"/>
      <c r="AN29" s="13"/>
      <c r="AO29" s="13"/>
      <c r="AP29" s="13"/>
    </row>
    <row r="30" spans="1:43" ht="15.8" customHeight="1" thickBot="1" x14ac:dyDescent="0.3">
      <c r="A30" s="303">
        <v>1</v>
      </c>
      <c r="B30" s="631">
        <f>SUM(E30+H30)</f>
        <v>20</v>
      </c>
      <c r="C30" s="471">
        <v>5</v>
      </c>
      <c r="D30" s="174">
        <v>2</v>
      </c>
      <c r="E30" s="467">
        <f>SUM(C30+D30)</f>
        <v>7</v>
      </c>
      <c r="F30" s="471">
        <v>5</v>
      </c>
      <c r="G30" s="471">
        <v>8</v>
      </c>
      <c r="H30" s="467">
        <f>SUM(F30+G30)</f>
        <v>13</v>
      </c>
      <c r="I30" s="471">
        <v>2</v>
      </c>
      <c r="J30" s="633">
        <v>0</v>
      </c>
      <c r="R30" s="494"/>
      <c r="S30" s="607" t="s">
        <v>465</v>
      </c>
      <c r="T30" s="607" t="s">
        <v>45</v>
      </c>
      <c r="U30" s="607" t="s">
        <v>466</v>
      </c>
      <c r="V30" s="608" t="s">
        <v>465</v>
      </c>
      <c r="W30" s="608" t="s">
        <v>45</v>
      </c>
      <c r="X30" s="608" t="s">
        <v>466</v>
      </c>
      <c r="Y30" s="609" t="s">
        <v>465</v>
      </c>
      <c r="Z30" s="609" t="s">
        <v>45</v>
      </c>
      <c r="AA30" s="610" t="s">
        <v>466</v>
      </c>
      <c r="AE30" s="306" t="s">
        <v>621</v>
      </c>
      <c r="AF30" s="174" t="s">
        <v>622</v>
      </c>
      <c r="AG30" s="174"/>
      <c r="AH30" s="174"/>
      <c r="AI30" s="174"/>
      <c r="AJ30" s="13"/>
      <c r="AK30" s="606"/>
      <c r="AL30" s="306"/>
      <c r="AM30" s="174"/>
      <c r="AN30" s="174"/>
      <c r="AO30" s="13"/>
      <c r="AP30" s="13"/>
    </row>
    <row r="31" spans="1:43" ht="15.8" customHeight="1" thickBot="1" x14ac:dyDescent="0.3">
      <c r="A31" s="69">
        <v>2</v>
      </c>
      <c r="B31" s="467">
        <f>SUM(E31+H31)</f>
        <v>33</v>
      </c>
      <c r="C31" s="471">
        <v>7</v>
      </c>
      <c r="D31" s="13">
        <v>10</v>
      </c>
      <c r="E31" s="467">
        <f>SUM(C31+D31)</f>
        <v>17</v>
      </c>
      <c r="F31" s="471">
        <v>8</v>
      </c>
      <c r="G31" s="471">
        <v>8</v>
      </c>
      <c r="H31" s="467">
        <f>SUM(F31+G31)</f>
        <v>16</v>
      </c>
      <c r="I31" s="471">
        <v>4</v>
      </c>
      <c r="J31" s="633">
        <v>0</v>
      </c>
      <c r="R31" s="93" t="s">
        <v>30</v>
      </c>
      <c r="S31" s="483">
        <v>5</v>
      </c>
      <c r="T31" s="484">
        <v>33</v>
      </c>
      <c r="U31" s="484">
        <v>5</v>
      </c>
      <c r="V31" s="486">
        <v>12</v>
      </c>
      <c r="W31" s="485">
        <v>84</v>
      </c>
      <c r="X31" s="485">
        <v>5</v>
      </c>
      <c r="Y31" s="611">
        <f t="shared" ref="Y31:AA36" si="17">SUM(S31+V31)</f>
        <v>17</v>
      </c>
      <c r="Z31" s="487">
        <f t="shared" si="17"/>
        <v>117</v>
      </c>
      <c r="AA31" s="612">
        <f t="shared" si="17"/>
        <v>10</v>
      </c>
      <c r="AE31" s="306" t="s">
        <v>542</v>
      </c>
      <c r="AF31" s="174" t="s">
        <v>553</v>
      </c>
      <c r="AG31" s="174"/>
      <c r="AH31" s="174"/>
      <c r="AI31" s="174"/>
      <c r="AJ31" s="174"/>
      <c r="AK31" s="468"/>
      <c r="AL31" s="466"/>
      <c r="AM31" s="13"/>
      <c r="AN31" s="13"/>
    </row>
    <row r="32" spans="1:43" ht="15.8" customHeight="1" thickBot="1" x14ac:dyDescent="0.3">
      <c r="A32" s="69">
        <v>3</v>
      </c>
      <c r="B32" s="631">
        <f>SUM(E32+H32)</f>
        <v>0</v>
      </c>
      <c r="C32" s="501"/>
      <c r="D32" s="174"/>
      <c r="E32" s="631">
        <f>SUM(C32+D32)</f>
        <v>0</v>
      </c>
      <c r="F32" s="501"/>
      <c r="G32" s="501"/>
      <c r="H32" s="631">
        <f>SUM(F32+G32)</f>
        <v>0</v>
      </c>
      <c r="I32" s="501"/>
      <c r="J32" s="633"/>
      <c r="R32" s="34" t="s">
        <v>33</v>
      </c>
      <c r="S32" s="483">
        <v>6</v>
      </c>
      <c r="T32" s="484">
        <v>40</v>
      </c>
      <c r="U32" s="484">
        <v>5</v>
      </c>
      <c r="V32" s="486">
        <v>6</v>
      </c>
      <c r="W32" s="485">
        <v>38</v>
      </c>
      <c r="X32" s="485">
        <v>5</v>
      </c>
      <c r="Y32" s="611">
        <f t="shared" si="17"/>
        <v>12</v>
      </c>
      <c r="Z32" s="487">
        <f t="shared" si="17"/>
        <v>78</v>
      </c>
      <c r="AA32" s="613">
        <f t="shared" si="17"/>
        <v>10</v>
      </c>
      <c r="AE32" s="306" t="s">
        <v>592</v>
      </c>
      <c r="AF32" s="174" t="s">
        <v>593</v>
      </c>
      <c r="AG32" s="174"/>
      <c r="AH32" s="174"/>
      <c r="AI32" s="174"/>
      <c r="AJ32" s="174"/>
      <c r="AK32" s="468"/>
      <c r="AL32" s="466"/>
      <c r="AM32" s="13"/>
      <c r="AN32" s="13"/>
    </row>
    <row r="33" spans="1:40" ht="15.8" customHeight="1" thickBot="1" x14ac:dyDescent="0.3">
      <c r="A33" s="69">
        <v>4</v>
      </c>
      <c r="B33" s="631">
        <f>SUM(E33+H33)</f>
        <v>0</v>
      </c>
      <c r="C33" s="501"/>
      <c r="D33" s="174"/>
      <c r="E33" s="631">
        <f>SUM(C33+D33)</f>
        <v>0</v>
      </c>
      <c r="F33" s="501"/>
      <c r="G33" s="501"/>
      <c r="H33" s="467">
        <f>SUM(F33+G33)</f>
        <v>0</v>
      </c>
      <c r="I33" s="501"/>
      <c r="J33" s="633"/>
      <c r="R33" s="21" t="s">
        <v>35</v>
      </c>
      <c r="S33" s="483">
        <v>9</v>
      </c>
      <c r="T33" s="484">
        <v>57</v>
      </c>
      <c r="U33" s="484">
        <v>5</v>
      </c>
      <c r="V33" s="486">
        <v>2</v>
      </c>
      <c r="W33" s="485">
        <v>12</v>
      </c>
      <c r="X33" s="485">
        <v>0</v>
      </c>
      <c r="Y33" s="611">
        <f t="shared" si="17"/>
        <v>11</v>
      </c>
      <c r="Z33" s="487">
        <f t="shared" si="17"/>
        <v>69</v>
      </c>
      <c r="AA33" s="613">
        <f t="shared" si="17"/>
        <v>5</v>
      </c>
      <c r="AE33" s="306" t="s">
        <v>551</v>
      </c>
      <c r="AF33" s="174" t="s">
        <v>552</v>
      </c>
      <c r="AG33" s="174"/>
      <c r="AH33" s="174"/>
      <c r="AI33" s="174"/>
      <c r="AJ33" s="174"/>
      <c r="AK33" s="468"/>
      <c r="AL33" s="466"/>
      <c r="AM33" s="13"/>
    </row>
    <row r="34" spans="1:40" ht="14.95" thickBot="1" x14ac:dyDescent="0.3">
      <c r="A34" s="69">
        <v>5</v>
      </c>
      <c r="B34" s="631"/>
      <c r="C34" s="501"/>
      <c r="D34" s="174"/>
      <c r="E34" s="631"/>
      <c r="F34" s="501"/>
      <c r="G34" s="501"/>
      <c r="H34" s="631"/>
      <c r="I34" s="501"/>
      <c r="J34" s="633"/>
      <c r="R34" s="601" t="s">
        <v>32</v>
      </c>
      <c r="S34" s="483"/>
      <c r="T34" s="484"/>
      <c r="U34" s="484"/>
      <c r="V34" s="486">
        <v>5</v>
      </c>
      <c r="W34" s="485">
        <v>27</v>
      </c>
      <c r="X34" s="485">
        <v>1</v>
      </c>
      <c r="Y34" s="611">
        <f t="shared" si="17"/>
        <v>5</v>
      </c>
      <c r="Z34" s="487">
        <f t="shared" si="17"/>
        <v>27</v>
      </c>
      <c r="AA34" s="613">
        <f t="shared" si="17"/>
        <v>1</v>
      </c>
      <c r="AE34" s="306"/>
      <c r="AF34" s="174"/>
      <c r="AG34" s="174"/>
      <c r="AH34" s="174"/>
      <c r="AI34" s="174"/>
      <c r="AJ34" s="174"/>
      <c r="AK34" s="468"/>
      <c r="AL34" s="466"/>
      <c r="AM34" s="13"/>
      <c r="AN34" s="13"/>
    </row>
    <row r="35" spans="1:40" ht="14.95" thickBot="1" x14ac:dyDescent="0.3">
      <c r="A35" s="634" t="s">
        <v>53</v>
      </c>
      <c r="B35" s="500">
        <f t="shared" ref="B35:J35" si="18">SUM(B29:B34)</f>
        <v>53</v>
      </c>
      <c r="C35" s="500">
        <f t="shared" si="18"/>
        <v>12</v>
      </c>
      <c r="D35" s="500">
        <f t="shared" si="18"/>
        <v>12</v>
      </c>
      <c r="E35" s="500">
        <f t="shared" si="18"/>
        <v>24</v>
      </c>
      <c r="F35" s="500">
        <f t="shared" si="18"/>
        <v>13</v>
      </c>
      <c r="G35" s="500">
        <f t="shared" si="18"/>
        <v>16</v>
      </c>
      <c r="H35" s="500">
        <f t="shared" si="18"/>
        <v>29</v>
      </c>
      <c r="I35" s="500">
        <f t="shared" si="18"/>
        <v>6</v>
      </c>
      <c r="J35" s="500">
        <f t="shared" si="18"/>
        <v>0</v>
      </c>
      <c r="R35" s="34" t="s">
        <v>34</v>
      </c>
      <c r="S35" s="483">
        <v>1</v>
      </c>
      <c r="T35" s="484">
        <v>7</v>
      </c>
      <c r="U35" s="484">
        <v>0</v>
      </c>
      <c r="V35" s="486">
        <v>3</v>
      </c>
      <c r="W35" s="485">
        <v>24</v>
      </c>
      <c r="X35" s="485">
        <v>4</v>
      </c>
      <c r="Y35" s="611">
        <f t="shared" si="17"/>
        <v>4</v>
      </c>
      <c r="Z35" s="487">
        <f t="shared" si="17"/>
        <v>31</v>
      </c>
      <c r="AA35" s="613">
        <f t="shared" si="17"/>
        <v>4</v>
      </c>
      <c r="AE35" s="466"/>
      <c r="AF35" s="13"/>
      <c r="AG35" s="13"/>
      <c r="AH35" s="13"/>
      <c r="AI35" s="13"/>
      <c r="AJ35" s="13"/>
      <c r="AK35" s="468"/>
      <c r="AL35" s="466"/>
      <c r="AM35" s="13"/>
    </row>
    <row r="36" spans="1:40" ht="14.95" thickBot="1" x14ac:dyDescent="0.3">
      <c r="R36" s="8" t="s">
        <v>31</v>
      </c>
      <c r="S36" s="483">
        <v>4</v>
      </c>
      <c r="T36" s="484">
        <v>26</v>
      </c>
      <c r="U36" s="484">
        <v>1</v>
      </c>
      <c r="V36" s="486"/>
      <c r="W36" s="485"/>
      <c r="X36" s="485"/>
      <c r="Y36" s="611">
        <f t="shared" si="17"/>
        <v>4</v>
      </c>
      <c r="Z36" s="487">
        <f t="shared" si="17"/>
        <v>26</v>
      </c>
      <c r="AA36" s="613">
        <f t="shared" si="17"/>
        <v>1</v>
      </c>
      <c r="AE36" s="466"/>
      <c r="AF36" s="13"/>
      <c r="AG36" s="13"/>
      <c r="AH36" s="13"/>
      <c r="AI36" s="13"/>
      <c r="AK36" s="468"/>
      <c r="AL36" s="466"/>
      <c r="AM36" s="13"/>
    </row>
    <row r="37" spans="1:40" x14ac:dyDescent="0.25">
      <c r="A37" s="586" t="s">
        <v>590</v>
      </c>
      <c r="B37" s="587"/>
      <c r="C37" s="587"/>
      <c r="R37" s="470" t="s">
        <v>53</v>
      </c>
      <c r="S37">
        <f t="shared" ref="S37:AA37" si="19">SUM(S31:S36)</f>
        <v>25</v>
      </c>
      <c r="T37">
        <f t="shared" si="19"/>
        <v>163</v>
      </c>
      <c r="U37">
        <f t="shared" si="19"/>
        <v>16</v>
      </c>
      <c r="V37">
        <f t="shared" si="19"/>
        <v>28</v>
      </c>
      <c r="W37">
        <f t="shared" si="19"/>
        <v>185</v>
      </c>
      <c r="X37">
        <f t="shared" si="19"/>
        <v>15</v>
      </c>
      <c r="Y37" s="69">
        <f t="shared" si="19"/>
        <v>53</v>
      </c>
      <c r="Z37" s="69">
        <f t="shared" si="19"/>
        <v>348</v>
      </c>
      <c r="AA37" s="69">
        <f t="shared" si="19"/>
        <v>31</v>
      </c>
      <c r="AE37" s="69"/>
      <c r="AK37" s="468"/>
      <c r="AL37" s="466"/>
      <c r="AM37" s="13"/>
    </row>
    <row r="38" spans="1:40" ht="14.95" thickBot="1" x14ac:dyDescent="0.3">
      <c r="R38" s="285" t="s">
        <v>467</v>
      </c>
      <c r="AE38" s="69"/>
      <c r="AK38" s="470"/>
    </row>
    <row r="39" spans="1:40" ht="14.95" customHeight="1" thickBot="1" x14ac:dyDescent="0.3">
      <c r="A39" s="685" t="s">
        <v>42</v>
      </c>
      <c r="B39" s="686" t="s">
        <v>43</v>
      </c>
      <c r="C39" s="686"/>
      <c r="D39" s="686" t="s">
        <v>0</v>
      </c>
      <c r="E39" s="687" t="s">
        <v>1</v>
      </c>
      <c r="F39" s="686" t="s">
        <v>2</v>
      </c>
      <c r="G39" s="686" t="s">
        <v>3</v>
      </c>
      <c r="H39" s="686" t="s">
        <v>4</v>
      </c>
      <c r="I39" s="686" t="s">
        <v>5</v>
      </c>
      <c r="J39" s="687" t="s">
        <v>44</v>
      </c>
      <c r="K39" s="686" t="s">
        <v>21</v>
      </c>
      <c r="L39" s="686" t="s">
        <v>22</v>
      </c>
      <c r="M39" s="686" t="s">
        <v>59</v>
      </c>
      <c r="N39" s="686" t="s">
        <v>47</v>
      </c>
      <c r="O39" s="686" t="s">
        <v>48</v>
      </c>
      <c r="P39" s="687" t="s">
        <v>45</v>
      </c>
      <c r="R39" s="822" t="s">
        <v>591</v>
      </c>
      <c r="S39" s="823"/>
      <c r="T39" s="823"/>
      <c r="U39" s="823"/>
      <c r="V39" s="823"/>
      <c r="W39" s="823"/>
      <c r="X39" s="823"/>
      <c r="Y39" s="823"/>
      <c r="Z39" s="823"/>
      <c r="AA39" s="823"/>
      <c r="AE39" s="69"/>
    </row>
    <row r="40" spans="1:40" ht="14.95" thickBot="1" x14ac:dyDescent="0.3">
      <c r="A40" s="688">
        <v>1</v>
      </c>
      <c r="B40" s="149" t="s">
        <v>613</v>
      </c>
      <c r="C40" s="692" t="s">
        <v>30</v>
      </c>
      <c r="D40" s="690">
        <v>2</v>
      </c>
      <c r="E40" s="691">
        <v>2</v>
      </c>
      <c r="F40" s="690">
        <v>0</v>
      </c>
      <c r="G40" s="690">
        <v>0</v>
      </c>
      <c r="H40" s="690">
        <v>117</v>
      </c>
      <c r="I40" s="690">
        <v>19</v>
      </c>
      <c r="J40" s="691">
        <v>98</v>
      </c>
      <c r="K40" s="690">
        <v>2</v>
      </c>
      <c r="L40" s="690">
        <v>0</v>
      </c>
      <c r="M40" s="690">
        <v>0</v>
      </c>
      <c r="N40" s="690">
        <v>17</v>
      </c>
      <c r="O40" s="690">
        <v>3</v>
      </c>
      <c r="P40" s="691">
        <v>10</v>
      </c>
      <c r="AE40" s="470"/>
    </row>
    <row r="41" spans="1:40" ht="14.95" thickBot="1" x14ac:dyDescent="0.3">
      <c r="A41" s="688">
        <v>2</v>
      </c>
      <c r="B41" s="149" t="s">
        <v>615</v>
      </c>
      <c r="C41" s="689" t="s">
        <v>33</v>
      </c>
      <c r="D41" s="690">
        <v>2</v>
      </c>
      <c r="E41" s="691">
        <v>2</v>
      </c>
      <c r="F41" s="690">
        <v>0</v>
      </c>
      <c r="G41" s="690">
        <v>0</v>
      </c>
      <c r="H41" s="690">
        <v>78</v>
      </c>
      <c r="I41" s="690">
        <v>14</v>
      </c>
      <c r="J41" s="691">
        <v>64</v>
      </c>
      <c r="K41" s="690">
        <v>2</v>
      </c>
      <c r="L41" s="690">
        <v>0</v>
      </c>
      <c r="M41" s="690">
        <v>0</v>
      </c>
      <c r="N41" s="690">
        <v>12</v>
      </c>
      <c r="O41" s="690">
        <v>2</v>
      </c>
      <c r="P41" s="691">
        <v>10</v>
      </c>
    </row>
    <row r="42" spans="1:40" ht="14.95" thickBot="1" x14ac:dyDescent="0.3">
      <c r="A42" s="688">
        <v>3</v>
      </c>
      <c r="B42" s="149" t="s">
        <v>614</v>
      </c>
      <c r="C42" s="694" t="s">
        <v>35</v>
      </c>
      <c r="D42" s="690">
        <v>2</v>
      </c>
      <c r="E42" s="691">
        <v>1</v>
      </c>
      <c r="F42" s="690">
        <v>0</v>
      </c>
      <c r="G42" s="690">
        <v>1</v>
      </c>
      <c r="H42" s="690">
        <v>69</v>
      </c>
      <c r="I42" s="690">
        <v>53</v>
      </c>
      <c r="J42" s="691">
        <v>16</v>
      </c>
      <c r="K42" s="690">
        <v>1</v>
      </c>
      <c r="L42" s="690">
        <v>0</v>
      </c>
      <c r="M42" s="690">
        <v>0</v>
      </c>
      <c r="N42" s="690">
        <v>11</v>
      </c>
      <c r="O42" s="690">
        <v>9</v>
      </c>
      <c r="P42" s="691">
        <v>5</v>
      </c>
    </row>
    <row r="43" spans="1:40" ht="14.95" thickBot="1" x14ac:dyDescent="0.3">
      <c r="A43" s="688">
        <v>4</v>
      </c>
      <c r="B43" s="149" t="s">
        <v>615</v>
      </c>
      <c r="C43" s="689" t="s">
        <v>34</v>
      </c>
      <c r="D43" s="690">
        <v>2</v>
      </c>
      <c r="E43" s="691">
        <v>1</v>
      </c>
      <c r="F43" s="690">
        <v>0</v>
      </c>
      <c r="G43" s="690">
        <v>1</v>
      </c>
      <c r="H43" s="690">
        <v>31</v>
      </c>
      <c r="I43" s="690">
        <v>103</v>
      </c>
      <c r="J43" s="691">
        <v>-72</v>
      </c>
      <c r="K43" s="690">
        <v>0</v>
      </c>
      <c r="L43" s="690">
        <v>0</v>
      </c>
      <c r="M43" s="690">
        <v>0</v>
      </c>
      <c r="N43" s="690">
        <v>4</v>
      </c>
      <c r="O43" s="690">
        <v>15</v>
      </c>
      <c r="P43" s="691">
        <v>4</v>
      </c>
    </row>
    <row r="44" spans="1:40" ht="14.95" thickBot="1" x14ac:dyDescent="0.3">
      <c r="A44" s="688">
        <v>5</v>
      </c>
      <c r="B44" s="149" t="s">
        <v>615</v>
      </c>
      <c r="C44" s="693" t="s">
        <v>31</v>
      </c>
      <c r="D44" s="690">
        <v>2</v>
      </c>
      <c r="E44" s="691">
        <v>0</v>
      </c>
      <c r="F44" s="690">
        <v>0</v>
      </c>
      <c r="G44" s="690">
        <v>2</v>
      </c>
      <c r="H44" s="690">
        <v>26</v>
      </c>
      <c r="I44" s="690">
        <v>62</v>
      </c>
      <c r="J44" s="691">
        <v>-36</v>
      </c>
      <c r="K44" s="690">
        <v>0</v>
      </c>
      <c r="L44" s="690">
        <v>1</v>
      </c>
      <c r="M44" s="690">
        <v>0</v>
      </c>
      <c r="N44" s="690">
        <v>4</v>
      </c>
      <c r="O44" s="690">
        <v>9</v>
      </c>
      <c r="P44" s="691">
        <v>1</v>
      </c>
    </row>
    <row r="45" spans="1:40" ht="14.95" thickBot="1" x14ac:dyDescent="0.3">
      <c r="A45" s="688">
        <v>6</v>
      </c>
      <c r="B45" s="149" t="s">
        <v>46</v>
      </c>
      <c r="C45" s="695" t="s">
        <v>32</v>
      </c>
      <c r="D45" s="690">
        <v>2</v>
      </c>
      <c r="E45" s="691">
        <v>0</v>
      </c>
      <c r="F45" s="690">
        <v>0</v>
      </c>
      <c r="G45" s="690">
        <v>2</v>
      </c>
      <c r="H45" s="690">
        <v>27</v>
      </c>
      <c r="I45" s="690">
        <v>97</v>
      </c>
      <c r="J45" s="691">
        <v>-70</v>
      </c>
      <c r="K45" s="690">
        <v>1</v>
      </c>
      <c r="L45" s="690">
        <v>0</v>
      </c>
      <c r="M45" s="690">
        <v>0</v>
      </c>
      <c r="N45" s="690">
        <v>5</v>
      </c>
      <c r="O45" s="690">
        <v>15</v>
      </c>
      <c r="P45" s="691">
        <v>1</v>
      </c>
    </row>
    <row r="47" spans="1:40" x14ac:dyDescent="0.25">
      <c r="A47" s="586" t="s">
        <v>93</v>
      </c>
      <c r="B47" s="587"/>
      <c r="C47" s="587"/>
    </row>
    <row r="48" spans="1:40" ht="14.95" thickBot="1" x14ac:dyDescent="0.3">
      <c r="A48" s="683"/>
      <c r="B48" s="684"/>
      <c r="C48" s="684"/>
    </row>
    <row r="49" spans="1:16" ht="29.25" thickBot="1" x14ac:dyDescent="0.3">
      <c r="A49" s="685" t="s">
        <v>42</v>
      </c>
      <c r="B49" s="686" t="s">
        <v>43</v>
      </c>
      <c r="C49" s="686"/>
      <c r="D49" s="686" t="s">
        <v>0</v>
      </c>
      <c r="E49" s="687" t="s">
        <v>1</v>
      </c>
      <c r="F49" s="686" t="s">
        <v>2</v>
      </c>
      <c r="G49" s="686" t="s">
        <v>3</v>
      </c>
      <c r="H49" s="686" t="s">
        <v>4</v>
      </c>
      <c r="I49" s="686" t="s">
        <v>5</v>
      </c>
      <c r="J49" s="687" t="s">
        <v>44</v>
      </c>
      <c r="K49" s="686" t="s">
        <v>21</v>
      </c>
      <c r="L49" s="686" t="s">
        <v>22</v>
      </c>
      <c r="M49" s="686" t="s">
        <v>59</v>
      </c>
      <c r="N49" s="686" t="s">
        <v>47</v>
      </c>
      <c r="O49" s="686" t="s">
        <v>48</v>
      </c>
      <c r="P49" s="687" t="s">
        <v>45</v>
      </c>
    </row>
    <row r="50" spans="1:16" ht="14.95" thickBot="1" x14ac:dyDescent="0.3">
      <c r="A50" s="688">
        <v>1</v>
      </c>
      <c r="B50" s="149" t="s">
        <v>46</v>
      </c>
      <c r="C50" s="689" t="s">
        <v>33</v>
      </c>
      <c r="D50" s="690">
        <v>1</v>
      </c>
      <c r="E50" s="691">
        <v>1</v>
      </c>
      <c r="F50" s="690">
        <v>0</v>
      </c>
      <c r="G50" s="690">
        <v>0</v>
      </c>
      <c r="H50" s="690">
        <v>40</v>
      </c>
      <c r="I50" s="690">
        <v>7</v>
      </c>
      <c r="J50" s="691">
        <v>33</v>
      </c>
      <c r="K50" s="690">
        <v>1</v>
      </c>
      <c r="L50" s="690">
        <v>0</v>
      </c>
      <c r="M50" s="690">
        <v>0</v>
      </c>
      <c r="N50" s="690">
        <v>6</v>
      </c>
      <c r="O50" s="690">
        <v>1</v>
      </c>
      <c r="P50" s="691">
        <v>5</v>
      </c>
    </row>
    <row r="51" spans="1:16" ht="14.95" thickBot="1" x14ac:dyDescent="0.3">
      <c r="A51" s="688">
        <v>2</v>
      </c>
      <c r="B51" s="149" t="s">
        <v>46</v>
      </c>
      <c r="C51" s="692" t="s">
        <v>30</v>
      </c>
      <c r="D51" s="690">
        <v>1</v>
      </c>
      <c r="E51" s="691">
        <v>1</v>
      </c>
      <c r="F51" s="690">
        <v>0</v>
      </c>
      <c r="G51" s="690">
        <v>0</v>
      </c>
      <c r="H51" s="690">
        <v>33</v>
      </c>
      <c r="I51" s="690">
        <v>12</v>
      </c>
      <c r="J51" s="691">
        <v>21</v>
      </c>
      <c r="K51" s="690">
        <v>1</v>
      </c>
      <c r="L51" s="690">
        <v>0</v>
      </c>
      <c r="M51" s="690">
        <v>0</v>
      </c>
      <c r="N51" s="690">
        <v>5</v>
      </c>
      <c r="O51" s="690">
        <v>2</v>
      </c>
      <c r="P51" s="691">
        <v>5</v>
      </c>
    </row>
    <row r="52" spans="1:16" ht="14.95" thickBot="1" x14ac:dyDescent="0.3">
      <c r="A52" s="688">
        <v>3</v>
      </c>
      <c r="B52" s="149" t="s">
        <v>46</v>
      </c>
      <c r="C52" s="689" t="s">
        <v>34</v>
      </c>
      <c r="D52" s="690">
        <v>1</v>
      </c>
      <c r="E52" s="691">
        <v>1</v>
      </c>
      <c r="F52" s="690">
        <v>0</v>
      </c>
      <c r="G52" s="690">
        <v>0</v>
      </c>
      <c r="H52" s="690">
        <v>24</v>
      </c>
      <c r="I52" s="690">
        <v>19</v>
      </c>
      <c r="J52" s="691">
        <v>5</v>
      </c>
      <c r="K52" s="690">
        <v>0</v>
      </c>
      <c r="L52" s="690">
        <v>0</v>
      </c>
      <c r="M52" s="690">
        <v>0</v>
      </c>
      <c r="N52" s="690">
        <v>3</v>
      </c>
      <c r="O52" s="690">
        <v>3</v>
      </c>
      <c r="P52" s="691">
        <v>4</v>
      </c>
    </row>
    <row r="53" spans="1:16" ht="14.95" thickBot="1" x14ac:dyDescent="0.3">
      <c r="A53" s="688">
        <v>4</v>
      </c>
      <c r="B53" s="149" t="s">
        <v>46</v>
      </c>
      <c r="C53" s="693" t="s">
        <v>31</v>
      </c>
      <c r="D53" s="690">
        <v>1</v>
      </c>
      <c r="E53" s="691">
        <v>0</v>
      </c>
      <c r="F53" s="690">
        <v>0</v>
      </c>
      <c r="G53" s="690">
        <v>1</v>
      </c>
      <c r="H53" s="690">
        <v>19</v>
      </c>
      <c r="I53" s="690">
        <v>24</v>
      </c>
      <c r="J53" s="691">
        <v>-5</v>
      </c>
      <c r="K53" s="690">
        <v>0</v>
      </c>
      <c r="L53" s="690">
        <v>1</v>
      </c>
      <c r="M53" s="690">
        <v>0</v>
      </c>
      <c r="N53" s="690">
        <v>3</v>
      </c>
      <c r="O53" s="690">
        <v>3</v>
      </c>
      <c r="P53" s="691">
        <v>1</v>
      </c>
    </row>
    <row r="54" spans="1:16" ht="14.95" thickBot="1" x14ac:dyDescent="0.3">
      <c r="A54" s="688">
        <v>5</v>
      </c>
      <c r="B54" s="149" t="s">
        <v>46</v>
      </c>
      <c r="C54" s="694" t="s">
        <v>35</v>
      </c>
      <c r="D54" s="690">
        <v>1</v>
      </c>
      <c r="E54" s="691">
        <v>0</v>
      </c>
      <c r="F54" s="690">
        <v>0</v>
      </c>
      <c r="G54" s="690">
        <v>1</v>
      </c>
      <c r="H54" s="690">
        <v>12</v>
      </c>
      <c r="I54" s="690">
        <v>33</v>
      </c>
      <c r="J54" s="691">
        <v>-21</v>
      </c>
      <c r="K54" s="690">
        <v>0</v>
      </c>
      <c r="L54" s="690">
        <v>0</v>
      </c>
      <c r="M54" s="690">
        <v>0</v>
      </c>
      <c r="N54" s="690">
        <v>2</v>
      </c>
      <c r="O54" s="690">
        <v>5</v>
      </c>
      <c r="P54" s="691">
        <v>0</v>
      </c>
    </row>
    <row r="55" spans="1:16" ht="14.95" thickBot="1" x14ac:dyDescent="0.3">
      <c r="A55" s="688">
        <v>6</v>
      </c>
      <c r="B55" s="149" t="s">
        <v>46</v>
      </c>
      <c r="C55" s="695" t="s">
        <v>32</v>
      </c>
      <c r="D55" s="690">
        <v>1</v>
      </c>
      <c r="E55" s="691">
        <v>0</v>
      </c>
      <c r="F55" s="690">
        <v>0</v>
      </c>
      <c r="G55" s="690">
        <v>1</v>
      </c>
      <c r="H55" s="690">
        <v>7</v>
      </c>
      <c r="I55" s="690">
        <v>40</v>
      </c>
      <c r="J55" s="691">
        <v>-33</v>
      </c>
      <c r="K55" s="690">
        <v>0</v>
      </c>
      <c r="L55" s="690">
        <v>0</v>
      </c>
      <c r="M55" s="690">
        <v>0</v>
      </c>
      <c r="N55" s="690">
        <v>1</v>
      </c>
      <c r="O55" s="690">
        <v>6</v>
      </c>
      <c r="P55" s="691">
        <v>0</v>
      </c>
    </row>
    <row r="57" spans="1:16" ht="16.3" x14ac:dyDescent="0.3">
      <c r="A57" s="579" t="s">
        <v>28</v>
      </c>
    </row>
  </sheetData>
  <sortState xmlns:xlrd2="http://schemas.microsoft.com/office/spreadsheetml/2017/richdata2" ref="A19:P24">
    <sortCondition descending="1" ref="P19:P24"/>
    <sortCondition descending="1" ref="J19:J24"/>
    <sortCondition ref="C19:C24"/>
  </sortState>
  <mergeCells count="41">
    <mergeCell ref="R39:AA39"/>
    <mergeCell ref="C16:E16"/>
    <mergeCell ref="L16:N16"/>
    <mergeCell ref="AN2:AO2"/>
    <mergeCell ref="AN12:AO12"/>
    <mergeCell ref="S29:U29"/>
    <mergeCell ref="V29:X29"/>
    <mergeCell ref="Y29:AA29"/>
    <mergeCell ref="C13:E13"/>
    <mergeCell ref="L13:N13"/>
    <mergeCell ref="C14:E14"/>
    <mergeCell ref="L14:N14"/>
    <mergeCell ref="C15:E15"/>
    <mergeCell ref="L15:N15"/>
    <mergeCell ref="C10:E10"/>
    <mergeCell ref="L10:N10"/>
    <mergeCell ref="L11:N11"/>
    <mergeCell ref="C12:E12"/>
    <mergeCell ref="L12:N12"/>
    <mergeCell ref="C7:E7"/>
    <mergeCell ref="L7:N7"/>
    <mergeCell ref="C8:E8"/>
    <mergeCell ref="L8:N8"/>
    <mergeCell ref="C9:E9"/>
    <mergeCell ref="L9:N9"/>
    <mergeCell ref="C28:H28"/>
    <mergeCell ref="C6:E6"/>
    <mergeCell ref="L6:N6"/>
    <mergeCell ref="F1:G1"/>
    <mergeCell ref="O1:P1"/>
    <mergeCell ref="C2:E2"/>
    <mergeCell ref="I2:K2"/>
    <mergeCell ref="L2:N2"/>
    <mergeCell ref="C3:E3"/>
    <mergeCell ref="L3:N3"/>
    <mergeCell ref="C4:E4"/>
    <mergeCell ref="I4:K4"/>
    <mergeCell ref="L4:N4"/>
    <mergeCell ref="C5:E5"/>
    <mergeCell ref="L5:N5"/>
    <mergeCell ref="C11:E1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70254-B55B-4AEF-854F-4514202D58E1}">
  <dimension ref="A1:AV26"/>
  <sheetViews>
    <sheetView workbookViewId="0">
      <selection activeCell="A26" sqref="A26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customWidth="1"/>
    <col min="5" max="18" width="3.75" customWidth="1"/>
    <col min="19" max="19" width="6.625" customWidth="1"/>
    <col min="20" max="20" width="6.25" customWidth="1"/>
    <col min="21" max="21" width="24.625" bestFit="1" customWidth="1"/>
    <col min="22" max="22" width="21.875" bestFit="1" customWidth="1"/>
    <col min="23" max="23" width="17.375" bestFit="1" customWidth="1"/>
    <col min="24" max="24" width="26" bestFit="1" customWidth="1"/>
    <col min="25" max="25" width="29.2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991" t="s">
        <v>559</v>
      </c>
      <c r="B1" s="992"/>
      <c r="C1" s="992"/>
      <c r="D1" s="259"/>
      <c r="E1" s="993" t="s">
        <v>24</v>
      </c>
      <c r="F1" s="994"/>
      <c r="G1" s="995"/>
      <c r="H1" s="993" t="s">
        <v>73</v>
      </c>
      <c r="I1" s="995"/>
      <c r="J1" s="996" t="s">
        <v>6</v>
      </c>
      <c r="K1" s="997"/>
      <c r="L1" s="997"/>
      <c r="M1" s="998"/>
      <c r="N1" s="996" t="s">
        <v>7</v>
      </c>
      <c r="O1" s="998"/>
      <c r="P1" s="996" t="s">
        <v>25</v>
      </c>
      <c r="Q1" s="997"/>
      <c r="R1" s="998"/>
      <c r="S1" s="477" t="s">
        <v>8</v>
      </c>
      <c r="T1" s="260" t="s">
        <v>9</v>
      </c>
      <c r="U1" s="261" t="s">
        <v>10</v>
      </c>
      <c r="V1" s="261" t="s">
        <v>11</v>
      </c>
      <c r="W1" s="261" t="s">
        <v>95</v>
      </c>
      <c r="X1" s="261" t="s">
        <v>26</v>
      </c>
      <c r="Y1" s="261" t="s">
        <v>27</v>
      </c>
      <c r="Z1" s="988" t="s">
        <v>20</v>
      </c>
      <c r="AA1" s="989"/>
      <c r="AB1" s="989"/>
      <c r="AC1" s="990"/>
      <c r="AD1" s="988" t="s">
        <v>56</v>
      </c>
      <c r="AE1" s="989"/>
      <c r="AF1" s="989"/>
      <c r="AG1" s="990"/>
      <c r="AH1" s="988" t="s">
        <v>57</v>
      </c>
      <c r="AI1" s="989"/>
      <c r="AJ1" s="989"/>
      <c r="AK1" s="990"/>
      <c r="AL1" s="988" t="s">
        <v>58</v>
      </c>
      <c r="AM1" s="989"/>
      <c r="AN1" s="989"/>
      <c r="AO1" s="990"/>
    </row>
    <row r="2" spans="1:48" ht="14.95" customHeight="1" thickBot="1" x14ac:dyDescent="0.3">
      <c r="A2" s="262" t="s">
        <v>19</v>
      </c>
      <c r="B2" s="263" t="s">
        <v>18</v>
      </c>
      <c r="C2" s="264" t="s">
        <v>17</v>
      </c>
      <c r="D2" s="264" t="s">
        <v>37</v>
      </c>
      <c r="E2" s="265" t="s">
        <v>16</v>
      </c>
      <c r="F2" s="265" t="s">
        <v>4</v>
      </c>
      <c r="G2" s="265" t="s">
        <v>5</v>
      </c>
      <c r="H2" s="266" t="s">
        <v>12</v>
      </c>
      <c r="I2" s="266" t="s">
        <v>3</v>
      </c>
      <c r="J2" s="266" t="s">
        <v>12</v>
      </c>
      <c r="K2" s="266" t="s">
        <v>13</v>
      </c>
      <c r="L2" s="266" t="s">
        <v>2</v>
      </c>
      <c r="M2" s="266" t="s">
        <v>14</v>
      </c>
      <c r="N2" s="266" t="s">
        <v>15</v>
      </c>
      <c r="O2" s="266" t="s">
        <v>16</v>
      </c>
      <c r="P2" s="266" t="s">
        <v>21</v>
      </c>
      <c r="Q2" s="266" t="s">
        <v>22</v>
      </c>
      <c r="R2" s="266" t="s">
        <v>12</v>
      </c>
      <c r="S2" s="265"/>
      <c r="T2" s="268"/>
      <c r="U2" s="269"/>
      <c r="V2" s="267"/>
      <c r="W2" s="267"/>
      <c r="X2" s="261"/>
      <c r="Y2" s="358"/>
      <c r="Z2" s="270" t="s">
        <v>0</v>
      </c>
      <c r="AA2" s="270" t="s">
        <v>1</v>
      </c>
      <c r="AB2" s="270" t="s">
        <v>2</v>
      </c>
      <c r="AC2" s="270" t="s">
        <v>3</v>
      </c>
      <c r="AD2" s="270" t="s">
        <v>0</v>
      </c>
      <c r="AE2" s="270" t="s">
        <v>1</v>
      </c>
      <c r="AF2" s="270" t="s">
        <v>2</v>
      </c>
      <c r="AG2" s="270" t="s">
        <v>3</v>
      </c>
      <c r="AH2" s="270" t="s">
        <v>0</v>
      </c>
      <c r="AI2" s="270" t="s">
        <v>1</v>
      </c>
      <c r="AJ2" s="270" t="s">
        <v>2</v>
      </c>
      <c r="AK2" s="270" t="s">
        <v>3</v>
      </c>
      <c r="AL2" s="270" t="s">
        <v>0</v>
      </c>
      <c r="AM2" s="270" t="s">
        <v>1</v>
      </c>
      <c r="AN2" s="270" t="s">
        <v>2</v>
      </c>
      <c r="AO2" s="270" t="s">
        <v>3</v>
      </c>
      <c r="AU2" s="69" t="s">
        <v>258</v>
      </c>
    </row>
    <row r="3" spans="1:48" ht="14.95" customHeight="1" thickBot="1" x14ac:dyDescent="0.35">
      <c r="A3" s="291" t="s">
        <v>152</v>
      </c>
      <c r="B3" s="152" t="s">
        <v>128</v>
      </c>
      <c r="C3" s="152" t="s">
        <v>112</v>
      </c>
      <c r="D3" s="152" t="s">
        <v>172</v>
      </c>
      <c r="E3" s="153" t="s">
        <v>1</v>
      </c>
      <c r="F3" s="153">
        <v>48</v>
      </c>
      <c r="G3" s="153">
        <v>26</v>
      </c>
      <c r="H3" s="345" t="s">
        <v>69</v>
      </c>
      <c r="I3" s="345" t="s">
        <v>69</v>
      </c>
      <c r="J3" s="345">
        <v>8</v>
      </c>
      <c r="K3" s="345">
        <v>4</v>
      </c>
      <c r="L3" s="345">
        <v>0</v>
      </c>
      <c r="M3" s="345">
        <v>0</v>
      </c>
      <c r="N3" s="345">
        <v>1</v>
      </c>
      <c r="O3" s="345">
        <v>0</v>
      </c>
      <c r="P3" s="345" t="s">
        <v>69</v>
      </c>
      <c r="Q3" s="345" t="s">
        <v>69</v>
      </c>
      <c r="R3" s="345">
        <v>4</v>
      </c>
      <c r="S3" s="535"/>
      <c r="T3" s="156" t="s">
        <v>173</v>
      </c>
      <c r="U3" s="157" t="s">
        <v>102</v>
      </c>
      <c r="V3" s="155" t="s">
        <v>92</v>
      </c>
      <c r="W3" s="155" t="s">
        <v>92</v>
      </c>
      <c r="X3" s="154" t="s">
        <v>174</v>
      </c>
      <c r="Y3" s="348" t="s">
        <v>175</v>
      </c>
      <c r="Z3" s="311">
        <v>1</v>
      </c>
      <c r="AA3" s="311">
        <v>1</v>
      </c>
      <c r="AB3" s="311">
        <v>0</v>
      </c>
      <c r="AC3" s="312">
        <v>0</v>
      </c>
      <c r="AD3" s="311">
        <v>0</v>
      </c>
      <c r="AE3" s="311">
        <v>0</v>
      </c>
      <c r="AF3" s="311">
        <v>0</v>
      </c>
      <c r="AG3" s="312">
        <v>0</v>
      </c>
      <c r="AH3" s="311">
        <v>1</v>
      </c>
      <c r="AI3" s="311">
        <v>1</v>
      </c>
      <c r="AJ3" s="311">
        <v>0</v>
      </c>
      <c r="AK3" s="312">
        <v>0</v>
      </c>
      <c r="AL3" s="311">
        <v>0</v>
      </c>
      <c r="AM3" s="311">
        <v>0</v>
      </c>
      <c r="AN3" s="311">
        <v>0</v>
      </c>
      <c r="AO3" s="312">
        <v>0</v>
      </c>
      <c r="AU3" s="443" t="s">
        <v>253</v>
      </c>
      <c r="AV3" s="444">
        <v>22</v>
      </c>
    </row>
    <row r="4" spans="1:48" ht="14.95" customHeight="1" thickBot="1" x14ac:dyDescent="0.35">
      <c r="A4" s="192" t="s">
        <v>209</v>
      </c>
      <c r="B4" s="178" t="s">
        <v>134</v>
      </c>
      <c r="C4" s="178" t="s">
        <v>208</v>
      </c>
      <c r="D4" s="178" t="s">
        <v>214</v>
      </c>
      <c r="E4" s="175" t="s">
        <v>1</v>
      </c>
      <c r="F4" s="175">
        <v>62</v>
      </c>
      <c r="G4" s="175">
        <v>7</v>
      </c>
      <c r="H4" s="343">
        <v>1</v>
      </c>
      <c r="I4" s="343">
        <v>0</v>
      </c>
      <c r="J4" s="343">
        <v>10</v>
      </c>
      <c r="K4" s="343">
        <v>6</v>
      </c>
      <c r="L4" s="343">
        <v>0</v>
      </c>
      <c r="M4" s="343">
        <v>0</v>
      </c>
      <c r="N4" s="343">
        <v>1</v>
      </c>
      <c r="O4" s="343">
        <v>0</v>
      </c>
      <c r="P4" s="343">
        <v>0</v>
      </c>
      <c r="Q4" s="343">
        <v>0</v>
      </c>
      <c r="R4" s="343">
        <v>1</v>
      </c>
      <c r="S4" s="359"/>
      <c r="T4" s="182" t="s">
        <v>198</v>
      </c>
      <c r="U4" s="180" t="s">
        <v>210</v>
      </c>
      <c r="V4" s="179" t="s">
        <v>92</v>
      </c>
      <c r="W4" s="179" t="s">
        <v>92</v>
      </c>
      <c r="X4" s="176" t="s">
        <v>211</v>
      </c>
      <c r="Y4" s="350" t="s">
        <v>212</v>
      </c>
      <c r="Z4" s="313">
        <v>1</v>
      </c>
      <c r="AA4" s="313">
        <v>1</v>
      </c>
      <c r="AB4" s="313">
        <v>0</v>
      </c>
      <c r="AC4" s="314">
        <v>0</v>
      </c>
      <c r="AD4" s="313">
        <v>0</v>
      </c>
      <c r="AE4" s="313">
        <v>0</v>
      </c>
      <c r="AF4" s="313">
        <v>0</v>
      </c>
      <c r="AG4" s="314">
        <v>0</v>
      </c>
      <c r="AH4" s="313">
        <v>0</v>
      </c>
      <c r="AI4" s="313">
        <v>0</v>
      </c>
      <c r="AJ4" s="313">
        <v>0</v>
      </c>
      <c r="AK4" s="314">
        <v>0</v>
      </c>
      <c r="AL4" s="313">
        <v>1</v>
      </c>
      <c r="AM4" s="313">
        <v>1</v>
      </c>
      <c r="AN4" s="313">
        <v>0</v>
      </c>
      <c r="AO4" s="314">
        <v>0</v>
      </c>
      <c r="AU4" s="445" t="s">
        <v>254</v>
      </c>
      <c r="AV4" s="446">
        <v>5</v>
      </c>
    </row>
    <row r="5" spans="1:48" ht="14.95" customHeight="1" thickBot="1" x14ac:dyDescent="0.35">
      <c r="A5" s="284" t="s">
        <v>232</v>
      </c>
      <c r="B5" s="192" t="s">
        <v>134</v>
      </c>
      <c r="C5" s="178" t="s">
        <v>215</v>
      </c>
      <c r="D5" s="178" t="s">
        <v>214</v>
      </c>
      <c r="E5" s="175" t="s">
        <v>1</v>
      </c>
      <c r="F5" s="175">
        <v>19</v>
      </c>
      <c r="G5" s="175">
        <v>12</v>
      </c>
      <c r="H5" s="343">
        <v>0</v>
      </c>
      <c r="I5" s="343">
        <v>0</v>
      </c>
      <c r="J5" s="343">
        <v>3</v>
      </c>
      <c r="K5" s="343">
        <v>2</v>
      </c>
      <c r="L5" s="343">
        <v>0</v>
      </c>
      <c r="M5" s="343">
        <v>0</v>
      </c>
      <c r="N5" s="343">
        <v>2</v>
      </c>
      <c r="O5" s="343">
        <v>0</v>
      </c>
      <c r="P5" s="343">
        <v>0</v>
      </c>
      <c r="Q5" s="343">
        <v>1</v>
      </c>
      <c r="R5" s="343">
        <v>2</v>
      </c>
      <c r="S5" s="359"/>
      <c r="T5" s="182" t="s">
        <v>233</v>
      </c>
      <c r="U5" s="180" t="s">
        <v>234</v>
      </c>
      <c r="V5" s="179" t="s">
        <v>92</v>
      </c>
      <c r="W5" s="179" t="s">
        <v>92</v>
      </c>
      <c r="X5" s="176" t="s">
        <v>211</v>
      </c>
      <c r="Y5" s="350" t="s">
        <v>212</v>
      </c>
      <c r="Z5" s="313">
        <v>1</v>
      </c>
      <c r="AA5" s="313">
        <v>1</v>
      </c>
      <c r="AB5" s="313">
        <v>0</v>
      </c>
      <c r="AC5" s="314">
        <v>0</v>
      </c>
      <c r="AD5" s="313">
        <v>0</v>
      </c>
      <c r="AE5" s="313">
        <v>0</v>
      </c>
      <c r="AF5" s="313">
        <v>0</v>
      </c>
      <c r="AG5" s="314">
        <v>0</v>
      </c>
      <c r="AH5" s="313">
        <v>0</v>
      </c>
      <c r="AI5" s="313">
        <v>0</v>
      </c>
      <c r="AJ5" s="313">
        <v>0</v>
      </c>
      <c r="AK5" s="314">
        <v>0</v>
      </c>
      <c r="AL5" s="313">
        <v>1</v>
      </c>
      <c r="AM5" s="313">
        <v>1</v>
      </c>
      <c r="AN5" s="313">
        <v>0</v>
      </c>
      <c r="AO5" s="314">
        <v>0</v>
      </c>
      <c r="AU5" s="445" t="s">
        <v>255</v>
      </c>
      <c r="AV5" s="446">
        <v>0</v>
      </c>
    </row>
    <row r="6" spans="1:48" ht="14.95" customHeight="1" thickBot="1" x14ac:dyDescent="0.35">
      <c r="A6" s="428" t="s">
        <v>236</v>
      </c>
      <c r="B6" s="160" t="s">
        <v>134</v>
      </c>
      <c r="C6" s="152" t="s">
        <v>125</v>
      </c>
      <c r="D6" s="152" t="s">
        <v>214</v>
      </c>
      <c r="E6" s="153" t="s">
        <v>1</v>
      </c>
      <c r="F6" s="153">
        <v>61</v>
      </c>
      <c r="G6" s="153">
        <v>17</v>
      </c>
      <c r="H6" s="345">
        <v>1</v>
      </c>
      <c r="I6" s="345">
        <v>0</v>
      </c>
      <c r="J6" s="345">
        <v>9</v>
      </c>
      <c r="K6" s="345">
        <v>8</v>
      </c>
      <c r="L6" s="345">
        <v>0</v>
      </c>
      <c r="M6" s="345">
        <v>0</v>
      </c>
      <c r="N6" s="345">
        <v>2</v>
      </c>
      <c r="O6" s="345">
        <v>0</v>
      </c>
      <c r="P6" s="345">
        <v>0</v>
      </c>
      <c r="Q6" s="345">
        <v>0</v>
      </c>
      <c r="R6" s="345">
        <v>3</v>
      </c>
      <c r="S6" s="535"/>
      <c r="T6" s="156" t="s">
        <v>237</v>
      </c>
      <c r="U6" s="157" t="s">
        <v>238</v>
      </c>
      <c r="V6" s="155" t="s">
        <v>92</v>
      </c>
      <c r="W6" s="155" t="s">
        <v>92</v>
      </c>
      <c r="X6" s="154"/>
      <c r="Y6" s="348"/>
      <c r="Z6" s="311">
        <v>1</v>
      </c>
      <c r="AA6" s="311">
        <v>1</v>
      </c>
      <c r="AB6" s="311">
        <v>0</v>
      </c>
      <c r="AC6" s="312">
        <v>0</v>
      </c>
      <c r="AD6" s="311">
        <v>0</v>
      </c>
      <c r="AE6" s="311">
        <v>0</v>
      </c>
      <c r="AF6" s="311">
        <v>0</v>
      </c>
      <c r="AG6" s="312">
        <v>0</v>
      </c>
      <c r="AH6" s="311">
        <v>1</v>
      </c>
      <c r="AI6" s="311">
        <v>1</v>
      </c>
      <c r="AJ6" s="311">
        <v>0</v>
      </c>
      <c r="AK6" s="312">
        <v>0</v>
      </c>
      <c r="AL6" s="311">
        <v>0</v>
      </c>
      <c r="AM6" s="311">
        <v>0</v>
      </c>
      <c r="AN6" s="311">
        <v>0</v>
      </c>
      <c r="AO6" s="312">
        <v>0</v>
      </c>
      <c r="AU6" s="445" t="s">
        <v>256</v>
      </c>
      <c r="AV6" s="446">
        <v>17</v>
      </c>
    </row>
    <row r="7" spans="1:48" ht="14.95" customHeight="1" thickBot="1" x14ac:dyDescent="0.3">
      <c r="A7" s="163" t="s">
        <v>239</v>
      </c>
      <c r="B7" s="164" t="s">
        <v>128</v>
      </c>
      <c r="C7" s="164" t="s">
        <v>36</v>
      </c>
      <c r="D7" s="164" t="s">
        <v>240</v>
      </c>
      <c r="E7" s="165" t="s">
        <v>3</v>
      </c>
      <c r="F7" s="165">
        <v>20</v>
      </c>
      <c r="G7" s="165">
        <v>50</v>
      </c>
      <c r="H7" s="344" t="s">
        <v>69</v>
      </c>
      <c r="I7" s="344" t="s">
        <v>69</v>
      </c>
      <c r="J7" s="344">
        <v>3</v>
      </c>
      <c r="K7" s="344">
        <v>1</v>
      </c>
      <c r="L7" s="344">
        <v>0</v>
      </c>
      <c r="M7" s="344">
        <v>1</v>
      </c>
      <c r="N7" s="344">
        <v>0</v>
      </c>
      <c r="O7" s="344">
        <v>0</v>
      </c>
      <c r="P7" s="344" t="s">
        <v>69</v>
      </c>
      <c r="Q7" s="344" t="s">
        <v>69</v>
      </c>
      <c r="R7" s="344">
        <v>8</v>
      </c>
      <c r="S7" s="549"/>
      <c r="T7" s="167" t="s">
        <v>241</v>
      </c>
      <c r="U7" s="168" t="s">
        <v>99</v>
      </c>
      <c r="V7" s="166" t="s">
        <v>242</v>
      </c>
      <c r="W7" s="166" t="s">
        <v>92</v>
      </c>
      <c r="X7" s="169" t="s">
        <v>109</v>
      </c>
      <c r="Y7" s="349" t="s">
        <v>141</v>
      </c>
      <c r="Z7" s="169">
        <v>1</v>
      </c>
      <c r="AA7" s="169">
        <v>0</v>
      </c>
      <c r="AB7" s="169">
        <v>0</v>
      </c>
      <c r="AC7" s="316">
        <v>1</v>
      </c>
      <c r="AD7" s="169">
        <v>1</v>
      </c>
      <c r="AE7" s="169">
        <v>0</v>
      </c>
      <c r="AF7" s="169">
        <v>0</v>
      </c>
      <c r="AG7" s="316">
        <v>1</v>
      </c>
      <c r="AH7" s="169">
        <v>0</v>
      </c>
      <c r="AI7" s="169">
        <v>0</v>
      </c>
      <c r="AJ7" s="169">
        <v>0</v>
      </c>
      <c r="AK7" s="316">
        <v>0</v>
      </c>
      <c r="AL7" s="169">
        <v>0</v>
      </c>
      <c r="AM7" s="169">
        <v>0</v>
      </c>
      <c r="AN7" s="169">
        <v>0</v>
      </c>
      <c r="AO7" s="316">
        <v>0</v>
      </c>
      <c r="AU7" s="445" t="s">
        <v>257</v>
      </c>
      <c r="AV7" s="446">
        <v>268</v>
      </c>
    </row>
    <row r="8" spans="1:48" ht="14.95" customHeight="1" thickBot="1" x14ac:dyDescent="0.3">
      <c r="A8" s="163" t="s">
        <v>244</v>
      </c>
      <c r="B8" s="164" t="s">
        <v>128</v>
      </c>
      <c r="C8" s="164" t="s">
        <v>36</v>
      </c>
      <c r="D8" s="164" t="s">
        <v>245</v>
      </c>
      <c r="E8" s="165" t="s">
        <v>3</v>
      </c>
      <c r="F8" s="165">
        <v>5</v>
      </c>
      <c r="G8" s="165">
        <v>33</v>
      </c>
      <c r="H8" s="344" t="s">
        <v>69</v>
      </c>
      <c r="I8" s="344" t="s">
        <v>69</v>
      </c>
      <c r="J8" s="344">
        <v>1</v>
      </c>
      <c r="K8" s="344">
        <v>0</v>
      </c>
      <c r="L8" s="344">
        <v>0</v>
      </c>
      <c r="M8" s="344">
        <v>0</v>
      </c>
      <c r="N8" s="344">
        <v>1</v>
      </c>
      <c r="O8" s="344">
        <v>0</v>
      </c>
      <c r="P8" s="344" t="s">
        <v>69</v>
      </c>
      <c r="Q8" s="344" t="s">
        <v>69</v>
      </c>
      <c r="R8" s="344">
        <v>5</v>
      </c>
      <c r="S8" s="549"/>
      <c r="T8" s="167" t="s">
        <v>247</v>
      </c>
      <c r="U8" s="169" t="s">
        <v>109</v>
      </c>
      <c r="V8" s="166" t="s">
        <v>248</v>
      </c>
      <c r="W8" s="166" t="s">
        <v>92</v>
      </c>
      <c r="X8" s="169" t="s">
        <v>121</v>
      </c>
      <c r="Y8" s="349" t="s">
        <v>141</v>
      </c>
      <c r="Z8" s="169">
        <v>1</v>
      </c>
      <c r="AA8" s="169">
        <v>0</v>
      </c>
      <c r="AB8" s="169">
        <v>0</v>
      </c>
      <c r="AC8" s="316">
        <v>1</v>
      </c>
      <c r="AD8" s="169">
        <v>1</v>
      </c>
      <c r="AE8" s="169">
        <v>0</v>
      </c>
      <c r="AF8" s="169">
        <v>0</v>
      </c>
      <c r="AG8" s="316">
        <v>1</v>
      </c>
      <c r="AH8" s="169">
        <v>0</v>
      </c>
      <c r="AI8" s="169">
        <v>0</v>
      </c>
      <c r="AJ8" s="169">
        <v>0</v>
      </c>
      <c r="AK8" s="316">
        <v>0</v>
      </c>
      <c r="AL8" s="169">
        <v>0</v>
      </c>
      <c r="AM8" s="169">
        <v>0</v>
      </c>
      <c r="AN8" s="169">
        <v>0</v>
      </c>
      <c r="AO8" s="316">
        <v>0</v>
      </c>
    </row>
    <row r="9" spans="1:48" ht="14.95" customHeight="1" thickBot="1" x14ac:dyDescent="0.35">
      <c r="A9" s="177" t="s">
        <v>164</v>
      </c>
      <c r="B9" s="178" t="s">
        <v>155</v>
      </c>
      <c r="C9" s="178" t="s">
        <v>163</v>
      </c>
      <c r="D9" s="178" t="s">
        <v>158</v>
      </c>
      <c r="E9" s="175" t="s">
        <v>1</v>
      </c>
      <c r="F9" s="175">
        <v>66</v>
      </c>
      <c r="G9" s="175">
        <v>6</v>
      </c>
      <c r="H9" s="343">
        <v>1</v>
      </c>
      <c r="I9" s="343">
        <v>0</v>
      </c>
      <c r="J9" s="343">
        <v>10</v>
      </c>
      <c r="K9" s="343">
        <v>8</v>
      </c>
      <c r="L9" s="343">
        <v>0</v>
      </c>
      <c r="M9" s="343">
        <v>0</v>
      </c>
      <c r="N9" s="343">
        <v>0</v>
      </c>
      <c r="O9" s="343">
        <v>0</v>
      </c>
      <c r="P9" s="343">
        <v>0</v>
      </c>
      <c r="Q9" s="343">
        <v>0</v>
      </c>
      <c r="R9" s="343">
        <v>0</v>
      </c>
      <c r="S9" s="359">
        <v>13053</v>
      </c>
      <c r="T9" s="182" t="s">
        <v>243</v>
      </c>
      <c r="U9" s="180" t="s">
        <v>166</v>
      </c>
      <c r="V9" s="179" t="s">
        <v>96</v>
      </c>
      <c r="W9" s="179" t="s">
        <v>117</v>
      </c>
      <c r="X9" s="176" t="s">
        <v>102</v>
      </c>
      <c r="Y9" s="176" t="s">
        <v>130</v>
      </c>
      <c r="Z9" s="176">
        <v>1</v>
      </c>
      <c r="AA9" s="176">
        <v>1</v>
      </c>
      <c r="AB9" s="176">
        <v>0</v>
      </c>
      <c r="AC9" s="315">
        <v>0</v>
      </c>
      <c r="AD9" s="176">
        <v>0</v>
      </c>
      <c r="AE9" s="176">
        <v>0</v>
      </c>
      <c r="AF9" s="176">
        <v>0</v>
      </c>
      <c r="AG9" s="315">
        <v>0</v>
      </c>
      <c r="AH9" s="176">
        <v>0</v>
      </c>
      <c r="AI9" s="176">
        <v>0</v>
      </c>
      <c r="AJ9" s="176">
        <v>0</v>
      </c>
      <c r="AK9" s="315">
        <v>0</v>
      </c>
      <c r="AL9" s="176">
        <v>1</v>
      </c>
      <c r="AM9" s="176">
        <v>1</v>
      </c>
      <c r="AN9" s="176">
        <v>0</v>
      </c>
      <c r="AO9" s="315">
        <v>0</v>
      </c>
    </row>
    <row r="10" spans="1:48" ht="14.95" customHeight="1" thickBot="1" x14ac:dyDescent="0.35">
      <c r="A10" s="177" t="s">
        <v>162</v>
      </c>
      <c r="B10" s="178" t="s">
        <v>155</v>
      </c>
      <c r="C10" s="178" t="s">
        <v>32</v>
      </c>
      <c r="D10" s="178" t="s">
        <v>146</v>
      </c>
      <c r="E10" s="175" t="s">
        <v>1</v>
      </c>
      <c r="F10" s="175">
        <v>29</v>
      </c>
      <c r="G10" s="175">
        <v>24</v>
      </c>
      <c r="H10" s="343">
        <v>1</v>
      </c>
      <c r="I10" s="343">
        <v>0</v>
      </c>
      <c r="J10" s="343">
        <v>5</v>
      </c>
      <c r="K10" s="343">
        <v>2</v>
      </c>
      <c r="L10" s="343">
        <v>0</v>
      </c>
      <c r="M10" s="343">
        <v>0</v>
      </c>
      <c r="N10" s="343">
        <v>0</v>
      </c>
      <c r="O10" s="343">
        <v>0</v>
      </c>
      <c r="P10" s="343">
        <v>1</v>
      </c>
      <c r="Q10" s="343">
        <v>1</v>
      </c>
      <c r="R10" s="343">
        <v>4</v>
      </c>
      <c r="S10" s="359">
        <v>6045</v>
      </c>
      <c r="T10" s="182" t="s">
        <v>381</v>
      </c>
      <c r="U10" s="180" t="s">
        <v>127</v>
      </c>
      <c r="V10" s="179" t="s">
        <v>116</v>
      </c>
      <c r="W10" s="179" t="s">
        <v>96</v>
      </c>
      <c r="X10" s="176" t="s">
        <v>109</v>
      </c>
      <c r="Y10" s="357" t="s">
        <v>110</v>
      </c>
      <c r="Z10" s="176">
        <v>1</v>
      </c>
      <c r="AA10" s="176">
        <v>1</v>
      </c>
      <c r="AB10" s="176">
        <v>0</v>
      </c>
      <c r="AC10" s="315">
        <v>0</v>
      </c>
      <c r="AD10" s="176">
        <v>0</v>
      </c>
      <c r="AE10" s="176">
        <v>0</v>
      </c>
      <c r="AF10" s="176">
        <v>0</v>
      </c>
      <c r="AG10" s="315">
        <v>0</v>
      </c>
      <c r="AH10" s="176">
        <v>0</v>
      </c>
      <c r="AI10" s="176">
        <v>0</v>
      </c>
      <c r="AJ10" s="176">
        <v>0</v>
      </c>
      <c r="AK10" s="315">
        <v>0</v>
      </c>
      <c r="AL10" s="176">
        <v>1</v>
      </c>
      <c r="AM10" s="176">
        <v>1</v>
      </c>
      <c r="AN10" s="176">
        <v>0</v>
      </c>
      <c r="AO10" s="315">
        <v>0</v>
      </c>
    </row>
    <row r="11" spans="1:48" ht="14.95" customHeight="1" thickBot="1" x14ac:dyDescent="0.3">
      <c r="A11" s="177" t="s">
        <v>137</v>
      </c>
      <c r="B11" s="178" t="s">
        <v>155</v>
      </c>
      <c r="C11" s="178" t="s">
        <v>33</v>
      </c>
      <c r="D11" s="178" t="s">
        <v>158</v>
      </c>
      <c r="E11" s="175" t="s">
        <v>3</v>
      </c>
      <c r="F11" s="175">
        <v>10</v>
      </c>
      <c r="G11" s="175">
        <v>57</v>
      </c>
      <c r="H11" s="343">
        <v>0</v>
      </c>
      <c r="I11" s="343">
        <v>0</v>
      </c>
      <c r="J11" s="343">
        <v>1</v>
      </c>
      <c r="K11" s="343">
        <v>1</v>
      </c>
      <c r="L11" s="343">
        <v>0</v>
      </c>
      <c r="M11" s="343">
        <v>1</v>
      </c>
      <c r="N11" s="343">
        <v>0</v>
      </c>
      <c r="O11" s="343">
        <v>1</v>
      </c>
      <c r="P11" s="343">
        <v>1</v>
      </c>
      <c r="Q11" s="343">
        <v>0</v>
      </c>
      <c r="R11" s="343">
        <v>9</v>
      </c>
      <c r="S11" s="176">
        <v>13268</v>
      </c>
      <c r="T11" s="188" t="s">
        <v>405</v>
      </c>
      <c r="U11" s="360" t="s">
        <v>99</v>
      </c>
      <c r="V11" s="176" t="s">
        <v>117</v>
      </c>
      <c r="W11" s="176" t="s">
        <v>100</v>
      </c>
      <c r="X11" s="176" t="s">
        <v>169</v>
      </c>
      <c r="Y11" s="315" t="s">
        <v>130</v>
      </c>
      <c r="Z11" s="176">
        <v>1</v>
      </c>
      <c r="AA11" s="176">
        <v>0</v>
      </c>
      <c r="AB11" s="176">
        <v>0</v>
      </c>
      <c r="AC11" s="315">
        <v>1</v>
      </c>
      <c r="AD11" s="176">
        <v>0</v>
      </c>
      <c r="AE11" s="176">
        <v>0</v>
      </c>
      <c r="AF11" s="176">
        <v>0</v>
      </c>
      <c r="AG11" s="315">
        <v>0</v>
      </c>
      <c r="AH11" s="176">
        <v>0</v>
      </c>
      <c r="AI11" s="176">
        <v>0</v>
      </c>
      <c r="AJ11" s="176">
        <v>0</v>
      </c>
      <c r="AK11" s="315">
        <v>0</v>
      </c>
      <c r="AL11" s="176">
        <v>1</v>
      </c>
      <c r="AM11" s="176">
        <v>0</v>
      </c>
      <c r="AN11" s="176">
        <v>0</v>
      </c>
      <c r="AO11" s="315">
        <v>1</v>
      </c>
    </row>
    <row r="12" spans="1:48" ht="14.95" thickBot="1" x14ac:dyDescent="0.3">
      <c r="A12" s="191" t="s">
        <v>295</v>
      </c>
      <c r="B12" s="192" t="s">
        <v>366</v>
      </c>
      <c r="C12" s="192" t="s">
        <v>72</v>
      </c>
      <c r="D12" s="192" t="s">
        <v>161</v>
      </c>
      <c r="E12" s="130" t="s">
        <v>3</v>
      </c>
      <c r="F12" s="175">
        <v>17</v>
      </c>
      <c r="G12" s="175">
        <v>46</v>
      </c>
      <c r="H12" s="343" t="s">
        <v>69</v>
      </c>
      <c r="I12" s="343" t="s">
        <v>69</v>
      </c>
      <c r="J12" s="343">
        <v>3</v>
      </c>
      <c r="K12" s="343">
        <v>1</v>
      </c>
      <c r="L12" s="343">
        <v>0</v>
      </c>
      <c r="M12" s="343">
        <v>0</v>
      </c>
      <c r="N12" s="343">
        <v>0</v>
      </c>
      <c r="O12" s="343">
        <v>0</v>
      </c>
      <c r="P12" s="343" t="s">
        <v>69</v>
      </c>
      <c r="Q12" s="343" t="s">
        <v>69</v>
      </c>
      <c r="R12" s="343">
        <v>8</v>
      </c>
      <c r="S12" s="343">
        <v>12116</v>
      </c>
      <c r="T12" s="576" t="s">
        <v>407</v>
      </c>
      <c r="U12" s="176" t="s">
        <v>101</v>
      </c>
      <c r="V12" s="176" t="s">
        <v>117</v>
      </c>
      <c r="W12" s="176" t="s">
        <v>114</v>
      </c>
      <c r="X12" s="176" t="s">
        <v>127</v>
      </c>
      <c r="Y12" s="176" t="s">
        <v>167</v>
      </c>
      <c r="Z12" s="315">
        <v>1</v>
      </c>
      <c r="AA12" s="315">
        <v>0</v>
      </c>
      <c r="AB12" s="315">
        <v>0</v>
      </c>
      <c r="AC12" s="315">
        <v>1</v>
      </c>
      <c r="AD12" s="315">
        <v>0</v>
      </c>
      <c r="AE12" s="315">
        <v>0</v>
      </c>
      <c r="AF12" s="315">
        <v>0</v>
      </c>
      <c r="AG12" s="315">
        <v>0</v>
      </c>
      <c r="AH12" s="315">
        <v>0</v>
      </c>
      <c r="AI12" s="315">
        <v>0</v>
      </c>
      <c r="AJ12" s="315">
        <v>0</v>
      </c>
      <c r="AK12" s="315">
        <v>0</v>
      </c>
      <c r="AL12" s="315">
        <v>1</v>
      </c>
      <c r="AM12" s="315">
        <v>0</v>
      </c>
      <c r="AN12" s="315">
        <v>0</v>
      </c>
      <c r="AO12" s="315">
        <v>1</v>
      </c>
    </row>
    <row r="13" spans="1:48" ht="14.95" thickBot="1" x14ac:dyDescent="0.3">
      <c r="A13" s="100"/>
      <c r="B13" s="101"/>
      <c r="C13" s="884" t="s">
        <v>159</v>
      </c>
      <c r="D13" s="885"/>
      <c r="E13" s="886"/>
      <c r="F13" s="393">
        <f>SUM(F9:F12)</f>
        <v>122</v>
      </c>
      <c r="G13" s="393">
        <f t="shared" ref="G13:R13" si="0">SUM(G9:G12)</f>
        <v>133</v>
      </c>
      <c r="H13" s="393">
        <f t="shared" si="0"/>
        <v>2</v>
      </c>
      <c r="I13" s="393">
        <f t="shared" si="0"/>
        <v>0</v>
      </c>
      <c r="J13" s="393">
        <f t="shared" si="0"/>
        <v>19</v>
      </c>
      <c r="K13" s="393">
        <f t="shared" si="0"/>
        <v>12</v>
      </c>
      <c r="L13" s="393">
        <f t="shared" si="0"/>
        <v>0</v>
      </c>
      <c r="M13" s="393">
        <f t="shared" si="0"/>
        <v>1</v>
      </c>
      <c r="N13" s="393">
        <f t="shared" si="0"/>
        <v>0</v>
      </c>
      <c r="O13" s="393">
        <f t="shared" si="0"/>
        <v>1</v>
      </c>
      <c r="P13" s="393">
        <f t="shared" si="0"/>
        <v>2</v>
      </c>
      <c r="Q13" s="393">
        <f t="shared" si="0"/>
        <v>1</v>
      </c>
      <c r="R13" s="393">
        <f t="shared" si="0"/>
        <v>21</v>
      </c>
      <c r="T13" s="394"/>
      <c r="U13" s="394"/>
      <c r="V13" s="394"/>
      <c r="W13" s="394"/>
      <c r="X13" s="395"/>
      <c r="Y13" s="400" t="s">
        <v>159</v>
      </c>
      <c r="Z13" s="393">
        <f t="shared" ref="Z13:AO13" si="1">SUM(Z9:Z12)</f>
        <v>4</v>
      </c>
      <c r="AA13" s="393">
        <f t="shared" si="1"/>
        <v>2</v>
      </c>
      <c r="AB13" s="393">
        <f t="shared" si="1"/>
        <v>0</v>
      </c>
      <c r="AC13" s="393">
        <f t="shared" si="1"/>
        <v>2</v>
      </c>
      <c r="AD13" s="397">
        <f t="shared" si="1"/>
        <v>0</v>
      </c>
      <c r="AE13" s="397">
        <f t="shared" si="1"/>
        <v>0</v>
      </c>
      <c r="AF13" s="397">
        <f t="shared" si="1"/>
        <v>0</v>
      </c>
      <c r="AG13" s="397">
        <f t="shared" si="1"/>
        <v>0</v>
      </c>
      <c r="AH13" s="398">
        <f t="shared" si="1"/>
        <v>0</v>
      </c>
      <c r="AI13" s="398">
        <f t="shared" si="1"/>
        <v>0</v>
      </c>
      <c r="AJ13" s="398">
        <f t="shared" si="1"/>
        <v>0</v>
      </c>
      <c r="AK13" s="398">
        <f t="shared" si="1"/>
        <v>0</v>
      </c>
      <c r="AL13" s="393">
        <f t="shared" si="1"/>
        <v>4</v>
      </c>
      <c r="AM13" s="393">
        <f t="shared" si="1"/>
        <v>2</v>
      </c>
      <c r="AN13" s="393">
        <f t="shared" si="1"/>
        <v>0</v>
      </c>
      <c r="AO13" s="393">
        <f t="shared" si="1"/>
        <v>2</v>
      </c>
    </row>
    <row r="14" spans="1:48" ht="14.95" thickBot="1" x14ac:dyDescent="0.3">
      <c r="A14" s="100"/>
      <c r="B14" s="101"/>
      <c r="C14" s="999" t="s">
        <v>235</v>
      </c>
      <c r="D14" s="1000"/>
      <c r="E14" s="1001"/>
      <c r="F14" s="272">
        <f>SUM(F4:F6)</f>
        <v>142</v>
      </c>
      <c r="G14" s="272">
        <f t="shared" ref="G14:R14" si="2">SUM(G4:G6)</f>
        <v>36</v>
      </c>
      <c r="H14" s="272">
        <f t="shared" si="2"/>
        <v>2</v>
      </c>
      <c r="I14" s="272">
        <f t="shared" si="2"/>
        <v>0</v>
      </c>
      <c r="J14" s="272">
        <f t="shared" si="2"/>
        <v>22</v>
      </c>
      <c r="K14" s="272">
        <f t="shared" si="2"/>
        <v>16</v>
      </c>
      <c r="L14" s="272">
        <f t="shared" si="2"/>
        <v>0</v>
      </c>
      <c r="M14" s="272">
        <f t="shared" si="2"/>
        <v>0</v>
      </c>
      <c r="N14" s="272">
        <f t="shared" si="2"/>
        <v>5</v>
      </c>
      <c r="O14" s="272">
        <f t="shared" si="2"/>
        <v>0</v>
      </c>
      <c r="P14" s="272">
        <f t="shared" si="2"/>
        <v>0</v>
      </c>
      <c r="Q14" s="272">
        <f t="shared" si="2"/>
        <v>1</v>
      </c>
      <c r="R14" s="272">
        <f t="shared" si="2"/>
        <v>6</v>
      </c>
      <c r="T14" s="273"/>
      <c r="U14" s="273"/>
      <c r="V14" s="273"/>
      <c r="W14" s="273"/>
      <c r="X14" s="274"/>
      <c r="Y14" s="275" t="s">
        <v>235</v>
      </c>
      <c r="Z14" s="272">
        <f t="shared" ref="Z14:AO14" si="3">SUM(Z4:Z6)</f>
        <v>3</v>
      </c>
      <c r="AA14" s="272">
        <f t="shared" si="3"/>
        <v>3</v>
      </c>
      <c r="AB14" s="272">
        <f t="shared" si="3"/>
        <v>0</v>
      </c>
      <c r="AC14" s="272">
        <f t="shared" si="3"/>
        <v>0</v>
      </c>
      <c r="AD14" s="276">
        <f t="shared" si="3"/>
        <v>0</v>
      </c>
      <c r="AE14" s="276">
        <f t="shared" si="3"/>
        <v>0</v>
      </c>
      <c r="AF14" s="276">
        <f t="shared" si="3"/>
        <v>0</v>
      </c>
      <c r="AG14" s="276">
        <f t="shared" si="3"/>
        <v>0</v>
      </c>
      <c r="AH14" s="277">
        <f t="shared" si="3"/>
        <v>1</v>
      </c>
      <c r="AI14" s="277">
        <f t="shared" si="3"/>
        <v>1</v>
      </c>
      <c r="AJ14" s="277">
        <f t="shared" si="3"/>
        <v>0</v>
      </c>
      <c r="AK14" s="277">
        <f t="shared" si="3"/>
        <v>0</v>
      </c>
      <c r="AL14" s="272">
        <f t="shared" si="3"/>
        <v>2</v>
      </c>
      <c r="AM14" s="272">
        <f t="shared" si="3"/>
        <v>2</v>
      </c>
      <c r="AN14" s="272">
        <f t="shared" si="3"/>
        <v>0</v>
      </c>
      <c r="AO14" s="272">
        <f t="shared" si="3"/>
        <v>0</v>
      </c>
    </row>
    <row r="15" spans="1:48" ht="14.3" customHeight="1" thickBot="1" x14ac:dyDescent="0.3">
      <c r="A15" s="100"/>
      <c r="B15" s="101"/>
      <c r="C15" s="800" t="s">
        <v>70</v>
      </c>
      <c r="D15" s="801"/>
      <c r="E15" s="802"/>
      <c r="F15" s="124">
        <f>SUM(F3:F12)</f>
        <v>337</v>
      </c>
      <c r="G15" s="124">
        <f t="shared" ref="G15:R15" si="4">SUM(G3:G12)</f>
        <v>278</v>
      </c>
      <c r="H15" s="124">
        <f t="shared" si="4"/>
        <v>4</v>
      </c>
      <c r="I15" s="124">
        <f t="shared" si="4"/>
        <v>0</v>
      </c>
      <c r="J15" s="124">
        <f t="shared" si="4"/>
        <v>53</v>
      </c>
      <c r="K15" s="124">
        <f t="shared" si="4"/>
        <v>33</v>
      </c>
      <c r="L15" s="124">
        <f t="shared" si="4"/>
        <v>0</v>
      </c>
      <c r="M15" s="124">
        <f t="shared" si="4"/>
        <v>2</v>
      </c>
      <c r="N15" s="124">
        <f t="shared" si="4"/>
        <v>7</v>
      </c>
      <c r="O15" s="124">
        <f t="shared" si="4"/>
        <v>1</v>
      </c>
      <c r="P15" s="124">
        <f t="shared" si="4"/>
        <v>2</v>
      </c>
      <c r="Q15" s="124">
        <f t="shared" si="4"/>
        <v>2</v>
      </c>
      <c r="R15" s="124">
        <f t="shared" si="4"/>
        <v>44</v>
      </c>
      <c r="T15" s="187"/>
      <c r="U15" s="187"/>
      <c r="V15" s="187"/>
      <c r="W15" s="187"/>
      <c r="X15" s="12"/>
      <c r="Y15" s="129" t="s">
        <v>70</v>
      </c>
      <c r="Z15" s="124">
        <f t="shared" ref="Z15:AO15" si="5">SUM(Z3:Z12)</f>
        <v>10</v>
      </c>
      <c r="AA15" s="124">
        <f t="shared" si="5"/>
        <v>6</v>
      </c>
      <c r="AB15" s="124">
        <f t="shared" si="5"/>
        <v>0</v>
      </c>
      <c r="AC15" s="124">
        <f t="shared" si="5"/>
        <v>4</v>
      </c>
      <c r="AD15" s="122">
        <f t="shared" si="5"/>
        <v>2</v>
      </c>
      <c r="AE15" s="122">
        <f t="shared" si="5"/>
        <v>0</v>
      </c>
      <c r="AF15" s="122">
        <f t="shared" si="5"/>
        <v>0</v>
      </c>
      <c r="AG15" s="122">
        <f t="shared" si="5"/>
        <v>2</v>
      </c>
      <c r="AH15" s="123">
        <f t="shared" si="5"/>
        <v>2</v>
      </c>
      <c r="AI15" s="123">
        <f t="shared" si="5"/>
        <v>2</v>
      </c>
      <c r="AJ15" s="123">
        <f t="shared" si="5"/>
        <v>0</v>
      </c>
      <c r="AK15" s="123">
        <f t="shared" si="5"/>
        <v>0</v>
      </c>
      <c r="AL15" s="124">
        <f t="shared" si="5"/>
        <v>6</v>
      </c>
      <c r="AM15" s="124">
        <f t="shared" si="5"/>
        <v>4</v>
      </c>
      <c r="AN15" s="124">
        <f t="shared" si="5"/>
        <v>0</v>
      </c>
      <c r="AO15" s="124">
        <f t="shared" si="5"/>
        <v>2</v>
      </c>
    </row>
    <row r="16" spans="1:48" x14ac:dyDescent="0.25">
      <c r="A16" s="789" t="s">
        <v>53</v>
      </c>
      <c r="B16" s="790"/>
      <c r="C16" s="790"/>
      <c r="D16" s="790"/>
      <c r="E16" s="790"/>
      <c r="F16" s="790"/>
      <c r="G16" s="790"/>
      <c r="H16" s="790"/>
      <c r="I16" s="790"/>
      <c r="J16" s="790"/>
      <c r="K16" s="790"/>
      <c r="L16" s="790"/>
      <c r="M16" s="790"/>
      <c r="N16" s="790"/>
      <c r="O16" s="790"/>
      <c r="P16" s="790"/>
      <c r="Q16" s="790"/>
      <c r="R16" s="790"/>
    </row>
    <row r="17" spans="1:41" x14ac:dyDescent="0.25">
      <c r="A17" s="365" t="s">
        <v>213</v>
      </c>
    </row>
    <row r="18" spans="1:41" x14ac:dyDescent="0.25">
      <c r="A18" s="365" t="s">
        <v>246</v>
      </c>
    </row>
    <row r="19" spans="1:41" x14ac:dyDescent="0.25">
      <c r="A19" t="s">
        <v>289</v>
      </c>
    </row>
    <row r="20" spans="1:41" x14ac:dyDescent="0.25">
      <c r="A20" t="s">
        <v>287</v>
      </c>
      <c r="S20" s="69"/>
    </row>
    <row r="21" spans="1:41" x14ac:dyDescent="0.25">
      <c r="A21" s="789" t="s">
        <v>406</v>
      </c>
      <c r="B21" s="790"/>
      <c r="C21" s="790"/>
      <c r="D21" s="790"/>
      <c r="E21" s="790"/>
      <c r="F21" s="790"/>
      <c r="G21" s="790"/>
      <c r="H21" s="790"/>
      <c r="I21" s="790"/>
      <c r="J21" s="790"/>
      <c r="K21" s="790"/>
      <c r="L21" s="790"/>
      <c r="M21" s="790"/>
      <c r="N21" s="790"/>
      <c r="O21" s="790"/>
      <c r="P21" s="790"/>
      <c r="Q21" s="790"/>
      <c r="R21" s="790"/>
      <c r="S21" s="69"/>
    </row>
    <row r="22" spans="1:41" x14ac:dyDescent="0.25">
      <c r="A22" t="s">
        <v>74</v>
      </c>
      <c r="S22" s="69"/>
    </row>
    <row r="23" spans="1:41" x14ac:dyDescent="0.25">
      <c r="A23" s="292"/>
      <c r="B23" s="69" t="s">
        <v>40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 x14ac:dyDescent="0.25">
      <c r="A24" s="293"/>
      <c r="B24" s="69" t="s">
        <v>38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 x14ac:dyDescent="0.25">
      <c r="A25" s="294"/>
      <c r="B25" s="69" t="s">
        <v>39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 ht="16.3" x14ac:dyDescent="0.3">
      <c r="A26" s="579" t="s">
        <v>28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</sheetData>
  <mergeCells count="15">
    <mergeCell ref="A21:R21"/>
    <mergeCell ref="AH1:AK1"/>
    <mergeCell ref="AL1:AO1"/>
    <mergeCell ref="C13:E13"/>
    <mergeCell ref="A1:C1"/>
    <mergeCell ref="E1:G1"/>
    <mergeCell ref="H1:I1"/>
    <mergeCell ref="J1:M1"/>
    <mergeCell ref="N1:O1"/>
    <mergeCell ref="P1:R1"/>
    <mergeCell ref="A16:R16"/>
    <mergeCell ref="C14:E14"/>
    <mergeCell ref="C15:E15"/>
    <mergeCell ref="Z1:AC1"/>
    <mergeCell ref="AD1:AG1"/>
  </mergeCells>
  <pageMargins left="0.7" right="0.7" top="0.75" bottom="0.75" header="0.3" footer="0.3"/>
  <pageSetup paperSize="9" orientation="portrait" r:id="rId1"/>
  <ignoredErrors>
    <ignoredError sqref="F13:AO14" formulaRange="1"/>
    <ignoredError sqref="T7 T11" twoDigitTextYea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3357C-D821-4012-AB20-7294F6F9E0E8}">
  <dimension ref="A1:AV27"/>
  <sheetViews>
    <sheetView workbookViewId="0">
      <selection activeCell="A27" sqref="A27"/>
    </sheetView>
  </sheetViews>
  <sheetFormatPr defaultRowHeight="14.95" customHeight="1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625" customWidth="1"/>
    <col min="21" max="23" width="21.875" bestFit="1" customWidth="1"/>
    <col min="24" max="25" width="24.375" bestFit="1" customWidth="1"/>
    <col min="26" max="41" width="3.75" customWidth="1"/>
    <col min="46" max="47" width="9.875" bestFit="1" customWidth="1"/>
  </cols>
  <sheetData>
    <row r="1" spans="1:48" ht="14.95" customHeight="1" thickBot="1" x14ac:dyDescent="0.3">
      <c r="A1" s="1010" t="s">
        <v>560</v>
      </c>
      <c r="B1" s="1011"/>
      <c r="C1" s="1011"/>
      <c r="D1" s="366"/>
      <c r="E1" s="1012" t="s">
        <v>24</v>
      </c>
      <c r="F1" s="1013"/>
      <c r="G1" s="1014"/>
      <c r="H1" s="1012" t="s">
        <v>73</v>
      </c>
      <c r="I1" s="1014"/>
      <c r="J1" s="1015" t="s">
        <v>6</v>
      </c>
      <c r="K1" s="1016"/>
      <c r="L1" s="1016"/>
      <c r="M1" s="1017"/>
      <c r="N1" s="1015" t="s">
        <v>7</v>
      </c>
      <c r="O1" s="1017"/>
      <c r="P1" s="1015" t="s">
        <v>25</v>
      </c>
      <c r="Q1" s="1016"/>
      <c r="R1" s="1017"/>
      <c r="S1" s="478" t="s">
        <v>8</v>
      </c>
      <c r="T1" s="367" t="s">
        <v>9</v>
      </c>
      <c r="U1" s="368" t="s">
        <v>10</v>
      </c>
      <c r="V1" s="368" t="s">
        <v>11</v>
      </c>
      <c r="W1" s="368" t="s">
        <v>95</v>
      </c>
      <c r="X1" s="368" t="s">
        <v>26</v>
      </c>
      <c r="Y1" s="368" t="s">
        <v>27</v>
      </c>
      <c r="Z1" s="1004" t="s">
        <v>20</v>
      </c>
      <c r="AA1" s="1005"/>
      <c r="AB1" s="1005"/>
      <c r="AC1" s="1006"/>
      <c r="AD1" s="1004" t="s">
        <v>56</v>
      </c>
      <c r="AE1" s="1005"/>
      <c r="AF1" s="1005"/>
      <c r="AG1" s="1006"/>
      <c r="AH1" s="1004" t="s">
        <v>57</v>
      </c>
      <c r="AI1" s="1005"/>
      <c r="AJ1" s="1005"/>
      <c r="AK1" s="1006"/>
      <c r="AL1" s="1004" t="s">
        <v>58</v>
      </c>
      <c r="AM1" s="1005"/>
      <c r="AN1" s="1005"/>
      <c r="AO1" s="1006"/>
    </row>
    <row r="2" spans="1:48" ht="14.95" customHeight="1" thickBot="1" x14ac:dyDescent="0.3">
      <c r="A2" s="369" t="s">
        <v>19</v>
      </c>
      <c r="B2" s="370" t="s">
        <v>18</v>
      </c>
      <c r="C2" s="371" t="s">
        <v>17</v>
      </c>
      <c r="D2" s="371" t="s">
        <v>37</v>
      </c>
      <c r="E2" s="372" t="s">
        <v>16</v>
      </c>
      <c r="F2" s="372" t="s">
        <v>4</v>
      </c>
      <c r="G2" s="372" t="s">
        <v>5</v>
      </c>
      <c r="H2" s="373" t="s">
        <v>12</v>
      </c>
      <c r="I2" s="373" t="s">
        <v>3</v>
      </c>
      <c r="J2" s="373" t="s">
        <v>12</v>
      </c>
      <c r="K2" s="373" t="s">
        <v>13</v>
      </c>
      <c r="L2" s="373" t="s">
        <v>2</v>
      </c>
      <c r="M2" s="373" t="s">
        <v>14</v>
      </c>
      <c r="N2" s="373" t="s">
        <v>15</v>
      </c>
      <c r="O2" s="373" t="s">
        <v>16</v>
      </c>
      <c r="P2" s="373" t="s">
        <v>21</v>
      </c>
      <c r="Q2" s="373" t="s">
        <v>22</v>
      </c>
      <c r="R2" s="373" t="s">
        <v>12</v>
      </c>
      <c r="S2" s="552"/>
      <c r="T2" s="374"/>
      <c r="U2" s="375"/>
      <c r="V2" s="376"/>
      <c r="W2" s="376"/>
      <c r="X2" s="368"/>
      <c r="Y2" s="377"/>
      <c r="Z2" s="378" t="s">
        <v>0</v>
      </c>
      <c r="AA2" s="378" t="s">
        <v>1</v>
      </c>
      <c r="AB2" s="378" t="s">
        <v>2</v>
      </c>
      <c r="AC2" s="378" t="s">
        <v>3</v>
      </c>
      <c r="AD2" s="378" t="s">
        <v>0</v>
      </c>
      <c r="AE2" s="378" t="s">
        <v>1</v>
      </c>
      <c r="AF2" s="378" t="s">
        <v>2</v>
      </c>
      <c r="AG2" s="378" t="s">
        <v>3</v>
      </c>
      <c r="AH2" s="378" t="s">
        <v>0</v>
      </c>
      <c r="AI2" s="378" t="s">
        <v>1</v>
      </c>
      <c r="AJ2" s="378" t="s">
        <v>2</v>
      </c>
      <c r="AK2" s="378" t="s">
        <v>3</v>
      </c>
      <c r="AL2" s="378" t="s">
        <v>0</v>
      </c>
      <c r="AM2" s="378" t="s">
        <v>1</v>
      </c>
      <c r="AN2" s="378" t="s">
        <v>2</v>
      </c>
      <c r="AO2" s="378" t="s">
        <v>3</v>
      </c>
      <c r="AU2" s="69" t="s">
        <v>258</v>
      </c>
    </row>
    <row r="3" spans="1:48" ht="14.95" customHeight="1" thickBot="1" x14ac:dyDescent="0.35">
      <c r="A3" s="458" t="s">
        <v>147</v>
      </c>
      <c r="B3" s="459" t="s">
        <v>128</v>
      </c>
      <c r="C3" s="459" t="s">
        <v>163</v>
      </c>
      <c r="D3" s="459" t="s">
        <v>280</v>
      </c>
      <c r="E3" s="122" t="s">
        <v>1</v>
      </c>
      <c r="F3" s="122">
        <v>41</v>
      </c>
      <c r="G3" s="122">
        <v>12</v>
      </c>
      <c r="H3" s="460" t="s">
        <v>69</v>
      </c>
      <c r="I3" s="460" t="s">
        <v>69</v>
      </c>
      <c r="J3" s="460">
        <v>6</v>
      </c>
      <c r="K3" s="460">
        <v>4</v>
      </c>
      <c r="L3" s="460">
        <v>0</v>
      </c>
      <c r="M3" s="460">
        <v>1</v>
      </c>
      <c r="N3" s="460">
        <v>0</v>
      </c>
      <c r="O3" s="460">
        <v>0</v>
      </c>
      <c r="P3" s="460" t="s">
        <v>69</v>
      </c>
      <c r="Q3" s="460" t="s">
        <v>69</v>
      </c>
      <c r="R3" s="460">
        <v>2</v>
      </c>
      <c r="S3" s="553"/>
      <c r="T3" s="172" t="s">
        <v>281</v>
      </c>
      <c r="U3" s="168" t="s">
        <v>127</v>
      </c>
      <c r="V3" s="166" t="s">
        <v>92</v>
      </c>
      <c r="W3" s="169" t="s">
        <v>92</v>
      </c>
      <c r="X3" s="170" t="s">
        <v>110</v>
      </c>
      <c r="Y3" s="461" t="s">
        <v>111</v>
      </c>
      <c r="Z3" s="565">
        <v>1</v>
      </c>
      <c r="AA3" s="565">
        <v>1</v>
      </c>
      <c r="AB3" s="565">
        <v>0</v>
      </c>
      <c r="AC3" s="566">
        <v>0</v>
      </c>
      <c r="AD3" s="565">
        <v>1</v>
      </c>
      <c r="AE3" s="565">
        <v>1</v>
      </c>
      <c r="AF3" s="565">
        <v>0</v>
      </c>
      <c r="AG3" s="566">
        <v>0</v>
      </c>
      <c r="AH3" s="565">
        <v>0</v>
      </c>
      <c r="AI3" s="565">
        <v>0</v>
      </c>
      <c r="AJ3" s="565">
        <v>0</v>
      </c>
      <c r="AK3" s="566">
        <v>0</v>
      </c>
      <c r="AL3" s="565">
        <v>0</v>
      </c>
      <c r="AM3" s="565">
        <v>0</v>
      </c>
      <c r="AN3" s="565">
        <v>0</v>
      </c>
      <c r="AO3" s="566">
        <v>0</v>
      </c>
      <c r="AU3" s="443" t="s">
        <v>253</v>
      </c>
      <c r="AV3" s="444">
        <v>32</v>
      </c>
    </row>
    <row r="4" spans="1:48" ht="14.95" customHeight="1" thickBot="1" x14ac:dyDescent="0.35">
      <c r="A4" s="151" t="s">
        <v>148</v>
      </c>
      <c r="B4" s="152" t="s">
        <v>178</v>
      </c>
      <c r="C4" s="152" t="s">
        <v>168</v>
      </c>
      <c r="D4" s="152" t="s">
        <v>298</v>
      </c>
      <c r="E4" s="153" t="s">
        <v>1</v>
      </c>
      <c r="F4" s="153">
        <v>19</v>
      </c>
      <c r="G4" s="153">
        <v>7</v>
      </c>
      <c r="H4" s="345">
        <v>0</v>
      </c>
      <c r="I4" s="345">
        <v>0</v>
      </c>
      <c r="J4" s="345">
        <v>3</v>
      </c>
      <c r="K4" s="345">
        <v>2</v>
      </c>
      <c r="L4" s="345">
        <v>0</v>
      </c>
      <c r="M4" s="345">
        <v>0</v>
      </c>
      <c r="N4" s="345">
        <v>1</v>
      </c>
      <c r="O4" s="345">
        <v>0</v>
      </c>
      <c r="P4" s="345">
        <v>0</v>
      </c>
      <c r="Q4" s="345">
        <v>0</v>
      </c>
      <c r="R4" s="345">
        <v>1</v>
      </c>
      <c r="S4" s="554"/>
      <c r="T4" s="156" t="s">
        <v>185</v>
      </c>
      <c r="U4" s="154" t="s">
        <v>111</v>
      </c>
      <c r="V4" s="155" t="s">
        <v>92</v>
      </c>
      <c r="W4" s="157" t="s">
        <v>92</v>
      </c>
      <c r="X4" s="157" t="s">
        <v>296</v>
      </c>
      <c r="Y4" s="154" t="s">
        <v>297</v>
      </c>
      <c r="Z4" s="154">
        <v>1</v>
      </c>
      <c r="AA4" s="154">
        <v>1</v>
      </c>
      <c r="AB4" s="154">
        <v>0</v>
      </c>
      <c r="AC4" s="451">
        <v>0</v>
      </c>
      <c r="AD4" s="154">
        <v>0</v>
      </c>
      <c r="AE4" s="154">
        <v>0</v>
      </c>
      <c r="AF4" s="154">
        <v>0</v>
      </c>
      <c r="AG4" s="451">
        <v>0</v>
      </c>
      <c r="AH4" s="154">
        <v>1</v>
      </c>
      <c r="AI4" s="154">
        <v>1</v>
      </c>
      <c r="AJ4" s="154">
        <v>0</v>
      </c>
      <c r="AK4" s="451">
        <v>0</v>
      </c>
      <c r="AL4" s="154">
        <v>0</v>
      </c>
      <c r="AM4" s="154">
        <v>0</v>
      </c>
      <c r="AN4" s="154">
        <v>0</v>
      </c>
      <c r="AO4" s="451">
        <v>0</v>
      </c>
      <c r="AU4" s="445" t="s">
        <v>254</v>
      </c>
      <c r="AV4" s="446">
        <v>13</v>
      </c>
    </row>
    <row r="5" spans="1:48" ht="14.95" customHeight="1" thickBot="1" x14ac:dyDescent="0.35">
      <c r="A5" s="163" t="s">
        <v>177</v>
      </c>
      <c r="B5" s="164" t="s">
        <v>178</v>
      </c>
      <c r="C5" s="164" t="s">
        <v>170</v>
      </c>
      <c r="D5" s="164" t="s">
        <v>300</v>
      </c>
      <c r="E5" s="165" t="s">
        <v>1</v>
      </c>
      <c r="F5" s="165">
        <v>69</v>
      </c>
      <c r="G5" s="165">
        <v>0</v>
      </c>
      <c r="H5" s="344">
        <v>1</v>
      </c>
      <c r="I5" s="344">
        <v>0</v>
      </c>
      <c r="J5" s="344">
        <v>11</v>
      </c>
      <c r="K5" s="344">
        <v>7</v>
      </c>
      <c r="L5" s="344">
        <v>0</v>
      </c>
      <c r="M5" s="344">
        <v>0</v>
      </c>
      <c r="N5" s="344">
        <v>1</v>
      </c>
      <c r="O5" s="344">
        <v>0</v>
      </c>
      <c r="P5" s="344">
        <v>0</v>
      </c>
      <c r="Q5" s="344">
        <v>0</v>
      </c>
      <c r="R5" s="344">
        <v>0</v>
      </c>
      <c r="S5" s="553"/>
      <c r="T5" s="172" t="s">
        <v>198</v>
      </c>
      <c r="U5" s="166" t="s">
        <v>110</v>
      </c>
      <c r="V5" s="166" t="s">
        <v>92</v>
      </c>
      <c r="W5" s="166" t="s">
        <v>92</v>
      </c>
      <c r="X5" s="169" t="s">
        <v>302</v>
      </c>
      <c r="Y5" s="170" t="s">
        <v>303</v>
      </c>
      <c r="Z5" s="169">
        <v>1</v>
      </c>
      <c r="AA5" s="169">
        <v>1</v>
      </c>
      <c r="AB5" s="169">
        <v>0</v>
      </c>
      <c r="AC5" s="316">
        <v>0</v>
      </c>
      <c r="AD5" s="169">
        <v>1</v>
      </c>
      <c r="AE5" s="169">
        <v>1</v>
      </c>
      <c r="AF5" s="169">
        <v>0</v>
      </c>
      <c r="AG5" s="316">
        <v>0</v>
      </c>
      <c r="AH5" s="169">
        <v>0</v>
      </c>
      <c r="AI5" s="169">
        <v>0</v>
      </c>
      <c r="AJ5" s="169">
        <v>0</v>
      </c>
      <c r="AK5" s="316">
        <v>0</v>
      </c>
      <c r="AL5" s="169">
        <v>0</v>
      </c>
      <c r="AM5" s="169">
        <v>0</v>
      </c>
      <c r="AN5" s="169">
        <v>0</v>
      </c>
      <c r="AO5" s="316">
        <v>0</v>
      </c>
      <c r="AU5" s="445" t="s">
        <v>255</v>
      </c>
      <c r="AV5" s="446">
        <v>0</v>
      </c>
    </row>
    <row r="6" spans="1:48" ht="14.95" customHeight="1" thickBot="1" x14ac:dyDescent="0.35">
      <c r="A6" s="163" t="s">
        <v>150</v>
      </c>
      <c r="B6" s="164" t="s">
        <v>178</v>
      </c>
      <c r="C6" s="164" t="s">
        <v>108</v>
      </c>
      <c r="D6" s="164" t="s">
        <v>280</v>
      </c>
      <c r="E6" s="165" t="s">
        <v>1</v>
      </c>
      <c r="F6" s="165">
        <v>27</v>
      </c>
      <c r="G6" s="165">
        <v>17</v>
      </c>
      <c r="H6" s="344">
        <v>1</v>
      </c>
      <c r="I6" s="344">
        <v>0</v>
      </c>
      <c r="J6" s="344">
        <v>3</v>
      </c>
      <c r="K6" s="344">
        <v>3</v>
      </c>
      <c r="L6" s="344">
        <v>0</v>
      </c>
      <c r="M6" s="344">
        <v>2</v>
      </c>
      <c r="N6" s="344">
        <v>0</v>
      </c>
      <c r="O6" s="344">
        <v>0</v>
      </c>
      <c r="P6" s="344">
        <v>0</v>
      </c>
      <c r="Q6" s="344">
        <v>0</v>
      </c>
      <c r="R6" s="344">
        <v>3</v>
      </c>
      <c r="S6" s="553"/>
      <c r="T6" s="172" t="s">
        <v>267</v>
      </c>
      <c r="U6" s="168" t="s">
        <v>304</v>
      </c>
      <c r="V6" s="166" t="s">
        <v>92</v>
      </c>
      <c r="W6" s="166" t="s">
        <v>92</v>
      </c>
      <c r="X6" s="169" t="s">
        <v>305</v>
      </c>
      <c r="Y6" s="170" t="s">
        <v>306</v>
      </c>
      <c r="Z6" s="169">
        <v>1</v>
      </c>
      <c r="AA6" s="169">
        <v>1</v>
      </c>
      <c r="AB6" s="169">
        <v>0</v>
      </c>
      <c r="AC6" s="316">
        <v>0</v>
      </c>
      <c r="AD6" s="169">
        <v>1</v>
      </c>
      <c r="AE6" s="169">
        <v>1</v>
      </c>
      <c r="AF6" s="169">
        <v>0</v>
      </c>
      <c r="AG6" s="316">
        <v>0</v>
      </c>
      <c r="AH6" s="169">
        <v>0</v>
      </c>
      <c r="AI6" s="169">
        <v>0</v>
      </c>
      <c r="AJ6" s="169">
        <v>0</v>
      </c>
      <c r="AK6" s="316">
        <v>0</v>
      </c>
      <c r="AL6" s="169">
        <v>0</v>
      </c>
      <c r="AM6" s="169">
        <v>0</v>
      </c>
      <c r="AN6" s="169">
        <v>0</v>
      </c>
      <c r="AO6" s="316">
        <v>0</v>
      </c>
      <c r="AU6" s="445" t="s">
        <v>256</v>
      </c>
      <c r="AV6" s="446">
        <v>19</v>
      </c>
    </row>
    <row r="7" spans="1:48" ht="14.95" customHeight="1" thickBot="1" x14ac:dyDescent="0.3">
      <c r="A7" s="163" t="s">
        <v>152</v>
      </c>
      <c r="B7" s="164" t="s">
        <v>128</v>
      </c>
      <c r="C7" s="164" t="s">
        <v>88</v>
      </c>
      <c r="D7" s="164" t="s">
        <v>180</v>
      </c>
      <c r="E7" s="165" t="s">
        <v>3</v>
      </c>
      <c r="F7" s="165">
        <v>26</v>
      </c>
      <c r="G7" s="165">
        <v>48</v>
      </c>
      <c r="H7" s="344" t="s">
        <v>69</v>
      </c>
      <c r="I7" s="344" t="s">
        <v>69</v>
      </c>
      <c r="J7" s="344">
        <v>4</v>
      </c>
      <c r="K7" s="344">
        <v>3</v>
      </c>
      <c r="L7" s="344">
        <v>0</v>
      </c>
      <c r="M7" s="344">
        <v>0</v>
      </c>
      <c r="N7" s="344">
        <v>2</v>
      </c>
      <c r="O7" s="344">
        <v>0</v>
      </c>
      <c r="P7" s="344" t="s">
        <v>69</v>
      </c>
      <c r="Q7" s="344" t="s">
        <v>69</v>
      </c>
      <c r="R7" s="344">
        <v>8</v>
      </c>
      <c r="S7" s="553"/>
      <c r="T7" s="167" t="s">
        <v>181</v>
      </c>
      <c r="U7" s="169" t="s">
        <v>102</v>
      </c>
      <c r="V7" s="166" t="s">
        <v>92</v>
      </c>
      <c r="W7" s="166" t="s">
        <v>92</v>
      </c>
      <c r="X7" s="168" t="s">
        <v>140</v>
      </c>
      <c r="Y7" s="170" t="s">
        <v>175</v>
      </c>
      <c r="Z7" s="169">
        <v>1</v>
      </c>
      <c r="AA7" s="169">
        <v>0</v>
      </c>
      <c r="AB7" s="169">
        <v>0</v>
      </c>
      <c r="AC7" s="316">
        <v>1</v>
      </c>
      <c r="AD7" s="169">
        <v>1</v>
      </c>
      <c r="AE7" s="169">
        <v>0</v>
      </c>
      <c r="AF7" s="169">
        <v>0</v>
      </c>
      <c r="AG7" s="316">
        <v>1</v>
      </c>
      <c r="AH7" s="169">
        <v>0</v>
      </c>
      <c r="AI7" s="169">
        <v>0</v>
      </c>
      <c r="AJ7" s="169">
        <v>0</v>
      </c>
      <c r="AK7" s="316">
        <v>0</v>
      </c>
      <c r="AL7" s="169">
        <v>0</v>
      </c>
      <c r="AM7" s="169">
        <v>0</v>
      </c>
      <c r="AN7" s="169">
        <v>0</v>
      </c>
      <c r="AO7" s="316">
        <v>0</v>
      </c>
      <c r="AU7" s="445" t="s">
        <v>257</v>
      </c>
      <c r="AV7" s="446">
        <v>497</v>
      </c>
    </row>
    <row r="8" spans="1:48" ht="14.95" customHeight="1" thickBot="1" x14ac:dyDescent="0.3">
      <c r="A8" s="151" t="s">
        <v>259</v>
      </c>
      <c r="B8" s="152" t="s">
        <v>128</v>
      </c>
      <c r="C8" s="152" t="s">
        <v>91</v>
      </c>
      <c r="D8" s="152" t="s">
        <v>260</v>
      </c>
      <c r="E8" s="153" t="s">
        <v>3</v>
      </c>
      <c r="F8" s="153">
        <v>19</v>
      </c>
      <c r="G8" s="153">
        <v>32</v>
      </c>
      <c r="H8" s="345" t="s">
        <v>69</v>
      </c>
      <c r="I8" s="345" t="s">
        <v>69</v>
      </c>
      <c r="J8" s="345">
        <v>3</v>
      </c>
      <c r="K8" s="345">
        <v>2</v>
      </c>
      <c r="L8" s="345">
        <v>0</v>
      </c>
      <c r="M8" s="345">
        <v>0</v>
      </c>
      <c r="N8" s="345">
        <v>1</v>
      </c>
      <c r="O8" s="345">
        <v>0</v>
      </c>
      <c r="P8" s="345" t="s">
        <v>69</v>
      </c>
      <c r="Q8" s="345" t="s">
        <v>69</v>
      </c>
      <c r="R8" s="345">
        <v>5</v>
      </c>
      <c r="S8" s="554"/>
      <c r="T8" s="159" t="s">
        <v>263</v>
      </c>
      <c r="U8" s="449" t="s">
        <v>169</v>
      </c>
      <c r="V8" s="155" t="s">
        <v>92</v>
      </c>
      <c r="W8" s="155" t="s">
        <v>92</v>
      </c>
      <c r="X8" s="157" t="s">
        <v>109</v>
      </c>
      <c r="Y8" s="158" t="s">
        <v>262</v>
      </c>
      <c r="Z8" s="154">
        <v>1</v>
      </c>
      <c r="AA8" s="154">
        <v>0</v>
      </c>
      <c r="AB8" s="154">
        <v>0</v>
      </c>
      <c r="AC8" s="451">
        <v>1</v>
      </c>
      <c r="AD8" s="154">
        <v>0</v>
      </c>
      <c r="AE8" s="154">
        <v>0</v>
      </c>
      <c r="AF8" s="154">
        <v>0</v>
      </c>
      <c r="AG8" s="451">
        <v>0</v>
      </c>
      <c r="AH8" s="154">
        <v>1</v>
      </c>
      <c r="AI8" s="154">
        <v>0</v>
      </c>
      <c r="AJ8" s="154">
        <v>0</v>
      </c>
      <c r="AK8" s="451">
        <v>1</v>
      </c>
      <c r="AL8" s="154">
        <v>0</v>
      </c>
      <c r="AM8" s="154">
        <v>0</v>
      </c>
      <c r="AN8" s="154">
        <v>0</v>
      </c>
      <c r="AO8" s="451">
        <v>0</v>
      </c>
      <c r="AU8" s="447"/>
      <c r="AV8" s="448"/>
    </row>
    <row r="9" spans="1:48" ht="14.95" customHeight="1" thickBot="1" x14ac:dyDescent="0.3">
      <c r="A9" s="151" t="s">
        <v>266</v>
      </c>
      <c r="B9" s="152" t="s">
        <v>128</v>
      </c>
      <c r="C9" s="152" t="s">
        <v>91</v>
      </c>
      <c r="D9" s="152" t="s">
        <v>268</v>
      </c>
      <c r="E9" s="153" t="s">
        <v>3</v>
      </c>
      <c r="F9" s="153">
        <v>19</v>
      </c>
      <c r="G9" s="153">
        <v>30</v>
      </c>
      <c r="H9" s="345" t="s">
        <v>69</v>
      </c>
      <c r="I9" s="345" t="s">
        <v>69</v>
      </c>
      <c r="J9" s="345">
        <v>3</v>
      </c>
      <c r="K9" s="345">
        <v>2</v>
      </c>
      <c r="L9" s="345">
        <v>0</v>
      </c>
      <c r="M9" s="345">
        <v>0</v>
      </c>
      <c r="N9" s="345">
        <v>2</v>
      </c>
      <c r="O9" s="345">
        <v>0</v>
      </c>
      <c r="P9" s="345" t="s">
        <v>69</v>
      </c>
      <c r="Q9" s="345" t="s">
        <v>69</v>
      </c>
      <c r="R9" s="345">
        <v>5</v>
      </c>
      <c r="S9" s="554"/>
      <c r="T9" s="159" t="s">
        <v>271</v>
      </c>
      <c r="U9" s="449" t="s">
        <v>169</v>
      </c>
      <c r="V9" s="155" t="s">
        <v>92</v>
      </c>
      <c r="W9" s="155" t="s">
        <v>92</v>
      </c>
      <c r="X9" s="157" t="s">
        <v>109</v>
      </c>
      <c r="Y9" s="158" t="s">
        <v>262</v>
      </c>
      <c r="Z9" s="154">
        <v>1</v>
      </c>
      <c r="AA9" s="154">
        <v>0</v>
      </c>
      <c r="AB9" s="154">
        <v>0</v>
      </c>
      <c r="AC9" s="451">
        <v>1</v>
      </c>
      <c r="AD9" s="154">
        <v>0</v>
      </c>
      <c r="AE9" s="154">
        <v>0</v>
      </c>
      <c r="AF9" s="154">
        <v>0</v>
      </c>
      <c r="AG9" s="451">
        <v>0</v>
      </c>
      <c r="AH9" s="154">
        <v>1</v>
      </c>
      <c r="AI9" s="154">
        <v>0</v>
      </c>
      <c r="AJ9" s="154">
        <v>0</v>
      </c>
      <c r="AK9" s="451">
        <v>1</v>
      </c>
      <c r="AL9" s="154">
        <v>0</v>
      </c>
      <c r="AM9" s="154">
        <v>0</v>
      </c>
      <c r="AN9" s="154">
        <v>0</v>
      </c>
      <c r="AO9" s="451">
        <v>0</v>
      </c>
      <c r="AU9" s="447"/>
      <c r="AV9" s="448"/>
    </row>
    <row r="10" spans="1:48" ht="14.95" customHeight="1" thickBot="1" x14ac:dyDescent="0.3">
      <c r="A10" s="151" t="s">
        <v>274</v>
      </c>
      <c r="B10" s="152" t="s">
        <v>128</v>
      </c>
      <c r="C10" s="152" t="s">
        <v>30</v>
      </c>
      <c r="D10" s="152" t="s">
        <v>153</v>
      </c>
      <c r="E10" s="153" t="s">
        <v>3</v>
      </c>
      <c r="F10" s="153">
        <v>7</v>
      </c>
      <c r="G10" s="153">
        <v>97</v>
      </c>
      <c r="H10" s="345" t="s">
        <v>69</v>
      </c>
      <c r="I10" s="345" t="s">
        <v>69</v>
      </c>
      <c r="J10" s="345">
        <v>1</v>
      </c>
      <c r="K10" s="345">
        <v>1</v>
      </c>
      <c r="L10" s="345">
        <v>0</v>
      </c>
      <c r="M10" s="345">
        <v>0</v>
      </c>
      <c r="N10" s="345">
        <v>0</v>
      </c>
      <c r="O10" s="345">
        <v>0</v>
      </c>
      <c r="P10" s="345" t="s">
        <v>69</v>
      </c>
      <c r="Q10" s="345" t="s">
        <v>69</v>
      </c>
      <c r="R10" s="345">
        <v>15</v>
      </c>
      <c r="S10" s="554"/>
      <c r="T10" s="159" t="s">
        <v>276</v>
      </c>
      <c r="U10" s="157" t="s">
        <v>103</v>
      </c>
      <c r="V10" s="155" t="s">
        <v>116</v>
      </c>
      <c r="W10" s="155" t="s">
        <v>92</v>
      </c>
      <c r="X10" s="155" t="s">
        <v>110</v>
      </c>
      <c r="Y10" s="348" t="s">
        <v>275</v>
      </c>
      <c r="Z10" s="154">
        <v>1</v>
      </c>
      <c r="AA10" s="154">
        <v>0</v>
      </c>
      <c r="AB10" s="154">
        <v>0</v>
      </c>
      <c r="AC10" s="451">
        <v>1</v>
      </c>
      <c r="AD10" s="154">
        <v>0</v>
      </c>
      <c r="AE10" s="154">
        <v>0</v>
      </c>
      <c r="AF10" s="154">
        <v>0</v>
      </c>
      <c r="AG10" s="451">
        <v>0</v>
      </c>
      <c r="AH10" s="154">
        <v>1</v>
      </c>
      <c r="AI10" s="154">
        <v>0</v>
      </c>
      <c r="AJ10" s="154">
        <v>0</v>
      </c>
      <c r="AK10" s="451">
        <v>1</v>
      </c>
      <c r="AL10" s="154">
        <v>0</v>
      </c>
      <c r="AM10" s="154">
        <v>0</v>
      </c>
      <c r="AN10" s="154">
        <v>0</v>
      </c>
      <c r="AO10" s="451">
        <v>0</v>
      </c>
      <c r="AU10" s="447"/>
      <c r="AV10" s="448"/>
    </row>
    <row r="11" spans="1:48" ht="14.95" customHeight="1" thickBot="1" x14ac:dyDescent="0.3">
      <c r="A11" s="177" t="s">
        <v>164</v>
      </c>
      <c r="B11" s="178" t="s">
        <v>155</v>
      </c>
      <c r="C11" s="178" t="s">
        <v>72</v>
      </c>
      <c r="D11" s="178" t="s">
        <v>146</v>
      </c>
      <c r="E11" s="175" t="s">
        <v>3</v>
      </c>
      <c r="F11" s="175">
        <v>8</v>
      </c>
      <c r="G11" s="175">
        <v>54</v>
      </c>
      <c r="H11" s="343">
        <v>0</v>
      </c>
      <c r="I11" s="343">
        <v>0</v>
      </c>
      <c r="J11" s="343">
        <v>1</v>
      </c>
      <c r="K11" s="343">
        <v>0</v>
      </c>
      <c r="L11" s="343">
        <v>0</v>
      </c>
      <c r="M11" s="343">
        <v>1</v>
      </c>
      <c r="N11" s="343">
        <v>0</v>
      </c>
      <c r="O11" s="343">
        <v>0</v>
      </c>
      <c r="P11" s="343">
        <v>1</v>
      </c>
      <c r="Q11" s="343">
        <v>0</v>
      </c>
      <c r="R11" s="343">
        <v>8</v>
      </c>
      <c r="S11" s="555">
        <v>7458</v>
      </c>
      <c r="T11" s="194" t="s">
        <v>364</v>
      </c>
      <c r="U11" s="176" t="s">
        <v>127</v>
      </c>
      <c r="V11" s="282" t="s">
        <v>97</v>
      </c>
      <c r="W11" s="282" t="s">
        <v>116</v>
      </c>
      <c r="X11" s="528" t="s">
        <v>167</v>
      </c>
      <c r="Y11" s="529" t="s">
        <v>111</v>
      </c>
      <c r="Z11" s="176">
        <v>1</v>
      </c>
      <c r="AA11" s="176">
        <v>0</v>
      </c>
      <c r="AB11" s="176">
        <v>0</v>
      </c>
      <c r="AC11" s="315">
        <v>1</v>
      </c>
      <c r="AD11" s="176">
        <v>0</v>
      </c>
      <c r="AE11" s="176">
        <v>0</v>
      </c>
      <c r="AF11" s="176">
        <v>0</v>
      </c>
      <c r="AG11" s="315">
        <v>0</v>
      </c>
      <c r="AH11" s="176">
        <v>0</v>
      </c>
      <c r="AI11" s="176">
        <v>0</v>
      </c>
      <c r="AJ11" s="176">
        <v>0</v>
      </c>
      <c r="AK11" s="315">
        <v>0</v>
      </c>
      <c r="AL11" s="176">
        <v>1</v>
      </c>
      <c r="AM11" s="176">
        <v>0</v>
      </c>
      <c r="AN11" s="176">
        <v>0</v>
      </c>
      <c r="AO11" s="315">
        <v>1</v>
      </c>
      <c r="AU11" s="447"/>
      <c r="AV11" s="448"/>
    </row>
    <row r="12" spans="1:48" ht="14.95" customHeight="1" thickBot="1" x14ac:dyDescent="0.3">
      <c r="A12" s="177" t="s">
        <v>162</v>
      </c>
      <c r="B12" s="178" t="s">
        <v>155</v>
      </c>
      <c r="C12" s="178" t="s">
        <v>35</v>
      </c>
      <c r="D12" s="178" t="s">
        <v>158</v>
      </c>
      <c r="E12" s="175" t="s">
        <v>3</v>
      </c>
      <c r="F12" s="175">
        <v>27</v>
      </c>
      <c r="G12" s="175">
        <v>43</v>
      </c>
      <c r="H12" s="343">
        <v>1</v>
      </c>
      <c r="I12" s="343">
        <v>0</v>
      </c>
      <c r="J12" s="343">
        <v>5</v>
      </c>
      <c r="K12" s="343">
        <v>1</v>
      </c>
      <c r="L12" s="343">
        <v>0</v>
      </c>
      <c r="M12" s="343">
        <v>0</v>
      </c>
      <c r="N12" s="343">
        <v>0</v>
      </c>
      <c r="O12" s="343">
        <v>0</v>
      </c>
      <c r="P12" s="343">
        <v>1</v>
      </c>
      <c r="Q12" s="343">
        <v>0</v>
      </c>
      <c r="R12" s="343">
        <v>7</v>
      </c>
      <c r="S12" s="555">
        <v>8834</v>
      </c>
      <c r="T12" s="188" t="s">
        <v>379</v>
      </c>
      <c r="U12" s="360" t="s">
        <v>167</v>
      </c>
      <c r="V12" s="179" t="s">
        <v>114</v>
      </c>
      <c r="W12" s="179" t="s">
        <v>96</v>
      </c>
      <c r="X12" s="180" t="s">
        <v>99</v>
      </c>
      <c r="Y12" s="176" t="s">
        <v>111</v>
      </c>
      <c r="Z12" s="176">
        <v>1</v>
      </c>
      <c r="AA12" s="176">
        <v>0</v>
      </c>
      <c r="AB12" s="176">
        <v>0</v>
      </c>
      <c r="AC12" s="315">
        <v>1</v>
      </c>
      <c r="AD12" s="176">
        <v>0</v>
      </c>
      <c r="AE12" s="176">
        <v>0</v>
      </c>
      <c r="AF12" s="176">
        <v>0</v>
      </c>
      <c r="AG12" s="315">
        <v>0</v>
      </c>
      <c r="AH12" s="176">
        <v>0</v>
      </c>
      <c r="AI12" s="176">
        <v>0</v>
      </c>
      <c r="AJ12" s="176">
        <v>0</v>
      </c>
      <c r="AK12" s="315">
        <v>0</v>
      </c>
      <c r="AL12" s="176">
        <v>1</v>
      </c>
      <c r="AM12" s="176">
        <v>0</v>
      </c>
      <c r="AN12" s="176">
        <v>0</v>
      </c>
      <c r="AO12" s="315">
        <v>1</v>
      </c>
      <c r="AU12" s="447"/>
      <c r="AV12" s="448"/>
    </row>
    <row r="13" spans="1:48" ht="14.95" customHeight="1" thickBot="1" x14ac:dyDescent="0.35">
      <c r="A13" s="177" t="s">
        <v>137</v>
      </c>
      <c r="B13" s="178" t="s">
        <v>155</v>
      </c>
      <c r="C13" s="178" t="s">
        <v>91</v>
      </c>
      <c r="D13" s="178" t="s">
        <v>146</v>
      </c>
      <c r="E13" s="175" t="s">
        <v>3</v>
      </c>
      <c r="F13" s="175">
        <v>21</v>
      </c>
      <c r="G13" s="175">
        <v>29</v>
      </c>
      <c r="H13" s="343">
        <v>0</v>
      </c>
      <c r="I13" s="343">
        <v>0</v>
      </c>
      <c r="J13" s="343">
        <v>3</v>
      </c>
      <c r="K13" s="343">
        <v>3</v>
      </c>
      <c r="L13" s="343">
        <v>0</v>
      </c>
      <c r="M13" s="343">
        <v>0</v>
      </c>
      <c r="N13" s="343">
        <v>1</v>
      </c>
      <c r="O13" s="343">
        <v>0</v>
      </c>
      <c r="P13" s="343">
        <v>1</v>
      </c>
      <c r="Q13" s="343">
        <v>0</v>
      </c>
      <c r="R13" s="343">
        <v>5</v>
      </c>
      <c r="S13" s="555"/>
      <c r="T13" s="573" t="s">
        <v>375</v>
      </c>
      <c r="U13" s="176" t="s">
        <v>101</v>
      </c>
      <c r="V13" s="176" t="s">
        <v>96</v>
      </c>
      <c r="W13" s="176" t="s">
        <v>114</v>
      </c>
      <c r="X13" s="176" t="s">
        <v>102</v>
      </c>
      <c r="Y13" s="181" t="s">
        <v>111</v>
      </c>
      <c r="Z13" s="176">
        <v>1</v>
      </c>
      <c r="AA13" s="176">
        <v>0</v>
      </c>
      <c r="AB13" s="176">
        <v>0</v>
      </c>
      <c r="AC13" s="315">
        <v>1</v>
      </c>
      <c r="AD13" s="176">
        <v>0</v>
      </c>
      <c r="AE13" s="176">
        <v>0</v>
      </c>
      <c r="AF13" s="176">
        <v>0</v>
      </c>
      <c r="AG13" s="315">
        <v>0</v>
      </c>
      <c r="AH13" s="176">
        <v>0</v>
      </c>
      <c r="AI13" s="176">
        <v>0</v>
      </c>
      <c r="AJ13" s="176">
        <v>0</v>
      </c>
      <c r="AK13" s="315">
        <v>0</v>
      </c>
      <c r="AL13" s="176">
        <v>1</v>
      </c>
      <c r="AM13" s="176">
        <v>0</v>
      </c>
      <c r="AN13" s="176">
        <v>0</v>
      </c>
      <c r="AO13" s="315">
        <v>1</v>
      </c>
      <c r="AU13" s="447"/>
      <c r="AV13" s="448"/>
    </row>
    <row r="14" spans="1:48" ht="14.95" customHeight="1" thickBot="1" x14ac:dyDescent="0.3">
      <c r="A14" s="100"/>
      <c r="B14" s="101"/>
      <c r="C14" s="1007" t="s">
        <v>159</v>
      </c>
      <c r="D14" s="1008"/>
      <c r="E14" s="1009"/>
      <c r="F14" s="405">
        <f>SUM(F11:F13)</f>
        <v>56</v>
      </c>
      <c r="G14" s="405">
        <f t="shared" ref="G14:R14" si="0">SUM(G11:G13)</f>
        <v>126</v>
      </c>
      <c r="H14" s="405">
        <f t="shared" si="0"/>
        <v>1</v>
      </c>
      <c r="I14" s="405">
        <f t="shared" si="0"/>
        <v>0</v>
      </c>
      <c r="J14" s="405">
        <f t="shared" si="0"/>
        <v>9</v>
      </c>
      <c r="K14" s="405">
        <f t="shared" si="0"/>
        <v>4</v>
      </c>
      <c r="L14" s="405">
        <f t="shared" si="0"/>
        <v>0</v>
      </c>
      <c r="M14" s="405">
        <f t="shared" si="0"/>
        <v>1</v>
      </c>
      <c r="N14" s="405">
        <f t="shared" si="0"/>
        <v>1</v>
      </c>
      <c r="O14" s="405">
        <f t="shared" si="0"/>
        <v>0</v>
      </c>
      <c r="P14" s="405">
        <f t="shared" si="0"/>
        <v>3</v>
      </c>
      <c r="Q14" s="405">
        <f t="shared" si="0"/>
        <v>0</v>
      </c>
      <c r="R14" s="405">
        <f t="shared" si="0"/>
        <v>20</v>
      </c>
      <c r="S14" s="394"/>
      <c r="T14" s="394"/>
      <c r="U14" s="394"/>
      <c r="V14" s="394"/>
      <c r="W14" s="394"/>
      <c r="X14" s="395"/>
      <c r="Y14" s="400" t="s">
        <v>159</v>
      </c>
      <c r="Z14" s="405">
        <f t="shared" ref="Z14:AO14" si="1">SUM(Z11:Z13)</f>
        <v>3</v>
      </c>
      <c r="AA14" s="405">
        <f t="shared" si="1"/>
        <v>0</v>
      </c>
      <c r="AB14" s="405">
        <f t="shared" si="1"/>
        <v>0</v>
      </c>
      <c r="AC14" s="405">
        <f t="shared" si="1"/>
        <v>3</v>
      </c>
      <c r="AD14" s="406">
        <f t="shared" si="1"/>
        <v>0</v>
      </c>
      <c r="AE14" s="406">
        <f t="shared" si="1"/>
        <v>0</v>
      </c>
      <c r="AF14" s="406">
        <f t="shared" si="1"/>
        <v>0</v>
      </c>
      <c r="AG14" s="406">
        <f t="shared" si="1"/>
        <v>0</v>
      </c>
      <c r="AH14" s="407">
        <f t="shared" si="1"/>
        <v>0</v>
      </c>
      <c r="AI14" s="407">
        <f t="shared" si="1"/>
        <v>0</v>
      </c>
      <c r="AJ14" s="407">
        <f t="shared" si="1"/>
        <v>0</v>
      </c>
      <c r="AK14" s="407">
        <f t="shared" si="1"/>
        <v>0</v>
      </c>
      <c r="AL14" s="405">
        <f t="shared" si="1"/>
        <v>3</v>
      </c>
      <c r="AM14" s="405">
        <f t="shared" si="1"/>
        <v>0</v>
      </c>
      <c r="AN14" s="405">
        <f t="shared" si="1"/>
        <v>0</v>
      </c>
      <c r="AO14" s="405">
        <f t="shared" si="1"/>
        <v>3</v>
      </c>
    </row>
    <row r="15" spans="1:48" ht="14.95" customHeight="1" thickBot="1" x14ac:dyDescent="0.3">
      <c r="A15" s="100"/>
      <c r="B15" s="101"/>
      <c r="C15" s="797" t="s">
        <v>179</v>
      </c>
      <c r="D15" s="1002"/>
      <c r="E15" s="1003"/>
      <c r="F15" s="379">
        <f t="shared" ref="F15:R15" si="2">SUM(F4:F6)</f>
        <v>115</v>
      </c>
      <c r="G15" s="379">
        <f t="shared" si="2"/>
        <v>24</v>
      </c>
      <c r="H15" s="379">
        <f t="shared" si="2"/>
        <v>2</v>
      </c>
      <c r="I15" s="379">
        <f t="shared" si="2"/>
        <v>0</v>
      </c>
      <c r="J15" s="379">
        <f t="shared" si="2"/>
        <v>17</v>
      </c>
      <c r="K15" s="379">
        <f t="shared" si="2"/>
        <v>12</v>
      </c>
      <c r="L15" s="379">
        <f t="shared" si="2"/>
        <v>0</v>
      </c>
      <c r="M15" s="379">
        <f t="shared" si="2"/>
        <v>2</v>
      </c>
      <c r="N15" s="379">
        <f t="shared" si="2"/>
        <v>2</v>
      </c>
      <c r="O15" s="379">
        <f t="shared" si="2"/>
        <v>0</v>
      </c>
      <c r="P15" s="379">
        <f t="shared" si="2"/>
        <v>0</v>
      </c>
      <c r="Q15" s="379">
        <f t="shared" si="2"/>
        <v>0</v>
      </c>
      <c r="R15" s="379">
        <f t="shared" si="2"/>
        <v>4</v>
      </c>
      <c r="S15" s="380"/>
      <c r="T15" s="380"/>
      <c r="U15" s="380"/>
      <c r="V15" s="380"/>
      <c r="W15" s="380"/>
      <c r="X15" s="381"/>
      <c r="Y15" s="382" t="s">
        <v>179</v>
      </c>
      <c r="Z15" s="379">
        <f t="shared" ref="Z15:AO15" si="3">SUM(Z4:Z6)</f>
        <v>3</v>
      </c>
      <c r="AA15" s="379">
        <f t="shared" si="3"/>
        <v>3</v>
      </c>
      <c r="AB15" s="379">
        <f t="shared" si="3"/>
        <v>0</v>
      </c>
      <c r="AC15" s="379">
        <f t="shared" si="3"/>
        <v>0</v>
      </c>
      <c r="AD15" s="383">
        <f t="shared" si="3"/>
        <v>2</v>
      </c>
      <c r="AE15" s="383">
        <f t="shared" si="3"/>
        <v>2</v>
      </c>
      <c r="AF15" s="383">
        <f t="shared" si="3"/>
        <v>0</v>
      </c>
      <c r="AG15" s="383">
        <f t="shared" si="3"/>
        <v>0</v>
      </c>
      <c r="AH15" s="384">
        <f t="shared" si="3"/>
        <v>1</v>
      </c>
      <c r="AI15" s="384">
        <f t="shared" si="3"/>
        <v>1</v>
      </c>
      <c r="AJ15" s="384">
        <f t="shared" si="3"/>
        <v>0</v>
      </c>
      <c r="AK15" s="384">
        <f t="shared" si="3"/>
        <v>0</v>
      </c>
      <c r="AL15" s="379">
        <f t="shared" si="3"/>
        <v>0</v>
      </c>
      <c r="AM15" s="379">
        <f t="shared" si="3"/>
        <v>0</v>
      </c>
      <c r="AN15" s="379">
        <f t="shared" si="3"/>
        <v>0</v>
      </c>
      <c r="AO15" s="379">
        <f t="shared" si="3"/>
        <v>0</v>
      </c>
    </row>
    <row r="16" spans="1:48" ht="14.95" customHeight="1" thickBot="1" x14ac:dyDescent="0.3">
      <c r="A16" s="100"/>
      <c r="B16" s="101"/>
      <c r="C16" s="800" t="s">
        <v>70</v>
      </c>
      <c r="D16" s="801"/>
      <c r="E16" s="802"/>
      <c r="F16" s="124">
        <f t="shared" ref="F16:R16" si="4">SUM(F3:F13)</f>
        <v>283</v>
      </c>
      <c r="G16" s="124">
        <f t="shared" si="4"/>
        <v>369</v>
      </c>
      <c r="H16" s="124">
        <f t="shared" si="4"/>
        <v>3</v>
      </c>
      <c r="I16" s="124">
        <f t="shared" si="4"/>
        <v>0</v>
      </c>
      <c r="J16" s="124">
        <f t="shared" si="4"/>
        <v>43</v>
      </c>
      <c r="K16" s="124">
        <f t="shared" si="4"/>
        <v>28</v>
      </c>
      <c r="L16" s="124">
        <f t="shared" si="4"/>
        <v>0</v>
      </c>
      <c r="M16" s="124">
        <f t="shared" si="4"/>
        <v>4</v>
      </c>
      <c r="N16" s="124">
        <f t="shared" si="4"/>
        <v>8</v>
      </c>
      <c r="O16" s="124">
        <f t="shared" si="4"/>
        <v>0</v>
      </c>
      <c r="P16" s="124">
        <f t="shared" si="4"/>
        <v>3</v>
      </c>
      <c r="Q16" s="124">
        <f t="shared" si="4"/>
        <v>0</v>
      </c>
      <c r="R16" s="124">
        <f t="shared" si="4"/>
        <v>59</v>
      </c>
      <c r="S16" s="187"/>
      <c r="T16" s="187"/>
      <c r="U16" s="187"/>
      <c r="V16" s="187"/>
      <c r="W16" s="187"/>
      <c r="X16" s="12"/>
      <c r="Y16" s="129" t="s">
        <v>70</v>
      </c>
      <c r="Z16" s="124">
        <f t="shared" ref="Z16:AO16" si="5">SUM(Z3:Z13)</f>
        <v>11</v>
      </c>
      <c r="AA16" s="124">
        <f t="shared" si="5"/>
        <v>4</v>
      </c>
      <c r="AB16" s="124">
        <f t="shared" si="5"/>
        <v>0</v>
      </c>
      <c r="AC16" s="124">
        <f t="shared" si="5"/>
        <v>7</v>
      </c>
      <c r="AD16" s="122">
        <f t="shared" si="5"/>
        <v>4</v>
      </c>
      <c r="AE16" s="122">
        <f t="shared" si="5"/>
        <v>3</v>
      </c>
      <c r="AF16" s="122">
        <f t="shared" si="5"/>
        <v>0</v>
      </c>
      <c r="AG16" s="122">
        <f t="shared" si="5"/>
        <v>1</v>
      </c>
      <c r="AH16" s="123">
        <f t="shared" si="5"/>
        <v>4</v>
      </c>
      <c r="AI16" s="123">
        <f t="shared" si="5"/>
        <v>1</v>
      </c>
      <c r="AJ16" s="123">
        <f t="shared" si="5"/>
        <v>0</v>
      </c>
      <c r="AK16" s="123">
        <f t="shared" si="5"/>
        <v>3</v>
      </c>
      <c r="AL16" s="124">
        <f t="shared" si="5"/>
        <v>3</v>
      </c>
      <c r="AM16" s="124">
        <f t="shared" si="5"/>
        <v>0</v>
      </c>
      <c r="AN16" s="124">
        <f t="shared" si="5"/>
        <v>0</v>
      </c>
      <c r="AO16" s="124">
        <f t="shared" si="5"/>
        <v>3</v>
      </c>
    </row>
    <row r="17" spans="1:40" ht="14.95" customHeight="1" x14ac:dyDescent="0.25">
      <c r="A17" s="789" t="s">
        <v>53</v>
      </c>
      <c r="B17" s="790"/>
      <c r="C17" s="790"/>
      <c r="D17" s="790"/>
      <c r="E17" s="790"/>
      <c r="F17" s="790"/>
      <c r="G17" s="790"/>
      <c r="H17" s="790"/>
      <c r="I17" s="790"/>
      <c r="J17" s="790"/>
      <c r="K17" s="790"/>
      <c r="L17" s="790"/>
      <c r="M17" s="790"/>
      <c r="N17" s="790"/>
      <c r="O17" s="790"/>
      <c r="P17" s="790"/>
      <c r="Q17" s="790"/>
      <c r="R17" s="790"/>
      <c r="S17" s="790"/>
      <c r="T17" s="790"/>
      <c r="U17" s="790"/>
      <c r="V17" s="790"/>
      <c r="W17" s="790"/>
      <c r="X17" s="790"/>
      <c r="Y17" s="790"/>
      <c r="Z17" s="790"/>
      <c r="AA17" s="790"/>
      <c r="AB17" s="790"/>
      <c r="AC17" s="790"/>
      <c r="AD17" s="790"/>
      <c r="AE17" s="790"/>
      <c r="AF17" s="790"/>
      <c r="AG17" s="790"/>
      <c r="AH17" s="790"/>
      <c r="AI17" s="790"/>
      <c r="AJ17" s="790"/>
      <c r="AK17" s="790"/>
      <c r="AL17" s="790"/>
      <c r="AM17" s="790"/>
      <c r="AN17" s="790"/>
    </row>
    <row r="18" spans="1:40" ht="14.95" customHeight="1" x14ac:dyDescent="0.25">
      <c r="A18" s="469" t="s">
        <v>299</v>
      </c>
    </row>
    <row r="19" spans="1:40" ht="14.95" customHeight="1" x14ac:dyDescent="0.25">
      <c r="A19" t="s">
        <v>301</v>
      </c>
    </row>
    <row r="20" spans="1:40" ht="14.95" customHeight="1" x14ac:dyDescent="0.25">
      <c r="A20" t="s">
        <v>277</v>
      </c>
    </row>
    <row r="21" spans="1:40" ht="14.95" customHeight="1" x14ac:dyDescent="0.25">
      <c r="A21" t="s">
        <v>290</v>
      </c>
    </row>
    <row r="22" spans="1:40" ht="14.95" customHeight="1" x14ac:dyDescent="0.25">
      <c r="A22" s="789" t="s">
        <v>393</v>
      </c>
      <c r="B22" s="790"/>
      <c r="C22" s="790"/>
      <c r="D22" s="790"/>
      <c r="E22" s="790"/>
      <c r="F22" s="790"/>
      <c r="G22" s="790"/>
      <c r="H22" s="790"/>
      <c r="I22" s="790"/>
      <c r="J22" s="790"/>
      <c r="K22" s="790"/>
      <c r="L22" s="790"/>
      <c r="M22" s="790"/>
      <c r="N22" s="790"/>
      <c r="O22" s="790"/>
      <c r="P22" s="790"/>
      <c r="Q22" s="790"/>
      <c r="R22" s="790"/>
      <c r="S22" s="790"/>
      <c r="T22" s="790"/>
      <c r="U22" s="790"/>
      <c r="V22" s="790"/>
      <c r="W22" s="790"/>
      <c r="X22" s="790"/>
      <c r="Y22" s="790"/>
      <c r="Z22" s="790"/>
      <c r="AA22" s="790"/>
      <c r="AB22" s="790"/>
      <c r="AC22" s="790"/>
      <c r="AD22" s="790"/>
      <c r="AE22" s="790"/>
      <c r="AF22" s="790"/>
      <c r="AG22" s="790"/>
      <c r="AH22" s="790"/>
      <c r="AI22" s="790"/>
      <c r="AJ22" s="790"/>
      <c r="AK22" s="790"/>
      <c r="AL22" s="790"/>
      <c r="AM22" s="790"/>
      <c r="AN22" s="790"/>
    </row>
    <row r="23" spans="1:40" ht="14.95" customHeight="1" x14ac:dyDescent="0.25">
      <c r="A23" t="s">
        <v>74</v>
      </c>
    </row>
    <row r="24" spans="1:40" ht="14.95" customHeight="1" x14ac:dyDescent="0.25">
      <c r="A24" s="292"/>
      <c r="B24" s="69" t="s">
        <v>40</v>
      </c>
      <c r="C24" s="69"/>
      <c r="D24" s="69"/>
    </row>
    <row r="25" spans="1:40" ht="14.95" customHeight="1" x14ac:dyDescent="0.25">
      <c r="A25" s="293"/>
      <c r="B25" s="69" t="s">
        <v>38</v>
      </c>
      <c r="C25" s="69"/>
      <c r="D25" s="69"/>
    </row>
    <row r="26" spans="1:40" ht="14.95" customHeight="1" x14ac:dyDescent="0.25">
      <c r="A26" s="294"/>
      <c r="B26" s="69" t="s">
        <v>39</v>
      </c>
      <c r="C26" s="69"/>
      <c r="D26" s="69"/>
    </row>
    <row r="27" spans="1:40" ht="14.95" customHeight="1" x14ac:dyDescent="0.3">
      <c r="A27" s="579" t="s">
        <v>28</v>
      </c>
      <c r="B27" s="69"/>
      <c r="C27" s="69"/>
      <c r="D27" s="69"/>
    </row>
  </sheetData>
  <mergeCells count="15">
    <mergeCell ref="A22:AN22"/>
    <mergeCell ref="A17:AN17"/>
    <mergeCell ref="C15:E15"/>
    <mergeCell ref="Z1:AC1"/>
    <mergeCell ref="AD1:AG1"/>
    <mergeCell ref="AH1:AK1"/>
    <mergeCell ref="AL1:AO1"/>
    <mergeCell ref="C14:E14"/>
    <mergeCell ref="C16:E16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T7:T8 T11:T12" twoDigitTextYear="1"/>
    <ignoredError sqref="X14:AO15 C14:V14 F15:V15" formulaRange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65B5-95D2-4F6D-AFF2-D00FED6BEEF6}">
  <dimension ref="A1:AV26"/>
  <sheetViews>
    <sheetView zoomScaleNormal="100" workbookViewId="0">
      <selection activeCell="S4" sqref="S4:Y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6" width="3.75" customWidth="1"/>
    <col min="7" max="7" width="4" bestFit="1" customWidth="1"/>
    <col min="8" max="18" width="3.75" customWidth="1"/>
    <col min="19" max="19" width="6.625" customWidth="1"/>
    <col min="20" max="20" width="6.25" customWidth="1"/>
    <col min="21" max="21" width="20.375" bestFit="1" customWidth="1"/>
    <col min="22" max="22" width="15.875" bestFit="1" customWidth="1"/>
    <col min="23" max="23" width="18.75" bestFit="1" customWidth="1"/>
    <col min="24" max="24" width="19.375" bestFit="1" customWidth="1"/>
    <col min="25" max="25" width="18.625" bestFit="1" customWidth="1"/>
    <col min="26" max="41" width="3.75" customWidth="1"/>
    <col min="47" max="47" width="9.875" bestFit="1" customWidth="1"/>
  </cols>
  <sheetData>
    <row r="1" spans="1:48" ht="14.95" thickBot="1" x14ac:dyDescent="0.3">
      <c r="A1" s="1024" t="s">
        <v>561</v>
      </c>
      <c r="B1" s="1025"/>
      <c r="C1" s="1025"/>
      <c r="D1" s="241"/>
      <c r="E1" s="1026" t="s">
        <v>24</v>
      </c>
      <c r="F1" s="1027"/>
      <c r="G1" s="1028"/>
      <c r="H1" s="1026" t="s">
        <v>73</v>
      </c>
      <c r="I1" s="1028"/>
      <c r="J1" s="1029" t="s">
        <v>6</v>
      </c>
      <c r="K1" s="1030"/>
      <c r="L1" s="1030"/>
      <c r="M1" s="1031"/>
      <c r="N1" s="1029" t="s">
        <v>7</v>
      </c>
      <c r="O1" s="1031"/>
      <c r="P1" s="1029" t="s">
        <v>25</v>
      </c>
      <c r="Q1" s="1030"/>
      <c r="R1" s="1031"/>
      <c r="S1" s="479" t="s">
        <v>8</v>
      </c>
      <c r="T1" s="125" t="s">
        <v>9</v>
      </c>
      <c r="U1" s="70" t="s">
        <v>10</v>
      </c>
      <c r="V1" s="70" t="s">
        <v>11</v>
      </c>
      <c r="W1" s="70" t="s">
        <v>95</v>
      </c>
      <c r="X1" s="70" t="s">
        <v>26</v>
      </c>
      <c r="Y1" s="70" t="s">
        <v>27</v>
      </c>
      <c r="Z1" s="1021" t="s">
        <v>20</v>
      </c>
      <c r="AA1" s="1022"/>
      <c r="AB1" s="1022"/>
      <c r="AC1" s="1023"/>
      <c r="AD1" s="1021" t="s">
        <v>56</v>
      </c>
      <c r="AE1" s="1022"/>
      <c r="AF1" s="1022"/>
      <c r="AG1" s="1023"/>
      <c r="AH1" s="1021" t="s">
        <v>57</v>
      </c>
      <c r="AI1" s="1022"/>
      <c r="AJ1" s="1022"/>
      <c r="AK1" s="1023"/>
      <c r="AL1" s="1021" t="s">
        <v>58</v>
      </c>
      <c r="AM1" s="1022"/>
      <c r="AN1" s="1022"/>
      <c r="AO1" s="1023"/>
    </row>
    <row r="2" spans="1:48" ht="14.95" customHeight="1" thickBot="1" x14ac:dyDescent="0.3">
      <c r="A2" s="71" t="s">
        <v>19</v>
      </c>
      <c r="B2" s="72" t="s">
        <v>18</v>
      </c>
      <c r="C2" s="73" t="s">
        <v>17</v>
      </c>
      <c r="D2" s="73" t="s">
        <v>37</v>
      </c>
      <c r="E2" s="74" t="s">
        <v>16</v>
      </c>
      <c r="F2" s="74" t="s">
        <v>4</v>
      </c>
      <c r="G2" s="74" t="s">
        <v>5</v>
      </c>
      <c r="H2" s="75" t="s">
        <v>12</v>
      </c>
      <c r="I2" s="75" t="s">
        <v>3</v>
      </c>
      <c r="J2" s="75" t="s">
        <v>12</v>
      </c>
      <c r="K2" s="75" t="s">
        <v>13</v>
      </c>
      <c r="L2" s="75" t="s">
        <v>2</v>
      </c>
      <c r="M2" s="75" t="s">
        <v>14</v>
      </c>
      <c r="N2" s="75" t="s">
        <v>15</v>
      </c>
      <c r="O2" s="75" t="s">
        <v>16</v>
      </c>
      <c r="P2" s="75" t="s">
        <v>21</v>
      </c>
      <c r="Q2" s="75" t="s">
        <v>22</v>
      </c>
      <c r="R2" s="75" t="s">
        <v>12</v>
      </c>
      <c r="S2" s="548"/>
      <c r="T2" s="243"/>
      <c r="U2" s="244"/>
      <c r="V2" s="242"/>
      <c r="W2" s="242"/>
      <c r="X2" s="70"/>
      <c r="Y2" s="245"/>
      <c r="Z2" s="110" t="s">
        <v>0</v>
      </c>
      <c r="AA2" s="110" t="s">
        <v>1</v>
      </c>
      <c r="AB2" s="110" t="s">
        <v>2</v>
      </c>
      <c r="AC2" s="110" t="s">
        <v>3</v>
      </c>
      <c r="AD2" s="110" t="s">
        <v>0</v>
      </c>
      <c r="AE2" s="110" t="s">
        <v>1</v>
      </c>
      <c r="AF2" s="110" t="s">
        <v>2</v>
      </c>
      <c r="AG2" s="110" t="s">
        <v>3</v>
      </c>
      <c r="AH2" s="110" t="s">
        <v>0</v>
      </c>
      <c r="AI2" s="110" t="s">
        <v>1</v>
      </c>
      <c r="AJ2" s="110" t="s">
        <v>2</v>
      </c>
      <c r="AK2" s="110" t="s">
        <v>3</v>
      </c>
      <c r="AL2" s="110" t="s">
        <v>0</v>
      </c>
      <c r="AM2" s="110" t="s">
        <v>1</v>
      </c>
      <c r="AN2" s="110" t="s">
        <v>2</v>
      </c>
      <c r="AO2" s="110" t="s">
        <v>3</v>
      </c>
      <c r="AU2" s="69" t="s">
        <v>258</v>
      </c>
    </row>
    <row r="3" spans="1:48" ht="14.95" customHeight="1" thickBot="1" x14ac:dyDescent="0.3">
      <c r="A3" s="705" t="s">
        <v>492</v>
      </c>
      <c r="B3" s="706" t="s">
        <v>123</v>
      </c>
      <c r="C3" s="707" t="s">
        <v>72</v>
      </c>
      <c r="D3" s="707" t="s">
        <v>562</v>
      </c>
      <c r="E3" s="708" t="s">
        <v>3</v>
      </c>
      <c r="F3" s="708">
        <v>15</v>
      </c>
      <c r="G3" s="708">
        <v>48</v>
      </c>
      <c r="H3" s="709">
        <v>0</v>
      </c>
      <c r="I3" s="709">
        <v>0</v>
      </c>
      <c r="J3" s="709">
        <v>2</v>
      </c>
      <c r="K3" s="709">
        <v>1</v>
      </c>
      <c r="L3" s="709">
        <v>0</v>
      </c>
      <c r="M3" s="709">
        <v>1</v>
      </c>
      <c r="N3" s="709">
        <v>0</v>
      </c>
      <c r="O3" s="709">
        <v>0</v>
      </c>
      <c r="P3" s="709">
        <v>0</v>
      </c>
      <c r="Q3" s="709">
        <v>0</v>
      </c>
      <c r="R3" s="709">
        <v>7</v>
      </c>
      <c r="S3" s="710">
        <v>1548</v>
      </c>
      <c r="T3" s="718" t="s">
        <v>563</v>
      </c>
      <c r="U3" s="711" t="s">
        <v>564</v>
      </c>
      <c r="V3" s="712" t="s">
        <v>565</v>
      </c>
      <c r="W3" s="711" t="s">
        <v>566</v>
      </c>
      <c r="X3" s="711" t="s">
        <v>142</v>
      </c>
      <c r="Y3" s="713" t="s">
        <v>144</v>
      </c>
      <c r="Z3" s="714">
        <v>1</v>
      </c>
      <c r="AA3" s="714">
        <v>0</v>
      </c>
      <c r="AB3" s="714">
        <v>0</v>
      </c>
      <c r="AC3" s="715">
        <v>1</v>
      </c>
      <c r="AD3" s="714">
        <v>1</v>
      </c>
      <c r="AE3" s="714">
        <v>0</v>
      </c>
      <c r="AF3" s="714">
        <v>0</v>
      </c>
      <c r="AG3" s="715">
        <v>1</v>
      </c>
      <c r="AH3" s="714">
        <v>0</v>
      </c>
      <c r="AI3" s="714">
        <v>0</v>
      </c>
      <c r="AJ3" s="714">
        <v>0</v>
      </c>
      <c r="AK3" s="715">
        <v>0</v>
      </c>
      <c r="AL3" s="714">
        <v>0</v>
      </c>
      <c r="AM3" s="714">
        <v>0</v>
      </c>
      <c r="AN3" s="714">
        <v>0</v>
      </c>
      <c r="AO3" s="715">
        <v>0</v>
      </c>
      <c r="AU3" s="443" t="s">
        <v>253</v>
      </c>
      <c r="AV3" s="444">
        <v>45</v>
      </c>
    </row>
    <row r="4" spans="1:48" ht="14.95" customHeight="1" thickBot="1" x14ac:dyDescent="0.35">
      <c r="A4" s="716" t="s">
        <v>625</v>
      </c>
      <c r="B4" s="717" t="s">
        <v>123</v>
      </c>
      <c r="C4" s="707" t="s">
        <v>29</v>
      </c>
      <c r="D4" s="707" t="s">
        <v>626</v>
      </c>
      <c r="E4" s="708" t="s">
        <v>1</v>
      </c>
      <c r="F4" s="708">
        <v>33</v>
      </c>
      <c r="G4" s="708">
        <v>12</v>
      </c>
      <c r="H4" s="709">
        <v>1</v>
      </c>
      <c r="I4" s="709">
        <v>0</v>
      </c>
      <c r="J4" s="709">
        <v>5</v>
      </c>
      <c r="K4" s="709">
        <v>4</v>
      </c>
      <c r="L4" s="709">
        <v>0</v>
      </c>
      <c r="M4" s="709">
        <v>0</v>
      </c>
      <c r="N4" s="709">
        <v>1</v>
      </c>
      <c r="O4" s="709">
        <v>0</v>
      </c>
      <c r="P4" s="709">
        <v>0</v>
      </c>
      <c r="Q4" s="709">
        <v>0</v>
      </c>
      <c r="R4" s="709">
        <v>2</v>
      </c>
      <c r="S4" s="710">
        <v>11214</v>
      </c>
      <c r="T4" s="1073" t="s">
        <v>642</v>
      </c>
      <c r="U4" s="711" t="s">
        <v>564</v>
      </c>
      <c r="V4" s="712" t="s">
        <v>565</v>
      </c>
      <c r="W4" s="711" t="s">
        <v>566</v>
      </c>
      <c r="X4" s="711" t="s">
        <v>142</v>
      </c>
      <c r="Y4" s="713" t="s">
        <v>144</v>
      </c>
      <c r="Z4" s="714">
        <v>1</v>
      </c>
      <c r="AA4" s="714">
        <v>1</v>
      </c>
      <c r="AB4" s="714">
        <v>0</v>
      </c>
      <c r="AC4" s="715">
        <v>0</v>
      </c>
      <c r="AD4" s="714">
        <v>1</v>
      </c>
      <c r="AE4" s="714">
        <v>1</v>
      </c>
      <c r="AF4" s="714">
        <v>0</v>
      </c>
      <c r="AG4" s="715">
        <v>0</v>
      </c>
      <c r="AH4" s="714">
        <v>0</v>
      </c>
      <c r="AI4" s="714">
        <v>0</v>
      </c>
      <c r="AJ4" s="714">
        <v>0</v>
      </c>
      <c r="AK4" s="715">
        <v>0</v>
      </c>
      <c r="AL4" s="714">
        <v>0</v>
      </c>
      <c r="AM4" s="714">
        <v>0</v>
      </c>
      <c r="AN4" s="714">
        <v>0</v>
      </c>
      <c r="AO4" s="715">
        <v>0</v>
      </c>
      <c r="AU4" s="445" t="s">
        <v>254</v>
      </c>
      <c r="AV4" s="446">
        <v>27</v>
      </c>
    </row>
    <row r="5" spans="1:48" ht="14.95" customHeight="1" thickBot="1" x14ac:dyDescent="0.3">
      <c r="A5" s="719"/>
      <c r="B5" s="720"/>
      <c r="C5" s="720"/>
      <c r="D5" s="720"/>
      <c r="E5" s="721"/>
      <c r="F5" s="721"/>
      <c r="G5" s="721"/>
      <c r="H5" s="722"/>
      <c r="I5" s="722"/>
      <c r="J5" s="722"/>
      <c r="K5" s="722"/>
      <c r="L5" s="722"/>
      <c r="M5" s="722"/>
      <c r="N5" s="722"/>
      <c r="O5" s="722"/>
      <c r="P5" s="722"/>
      <c r="Q5" s="722"/>
      <c r="R5" s="722"/>
      <c r="S5" s="723"/>
      <c r="T5" s="724"/>
      <c r="U5" s="725"/>
      <c r="V5" s="726"/>
      <c r="W5" s="725"/>
      <c r="X5" s="725"/>
      <c r="Y5" s="727"/>
      <c r="Z5" s="727"/>
      <c r="AA5" s="727"/>
      <c r="AB5" s="727"/>
      <c r="AC5" s="728"/>
      <c r="AD5" s="727"/>
      <c r="AE5" s="727"/>
      <c r="AF5" s="727"/>
      <c r="AG5" s="728"/>
      <c r="AH5" s="727"/>
      <c r="AI5" s="727"/>
      <c r="AJ5" s="727"/>
      <c r="AK5" s="728"/>
      <c r="AL5" s="727"/>
      <c r="AM5" s="727"/>
      <c r="AN5" s="727"/>
      <c r="AO5" s="728"/>
      <c r="AU5" s="445" t="s">
        <v>255</v>
      </c>
      <c r="AV5" s="446">
        <v>1</v>
      </c>
    </row>
    <row r="6" spans="1:48" ht="14.95" customHeight="1" thickBot="1" x14ac:dyDescent="0.3">
      <c r="A6" s="151"/>
      <c r="B6" s="152"/>
      <c r="C6" s="152"/>
      <c r="D6" s="152"/>
      <c r="E6" s="153"/>
      <c r="F6" s="153"/>
      <c r="G6" s="153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535"/>
      <c r="T6" s="159"/>
      <c r="U6" s="157"/>
      <c r="V6" s="155"/>
      <c r="W6" s="155"/>
      <c r="X6" s="154"/>
      <c r="Y6" s="158"/>
      <c r="Z6" s="154"/>
      <c r="AA6" s="154"/>
      <c r="AB6" s="154"/>
      <c r="AC6" s="451"/>
      <c r="AD6" s="154"/>
      <c r="AE6" s="154"/>
      <c r="AF6" s="154"/>
      <c r="AG6" s="451"/>
      <c r="AH6" s="154"/>
      <c r="AI6" s="154"/>
      <c r="AJ6" s="154"/>
      <c r="AK6" s="451"/>
      <c r="AL6" s="154"/>
      <c r="AM6" s="154"/>
      <c r="AN6" s="154"/>
      <c r="AO6" s="451"/>
      <c r="AU6" s="445" t="s">
        <v>256</v>
      </c>
      <c r="AV6" s="446">
        <v>17</v>
      </c>
    </row>
    <row r="7" spans="1:48" ht="14.95" customHeight="1" thickBot="1" x14ac:dyDescent="0.35">
      <c r="A7" s="163"/>
      <c r="B7" s="164"/>
      <c r="C7" s="164"/>
      <c r="D7" s="164"/>
      <c r="E7" s="165"/>
      <c r="F7" s="165"/>
      <c r="G7" s="165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549"/>
      <c r="T7" s="172"/>
      <c r="U7" s="168"/>
      <c r="V7" s="166"/>
      <c r="W7" s="166"/>
      <c r="X7" s="166"/>
      <c r="Y7" s="169"/>
      <c r="Z7" s="169"/>
      <c r="AA7" s="169"/>
      <c r="AB7" s="169"/>
      <c r="AC7" s="316"/>
      <c r="AD7" s="169"/>
      <c r="AE7" s="169"/>
      <c r="AF7" s="169"/>
      <c r="AG7" s="316"/>
      <c r="AH7" s="169"/>
      <c r="AI7" s="169"/>
      <c r="AJ7" s="169"/>
      <c r="AK7" s="316"/>
      <c r="AL7" s="169"/>
      <c r="AM7" s="169"/>
      <c r="AN7" s="169"/>
      <c r="AO7" s="316"/>
      <c r="AU7" s="445" t="s">
        <v>257</v>
      </c>
      <c r="AV7" s="446">
        <v>1404</v>
      </c>
    </row>
    <row r="8" spans="1:48" ht="14.95" customHeight="1" thickBot="1" x14ac:dyDescent="0.3">
      <c r="A8" s="151"/>
      <c r="B8" s="152"/>
      <c r="C8" s="152"/>
      <c r="D8" s="152"/>
      <c r="E8" s="153"/>
      <c r="F8" s="153"/>
      <c r="G8" s="153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535"/>
      <c r="T8" s="159"/>
      <c r="U8" s="157"/>
      <c r="V8" s="155"/>
      <c r="W8" s="155"/>
      <c r="X8" s="155"/>
      <c r="Y8" s="155"/>
      <c r="Z8" s="154"/>
      <c r="AA8" s="154"/>
      <c r="AB8" s="154"/>
      <c r="AC8" s="451"/>
      <c r="AD8" s="154"/>
      <c r="AE8" s="154"/>
      <c r="AF8" s="154"/>
      <c r="AG8" s="451"/>
      <c r="AH8" s="154"/>
      <c r="AI8" s="154"/>
      <c r="AJ8" s="154"/>
      <c r="AK8" s="451"/>
      <c r="AL8" s="154"/>
      <c r="AM8" s="154"/>
      <c r="AN8" s="154"/>
      <c r="AO8" s="451"/>
    </row>
    <row r="9" spans="1:48" ht="14.95" customHeight="1" thickBot="1" x14ac:dyDescent="0.3">
      <c r="A9" s="151"/>
      <c r="B9" s="152"/>
      <c r="C9" s="152"/>
      <c r="D9" s="152"/>
      <c r="E9" s="153"/>
      <c r="F9" s="153"/>
      <c r="G9" s="153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535"/>
      <c r="T9" s="159"/>
      <c r="U9" s="157"/>
      <c r="V9" s="155"/>
      <c r="W9" s="155"/>
      <c r="X9" s="155"/>
      <c r="Y9" s="158"/>
      <c r="Z9" s="154"/>
      <c r="AA9" s="154"/>
      <c r="AB9" s="154"/>
      <c r="AC9" s="451"/>
      <c r="AD9" s="154"/>
      <c r="AE9" s="154"/>
      <c r="AF9" s="154"/>
      <c r="AG9" s="451"/>
      <c r="AH9" s="154"/>
      <c r="AI9" s="154"/>
      <c r="AJ9" s="154"/>
      <c r="AK9" s="451"/>
      <c r="AL9" s="154"/>
      <c r="AM9" s="154"/>
      <c r="AN9" s="154"/>
      <c r="AO9" s="451"/>
    </row>
    <row r="10" spans="1:48" ht="14.95" customHeight="1" thickBot="1" x14ac:dyDescent="0.3">
      <c r="A10" s="177"/>
      <c r="B10" s="178"/>
      <c r="C10" s="178"/>
      <c r="D10" s="178"/>
      <c r="E10" s="175"/>
      <c r="F10" s="175"/>
      <c r="G10" s="175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59"/>
      <c r="T10" s="188"/>
      <c r="U10" s="179"/>
      <c r="V10" s="179"/>
      <c r="W10" s="179"/>
      <c r="X10" s="179"/>
      <c r="Y10" s="181"/>
      <c r="Z10" s="176"/>
      <c r="AA10" s="176"/>
      <c r="AB10" s="176"/>
      <c r="AC10" s="315"/>
      <c r="AD10" s="176"/>
      <c r="AE10" s="176"/>
      <c r="AF10" s="176"/>
      <c r="AG10" s="315"/>
      <c r="AH10" s="176"/>
      <c r="AI10" s="176"/>
      <c r="AJ10" s="176"/>
      <c r="AK10" s="315"/>
      <c r="AL10" s="176"/>
      <c r="AM10" s="176"/>
      <c r="AN10" s="176"/>
      <c r="AO10" s="315"/>
    </row>
    <row r="11" spans="1:48" ht="14.95" customHeight="1" thickBot="1" x14ac:dyDescent="0.35">
      <c r="A11" s="177"/>
      <c r="B11" s="178"/>
      <c r="C11" s="178"/>
      <c r="D11" s="178"/>
      <c r="E11" s="175"/>
      <c r="F11" s="175"/>
      <c r="G11" s="175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59"/>
      <c r="T11" s="182"/>
      <c r="U11" s="179"/>
      <c r="V11" s="179"/>
      <c r="W11" s="179"/>
      <c r="X11" s="176"/>
      <c r="Y11" s="193"/>
      <c r="Z11" s="176"/>
      <c r="AA11" s="176"/>
      <c r="AB11" s="176"/>
      <c r="AC11" s="315"/>
      <c r="AD11" s="176"/>
      <c r="AE11" s="176"/>
      <c r="AF11" s="176"/>
      <c r="AG11" s="315"/>
      <c r="AH11" s="176"/>
      <c r="AI11" s="176"/>
      <c r="AJ11" s="176"/>
      <c r="AK11" s="315"/>
      <c r="AL11" s="176"/>
      <c r="AM11" s="176"/>
      <c r="AN11" s="176"/>
      <c r="AO11" s="315"/>
    </row>
    <row r="12" spans="1:48" ht="14.95" thickBot="1" x14ac:dyDescent="0.3">
      <c r="A12" s="100"/>
      <c r="B12" s="101"/>
      <c r="C12" s="975" t="s">
        <v>567</v>
      </c>
      <c r="D12" s="976"/>
      <c r="E12" s="977"/>
      <c r="F12" s="703">
        <f>SUM(F3:F5)</f>
        <v>48</v>
      </c>
      <c r="G12" s="703">
        <f t="shared" ref="G12:R12" si="0">SUM(G3:G5)</f>
        <v>60</v>
      </c>
      <c r="H12" s="703">
        <f t="shared" si="0"/>
        <v>1</v>
      </c>
      <c r="I12" s="703">
        <f t="shared" si="0"/>
        <v>0</v>
      </c>
      <c r="J12" s="703">
        <f t="shared" si="0"/>
        <v>7</v>
      </c>
      <c r="K12" s="703">
        <f t="shared" si="0"/>
        <v>5</v>
      </c>
      <c r="L12" s="703">
        <f t="shared" si="0"/>
        <v>0</v>
      </c>
      <c r="M12" s="703">
        <f t="shared" si="0"/>
        <v>1</v>
      </c>
      <c r="N12" s="703">
        <f t="shared" si="0"/>
        <v>1</v>
      </c>
      <c r="O12" s="703">
        <f t="shared" si="0"/>
        <v>0</v>
      </c>
      <c r="P12" s="703">
        <f t="shared" si="0"/>
        <v>0</v>
      </c>
      <c r="Q12" s="703">
        <f t="shared" si="0"/>
        <v>0</v>
      </c>
      <c r="R12" s="703">
        <f t="shared" si="0"/>
        <v>9</v>
      </c>
      <c r="S12" s="701"/>
      <c r="T12" s="391"/>
      <c r="U12" s="391"/>
      <c r="V12" s="391"/>
      <c r="W12" s="391"/>
      <c r="X12" s="392"/>
      <c r="Y12" s="704" t="s">
        <v>567</v>
      </c>
      <c r="Z12" s="703">
        <f t="shared" ref="Z12:AO12" si="1">SUM(Z3:Z5)</f>
        <v>2</v>
      </c>
      <c r="AA12" s="703">
        <f t="shared" si="1"/>
        <v>1</v>
      </c>
      <c r="AB12" s="703">
        <f t="shared" si="1"/>
        <v>0</v>
      </c>
      <c r="AC12" s="703">
        <f t="shared" si="1"/>
        <v>1</v>
      </c>
      <c r="AD12" s="703">
        <f t="shared" si="1"/>
        <v>2</v>
      </c>
      <c r="AE12" s="703">
        <f t="shared" si="1"/>
        <v>1</v>
      </c>
      <c r="AF12" s="703">
        <f t="shared" si="1"/>
        <v>0</v>
      </c>
      <c r="AG12" s="703">
        <f t="shared" si="1"/>
        <v>1</v>
      </c>
      <c r="AH12" s="703">
        <f t="shared" si="1"/>
        <v>0</v>
      </c>
      <c r="AI12" s="703">
        <f t="shared" si="1"/>
        <v>0</v>
      </c>
      <c r="AJ12" s="703">
        <f t="shared" si="1"/>
        <v>0</v>
      </c>
      <c r="AK12" s="703">
        <f t="shared" si="1"/>
        <v>0</v>
      </c>
      <c r="AL12" s="703">
        <f t="shared" si="1"/>
        <v>0</v>
      </c>
      <c r="AM12" s="703">
        <f t="shared" si="1"/>
        <v>0</v>
      </c>
      <c r="AN12" s="703">
        <f t="shared" si="1"/>
        <v>0</v>
      </c>
      <c r="AO12" s="703">
        <f t="shared" si="1"/>
        <v>0</v>
      </c>
    </row>
    <row r="13" spans="1:48" ht="14.95" thickBot="1" x14ac:dyDescent="0.3">
      <c r="A13" s="100"/>
      <c r="B13" s="101"/>
      <c r="C13" s="808" t="s">
        <v>500</v>
      </c>
      <c r="D13" s="809"/>
      <c r="E13" s="810"/>
      <c r="F13" s="393">
        <f>SUM(F9:F11)</f>
        <v>0</v>
      </c>
      <c r="G13" s="393">
        <f t="shared" ref="G13:R13" si="2">SUM(G9:G11)</f>
        <v>0</v>
      </c>
      <c r="H13" s="393">
        <f t="shared" si="2"/>
        <v>0</v>
      </c>
      <c r="I13" s="393">
        <f t="shared" si="2"/>
        <v>0</v>
      </c>
      <c r="J13" s="393">
        <f t="shared" si="2"/>
        <v>0</v>
      </c>
      <c r="K13" s="393">
        <f t="shared" si="2"/>
        <v>0</v>
      </c>
      <c r="L13" s="393">
        <f t="shared" si="2"/>
        <v>0</v>
      </c>
      <c r="M13" s="393">
        <f t="shared" si="2"/>
        <v>0</v>
      </c>
      <c r="N13" s="393">
        <f t="shared" si="2"/>
        <v>0</v>
      </c>
      <c r="O13" s="393">
        <f t="shared" si="2"/>
        <v>0</v>
      </c>
      <c r="P13" s="393">
        <f t="shared" si="2"/>
        <v>0</v>
      </c>
      <c r="Q13" s="393">
        <f t="shared" si="2"/>
        <v>0</v>
      </c>
      <c r="R13" s="393">
        <f t="shared" si="2"/>
        <v>0</v>
      </c>
      <c r="S13" s="700"/>
      <c r="T13" s="394"/>
      <c r="U13" s="394"/>
      <c r="V13" s="394"/>
      <c r="W13" s="394"/>
      <c r="X13" s="395"/>
      <c r="Y13" s="677" t="s">
        <v>500</v>
      </c>
      <c r="Z13" s="729"/>
      <c r="AA13" s="730"/>
      <c r="AB13" s="393">
        <f t="shared" ref="AB13:AO13" si="3">SUM(AB9:AB11)</f>
        <v>0</v>
      </c>
      <c r="AC13" s="393">
        <f t="shared" si="3"/>
        <v>0</v>
      </c>
      <c r="AD13" s="397">
        <f t="shared" si="3"/>
        <v>0</v>
      </c>
      <c r="AE13" s="397">
        <f t="shared" si="3"/>
        <v>0</v>
      </c>
      <c r="AF13" s="397">
        <f t="shared" si="3"/>
        <v>0</v>
      </c>
      <c r="AG13" s="397">
        <f t="shared" si="3"/>
        <v>0</v>
      </c>
      <c r="AH13" s="398">
        <f t="shared" si="3"/>
        <v>0</v>
      </c>
      <c r="AI13" s="398">
        <f t="shared" si="3"/>
        <v>0</v>
      </c>
      <c r="AJ13" s="398">
        <f t="shared" si="3"/>
        <v>0</v>
      </c>
      <c r="AK13" s="398">
        <f t="shared" si="3"/>
        <v>0</v>
      </c>
      <c r="AL13" s="393">
        <f t="shared" si="3"/>
        <v>0</v>
      </c>
      <c r="AM13" s="393">
        <f t="shared" si="3"/>
        <v>0</v>
      </c>
      <c r="AN13" s="393">
        <f t="shared" si="3"/>
        <v>0</v>
      </c>
      <c r="AO13" s="393">
        <f t="shared" si="3"/>
        <v>0</v>
      </c>
    </row>
    <row r="14" spans="1:48" x14ac:dyDescent="0.25">
      <c r="A14" s="100"/>
      <c r="B14" s="101"/>
      <c r="C14" s="1018" t="s">
        <v>70</v>
      </c>
      <c r="D14" s="1019"/>
      <c r="E14" s="1020"/>
      <c r="F14" s="696">
        <f>SUM(F3:F11)</f>
        <v>48</v>
      </c>
      <c r="G14" s="696">
        <f t="shared" ref="G14:R14" si="4">SUM(G3:G11)</f>
        <v>60</v>
      </c>
      <c r="H14" s="696">
        <f t="shared" si="4"/>
        <v>1</v>
      </c>
      <c r="I14" s="696">
        <f t="shared" si="4"/>
        <v>0</v>
      </c>
      <c r="J14" s="696">
        <f t="shared" si="4"/>
        <v>7</v>
      </c>
      <c r="K14" s="696">
        <f t="shared" si="4"/>
        <v>5</v>
      </c>
      <c r="L14" s="696">
        <f t="shared" si="4"/>
        <v>0</v>
      </c>
      <c r="M14" s="696">
        <f t="shared" si="4"/>
        <v>1</v>
      </c>
      <c r="N14" s="696">
        <f t="shared" si="4"/>
        <v>1</v>
      </c>
      <c r="O14" s="696">
        <f t="shared" si="4"/>
        <v>0</v>
      </c>
      <c r="P14" s="696">
        <f t="shared" si="4"/>
        <v>0</v>
      </c>
      <c r="Q14" s="696">
        <f t="shared" si="4"/>
        <v>0</v>
      </c>
      <c r="R14" s="696">
        <f t="shared" si="4"/>
        <v>9</v>
      </c>
      <c r="S14" s="702"/>
      <c r="T14" s="187"/>
      <c r="U14" s="187"/>
      <c r="V14" s="187"/>
      <c r="W14" s="187"/>
      <c r="X14" s="12"/>
      <c r="Y14" s="697" t="s">
        <v>70</v>
      </c>
      <c r="Z14" s="696">
        <f t="shared" ref="Z14:AO14" si="5">SUM(Z3:Z11)</f>
        <v>2</v>
      </c>
      <c r="AA14" s="696">
        <f t="shared" si="5"/>
        <v>1</v>
      </c>
      <c r="AB14" s="696">
        <f t="shared" si="5"/>
        <v>0</v>
      </c>
      <c r="AC14" s="696">
        <f t="shared" si="5"/>
        <v>1</v>
      </c>
      <c r="AD14" s="698">
        <f t="shared" si="5"/>
        <v>2</v>
      </c>
      <c r="AE14" s="698">
        <f t="shared" si="5"/>
        <v>1</v>
      </c>
      <c r="AF14" s="698">
        <f t="shared" si="5"/>
        <v>0</v>
      </c>
      <c r="AG14" s="698">
        <f t="shared" si="5"/>
        <v>1</v>
      </c>
      <c r="AH14" s="699">
        <f t="shared" si="5"/>
        <v>0</v>
      </c>
      <c r="AI14" s="699">
        <f t="shared" si="5"/>
        <v>0</v>
      </c>
      <c r="AJ14" s="699">
        <f t="shared" si="5"/>
        <v>0</v>
      </c>
      <c r="AK14" s="699">
        <f t="shared" si="5"/>
        <v>0</v>
      </c>
      <c r="AL14" s="696">
        <f t="shared" si="5"/>
        <v>0</v>
      </c>
      <c r="AM14" s="696">
        <f t="shared" si="5"/>
        <v>0</v>
      </c>
      <c r="AN14" s="696">
        <f t="shared" si="5"/>
        <v>0</v>
      </c>
      <c r="AO14" s="696">
        <f t="shared" si="5"/>
        <v>0</v>
      </c>
    </row>
    <row r="15" spans="1:48" x14ac:dyDescent="0.25">
      <c r="A15" s="789" t="s">
        <v>53</v>
      </c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790"/>
      <c r="AB15" s="790"/>
      <c r="AC15" s="790"/>
      <c r="AD15" s="790"/>
      <c r="AE15" s="790"/>
      <c r="AF15" s="790"/>
      <c r="AG15" s="790"/>
      <c r="AH15" s="790"/>
      <c r="AI15" s="790"/>
      <c r="AJ15" s="790"/>
      <c r="AK15" s="790"/>
      <c r="AL15" s="790"/>
      <c r="AM15" s="790"/>
      <c r="AN15" s="790"/>
      <c r="AO15" s="790"/>
    </row>
    <row r="16" spans="1:48" x14ac:dyDescent="0.25">
      <c r="A16" s="1050" t="s">
        <v>627</v>
      </c>
    </row>
    <row r="17" spans="1:41" x14ac:dyDescent="0.25">
      <c r="A17" s="365"/>
    </row>
    <row r="20" spans="1:41" x14ac:dyDescent="0.25">
      <c r="A20" s="789" t="s">
        <v>569</v>
      </c>
      <c r="B20" s="790"/>
      <c r="C20" s="790"/>
      <c r="D20" s="790"/>
      <c r="E20" s="790"/>
      <c r="F20" s="790"/>
      <c r="G20" s="790"/>
      <c r="H20" s="790"/>
      <c r="I20" s="790"/>
      <c r="J20" s="790"/>
      <c r="K20" s="790"/>
      <c r="L20" s="790"/>
      <c r="M20" s="790"/>
      <c r="N20" s="790"/>
      <c r="O20" s="790"/>
      <c r="P20" s="790"/>
      <c r="Q20" s="790"/>
      <c r="R20" s="790"/>
      <c r="S20" s="790"/>
      <c r="T20" s="790"/>
      <c r="U20" s="790"/>
      <c r="V20" s="790"/>
      <c r="W20" s="790"/>
      <c r="X20" s="790"/>
      <c r="Y20" s="790"/>
      <c r="Z20" s="790"/>
      <c r="AA20" s="790"/>
      <c r="AB20" s="790"/>
      <c r="AC20" s="790"/>
      <c r="AD20" s="790"/>
      <c r="AE20" s="790"/>
      <c r="AF20" s="790"/>
      <c r="AG20" s="790"/>
      <c r="AH20" s="790"/>
      <c r="AI20" s="790"/>
      <c r="AJ20" s="790"/>
      <c r="AK20" s="790"/>
      <c r="AL20" s="790"/>
      <c r="AM20" s="790"/>
      <c r="AN20" s="790"/>
      <c r="AO20" s="790"/>
    </row>
    <row r="22" spans="1:41" x14ac:dyDescent="0.25">
      <c r="A22" t="s">
        <v>74</v>
      </c>
    </row>
    <row r="23" spans="1:41" x14ac:dyDescent="0.25">
      <c r="A23" s="292"/>
      <c r="B23" s="69" t="s">
        <v>40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 x14ac:dyDescent="0.25">
      <c r="A24" s="293"/>
      <c r="B24" s="69" t="s">
        <v>38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 x14ac:dyDescent="0.25">
      <c r="A25" s="294"/>
      <c r="B25" s="69" t="s">
        <v>39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 ht="16.3" x14ac:dyDescent="0.3">
      <c r="A26" s="579" t="s">
        <v>28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</sheetData>
  <mergeCells count="15">
    <mergeCell ref="A20:AO20"/>
    <mergeCell ref="C14:E14"/>
    <mergeCell ref="A15:AO15"/>
    <mergeCell ref="Z1:AC1"/>
    <mergeCell ref="AD1:AG1"/>
    <mergeCell ref="AH1:AK1"/>
    <mergeCell ref="AL1:AO1"/>
    <mergeCell ref="C12:E12"/>
    <mergeCell ref="A1:C1"/>
    <mergeCell ref="E1:G1"/>
    <mergeCell ref="H1:I1"/>
    <mergeCell ref="J1:M1"/>
    <mergeCell ref="N1:O1"/>
    <mergeCell ref="P1:R1"/>
    <mergeCell ref="C13:E1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U27"/>
  <sheetViews>
    <sheetView zoomScaleNormal="100" workbookViewId="0">
      <selection activeCell="S4" sqref="S4:Y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19" bestFit="1" customWidth="1"/>
    <col min="22" max="22" width="18.5" bestFit="1" customWidth="1"/>
    <col min="23" max="23" width="15.875" bestFit="1" customWidth="1"/>
    <col min="24" max="24" width="19.5" bestFit="1" customWidth="1"/>
    <col min="25" max="25" width="18.625" bestFit="1" customWidth="1"/>
    <col min="26" max="29" width="4.25" customWidth="1"/>
    <col min="30" max="41" width="3.75" customWidth="1"/>
    <col min="46" max="46" width="9.875" bestFit="1" customWidth="1"/>
  </cols>
  <sheetData>
    <row r="1" spans="1:47" ht="14.95" customHeight="1" thickBot="1" x14ac:dyDescent="0.3">
      <c r="A1" s="1038" t="s">
        <v>501</v>
      </c>
      <c r="B1" s="1039"/>
      <c r="C1" s="1039"/>
      <c r="D1" s="45"/>
      <c r="E1" s="1040" t="s">
        <v>24</v>
      </c>
      <c r="F1" s="1041"/>
      <c r="G1" s="1042"/>
      <c r="H1" s="1040" t="s">
        <v>23</v>
      </c>
      <c r="I1" s="1042"/>
      <c r="J1" s="1035" t="s">
        <v>6</v>
      </c>
      <c r="K1" s="1036"/>
      <c r="L1" s="1036"/>
      <c r="M1" s="1037"/>
      <c r="N1" s="1035" t="s">
        <v>7</v>
      </c>
      <c r="O1" s="1037"/>
      <c r="P1" s="1035" t="s">
        <v>25</v>
      </c>
      <c r="Q1" s="1036"/>
      <c r="R1" s="1037"/>
      <c r="S1" s="127" t="s">
        <v>8</v>
      </c>
      <c r="T1" s="127" t="s">
        <v>9</v>
      </c>
      <c r="U1" s="1" t="s">
        <v>10</v>
      </c>
      <c r="V1" s="6" t="s">
        <v>11</v>
      </c>
      <c r="W1" s="1" t="s">
        <v>95</v>
      </c>
      <c r="X1" s="15" t="s">
        <v>26</v>
      </c>
      <c r="Y1" s="46" t="s">
        <v>27</v>
      </c>
      <c r="Z1" s="1034" t="s">
        <v>20</v>
      </c>
      <c r="AA1" s="792"/>
      <c r="AB1" s="792"/>
      <c r="AC1" s="793"/>
      <c r="AD1" s="1034" t="s">
        <v>56</v>
      </c>
      <c r="AE1" s="792"/>
      <c r="AF1" s="792"/>
      <c r="AG1" s="793"/>
      <c r="AH1" s="1034" t="s">
        <v>57</v>
      </c>
      <c r="AI1" s="792"/>
      <c r="AJ1" s="792"/>
      <c r="AK1" s="793"/>
      <c r="AL1" s="1034" t="s">
        <v>58</v>
      </c>
      <c r="AM1" s="792"/>
      <c r="AN1" s="792"/>
      <c r="AO1" s="793"/>
    </row>
    <row r="2" spans="1:47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37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4"/>
      <c r="X2" s="16"/>
      <c r="Y2" s="5"/>
      <c r="Z2" s="111" t="s">
        <v>0</v>
      </c>
      <c r="AA2" s="111" t="s">
        <v>1</v>
      </c>
      <c r="AB2" s="111" t="s">
        <v>2</v>
      </c>
      <c r="AC2" s="111" t="s">
        <v>3</v>
      </c>
      <c r="AD2" s="111" t="s">
        <v>0</v>
      </c>
      <c r="AE2" s="111" t="s">
        <v>1</v>
      </c>
      <c r="AF2" s="111" t="s">
        <v>2</v>
      </c>
      <c r="AG2" s="111" t="s">
        <v>3</v>
      </c>
      <c r="AH2" s="111" t="s">
        <v>0</v>
      </c>
      <c r="AI2" s="111" t="s">
        <v>1</v>
      </c>
      <c r="AJ2" s="111" t="s">
        <v>2</v>
      </c>
      <c r="AK2" s="111" t="s">
        <v>3</v>
      </c>
      <c r="AL2" s="111" t="s">
        <v>0</v>
      </c>
      <c r="AM2" s="111" t="s">
        <v>1</v>
      </c>
      <c r="AN2" s="111" t="s">
        <v>2</v>
      </c>
      <c r="AO2" s="111" t="s">
        <v>3</v>
      </c>
      <c r="AT2" s="69" t="s">
        <v>258</v>
      </c>
    </row>
    <row r="3" spans="1:47" ht="14.95" customHeight="1" thickBot="1" x14ac:dyDescent="0.35">
      <c r="A3" s="163" t="s">
        <v>492</v>
      </c>
      <c r="B3" s="164" t="s">
        <v>41</v>
      </c>
      <c r="C3" s="164" t="s">
        <v>34</v>
      </c>
      <c r="D3" s="164" t="s">
        <v>151</v>
      </c>
      <c r="E3" s="165" t="s">
        <v>3</v>
      </c>
      <c r="F3" s="165">
        <v>19</v>
      </c>
      <c r="G3" s="165">
        <v>24</v>
      </c>
      <c r="H3" s="344">
        <v>0</v>
      </c>
      <c r="I3" s="344">
        <v>1</v>
      </c>
      <c r="J3" s="344">
        <v>3</v>
      </c>
      <c r="K3" s="344">
        <v>2</v>
      </c>
      <c r="L3" s="344">
        <v>0</v>
      </c>
      <c r="M3" s="344">
        <v>0</v>
      </c>
      <c r="N3" s="344">
        <v>1</v>
      </c>
      <c r="O3" s="344">
        <v>0</v>
      </c>
      <c r="P3" s="344">
        <v>0</v>
      </c>
      <c r="Q3" s="344">
        <v>0</v>
      </c>
      <c r="R3" s="344">
        <v>3</v>
      </c>
      <c r="S3" s="166">
        <v>10569</v>
      </c>
      <c r="T3" s="672" t="s">
        <v>547</v>
      </c>
      <c r="U3" s="168" t="s">
        <v>127</v>
      </c>
      <c r="V3" s="166" t="s">
        <v>436</v>
      </c>
      <c r="W3" s="166" t="s">
        <v>548</v>
      </c>
      <c r="X3" s="169" t="s">
        <v>355</v>
      </c>
      <c r="Y3" s="349" t="s">
        <v>174</v>
      </c>
      <c r="Z3" s="169">
        <v>1</v>
      </c>
      <c r="AA3" s="169">
        <v>0</v>
      </c>
      <c r="AB3" s="169">
        <v>0</v>
      </c>
      <c r="AC3" s="316">
        <v>1</v>
      </c>
      <c r="AD3" s="169">
        <v>1</v>
      </c>
      <c r="AE3" s="169">
        <v>0</v>
      </c>
      <c r="AF3" s="169">
        <v>0</v>
      </c>
      <c r="AG3" s="316">
        <v>1</v>
      </c>
      <c r="AH3" s="169">
        <v>0</v>
      </c>
      <c r="AI3" s="169">
        <v>0</v>
      </c>
      <c r="AJ3" s="169">
        <v>0</v>
      </c>
      <c r="AK3" s="316">
        <v>0</v>
      </c>
      <c r="AL3" s="169">
        <v>0</v>
      </c>
      <c r="AM3" s="169">
        <v>0</v>
      </c>
      <c r="AN3" s="169">
        <v>0</v>
      </c>
      <c r="AO3" s="316">
        <v>0</v>
      </c>
      <c r="AT3" s="443" t="s">
        <v>253</v>
      </c>
      <c r="AU3" s="444">
        <v>39</v>
      </c>
    </row>
    <row r="4" spans="1:47" ht="14.95" customHeight="1" thickBot="1" x14ac:dyDescent="0.3">
      <c r="A4" s="163" t="s">
        <v>491</v>
      </c>
      <c r="B4" s="164" t="s">
        <v>41</v>
      </c>
      <c r="C4" s="164" t="s">
        <v>33</v>
      </c>
      <c r="D4" s="164" t="s">
        <v>516</v>
      </c>
      <c r="E4" s="165" t="s">
        <v>3</v>
      </c>
      <c r="F4" s="165">
        <v>7</v>
      </c>
      <c r="G4" s="165">
        <v>38</v>
      </c>
      <c r="H4" s="344">
        <v>0</v>
      </c>
      <c r="I4" s="344">
        <v>0</v>
      </c>
      <c r="J4" s="344">
        <v>1</v>
      </c>
      <c r="K4" s="344">
        <v>0</v>
      </c>
      <c r="L4" s="344">
        <v>0</v>
      </c>
      <c r="M4" s="344">
        <v>0</v>
      </c>
      <c r="N4" s="344">
        <v>1</v>
      </c>
      <c r="O4" s="344">
        <v>0</v>
      </c>
      <c r="P4" s="344">
        <v>1</v>
      </c>
      <c r="Q4" s="344">
        <v>0</v>
      </c>
      <c r="R4" s="344">
        <v>6</v>
      </c>
      <c r="S4" s="166">
        <v>4163</v>
      </c>
      <c r="T4" s="390" t="s">
        <v>598</v>
      </c>
      <c r="U4" s="168" t="s">
        <v>599</v>
      </c>
      <c r="V4" s="166" t="s">
        <v>193</v>
      </c>
      <c r="W4" s="166" t="s">
        <v>600</v>
      </c>
      <c r="X4" s="169" t="s">
        <v>109</v>
      </c>
      <c r="Y4" s="349" t="s">
        <v>528</v>
      </c>
      <c r="Z4" s="169">
        <v>1</v>
      </c>
      <c r="AA4" s="169">
        <v>0</v>
      </c>
      <c r="AB4" s="169">
        <v>0</v>
      </c>
      <c r="AC4" s="316">
        <v>1</v>
      </c>
      <c r="AD4" s="169">
        <v>1</v>
      </c>
      <c r="AE4" s="169">
        <v>0</v>
      </c>
      <c r="AF4" s="169">
        <v>0</v>
      </c>
      <c r="AG4" s="316">
        <v>1</v>
      </c>
      <c r="AH4" s="169">
        <v>0</v>
      </c>
      <c r="AI4" s="169">
        <v>0</v>
      </c>
      <c r="AJ4" s="169">
        <v>0</v>
      </c>
      <c r="AK4" s="316">
        <v>0</v>
      </c>
      <c r="AL4" s="169">
        <v>0</v>
      </c>
      <c r="AM4" s="169">
        <v>0</v>
      </c>
      <c r="AN4" s="169">
        <v>0</v>
      </c>
      <c r="AO4" s="316">
        <v>0</v>
      </c>
      <c r="AT4" s="445" t="s">
        <v>254</v>
      </c>
      <c r="AU4" s="446">
        <v>14</v>
      </c>
    </row>
    <row r="5" spans="1:47" ht="14.95" customHeight="1" thickBot="1" x14ac:dyDescent="0.35">
      <c r="A5" s="151" t="s">
        <v>493</v>
      </c>
      <c r="B5" s="152" t="s">
        <v>41</v>
      </c>
      <c r="C5" s="152" t="s">
        <v>30</v>
      </c>
      <c r="D5" s="152" t="s">
        <v>370</v>
      </c>
      <c r="E5" s="153"/>
      <c r="F5" s="153"/>
      <c r="G5" s="153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155"/>
      <c r="T5" s="156"/>
      <c r="U5" s="157"/>
      <c r="V5" s="155"/>
      <c r="W5" s="157"/>
      <c r="X5" s="157"/>
      <c r="Y5" s="154"/>
      <c r="Z5" s="154"/>
      <c r="AA5" s="154"/>
      <c r="AB5" s="154"/>
      <c r="AC5" s="451"/>
      <c r="AD5" s="154"/>
      <c r="AE5" s="154"/>
      <c r="AF5" s="154"/>
      <c r="AG5" s="451"/>
      <c r="AH5" s="154"/>
      <c r="AI5" s="154"/>
      <c r="AJ5" s="154"/>
      <c r="AK5" s="451"/>
      <c r="AL5" s="154"/>
      <c r="AM5" s="154"/>
      <c r="AN5" s="154"/>
      <c r="AO5" s="451"/>
      <c r="AT5" s="445" t="s">
        <v>255</v>
      </c>
      <c r="AU5" s="446">
        <v>1</v>
      </c>
    </row>
    <row r="6" spans="1:47" ht="14.95" customHeight="1" thickBot="1" x14ac:dyDescent="0.35">
      <c r="A6" s="151" t="s">
        <v>494</v>
      </c>
      <c r="B6" s="152" t="s">
        <v>41</v>
      </c>
      <c r="C6" s="152" t="s">
        <v>35</v>
      </c>
      <c r="D6" s="152" t="s">
        <v>94</v>
      </c>
      <c r="E6" s="153"/>
      <c r="F6" s="153"/>
      <c r="G6" s="153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155"/>
      <c r="T6" s="156"/>
      <c r="U6" s="157"/>
      <c r="V6" s="155"/>
      <c r="W6" s="155"/>
      <c r="X6" s="154"/>
      <c r="Y6" s="348"/>
      <c r="Z6" s="154"/>
      <c r="AA6" s="154"/>
      <c r="AB6" s="154"/>
      <c r="AC6" s="451"/>
      <c r="AD6" s="154"/>
      <c r="AE6" s="154"/>
      <c r="AF6" s="154"/>
      <c r="AG6" s="451"/>
      <c r="AH6" s="154"/>
      <c r="AI6" s="154"/>
      <c r="AJ6" s="154"/>
      <c r="AK6" s="451"/>
      <c r="AL6" s="154"/>
      <c r="AM6" s="154"/>
      <c r="AN6" s="154"/>
      <c r="AO6" s="451"/>
      <c r="AT6" s="445" t="s">
        <v>256</v>
      </c>
      <c r="AU6" s="446">
        <v>24</v>
      </c>
    </row>
    <row r="7" spans="1:47" ht="14.95" customHeight="1" thickBot="1" x14ac:dyDescent="0.35">
      <c r="A7" s="163" t="s">
        <v>192</v>
      </c>
      <c r="B7" s="164" t="s">
        <v>41</v>
      </c>
      <c r="C7" s="164" t="s">
        <v>32</v>
      </c>
      <c r="D7" s="164" t="s">
        <v>516</v>
      </c>
      <c r="E7" s="165"/>
      <c r="F7" s="165"/>
      <c r="G7" s="165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166"/>
      <c r="T7" s="172"/>
      <c r="U7" s="168"/>
      <c r="V7" s="166"/>
      <c r="W7" s="166"/>
      <c r="X7" s="169"/>
      <c r="Y7" s="169"/>
      <c r="Z7" s="169"/>
      <c r="AA7" s="169"/>
      <c r="AB7" s="169"/>
      <c r="AC7" s="316"/>
      <c r="AD7" s="169"/>
      <c r="AE7" s="169"/>
      <c r="AF7" s="169"/>
      <c r="AG7" s="316"/>
      <c r="AH7" s="169"/>
      <c r="AI7" s="169"/>
      <c r="AJ7" s="169"/>
      <c r="AK7" s="316"/>
      <c r="AL7" s="169"/>
      <c r="AM7" s="169"/>
      <c r="AN7" s="169"/>
      <c r="AO7" s="316"/>
      <c r="AT7" s="445" t="s">
        <v>257</v>
      </c>
      <c r="AU7" s="446">
        <v>678</v>
      </c>
    </row>
    <row r="8" spans="1:47" ht="14.95" customHeight="1" thickBot="1" x14ac:dyDescent="0.35">
      <c r="A8" s="458"/>
      <c r="B8" s="173"/>
      <c r="C8" s="164"/>
      <c r="D8" s="538"/>
      <c r="E8" s="668"/>
      <c r="F8" s="165"/>
      <c r="G8" s="165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169"/>
      <c r="T8" s="453"/>
      <c r="U8" s="169"/>
      <c r="V8" s="169"/>
      <c r="W8" s="169"/>
      <c r="X8" s="169"/>
      <c r="Y8" s="169"/>
      <c r="Z8" s="169"/>
      <c r="AA8" s="169"/>
      <c r="AB8" s="169"/>
      <c r="AC8" s="316"/>
      <c r="AD8" s="169"/>
      <c r="AE8" s="169"/>
      <c r="AF8" s="169"/>
      <c r="AG8" s="316"/>
      <c r="AH8" s="169"/>
      <c r="AI8" s="169"/>
      <c r="AJ8" s="169"/>
      <c r="AK8" s="316"/>
      <c r="AL8" s="169"/>
      <c r="AM8" s="169"/>
      <c r="AN8" s="169"/>
      <c r="AO8" s="316"/>
    </row>
    <row r="9" spans="1:47" ht="14.95" customHeight="1" thickBot="1" x14ac:dyDescent="0.3">
      <c r="A9" s="674"/>
      <c r="B9" s="173"/>
      <c r="C9" s="164"/>
      <c r="D9" s="173"/>
      <c r="E9" s="165"/>
      <c r="F9" s="165"/>
      <c r="G9" s="165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169"/>
      <c r="T9" s="301"/>
      <c r="U9" s="169"/>
      <c r="V9" s="169"/>
      <c r="W9" s="169"/>
      <c r="X9" s="169"/>
      <c r="Y9" s="170"/>
      <c r="Z9" s="169"/>
      <c r="AA9" s="169"/>
      <c r="AB9" s="169"/>
      <c r="AC9" s="316"/>
      <c r="AD9" s="169"/>
      <c r="AE9" s="169"/>
      <c r="AF9" s="169"/>
      <c r="AG9" s="316"/>
      <c r="AH9" s="169"/>
      <c r="AI9" s="169"/>
      <c r="AJ9" s="169"/>
      <c r="AK9" s="316"/>
      <c r="AL9" s="169"/>
      <c r="AM9" s="169"/>
      <c r="AN9" s="169"/>
      <c r="AO9" s="316"/>
    </row>
    <row r="10" spans="1:47" ht="14.95" customHeight="1" thickBot="1" x14ac:dyDescent="0.3">
      <c r="A10" s="458"/>
      <c r="B10" s="173"/>
      <c r="C10" s="173"/>
      <c r="D10" s="538"/>
      <c r="E10" s="668"/>
      <c r="F10" s="165"/>
      <c r="G10" s="165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169"/>
      <c r="T10" s="301"/>
      <c r="U10" s="169"/>
      <c r="V10" s="169"/>
      <c r="W10" s="169"/>
      <c r="X10" s="169"/>
      <c r="Y10" s="539"/>
      <c r="Z10" s="169"/>
      <c r="AA10" s="675"/>
      <c r="AB10" s="675"/>
      <c r="AC10" s="676"/>
      <c r="AD10" s="675"/>
      <c r="AE10" s="675"/>
      <c r="AF10" s="675"/>
      <c r="AG10" s="676"/>
      <c r="AH10" s="675"/>
      <c r="AI10" s="675"/>
      <c r="AJ10" s="675"/>
      <c r="AK10" s="676"/>
      <c r="AL10" s="675"/>
      <c r="AM10" s="675"/>
      <c r="AN10" s="675"/>
      <c r="AO10" s="676"/>
    </row>
    <row r="11" spans="1:47" ht="14.95" customHeight="1" thickBot="1" x14ac:dyDescent="0.3">
      <c r="A11" s="458"/>
      <c r="B11" s="173"/>
      <c r="C11" s="173"/>
      <c r="D11" s="538"/>
      <c r="E11" s="668"/>
      <c r="F11" s="165"/>
      <c r="G11" s="165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169"/>
      <c r="T11" s="301"/>
      <c r="U11" s="169"/>
      <c r="V11" s="169"/>
      <c r="W11" s="169"/>
      <c r="X11" s="168"/>
      <c r="Y11" s="169"/>
      <c r="Z11" s="169"/>
      <c r="AA11" s="675"/>
      <c r="AB11" s="675"/>
      <c r="AC11" s="676"/>
      <c r="AD11" s="675"/>
      <c r="AE11" s="675"/>
      <c r="AF11" s="675"/>
      <c r="AG11" s="676"/>
      <c r="AH11" s="675"/>
      <c r="AI11" s="675"/>
      <c r="AJ11" s="675"/>
      <c r="AK11" s="676"/>
      <c r="AL11" s="675"/>
      <c r="AM11" s="675"/>
      <c r="AN11" s="675"/>
      <c r="AO11" s="676"/>
    </row>
    <row r="12" spans="1:47" ht="14.95" customHeight="1" thickBot="1" x14ac:dyDescent="0.3">
      <c r="A12" s="458"/>
      <c r="B12" s="173"/>
      <c r="C12" s="173"/>
      <c r="D12" s="538"/>
      <c r="E12" s="668"/>
      <c r="F12" s="165"/>
      <c r="G12" s="165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169"/>
      <c r="T12" s="301"/>
      <c r="U12" s="169"/>
      <c r="V12" s="169"/>
      <c r="W12" s="169"/>
      <c r="X12" s="169"/>
      <c r="Y12" s="539"/>
      <c r="Z12" s="169"/>
      <c r="AA12" s="675"/>
      <c r="AB12" s="675"/>
      <c r="AC12" s="676"/>
      <c r="AD12" s="675"/>
      <c r="AE12" s="675"/>
      <c r="AF12" s="675"/>
      <c r="AG12" s="676"/>
      <c r="AH12" s="675"/>
      <c r="AI12" s="675"/>
      <c r="AJ12" s="675"/>
      <c r="AK12" s="676"/>
      <c r="AL12" s="675"/>
      <c r="AM12" s="675"/>
      <c r="AN12" s="675"/>
      <c r="AO12" s="676"/>
    </row>
    <row r="13" spans="1:47" ht="14.95" thickBot="1" x14ac:dyDescent="0.3">
      <c r="A13" s="100"/>
      <c r="B13" s="101"/>
      <c r="C13" s="797" t="s">
        <v>71</v>
      </c>
      <c r="D13" s="798"/>
      <c r="E13" s="799"/>
      <c r="F13" s="385">
        <f>SUM(F3:F7)</f>
        <v>26</v>
      </c>
      <c r="G13" s="385">
        <f t="shared" ref="G13:R13" si="0">SUM(G3:G7)</f>
        <v>62</v>
      </c>
      <c r="H13" s="385">
        <f t="shared" si="0"/>
        <v>0</v>
      </c>
      <c r="I13" s="385">
        <f t="shared" si="0"/>
        <v>1</v>
      </c>
      <c r="J13" s="385">
        <f t="shared" si="0"/>
        <v>4</v>
      </c>
      <c r="K13" s="385">
        <f t="shared" si="0"/>
        <v>2</v>
      </c>
      <c r="L13" s="385">
        <f t="shared" si="0"/>
        <v>0</v>
      </c>
      <c r="M13" s="385">
        <f t="shared" si="0"/>
        <v>0</v>
      </c>
      <c r="N13" s="385">
        <f t="shared" si="0"/>
        <v>2</v>
      </c>
      <c r="O13" s="385">
        <f t="shared" si="0"/>
        <v>0</v>
      </c>
      <c r="P13" s="385">
        <f t="shared" si="0"/>
        <v>1</v>
      </c>
      <c r="Q13" s="385">
        <f t="shared" si="0"/>
        <v>0</v>
      </c>
      <c r="R13" s="385">
        <f t="shared" si="0"/>
        <v>9</v>
      </c>
      <c r="S13" s="386"/>
      <c r="T13" s="386"/>
      <c r="U13" s="386"/>
      <c r="V13" s="386"/>
      <c r="W13" s="386"/>
      <c r="X13" s="381"/>
      <c r="Y13" s="382" t="s">
        <v>71</v>
      </c>
      <c r="Z13" s="385">
        <f t="shared" ref="Z13:AO13" si="1">SUM(Z3:Z7)</f>
        <v>2</v>
      </c>
      <c r="AA13" s="385">
        <f t="shared" si="1"/>
        <v>0</v>
      </c>
      <c r="AB13" s="385">
        <f t="shared" si="1"/>
        <v>0</v>
      </c>
      <c r="AC13" s="385">
        <f t="shared" si="1"/>
        <v>2</v>
      </c>
      <c r="AD13" s="387">
        <f t="shared" si="1"/>
        <v>2</v>
      </c>
      <c r="AE13" s="387">
        <f t="shared" si="1"/>
        <v>0</v>
      </c>
      <c r="AF13" s="387">
        <f t="shared" si="1"/>
        <v>0</v>
      </c>
      <c r="AG13" s="387">
        <f t="shared" si="1"/>
        <v>2</v>
      </c>
      <c r="AH13" s="388">
        <f t="shared" si="1"/>
        <v>0</v>
      </c>
      <c r="AI13" s="388">
        <f t="shared" si="1"/>
        <v>0</v>
      </c>
      <c r="AJ13" s="388">
        <f t="shared" si="1"/>
        <v>0</v>
      </c>
      <c r="AK13" s="388">
        <f t="shared" si="1"/>
        <v>0</v>
      </c>
      <c r="AL13" s="385">
        <f t="shared" si="1"/>
        <v>0</v>
      </c>
      <c r="AM13" s="385">
        <f t="shared" si="1"/>
        <v>0</v>
      </c>
      <c r="AN13" s="385">
        <f t="shared" si="1"/>
        <v>0</v>
      </c>
      <c r="AO13" s="385">
        <f t="shared" si="1"/>
        <v>0</v>
      </c>
    </row>
    <row r="14" spans="1:47" ht="14.95" thickBot="1" x14ac:dyDescent="0.3">
      <c r="A14" s="100"/>
      <c r="B14" s="101"/>
      <c r="C14" s="808" t="s">
        <v>500</v>
      </c>
      <c r="D14" s="809"/>
      <c r="E14" s="810"/>
      <c r="F14" s="393">
        <f>SUM(F10:F12)</f>
        <v>0</v>
      </c>
      <c r="G14" s="393">
        <f t="shared" ref="G14:R14" si="2">SUM(G10:G12)</f>
        <v>0</v>
      </c>
      <c r="H14" s="393">
        <f t="shared" si="2"/>
        <v>0</v>
      </c>
      <c r="I14" s="393">
        <f t="shared" si="2"/>
        <v>0</v>
      </c>
      <c r="J14" s="393">
        <f t="shared" si="2"/>
        <v>0</v>
      </c>
      <c r="K14" s="393">
        <f t="shared" si="2"/>
        <v>0</v>
      </c>
      <c r="L14" s="393">
        <f t="shared" si="2"/>
        <v>0</v>
      </c>
      <c r="M14" s="393">
        <f t="shared" si="2"/>
        <v>0</v>
      </c>
      <c r="N14" s="393">
        <f t="shared" si="2"/>
        <v>0</v>
      </c>
      <c r="O14" s="393">
        <f t="shared" si="2"/>
        <v>0</v>
      </c>
      <c r="P14" s="393">
        <f t="shared" si="2"/>
        <v>0</v>
      </c>
      <c r="Q14" s="393">
        <f t="shared" si="2"/>
        <v>0</v>
      </c>
      <c r="R14" s="393">
        <f t="shared" si="2"/>
        <v>0</v>
      </c>
      <c r="S14" s="399"/>
      <c r="T14" s="399"/>
      <c r="U14" s="399"/>
      <c r="V14" s="399"/>
      <c r="W14" s="399"/>
      <c r="X14" s="395"/>
      <c r="Y14" s="660" t="s">
        <v>500</v>
      </c>
      <c r="Z14" s="393">
        <f t="shared" ref="Z14:AO14" si="3">SUM(Z10:Z12)</f>
        <v>0</v>
      </c>
      <c r="AA14" s="393">
        <f t="shared" si="3"/>
        <v>0</v>
      </c>
      <c r="AB14" s="393">
        <f t="shared" si="3"/>
        <v>0</v>
      </c>
      <c r="AC14" s="393">
        <f t="shared" si="3"/>
        <v>0</v>
      </c>
      <c r="AD14" s="397">
        <f t="shared" si="3"/>
        <v>0</v>
      </c>
      <c r="AE14" s="397">
        <f t="shared" si="3"/>
        <v>0</v>
      </c>
      <c r="AF14" s="397">
        <f t="shared" si="3"/>
        <v>0</v>
      </c>
      <c r="AG14" s="397">
        <f t="shared" si="3"/>
        <v>0</v>
      </c>
      <c r="AH14" s="398">
        <f t="shared" si="3"/>
        <v>0</v>
      </c>
      <c r="AI14" s="398">
        <f t="shared" si="3"/>
        <v>0</v>
      </c>
      <c r="AJ14" s="398">
        <f t="shared" si="3"/>
        <v>0</v>
      </c>
      <c r="AK14" s="398">
        <f t="shared" si="3"/>
        <v>0</v>
      </c>
      <c r="AL14" s="393">
        <f t="shared" si="3"/>
        <v>0</v>
      </c>
      <c r="AM14" s="393">
        <f t="shared" si="3"/>
        <v>0</v>
      </c>
      <c r="AN14" s="393">
        <f t="shared" si="3"/>
        <v>0</v>
      </c>
      <c r="AO14" s="393">
        <f t="shared" si="3"/>
        <v>0</v>
      </c>
    </row>
    <row r="15" spans="1:47" ht="14.95" thickBot="1" x14ac:dyDescent="0.3">
      <c r="A15" s="100"/>
      <c r="B15" s="101"/>
      <c r="C15" s="800" t="s">
        <v>70</v>
      </c>
      <c r="D15" s="801"/>
      <c r="E15" s="802"/>
      <c r="F15" s="124">
        <f t="shared" ref="F15:R15" si="4">SUM(F3:F12)</f>
        <v>26</v>
      </c>
      <c r="G15" s="124">
        <f t="shared" si="4"/>
        <v>62</v>
      </c>
      <c r="H15" s="124">
        <f t="shared" si="4"/>
        <v>0</v>
      </c>
      <c r="I15" s="124">
        <f t="shared" si="4"/>
        <v>1</v>
      </c>
      <c r="J15" s="124">
        <f t="shared" si="4"/>
        <v>4</v>
      </c>
      <c r="K15" s="124">
        <f t="shared" si="4"/>
        <v>2</v>
      </c>
      <c r="L15" s="124">
        <f t="shared" si="4"/>
        <v>0</v>
      </c>
      <c r="M15" s="124">
        <f t="shared" si="4"/>
        <v>0</v>
      </c>
      <c r="N15" s="124">
        <f t="shared" si="4"/>
        <v>2</v>
      </c>
      <c r="O15" s="124">
        <f t="shared" si="4"/>
        <v>0</v>
      </c>
      <c r="P15" s="124">
        <f t="shared" si="4"/>
        <v>1</v>
      </c>
      <c r="Q15" s="124">
        <f t="shared" si="4"/>
        <v>0</v>
      </c>
      <c r="R15" s="124">
        <f t="shared" si="4"/>
        <v>9</v>
      </c>
      <c r="S15" s="121"/>
      <c r="T15" s="121"/>
      <c r="U15" s="121"/>
      <c r="V15" s="121"/>
      <c r="W15" s="121"/>
      <c r="X15" s="12"/>
      <c r="Y15" s="129" t="s">
        <v>70</v>
      </c>
      <c r="Z15" s="124">
        <f t="shared" ref="Z15:AO15" si="5">SUM(Z3:Z12)</f>
        <v>2</v>
      </c>
      <c r="AA15" s="124">
        <f t="shared" si="5"/>
        <v>0</v>
      </c>
      <c r="AB15" s="124">
        <f t="shared" si="5"/>
        <v>0</v>
      </c>
      <c r="AC15" s="124">
        <f t="shared" si="5"/>
        <v>2</v>
      </c>
      <c r="AD15" s="122">
        <f t="shared" si="5"/>
        <v>2</v>
      </c>
      <c r="AE15" s="122">
        <f t="shared" si="5"/>
        <v>0</v>
      </c>
      <c r="AF15" s="122">
        <f t="shared" si="5"/>
        <v>0</v>
      </c>
      <c r="AG15" s="122">
        <f t="shared" si="5"/>
        <v>2</v>
      </c>
      <c r="AH15" s="123">
        <f t="shared" si="5"/>
        <v>0</v>
      </c>
      <c r="AI15" s="123">
        <f t="shared" si="5"/>
        <v>0</v>
      </c>
      <c r="AJ15" s="123">
        <f t="shared" si="5"/>
        <v>0</v>
      </c>
      <c r="AK15" s="123">
        <f t="shared" si="5"/>
        <v>0</v>
      </c>
      <c r="AL15" s="124">
        <f t="shared" si="5"/>
        <v>0</v>
      </c>
      <c r="AM15" s="124">
        <f t="shared" si="5"/>
        <v>0</v>
      </c>
      <c r="AN15" s="124">
        <f t="shared" si="5"/>
        <v>0</v>
      </c>
      <c r="AO15" s="124">
        <f t="shared" si="5"/>
        <v>0</v>
      </c>
    </row>
    <row r="16" spans="1:47" x14ac:dyDescent="0.25">
      <c r="A16" s="1032"/>
      <c r="B16" s="1033"/>
      <c r="C16" s="1033"/>
      <c r="D16" s="1033"/>
      <c r="E16" s="1033"/>
      <c r="F16" s="1033"/>
      <c r="G16" s="1033"/>
      <c r="H16" s="1033"/>
      <c r="I16" s="1033"/>
      <c r="J16" s="1033"/>
      <c r="K16" s="1033"/>
      <c r="L16" s="1033"/>
      <c r="M16" s="1033"/>
      <c r="N16" s="1033"/>
      <c r="O16" s="1033"/>
      <c r="P16" s="1033"/>
      <c r="Q16" s="1033"/>
      <c r="R16" s="1033"/>
      <c r="S16" s="1033"/>
      <c r="T16" s="1033"/>
      <c r="U16" s="1033"/>
      <c r="V16" s="1033"/>
      <c r="W16" s="1033"/>
      <c r="X16" s="1033"/>
      <c r="Y16" s="1033"/>
      <c r="Z16" s="1033"/>
      <c r="AA16" s="1033"/>
      <c r="AB16" s="1033"/>
      <c r="AC16" s="1033"/>
      <c r="AD16" s="1033"/>
      <c r="AE16" s="1033"/>
      <c r="AF16" s="1033"/>
      <c r="AG16" s="1033"/>
      <c r="AH16" s="1033"/>
      <c r="AI16" s="1033"/>
      <c r="AJ16" s="1033"/>
      <c r="AK16" s="1033"/>
      <c r="AL16" s="1033"/>
      <c r="AM16" s="1033"/>
      <c r="AN16" s="1033"/>
      <c r="AO16" s="1033"/>
    </row>
    <row r="17" spans="1:41" x14ac:dyDescent="0.25">
      <c r="A17" s="789" t="s">
        <v>522</v>
      </c>
      <c r="B17" s="790"/>
      <c r="C17" s="790"/>
      <c r="D17" s="790"/>
      <c r="E17" s="790"/>
      <c r="F17" s="790"/>
      <c r="G17" s="790"/>
      <c r="H17" s="790"/>
      <c r="I17" s="790"/>
      <c r="J17" s="790"/>
      <c r="K17" s="790"/>
      <c r="L17" s="790"/>
      <c r="M17" s="790"/>
      <c r="N17" s="790"/>
      <c r="O17" s="790"/>
      <c r="P17" s="790"/>
      <c r="Q17" s="790"/>
      <c r="R17" s="790"/>
      <c r="S17" s="790"/>
      <c r="T17" s="790"/>
      <c r="U17" s="790"/>
      <c r="V17" s="790"/>
      <c r="W17" s="790"/>
      <c r="X17" s="790"/>
      <c r="Y17" s="790"/>
      <c r="Z17" s="790"/>
      <c r="AA17" s="790"/>
      <c r="AB17" s="790"/>
      <c r="AC17" s="790"/>
      <c r="AD17" s="790"/>
      <c r="AE17" s="790"/>
      <c r="AF17" s="790"/>
      <c r="AG17" s="790"/>
      <c r="AH17" s="790"/>
      <c r="AI17" s="790"/>
      <c r="AJ17" s="790"/>
      <c r="AK17" s="790"/>
      <c r="AL17" s="790"/>
      <c r="AM17" s="790"/>
      <c r="AN17" s="790"/>
      <c r="AO17" s="790"/>
    </row>
    <row r="18" spans="1:41" x14ac:dyDescent="0.25">
      <c r="A18" s="634" t="s">
        <v>523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41" x14ac:dyDescent="0.25">
      <c r="F19" s="13"/>
    </row>
    <row r="20" spans="1:41" x14ac:dyDescent="0.25">
      <c r="A20" s="310"/>
    </row>
    <row r="21" spans="1:41" x14ac:dyDescent="0.25">
      <c r="A21" s="465"/>
    </row>
    <row r="22" spans="1:41" x14ac:dyDescent="0.25">
      <c r="A22" s="789" t="s">
        <v>515</v>
      </c>
      <c r="B22" s="790"/>
      <c r="C22" s="790"/>
      <c r="D22" s="790"/>
      <c r="E22" s="790"/>
      <c r="F22" s="790"/>
      <c r="G22" s="790"/>
      <c r="H22" s="790"/>
      <c r="I22" s="790"/>
      <c r="J22" s="790"/>
      <c r="K22" s="790"/>
      <c r="L22" s="790"/>
      <c r="M22" s="790"/>
      <c r="N22" s="790"/>
      <c r="O22" s="790"/>
      <c r="P22" s="790"/>
      <c r="Q22" s="790"/>
      <c r="R22" s="790"/>
      <c r="S22" s="790"/>
      <c r="T22" s="790"/>
      <c r="U22" s="790"/>
      <c r="V22" s="790"/>
      <c r="W22" s="790"/>
      <c r="X22" s="790"/>
      <c r="Y22" s="790"/>
      <c r="Z22" s="790"/>
      <c r="AA22" s="790"/>
      <c r="AB22" s="790"/>
      <c r="AC22" s="790"/>
      <c r="AD22" s="790"/>
      <c r="AE22" s="790"/>
      <c r="AF22" s="790"/>
      <c r="AG22" s="790"/>
      <c r="AH22" s="790"/>
      <c r="AI22" s="790"/>
      <c r="AJ22" s="790"/>
      <c r="AK22" s="790"/>
      <c r="AL22" s="790"/>
      <c r="AM22" s="790"/>
      <c r="AN22" s="790"/>
      <c r="AO22" s="790"/>
    </row>
    <row r="23" spans="1:41" x14ac:dyDescent="0.25">
      <c r="A23" s="787" t="s">
        <v>597</v>
      </c>
    </row>
    <row r="24" spans="1:41" x14ac:dyDescent="0.25">
      <c r="A24" s="292"/>
      <c r="B24" s="69" t="s">
        <v>40</v>
      </c>
      <c r="C24" s="69"/>
    </row>
    <row r="25" spans="1:41" x14ac:dyDescent="0.25">
      <c r="A25" s="293"/>
      <c r="B25" s="69" t="s">
        <v>38</v>
      </c>
      <c r="C25" s="69"/>
    </row>
    <row r="26" spans="1:41" x14ac:dyDescent="0.25">
      <c r="A26" s="294"/>
      <c r="B26" s="69" t="s">
        <v>39</v>
      </c>
      <c r="C26" s="69"/>
    </row>
    <row r="27" spans="1:41" ht="16.3" x14ac:dyDescent="0.3">
      <c r="A27" s="579" t="s">
        <v>28</v>
      </c>
    </row>
  </sheetData>
  <mergeCells count="16">
    <mergeCell ref="A22:AO22"/>
    <mergeCell ref="A17:AO17"/>
    <mergeCell ref="A16:AO16"/>
    <mergeCell ref="C15:E15"/>
    <mergeCell ref="Z1:AC1"/>
    <mergeCell ref="AD1:AG1"/>
    <mergeCell ref="AH1:AK1"/>
    <mergeCell ref="AL1:AO1"/>
    <mergeCell ref="C13:E13"/>
    <mergeCell ref="P1:R1"/>
    <mergeCell ref="A1:C1"/>
    <mergeCell ref="E1:G1"/>
    <mergeCell ref="H1:I1"/>
    <mergeCell ref="J1:M1"/>
    <mergeCell ref="N1:O1"/>
    <mergeCell ref="C14:E14"/>
  </mergeCells>
  <pageMargins left="0.7" right="0.7" top="0.75" bottom="0.75" header="0.3" footer="0.3"/>
  <pageSetup paperSize="9" orientation="portrait" r:id="rId1"/>
  <ignoredErrors>
    <ignoredError sqref="C13:E13 F14:X14 Z14:AO14 S13:Y13 F13:R13 Z13:AO1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3"/>
  <sheetViews>
    <sheetView workbookViewId="0">
      <selection activeCell="I5" sqref="I5"/>
    </sheetView>
  </sheetViews>
  <sheetFormatPr defaultRowHeight="14.3" x14ac:dyDescent="0.25"/>
  <cols>
    <col min="1" max="1" width="8.875" bestFit="1" customWidth="1"/>
    <col min="3" max="3" width="28.875" bestFit="1" customWidth="1"/>
    <col min="4" max="4" width="7.75" customWidth="1"/>
    <col min="5" max="5" width="10.25" bestFit="1" customWidth="1"/>
    <col min="7" max="7" width="1.625" customWidth="1"/>
  </cols>
  <sheetData>
    <row r="1" spans="1:18" ht="14.95" thickBot="1" x14ac:dyDescent="0.3">
      <c r="A1" s="586" t="s">
        <v>442</v>
      </c>
      <c r="B1" s="586"/>
      <c r="C1" s="586"/>
    </row>
    <row r="2" spans="1:18" ht="14.95" customHeight="1" thickBot="1" x14ac:dyDescent="0.3">
      <c r="A2" s="48"/>
      <c r="B2" s="841" t="s">
        <v>49</v>
      </c>
      <c r="C2" s="828"/>
      <c r="D2" s="838" t="s">
        <v>50</v>
      </c>
      <c r="E2" s="839"/>
      <c r="F2" s="57" t="s">
        <v>51</v>
      </c>
      <c r="H2" s="835" t="s">
        <v>53</v>
      </c>
      <c r="I2" s="833" t="s">
        <v>61</v>
      </c>
      <c r="J2" s="834"/>
      <c r="K2" s="833" t="s">
        <v>62</v>
      </c>
      <c r="L2" s="837"/>
      <c r="M2" s="837"/>
      <c r="N2" s="837"/>
      <c r="O2" s="834"/>
      <c r="P2" s="833" t="s">
        <v>64</v>
      </c>
      <c r="Q2" s="834"/>
    </row>
    <row r="3" spans="1:18" ht="14.95" customHeight="1" thickBot="1" x14ac:dyDescent="0.3">
      <c r="A3" s="97" t="s">
        <v>30</v>
      </c>
      <c r="B3" s="200">
        <f>eng6nyc</f>
        <v>0</v>
      </c>
      <c r="C3" s="199"/>
      <c r="D3" s="58">
        <f>eng6nrc</f>
        <v>0</v>
      </c>
      <c r="E3" s="59"/>
      <c r="F3" s="60">
        <f t="shared" ref="F3:F8" si="0">SUM(B3+D3*2)</f>
        <v>0</v>
      </c>
      <c r="H3" s="836"/>
      <c r="I3" s="614" t="s">
        <v>4</v>
      </c>
      <c r="J3" s="614" t="s">
        <v>5</v>
      </c>
      <c r="K3" s="615" t="s">
        <v>82</v>
      </c>
      <c r="L3" s="616" t="s">
        <v>83</v>
      </c>
      <c r="M3" s="616" t="s">
        <v>84</v>
      </c>
      <c r="N3" s="617" t="s">
        <v>85</v>
      </c>
      <c r="O3" s="618" t="s">
        <v>65</v>
      </c>
      <c r="P3" s="615" t="s">
        <v>4</v>
      </c>
      <c r="Q3" s="618" t="s">
        <v>5</v>
      </c>
    </row>
    <row r="4" spans="1:18" ht="14.95" customHeight="1" thickBot="1" x14ac:dyDescent="0.3">
      <c r="A4" s="22" t="s">
        <v>35</v>
      </c>
      <c r="B4" s="61">
        <f>ire6nyc</f>
        <v>0</v>
      </c>
      <c r="C4" s="113"/>
      <c r="D4" s="58">
        <f>ire6nrc</f>
        <v>0</v>
      </c>
      <c r="E4" s="59"/>
      <c r="F4" s="60">
        <f t="shared" si="0"/>
        <v>0</v>
      </c>
      <c r="H4" s="93" t="s">
        <v>30</v>
      </c>
      <c r="I4" s="83">
        <v>0</v>
      </c>
      <c r="J4" s="83">
        <v>0</v>
      </c>
      <c r="K4" s="83">
        <v>0</v>
      </c>
      <c r="L4" s="83">
        <v>0</v>
      </c>
      <c r="M4" s="83">
        <v>0</v>
      </c>
      <c r="N4" s="83">
        <v>0</v>
      </c>
      <c r="O4" s="84">
        <f t="shared" ref="O4:O9" si="1">SUM(K4:N4)</f>
        <v>0</v>
      </c>
      <c r="P4" s="295" t="s">
        <v>92</v>
      </c>
      <c r="Q4" s="296" t="s">
        <v>92</v>
      </c>
      <c r="R4" t="s">
        <v>531</v>
      </c>
    </row>
    <row r="5" spans="1:18" ht="14.95" customHeight="1" thickBot="1" x14ac:dyDescent="0.3">
      <c r="A5" s="140" t="s">
        <v>32</v>
      </c>
      <c r="B5" s="61">
        <f>ita6nyc</f>
        <v>1</v>
      </c>
      <c r="C5" s="783" t="s">
        <v>530</v>
      </c>
      <c r="D5" s="58">
        <f>ita6nrc</f>
        <v>0</v>
      </c>
      <c r="E5" s="59"/>
      <c r="F5" s="60">
        <f t="shared" si="0"/>
        <v>1</v>
      </c>
      <c r="H5" s="72" t="s">
        <v>33</v>
      </c>
      <c r="I5" s="83">
        <v>7</v>
      </c>
      <c r="J5" s="83">
        <v>0</v>
      </c>
      <c r="K5" s="83">
        <v>2</v>
      </c>
      <c r="L5" s="83">
        <v>9</v>
      </c>
      <c r="M5" s="83">
        <v>0</v>
      </c>
      <c r="N5" s="83">
        <v>0</v>
      </c>
      <c r="O5" s="84">
        <f t="shared" si="1"/>
        <v>11</v>
      </c>
      <c r="P5" s="295">
        <f>SUM(I5/O5)*10</f>
        <v>6.3636363636363633</v>
      </c>
      <c r="Q5" s="296">
        <f>SUM(J5/O5)*10</f>
        <v>0</v>
      </c>
    </row>
    <row r="6" spans="1:18" ht="14.95" customHeight="1" thickBot="1" x14ac:dyDescent="0.3">
      <c r="A6" s="35" t="s">
        <v>33</v>
      </c>
      <c r="B6" s="61">
        <f>fra6nyc</f>
        <v>2</v>
      </c>
      <c r="C6" s="113" t="s">
        <v>601</v>
      </c>
      <c r="D6" s="58">
        <f>fra6nrc</f>
        <v>0</v>
      </c>
      <c r="E6" s="59"/>
      <c r="F6" s="60">
        <f t="shared" si="0"/>
        <v>2</v>
      </c>
      <c r="H6" s="21" t="s">
        <v>35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4">
        <f t="shared" si="1"/>
        <v>0</v>
      </c>
      <c r="P6" s="295" t="s">
        <v>92</v>
      </c>
      <c r="Q6" s="296" t="s">
        <v>92</v>
      </c>
      <c r="R6" t="s">
        <v>531</v>
      </c>
    </row>
    <row r="7" spans="1:18" ht="14.95" customHeight="1" thickBot="1" x14ac:dyDescent="0.3">
      <c r="A7" s="35" t="s">
        <v>34</v>
      </c>
      <c r="B7" s="62">
        <f>sco6nyc</f>
        <v>2</v>
      </c>
      <c r="C7" s="63" t="s">
        <v>550</v>
      </c>
      <c r="D7" s="58">
        <f>sco6nrc</f>
        <v>0</v>
      </c>
      <c r="E7" s="59"/>
      <c r="F7" s="60">
        <f t="shared" si="0"/>
        <v>2</v>
      </c>
      <c r="H7" s="91" t="s">
        <v>32</v>
      </c>
      <c r="I7" s="83">
        <v>0</v>
      </c>
      <c r="J7" s="83">
        <v>0</v>
      </c>
      <c r="K7" s="83">
        <v>10</v>
      </c>
      <c r="L7" s="83">
        <v>0</v>
      </c>
      <c r="M7" s="83">
        <v>0</v>
      </c>
      <c r="N7" s="83">
        <v>0</v>
      </c>
      <c r="O7" s="84">
        <f t="shared" si="1"/>
        <v>10</v>
      </c>
      <c r="P7" s="295">
        <f>SUM(I7/O7)*10</f>
        <v>0</v>
      </c>
      <c r="Q7" s="296">
        <f>SUM(J7/O7)*10</f>
        <v>0</v>
      </c>
    </row>
    <row r="8" spans="1:18" ht="14.95" customHeight="1" thickBot="1" x14ac:dyDescent="0.3">
      <c r="A8" s="9" t="s">
        <v>31</v>
      </c>
      <c r="B8" s="62">
        <f>wal6nyc</f>
        <v>2</v>
      </c>
      <c r="C8" s="63" t="s">
        <v>604</v>
      </c>
      <c r="D8" s="58">
        <f>wal6nrc</f>
        <v>0</v>
      </c>
      <c r="E8" s="59"/>
      <c r="F8" s="60">
        <f t="shared" si="0"/>
        <v>2</v>
      </c>
      <c r="H8" s="34" t="s">
        <v>34</v>
      </c>
      <c r="I8" s="83">
        <v>0</v>
      </c>
      <c r="J8" s="83">
        <v>5</v>
      </c>
      <c r="K8" s="83">
        <v>13</v>
      </c>
      <c r="L8" s="83">
        <v>0</v>
      </c>
      <c r="M8" s="83">
        <v>0</v>
      </c>
      <c r="N8" s="83">
        <v>0</v>
      </c>
      <c r="O8" s="84">
        <f t="shared" si="1"/>
        <v>13</v>
      </c>
      <c r="P8" s="295">
        <f>SUM(I8/O8)*10</f>
        <v>0</v>
      </c>
      <c r="Q8" s="296">
        <f>SUM(J8/O8)*10</f>
        <v>3.8461538461538463</v>
      </c>
    </row>
    <row r="9" spans="1:18" ht="14.95" customHeight="1" thickBot="1" x14ac:dyDescent="0.3">
      <c r="A9" s="98" t="s">
        <v>52</v>
      </c>
      <c r="B9" s="61">
        <f>SUM(B3:B8)</f>
        <v>7</v>
      </c>
      <c r="C9" s="64"/>
      <c r="D9" s="65">
        <f>SUM(D3:D8)</f>
        <v>0</v>
      </c>
      <c r="E9" s="66"/>
      <c r="F9" s="57" t="s">
        <v>53</v>
      </c>
      <c r="H9" s="8" t="s">
        <v>31</v>
      </c>
      <c r="I9" s="83">
        <v>0</v>
      </c>
      <c r="J9" s="83">
        <v>19</v>
      </c>
      <c r="K9" s="83">
        <v>20</v>
      </c>
      <c r="L9" s="83">
        <v>0</v>
      </c>
      <c r="M9" s="83">
        <v>0</v>
      </c>
      <c r="N9" s="83">
        <v>0</v>
      </c>
      <c r="O9" s="84">
        <f t="shared" si="1"/>
        <v>20</v>
      </c>
      <c r="P9" s="295">
        <f>SUM(I9/O9)*10</f>
        <v>0</v>
      </c>
      <c r="Q9" s="296">
        <f>SUM(J9/O9)*10</f>
        <v>9.5</v>
      </c>
      <c r="R9" t="s">
        <v>53</v>
      </c>
    </row>
    <row r="10" spans="1:18" ht="14.95" thickBot="1" x14ac:dyDescent="0.3">
      <c r="D10" s="67"/>
      <c r="E10" s="68"/>
      <c r="H10" s="90" t="s">
        <v>52</v>
      </c>
      <c r="I10" s="85">
        <f>SUM(I4:I9)</f>
        <v>7</v>
      </c>
      <c r="J10" s="85">
        <f>SUM(J4:J9)</f>
        <v>24</v>
      </c>
      <c r="K10" s="85">
        <f t="shared" ref="K10:O10" si="2">SUM(K4:K9)</f>
        <v>45</v>
      </c>
      <c r="L10" s="85">
        <f t="shared" si="2"/>
        <v>9</v>
      </c>
      <c r="M10" s="85">
        <f t="shared" si="2"/>
        <v>0</v>
      </c>
      <c r="N10" s="85">
        <f t="shared" si="2"/>
        <v>0</v>
      </c>
      <c r="O10" s="85">
        <f t="shared" si="2"/>
        <v>54</v>
      </c>
      <c r="P10" s="88">
        <f t="shared" ref="P10" si="3">SUM(I10/O10)*10</f>
        <v>1.2962962962962963</v>
      </c>
      <c r="Q10" s="89">
        <f t="shared" ref="Q10" si="4">SUM(J10/O10)*10</f>
        <v>4.4444444444444446</v>
      </c>
    </row>
    <row r="11" spans="1:18" x14ac:dyDescent="0.25">
      <c r="A11" s="69" t="s">
        <v>54</v>
      </c>
      <c r="B11" s="69"/>
    </row>
    <row r="12" spans="1:18" x14ac:dyDescent="0.25">
      <c r="A12" s="840" t="s">
        <v>603</v>
      </c>
      <c r="B12" s="840"/>
      <c r="C12" s="823"/>
      <c r="D12" s="823"/>
      <c r="H12" s="69" t="s">
        <v>77</v>
      </c>
    </row>
    <row r="13" spans="1:18" ht="14.95" thickBot="1" x14ac:dyDescent="0.3">
      <c r="A13" s="131"/>
      <c r="B13" s="14"/>
      <c r="E13" t="s">
        <v>53</v>
      </c>
      <c r="I13" s="69"/>
    </row>
    <row r="14" spans="1:18" ht="14.95" thickBot="1" x14ac:dyDescent="0.3">
      <c r="A14" s="302" t="s">
        <v>104</v>
      </c>
      <c r="B14" s="303" t="s">
        <v>105</v>
      </c>
      <c r="C14" s="304"/>
      <c r="D14" s="303" t="s">
        <v>106</v>
      </c>
      <c r="H14" s="835" t="s">
        <v>53</v>
      </c>
      <c r="I14" s="833" t="s">
        <v>61</v>
      </c>
      <c r="J14" s="834"/>
      <c r="K14" s="833" t="s">
        <v>53</v>
      </c>
      <c r="L14" s="837"/>
      <c r="M14" s="837"/>
      <c r="N14" s="837"/>
      <c r="O14" s="834"/>
      <c r="P14" s="833" t="s">
        <v>64</v>
      </c>
      <c r="Q14" s="834"/>
    </row>
    <row r="15" spans="1:18" ht="14.95" thickBot="1" x14ac:dyDescent="0.3">
      <c r="A15" s="309" t="s">
        <v>107</v>
      </c>
      <c r="B15" s="174">
        <v>4</v>
      </c>
      <c r="C15" s="13"/>
      <c r="D15" s="13">
        <v>0</v>
      </c>
      <c r="H15" s="836"/>
      <c r="I15" s="614" t="s">
        <v>4</v>
      </c>
      <c r="J15" s="614" t="s">
        <v>5</v>
      </c>
      <c r="K15" s="615" t="s">
        <v>67</v>
      </c>
      <c r="L15" s="616" t="s">
        <v>68</v>
      </c>
      <c r="M15" s="616" t="s">
        <v>78</v>
      </c>
      <c r="N15" s="617"/>
      <c r="O15" s="618" t="s">
        <v>65</v>
      </c>
      <c r="P15" s="615" t="s">
        <v>4</v>
      </c>
      <c r="Q15" s="618" t="s">
        <v>5</v>
      </c>
    </row>
    <row r="16" spans="1:18" ht="14.95" thickBot="1" x14ac:dyDescent="0.3">
      <c r="A16" s="306" t="s">
        <v>113</v>
      </c>
      <c r="B16" s="174">
        <v>3</v>
      </c>
      <c r="C16" s="174"/>
      <c r="D16" s="174">
        <v>0</v>
      </c>
      <c r="H16" s="93" t="s">
        <v>30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4">
        <f t="shared" ref="O16:O21" si="5">SUM(K16:N16)</f>
        <v>0</v>
      </c>
      <c r="P16" s="295" t="s">
        <v>92</v>
      </c>
      <c r="Q16" s="296" t="s">
        <v>92</v>
      </c>
      <c r="R16" t="s">
        <v>532</v>
      </c>
    </row>
    <row r="17" spans="1:18" ht="14.95" thickBot="1" x14ac:dyDescent="0.3">
      <c r="A17" s="306" t="s">
        <v>115</v>
      </c>
      <c r="B17" s="174"/>
      <c r="C17" s="174"/>
      <c r="D17" s="174"/>
      <c r="E17" s="13"/>
      <c r="H17" s="72" t="s">
        <v>33</v>
      </c>
      <c r="I17" s="83">
        <v>12</v>
      </c>
      <c r="J17" s="83">
        <v>0</v>
      </c>
      <c r="K17" s="83">
        <v>20</v>
      </c>
      <c r="L17" s="83">
        <v>0</v>
      </c>
      <c r="M17" s="83">
        <v>0</v>
      </c>
      <c r="N17" s="83">
        <v>0</v>
      </c>
      <c r="O17" s="84">
        <f t="shared" si="5"/>
        <v>20</v>
      </c>
      <c r="P17" s="295">
        <f t="shared" ref="P17" si="6">SUM(I17/O17)*10</f>
        <v>6</v>
      </c>
      <c r="Q17" s="296">
        <f t="shared" ref="Q17" si="7">SUM(J17/O17)*10</f>
        <v>0</v>
      </c>
      <c r="R17" t="s">
        <v>53</v>
      </c>
    </row>
    <row r="18" spans="1:18" ht="14.95" customHeight="1" thickBot="1" x14ac:dyDescent="0.3">
      <c r="A18" s="306" t="s">
        <v>118</v>
      </c>
      <c r="B18" s="53"/>
      <c r="C18" s="307"/>
      <c r="D18" s="53"/>
      <c r="E18" s="305"/>
      <c r="H18" s="21" t="s">
        <v>35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4">
        <f t="shared" si="5"/>
        <v>0</v>
      </c>
      <c r="P18" s="295" t="s">
        <v>92</v>
      </c>
      <c r="Q18" s="296" t="s">
        <v>92</v>
      </c>
      <c r="R18" t="s">
        <v>532</v>
      </c>
    </row>
    <row r="19" spans="1:18" ht="14.95" customHeight="1" thickBot="1" x14ac:dyDescent="0.3">
      <c r="A19" s="306" t="s">
        <v>122</v>
      </c>
      <c r="B19" s="53"/>
      <c r="C19" s="307"/>
      <c r="D19" s="53"/>
      <c r="E19" s="305"/>
      <c r="H19" s="91" t="s">
        <v>32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4">
        <f t="shared" si="5"/>
        <v>0</v>
      </c>
      <c r="P19" s="295" t="s">
        <v>92</v>
      </c>
      <c r="Q19" s="296" t="s">
        <v>92</v>
      </c>
      <c r="R19" t="s">
        <v>532</v>
      </c>
    </row>
    <row r="20" spans="1:18" ht="14.95" thickBot="1" x14ac:dyDescent="0.3">
      <c r="H20" s="34" t="s">
        <v>34</v>
      </c>
      <c r="I20" s="83">
        <v>7</v>
      </c>
      <c r="J20" s="83">
        <v>0</v>
      </c>
      <c r="K20" s="83">
        <v>10</v>
      </c>
      <c r="L20" s="83">
        <v>0</v>
      </c>
      <c r="M20" s="83">
        <v>0</v>
      </c>
      <c r="N20" s="83">
        <v>0</v>
      </c>
      <c r="O20" s="84">
        <f t="shared" si="5"/>
        <v>10</v>
      </c>
      <c r="P20" s="295">
        <f t="shared" ref="P20" si="8">SUM(I20/O20)*10</f>
        <v>7</v>
      </c>
      <c r="Q20" s="296">
        <f t="shared" ref="Q20" si="9">SUM(J20/O20)*10</f>
        <v>0</v>
      </c>
      <c r="R20" t="s">
        <v>53</v>
      </c>
    </row>
    <row r="21" spans="1:18" ht="17" thickBot="1" x14ac:dyDescent="0.35">
      <c r="A21" s="579" t="s">
        <v>28</v>
      </c>
      <c r="H21" s="8" t="s">
        <v>31</v>
      </c>
      <c r="I21" s="83">
        <v>5</v>
      </c>
      <c r="J21" s="83">
        <v>7</v>
      </c>
      <c r="K21" s="83">
        <v>15</v>
      </c>
      <c r="L21" s="83">
        <v>9</v>
      </c>
      <c r="M21" s="83">
        <v>0</v>
      </c>
      <c r="N21" s="83">
        <v>0</v>
      </c>
      <c r="O21" s="84">
        <f t="shared" si="5"/>
        <v>24</v>
      </c>
      <c r="P21" s="295">
        <f t="shared" ref="P21" si="10">SUM(I21/O21)*10</f>
        <v>2.0833333333333335</v>
      </c>
      <c r="Q21" s="296">
        <f t="shared" ref="Q21" si="11">SUM(J21/O21)*10</f>
        <v>2.916666666666667</v>
      </c>
    </row>
    <row r="22" spans="1:18" ht="14.95" thickBot="1" x14ac:dyDescent="0.3">
      <c r="H22" s="90" t="s">
        <v>52</v>
      </c>
      <c r="I22" s="85">
        <f t="shared" ref="I22:O22" si="12">SUM(I16:I21)</f>
        <v>24</v>
      </c>
      <c r="J22" s="86">
        <f t="shared" si="12"/>
        <v>7</v>
      </c>
      <c r="K22" s="85">
        <f t="shared" si="12"/>
        <v>45</v>
      </c>
      <c r="L22" s="87">
        <f t="shared" si="12"/>
        <v>9</v>
      </c>
      <c r="M22" s="87">
        <f t="shared" si="12"/>
        <v>0</v>
      </c>
      <c r="N22" s="87">
        <f t="shared" si="12"/>
        <v>0</v>
      </c>
      <c r="O22" s="86">
        <f t="shared" si="12"/>
        <v>54</v>
      </c>
      <c r="P22" s="88">
        <f t="shared" ref="P22" si="13">SUM(I22/O22)*10</f>
        <v>4.4444444444444446</v>
      </c>
      <c r="Q22" s="89">
        <f t="shared" ref="Q22" si="14">SUM(J22/O22)*10</f>
        <v>1.2962962962962963</v>
      </c>
    </row>
    <row r="23" spans="1:18" x14ac:dyDescent="0.25">
      <c r="H23" t="s">
        <v>53</v>
      </c>
    </row>
    <row r="24" spans="1:18" x14ac:dyDescent="0.25">
      <c r="H24" s="582" t="s">
        <v>79</v>
      </c>
      <c r="I24" s="582"/>
      <c r="J24" s="582"/>
      <c r="K24" s="582"/>
      <c r="L24" s="308"/>
      <c r="M24" s="308"/>
    </row>
    <row r="25" spans="1:18" x14ac:dyDescent="0.25">
      <c r="H25" s="788" t="s">
        <v>605</v>
      </c>
      <c r="J25" s="69"/>
      <c r="K25" s="69"/>
    </row>
    <row r="26" spans="1:18" x14ac:dyDescent="0.25">
      <c r="H26" s="308"/>
      <c r="J26" s="69"/>
      <c r="K26" s="69"/>
    </row>
    <row r="27" spans="1:18" x14ac:dyDescent="0.25">
      <c r="H27" s="308"/>
      <c r="J27" s="69"/>
      <c r="K27" s="69"/>
    </row>
    <row r="28" spans="1:18" x14ac:dyDescent="0.25">
      <c r="H28" s="108"/>
      <c r="I28" s="69"/>
      <c r="J28" s="69"/>
      <c r="K28" s="69"/>
    </row>
    <row r="29" spans="1:18" x14ac:dyDescent="0.25">
      <c r="H29" s="582" t="s">
        <v>468</v>
      </c>
      <c r="J29" s="69"/>
      <c r="K29" s="69"/>
      <c r="L29" s="69"/>
      <c r="N29" s="582" t="s">
        <v>81</v>
      </c>
    </row>
    <row r="30" spans="1:18" x14ac:dyDescent="0.25">
      <c r="H30" s="69" t="s">
        <v>535</v>
      </c>
      <c r="I30" s="69"/>
      <c r="J30" s="308"/>
      <c r="K30" s="69"/>
      <c r="L30" s="69"/>
    </row>
    <row r="31" spans="1:18" x14ac:dyDescent="0.25">
      <c r="H31" s="788" t="s">
        <v>602</v>
      </c>
      <c r="I31" s="69"/>
      <c r="J31" s="69"/>
      <c r="K31" s="69"/>
      <c r="L31" s="69"/>
    </row>
    <row r="32" spans="1:18" x14ac:dyDescent="0.25">
      <c r="H32" s="308"/>
    </row>
    <row r="33" spans="1:1" x14ac:dyDescent="0.25">
      <c r="A33" s="574"/>
    </row>
  </sheetData>
  <sortState xmlns:xlrd2="http://schemas.microsoft.com/office/spreadsheetml/2017/richdata2" ref="A3:F8">
    <sortCondition ref="F3:F8"/>
    <sortCondition ref="A3:A8"/>
  </sortState>
  <mergeCells count="11">
    <mergeCell ref="D2:E2"/>
    <mergeCell ref="A12:D12"/>
    <mergeCell ref="H2:H3"/>
    <mergeCell ref="I2:J2"/>
    <mergeCell ref="K2:O2"/>
    <mergeCell ref="B2:C2"/>
    <mergeCell ref="P2:Q2"/>
    <mergeCell ref="H14:H15"/>
    <mergeCell ref="I14:J14"/>
    <mergeCell ref="K14:O14"/>
    <mergeCell ref="P14:Q14"/>
  </mergeCells>
  <pageMargins left="0.7" right="0.7" top="0.75" bottom="0.75" header="0.3" footer="0.3"/>
  <pageSetup paperSize="9" orientation="portrait" horizontalDpi="360" verticalDpi="360" r:id="rId1"/>
  <ignoredErrors>
    <ignoredError sqref="O4:O9 O16:O21" formulaRange="1"/>
    <ignoredError sqref="P7 Q7 P11:Q15 P10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CCF7-58E5-43C9-81F8-72A70978C40C}">
  <dimension ref="A1:AP38"/>
  <sheetViews>
    <sheetView workbookViewId="0">
      <selection activeCell="AO21" sqref="AO21"/>
    </sheetView>
  </sheetViews>
  <sheetFormatPr defaultRowHeight="14.3" x14ac:dyDescent="0.25"/>
  <cols>
    <col min="1" max="1" width="3.75" bestFit="1" customWidth="1"/>
    <col min="2" max="2" width="4" bestFit="1" customWidth="1"/>
    <col min="3" max="3" width="9.5" customWidth="1"/>
    <col min="4" max="9" width="4" customWidth="1"/>
    <col min="10" max="10" width="4.375" bestFit="1" customWidth="1"/>
    <col min="11" max="15" width="4" customWidth="1"/>
    <col min="16" max="16" width="1.625" customWidth="1"/>
    <col min="17" max="17" width="9.5" customWidth="1"/>
    <col min="18" max="26" width="5.375" customWidth="1"/>
    <col min="27" max="27" width="5.875" bestFit="1" customWidth="1"/>
    <col min="28" max="28" width="5.375" customWidth="1"/>
    <col min="29" max="29" width="1.625" customWidth="1"/>
    <col min="30" max="30" width="9.5" customWidth="1"/>
    <col min="31" max="40" width="5.375" customWidth="1"/>
    <col min="41" max="41" width="5.875" bestFit="1" customWidth="1"/>
    <col min="42" max="42" width="5.375" customWidth="1"/>
  </cols>
  <sheetData>
    <row r="1" spans="1:42" ht="14.95" thickBot="1" x14ac:dyDescent="0.3">
      <c r="A1" s="619" t="s">
        <v>469</v>
      </c>
      <c r="B1" s="619"/>
      <c r="C1" s="619"/>
      <c r="D1" s="620"/>
      <c r="E1" s="620"/>
      <c r="F1" s="847"/>
      <c r="G1" s="848"/>
      <c r="H1" s="620"/>
      <c r="I1" s="620"/>
      <c r="J1" s="620"/>
      <c r="K1" s="620"/>
      <c r="L1" s="620"/>
      <c r="M1" s="620"/>
      <c r="N1" s="620"/>
      <c r="O1" s="625"/>
      <c r="P1" s="635"/>
      <c r="Q1" s="619" t="s">
        <v>307</v>
      </c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D1" s="619" t="s">
        <v>308</v>
      </c>
      <c r="AE1" s="620"/>
      <c r="AF1" s="620"/>
      <c r="AG1" s="620"/>
      <c r="AH1" s="620"/>
      <c r="AI1" s="620"/>
      <c r="AJ1" s="620"/>
      <c r="AK1" s="620"/>
      <c r="AL1" s="620"/>
      <c r="AM1" s="620"/>
      <c r="AN1" s="620"/>
      <c r="AO1" s="620"/>
      <c r="AP1" s="620"/>
    </row>
    <row r="2" spans="1:42" ht="14.95" customHeight="1" thickBot="1" x14ac:dyDescent="0.3">
      <c r="A2" s="621" t="s">
        <v>448</v>
      </c>
      <c r="B2" s="622"/>
      <c r="C2" s="842" t="s">
        <v>55</v>
      </c>
      <c r="D2" s="843"/>
      <c r="E2" s="843"/>
      <c r="F2" s="619">
        <v>15</v>
      </c>
      <c r="G2" s="624" t="s">
        <v>533</v>
      </c>
      <c r="H2" s="623">
        <v>48</v>
      </c>
      <c r="I2" s="849" t="s">
        <v>126</v>
      </c>
      <c r="J2" s="848"/>
      <c r="K2" s="848"/>
      <c r="L2" s="842" t="s">
        <v>470</v>
      </c>
      <c r="M2" s="842"/>
      <c r="N2" s="842"/>
      <c r="O2" s="620"/>
      <c r="P2" s="635"/>
      <c r="Q2" s="480"/>
      <c r="R2" s="481" t="s">
        <v>271</v>
      </c>
      <c r="S2" s="592" t="s">
        <v>309</v>
      </c>
      <c r="T2" s="593" t="s">
        <v>310</v>
      </c>
      <c r="U2" s="594" t="s">
        <v>311</v>
      </c>
      <c r="V2" s="459" t="s">
        <v>312</v>
      </c>
      <c r="W2" s="595" t="s">
        <v>313</v>
      </c>
      <c r="X2" s="595" t="s">
        <v>314</v>
      </c>
      <c r="Y2" s="596" t="s">
        <v>315</v>
      </c>
      <c r="Z2" s="596" t="s">
        <v>316</v>
      </c>
      <c r="AA2" s="597" t="s">
        <v>317</v>
      </c>
      <c r="AB2" s="598" t="s">
        <v>318</v>
      </c>
      <c r="AD2" s="480"/>
      <c r="AE2" s="599" t="s">
        <v>271</v>
      </c>
      <c r="AF2" s="592" t="s">
        <v>309</v>
      </c>
      <c r="AG2" s="594" t="s">
        <v>310</v>
      </c>
      <c r="AH2" s="594" t="s">
        <v>311</v>
      </c>
      <c r="AI2" s="459" t="s">
        <v>312</v>
      </c>
      <c r="AJ2" s="524" t="s">
        <v>313</v>
      </c>
      <c r="AK2" s="595" t="s">
        <v>314</v>
      </c>
      <c r="AL2" s="596" t="s">
        <v>315</v>
      </c>
      <c r="AM2" s="824" t="s">
        <v>316</v>
      </c>
      <c r="AN2" s="825"/>
      <c r="AO2" s="442" t="s">
        <v>317</v>
      </c>
      <c r="AP2" s="442" t="s">
        <v>459</v>
      </c>
    </row>
    <row r="3" spans="1:42" ht="14.95" thickBot="1" x14ac:dyDescent="0.3">
      <c r="A3" s="621" t="s">
        <v>448</v>
      </c>
      <c r="B3" s="619"/>
      <c r="C3" s="844" t="s">
        <v>36</v>
      </c>
      <c r="D3" s="844"/>
      <c r="E3" s="844"/>
      <c r="F3" s="619">
        <v>24</v>
      </c>
      <c r="G3" s="624" t="s">
        <v>533</v>
      </c>
      <c r="H3" s="623">
        <v>0</v>
      </c>
      <c r="I3" s="619" t="s">
        <v>29</v>
      </c>
      <c r="J3" s="619"/>
      <c r="K3" s="619"/>
      <c r="L3" s="844" t="s">
        <v>470</v>
      </c>
      <c r="M3" s="844"/>
      <c r="N3" s="844"/>
      <c r="O3" s="620"/>
      <c r="P3" s="636"/>
      <c r="Q3" s="279" t="s">
        <v>29</v>
      </c>
      <c r="R3" s="483"/>
      <c r="S3" s="484">
        <v>1</v>
      </c>
      <c r="T3" s="485"/>
      <c r="U3" s="486"/>
      <c r="V3" s="487">
        <f t="shared" ref="V3:V6" si="0">SUM(R3:U3)</f>
        <v>1</v>
      </c>
      <c r="W3" s="488">
        <v>1</v>
      </c>
      <c r="X3" s="489"/>
      <c r="Y3" s="490"/>
      <c r="Z3" s="491"/>
      <c r="AA3" s="492">
        <f t="shared" ref="AA3:AA6" si="1">SUM(W3:Z3)</f>
        <v>1</v>
      </c>
      <c r="AB3" s="600">
        <f t="shared" ref="AB3:AB6" si="2">SUM(V3+AA3)</f>
        <v>2</v>
      </c>
      <c r="AD3" s="494"/>
      <c r="AE3" s="495" t="s">
        <v>319</v>
      </c>
      <c r="AF3" s="495" t="s">
        <v>319</v>
      </c>
      <c r="AG3" s="496" t="s">
        <v>319</v>
      </c>
      <c r="AH3" s="496" t="s">
        <v>319</v>
      </c>
      <c r="AI3" s="165" t="s">
        <v>53</v>
      </c>
      <c r="AJ3" s="497" t="s">
        <v>319</v>
      </c>
      <c r="AK3" s="497" t="s">
        <v>319</v>
      </c>
      <c r="AL3" s="498" t="s">
        <v>319</v>
      </c>
      <c r="AM3" s="498" t="s">
        <v>319</v>
      </c>
      <c r="AN3" s="498" t="s">
        <v>320</v>
      </c>
      <c r="AO3" s="442"/>
      <c r="AP3" s="442"/>
    </row>
    <row r="4" spans="1:42" ht="14.95" thickBot="1" x14ac:dyDescent="0.3">
      <c r="A4" s="621" t="s">
        <v>471</v>
      </c>
      <c r="B4" s="622"/>
      <c r="C4" s="842" t="s">
        <v>36</v>
      </c>
      <c r="D4" s="843"/>
      <c r="E4" s="843"/>
      <c r="F4" s="619">
        <v>14</v>
      </c>
      <c r="G4" s="624" t="s">
        <v>533</v>
      </c>
      <c r="H4" s="623">
        <v>36</v>
      </c>
      <c r="I4" s="846" t="s">
        <v>126</v>
      </c>
      <c r="J4" s="846"/>
      <c r="K4" s="846"/>
      <c r="L4" s="844" t="s">
        <v>472</v>
      </c>
      <c r="M4" s="844"/>
      <c r="N4" s="844"/>
      <c r="O4" s="620"/>
      <c r="P4" s="636"/>
      <c r="Q4" s="54" t="s">
        <v>36</v>
      </c>
      <c r="R4" s="483"/>
      <c r="S4" s="484">
        <v>1</v>
      </c>
      <c r="T4" s="485">
        <v>1</v>
      </c>
      <c r="U4" s="486">
        <v>2</v>
      </c>
      <c r="V4" s="487">
        <f t="shared" si="0"/>
        <v>4</v>
      </c>
      <c r="W4" s="488"/>
      <c r="X4" s="489"/>
      <c r="Y4" s="490">
        <v>1</v>
      </c>
      <c r="Z4" s="491">
        <v>1</v>
      </c>
      <c r="AA4" s="492">
        <f t="shared" si="1"/>
        <v>2</v>
      </c>
      <c r="AB4" s="600">
        <f t="shared" si="2"/>
        <v>6</v>
      </c>
      <c r="AD4" s="279" t="s">
        <v>29</v>
      </c>
      <c r="AE4" s="483"/>
      <c r="AF4" s="484"/>
      <c r="AG4" s="486"/>
      <c r="AH4" s="485"/>
      <c r="AI4" s="487">
        <f>SUM(AD4:AH4)</f>
        <v>0</v>
      </c>
      <c r="AJ4" s="488"/>
      <c r="AK4" s="489"/>
      <c r="AL4" s="490"/>
      <c r="AM4" s="490"/>
      <c r="AN4" s="491"/>
      <c r="AO4" s="492">
        <f t="shared" ref="AO4:AO7" si="3">SUM(AJ4:AN4)</f>
        <v>0</v>
      </c>
      <c r="AP4" s="492">
        <f>SUM(AI4:AM4)</f>
        <v>0</v>
      </c>
    </row>
    <row r="5" spans="1:42" ht="14.95" customHeight="1" thickBot="1" x14ac:dyDescent="0.3">
      <c r="A5" s="621" t="s">
        <v>449</v>
      </c>
      <c r="B5" s="622"/>
      <c r="C5" s="842" t="s">
        <v>55</v>
      </c>
      <c r="D5" s="843"/>
      <c r="E5" s="843"/>
      <c r="F5" s="619">
        <v>33</v>
      </c>
      <c r="G5" s="624" t="s">
        <v>533</v>
      </c>
      <c r="H5" s="623">
        <v>12</v>
      </c>
      <c r="I5" s="619" t="s">
        <v>29</v>
      </c>
      <c r="J5" s="619"/>
      <c r="K5" s="619"/>
      <c r="L5" s="844" t="s">
        <v>472</v>
      </c>
      <c r="M5" s="844"/>
      <c r="N5" s="844"/>
      <c r="O5" s="620"/>
      <c r="P5" s="636"/>
      <c r="Q5" s="278" t="s">
        <v>72</v>
      </c>
      <c r="R5" s="483">
        <v>2</v>
      </c>
      <c r="S5" s="484"/>
      <c r="T5" s="485">
        <v>1</v>
      </c>
      <c r="U5" s="486">
        <v>1</v>
      </c>
      <c r="V5" s="487">
        <f t="shared" si="0"/>
        <v>4</v>
      </c>
      <c r="W5" s="488">
        <v>1</v>
      </c>
      <c r="X5" s="489">
        <v>4</v>
      </c>
      <c r="Y5" s="490">
        <v>2</v>
      </c>
      <c r="Z5" s="491">
        <v>2</v>
      </c>
      <c r="AA5" s="492">
        <f t="shared" si="1"/>
        <v>9</v>
      </c>
      <c r="AB5" s="600">
        <f t="shared" si="2"/>
        <v>13</v>
      </c>
      <c r="AD5" s="54" t="s">
        <v>36</v>
      </c>
      <c r="AE5" s="483"/>
      <c r="AF5" s="484"/>
      <c r="AG5" s="486"/>
      <c r="AH5" s="485"/>
      <c r="AI5" s="487">
        <f t="shared" ref="AI5:AI7" si="4">SUM(AD5:AH5)</f>
        <v>0</v>
      </c>
      <c r="AJ5" s="488"/>
      <c r="AK5" s="489"/>
      <c r="AL5" s="490"/>
      <c r="AM5" s="490">
        <v>1</v>
      </c>
      <c r="AN5" s="491"/>
      <c r="AO5" s="492">
        <f t="shared" si="3"/>
        <v>1</v>
      </c>
      <c r="AP5" s="492">
        <f t="shared" ref="AP5:AP7" si="5">SUM(AI5:AM5)</f>
        <v>1</v>
      </c>
    </row>
    <row r="6" spans="1:42" ht="14.95" customHeight="1" thickBot="1" x14ac:dyDescent="0.3">
      <c r="A6" s="621" t="s">
        <v>450</v>
      </c>
      <c r="B6" s="622"/>
      <c r="C6" s="844" t="s">
        <v>55</v>
      </c>
      <c r="D6" s="844"/>
      <c r="E6" s="844"/>
      <c r="F6" s="619"/>
      <c r="G6" s="624" t="s">
        <v>447</v>
      </c>
      <c r="H6" s="623"/>
      <c r="I6" s="619" t="s">
        <v>36</v>
      </c>
      <c r="J6" s="619"/>
      <c r="K6" s="619"/>
      <c r="L6" s="844" t="s">
        <v>473</v>
      </c>
      <c r="M6" s="844"/>
      <c r="N6" s="844"/>
      <c r="O6" s="620"/>
      <c r="P6" s="636"/>
      <c r="Q6" s="201" t="s">
        <v>55</v>
      </c>
      <c r="R6" s="483">
        <v>1</v>
      </c>
      <c r="S6" s="484">
        <v>1</v>
      </c>
      <c r="T6" s="485">
        <v>1</v>
      </c>
      <c r="U6" s="486">
        <v>1</v>
      </c>
      <c r="V6" s="487">
        <f t="shared" si="0"/>
        <v>4</v>
      </c>
      <c r="W6" s="488"/>
      <c r="X6" s="489">
        <v>1</v>
      </c>
      <c r="Y6" s="490">
        <v>1</v>
      </c>
      <c r="Z6" s="491">
        <v>1</v>
      </c>
      <c r="AA6" s="492">
        <f t="shared" si="1"/>
        <v>3</v>
      </c>
      <c r="AB6" s="600">
        <f t="shared" si="2"/>
        <v>7</v>
      </c>
      <c r="AD6" s="278" t="s">
        <v>72</v>
      </c>
      <c r="AE6" s="483"/>
      <c r="AF6" s="484"/>
      <c r="AG6" s="486"/>
      <c r="AH6" s="485"/>
      <c r="AI6" s="487">
        <f t="shared" si="4"/>
        <v>0</v>
      </c>
      <c r="AJ6" s="488">
        <v>1</v>
      </c>
      <c r="AK6" s="489"/>
      <c r="AL6" s="490">
        <v>1</v>
      </c>
      <c r="AM6" s="490"/>
      <c r="AN6" s="491"/>
      <c r="AO6" s="492">
        <f t="shared" si="3"/>
        <v>2</v>
      </c>
      <c r="AP6" s="492">
        <f t="shared" si="5"/>
        <v>2</v>
      </c>
    </row>
    <row r="7" spans="1:42" ht="14.95" thickBot="1" x14ac:dyDescent="0.3">
      <c r="A7" s="621" t="s">
        <v>449</v>
      </c>
      <c r="B7" s="622"/>
      <c r="C7" s="842" t="s">
        <v>29</v>
      </c>
      <c r="D7" s="843"/>
      <c r="E7" s="843"/>
      <c r="F7" s="619"/>
      <c r="G7" s="624" t="s">
        <v>447</v>
      </c>
      <c r="H7" s="623"/>
      <c r="I7" s="619" t="s">
        <v>126</v>
      </c>
      <c r="J7" s="619"/>
      <c r="K7" s="619"/>
      <c r="L7" s="786" t="s">
        <v>474</v>
      </c>
      <c r="M7" s="786"/>
      <c r="N7" s="786"/>
      <c r="O7" s="1074"/>
      <c r="P7" s="636"/>
      <c r="AB7" s="493">
        <f>SUM(AB3:AB6)</f>
        <v>28</v>
      </c>
      <c r="AD7" s="201" t="s">
        <v>55</v>
      </c>
      <c r="AE7" s="483"/>
      <c r="AF7" s="484"/>
      <c r="AG7" s="486"/>
      <c r="AH7" s="485"/>
      <c r="AI7" s="487">
        <f t="shared" si="4"/>
        <v>0</v>
      </c>
      <c r="AJ7" s="488"/>
      <c r="AK7" s="489"/>
      <c r="AL7" s="490">
        <v>1</v>
      </c>
      <c r="AM7" s="490"/>
      <c r="AN7" s="491"/>
      <c r="AO7" s="492">
        <f t="shared" si="3"/>
        <v>1</v>
      </c>
      <c r="AP7" s="492">
        <f t="shared" si="5"/>
        <v>1</v>
      </c>
    </row>
    <row r="8" spans="1:42" ht="14.95" thickBot="1" x14ac:dyDescent="0.3">
      <c r="P8" s="636"/>
      <c r="Q8" s="619" t="s">
        <v>321</v>
      </c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  <c r="AN8">
        <f>SUM(AN4:AN7)</f>
        <v>0</v>
      </c>
      <c r="AP8" s="493">
        <f>SUM(AP4:AP7)</f>
        <v>4</v>
      </c>
    </row>
    <row r="9" spans="1:42" ht="14.95" customHeight="1" thickBot="1" x14ac:dyDescent="0.3">
      <c r="A9" s="94" t="s">
        <v>42</v>
      </c>
      <c r="B9" s="95" t="s">
        <v>43</v>
      </c>
      <c r="C9" s="49"/>
      <c r="D9" s="49" t="s">
        <v>0</v>
      </c>
      <c r="E9" s="50" t="s">
        <v>1</v>
      </c>
      <c r="F9" s="49" t="s">
        <v>2</v>
      </c>
      <c r="G9" s="49" t="s">
        <v>3</v>
      </c>
      <c r="H9" s="49" t="s">
        <v>4</v>
      </c>
      <c r="I9" s="49" t="s">
        <v>5</v>
      </c>
      <c r="J9" s="50" t="s">
        <v>44</v>
      </c>
      <c r="K9" s="49" t="s">
        <v>21</v>
      </c>
      <c r="L9" s="49" t="s">
        <v>22</v>
      </c>
      <c r="M9" s="49" t="s">
        <v>47</v>
      </c>
      <c r="N9" s="49" t="s">
        <v>48</v>
      </c>
      <c r="O9" s="50" t="s">
        <v>45</v>
      </c>
      <c r="Q9" s="480"/>
      <c r="R9" s="481" t="s">
        <v>271</v>
      </c>
      <c r="S9" s="599" t="s">
        <v>309</v>
      </c>
      <c r="T9" s="594" t="s">
        <v>310</v>
      </c>
      <c r="U9" s="594" t="s">
        <v>311</v>
      </c>
      <c r="V9" s="459" t="s">
        <v>312</v>
      </c>
      <c r="W9" s="595" t="s">
        <v>313</v>
      </c>
      <c r="X9" s="595" t="s">
        <v>314</v>
      </c>
      <c r="Y9" s="596" t="s">
        <v>315</v>
      </c>
      <c r="Z9" s="596" t="s">
        <v>316</v>
      </c>
      <c r="AA9" s="597" t="s">
        <v>317</v>
      </c>
      <c r="AB9" s="598" t="s">
        <v>318</v>
      </c>
      <c r="AD9" s="619" t="s">
        <v>325</v>
      </c>
      <c r="AE9" s="620"/>
      <c r="AF9" s="620"/>
      <c r="AG9" s="620"/>
      <c r="AH9" s="620"/>
      <c r="AI9" s="620"/>
      <c r="AJ9" s="620"/>
      <c r="AK9" s="620"/>
      <c r="AL9" s="620"/>
      <c r="AM9" s="620"/>
      <c r="AN9" s="620"/>
      <c r="AO9" s="620"/>
      <c r="AP9" s="620"/>
    </row>
    <row r="10" spans="1:42" ht="14.95" customHeight="1" thickBot="1" x14ac:dyDescent="0.3">
      <c r="A10" s="96">
        <v>1</v>
      </c>
      <c r="B10" s="149" t="s">
        <v>46</v>
      </c>
      <c r="C10" s="278" t="s">
        <v>72</v>
      </c>
      <c r="D10" s="637">
        <f>nzlp4played</f>
        <v>2</v>
      </c>
      <c r="E10" s="210">
        <f>nzlp4won</f>
        <v>2</v>
      </c>
      <c r="F10" s="637">
        <f>nzlp4drawn</f>
        <v>0</v>
      </c>
      <c r="G10" s="637">
        <f>nzlp4lost</f>
        <v>0</v>
      </c>
      <c r="H10" s="637">
        <f>nzlp4ptsscored</f>
        <v>84</v>
      </c>
      <c r="I10" s="637">
        <f>nzlp4ptsconc</f>
        <v>29</v>
      </c>
      <c r="J10" s="210">
        <f>SUM(H10-I10)</f>
        <v>55</v>
      </c>
      <c r="K10" s="637">
        <f>nzlp4tb</f>
        <v>2</v>
      </c>
      <c r="L10" s="637">
        <f>nzlp4lb</f>
        <v>0</v>
      </c>
      <c r="M10" s="637">
        <f>nzlp4triesscored</f>
        <v>13</v>
      </c>
      <c r="N10" s="637">
        <f>nzlp4triesconc</f>
        <v>4</v>
      </c>
      <c r="O10" s="210">
        <f>SUM(E10*4)+(F10*2)+K10+L10</f>
        <v>10</v>
      </c>
      <c r="Q10" s="279" t="s">
        <v>29</v>
      </c>
      <c r="R10" s="483"/>
      <c r="S10" s="484">
        <v>2</v>
      </c>
      <c r="T10" s="486">
        <v>1</v>
      </c>
      <c r="U10" s="485">
        <v>1</v>
      </c>
      <c r="V10" s="487">
        <f t="shared" ref="V10:V13" si="6">SUM(R10:U10)</f>
        <v>4</v>
      </c>
      <c r="W10" s="488"/>
      <c r="X10" s="489">
        <v>1</v>
      </c>
      <c r="Y10" s="490">
        <v>2</v>
      </c>
      <c r="Z10" s="491">
        <v>2</v>
      </c>
      <c r="AA10" s="492">
        <f t="shared" ref="AA10:AA13" si="7">SUM(W10:Z10)</f>
        <v>5</v>
      </c>
      <c r="AB10" s="600">
        <f>SUM(V10+AA10)</f>
        <v>9</v>
      </c>
      <c r="AD10" s="480"/>
      <c r="AE10" s="599" t="s">
        <v>271</v>
      </c>
      <c r="AF10" s="592" t="s">
        <v>309</v>
      </c>
      <c r="AG10" s="594" t="s">
        <v>310</v>
      </c>
      <c r="AH10" s="594" t="s">
        <v>311</v>
      </c>
      <c r="AI10" s="459" t="s">
        <v>312</v>
      </c>
      <c r="AJ10" s="524" t="s">
        <v>313</v>
      </c>
      <c r="AK10" s="595" t="s">
        <v>314</v>
      </c>
      <c r="AL10" s="596" t="s">
        <v>315</v>
      </c>
      <c r="AM10" s="824" t="s">
        <v>316</v>
      </c>
      <c r="AN10" s="825"/>
      <c r="AO10" s="442" t="s">
        <v>317</v>
      </c>
      <c r="AP10" s="442" t="s">
        <v>459</v>
      </c>
    </row>
    <row r="11" spans="1:42" ht="14.95" customHeight="1" thickBot="1" x14ac:dyDescent="0.3">
      <c r="A11" s="96">
        <v>2</v>
      </c>
      <c r="B11" s="149" t="s">
        <v>46</v>
      </c>
      <c r="C11" s="54" t="s">
        <v>36</v>
      </c>
      <c r="D11" s="637">
        <f>canp4played</f>
        <v>2</v>
      </c>
      <c r="E11" s="210">
        <f>canp4won</f>
        <v>1</v>
      </c>
      <c r="F11" s="637">
        <f>canp4drawn</f>
        <v>0</v>
      </c>
      <c r="G11" s="637">
        <f>canp4lost</f>
        <v>1</v>
      </c>
      <c r="H11" s="637">
        <f>canp4ptsscored</f>
        <v>38</v>
      </c>
      <c r="I11" s="637">
        <f>canp4ptsconc</f>
        <v>36</v>
      </c>
      <c r="J11" s="210">
        <f>SUM(H11-I11)</f>
        <v>2</v>
      </c>
      <c r="K11" s="637">
        <f>canp4tb</f>
        <v>1</v>
      </c>
      <c r="L11" s="637">
        <f>canp4lb</f>
        <v>0</v>
      </c>
      <c r="M11" s="637">
        <f>canp4triesscored</f>
        <v>6</v>
      </c>
      <c r="N11" s="637">
        <f>canp4triesconc</f>
        <v>6</v>
      </c>
      <c r="O11" s="210">
        <f>SUM(E11*4)+(F11*2)+K11+L11</f>
        <v>5</v>
      </c>
      <c r="Q11" s="54" t="s">
        <v>36</v>
      </c>
      <c r="R11" s="483"/>
      <c r="S11" s="484"/>
      <c r="T11" s="486">
        <v>1</v>
      </c>
      <c r="U11" s="485"/>
      <c r="V11" s="487">
        <f t="shared" si="6"/>
        <v>1</v>
      </c>
      <c r="W11" s="488"/>
      <c r="X11" s="489">
        <v>2</v>
      </c>
      <c r="Y11" s="490">
        <v>1</v>
      </c>
      <c r="Z11" s="491">
        <v>2</v>
      </c>
      <c r="AA11" s="492">
        <f t="shared" si="7"/>
        <v>5</v>
      </c>
      <c r="AB11" s="600">
        <f t="shared" ref="AB11:AB13" si="8">SUM(V11+AA11)</f>
        <v>6</v>
      </c>
      <c r="AD11" s="494"/>
      <c r="AE11" s="495" t="s">
        <v>319</v>
      </c>
      <c r="AF11" s="495" t="s">
        <v>319</v>
      </c>
      <c r="AG11" s="496" t="s">
        <v>319</v>
      </c>
      <c r="AH11" s="496" t="s">
        <v>319</v>
      </c>
      <c r="AI11" s="165" t="s">
        <v>53</v>
      </c>
      <c r="AJ11" s="497" t="s">
        <v>319</v>
      </c>
      <c r="AK11" s="497" t="s">
        <v>319</v>
      </c>
      <c r="AL11" s="498" t="s">
        <v>319</v>
      </c>
      <c r="AM11" s="498" t="s">
        <v>319</v>
      </c>
      <c r="AN11" s="498" t="s">
        <v>320</v>
      </c>
      <c r="AO11" s="442"/>
      <c r="AP11" s="442"/>
    </row>
    <row r="12" spans="1:42" ht="14.95" customHeight="1" thickBot="1" x14ac:dyDescent="0.3">
      <c r="A12" s="132">
        <v>3</v>
      </c>
      <c r="B12" s="114" t="s">
        <v>46</v>
      </c>
      <c r="C12" s="279" t="s">
        <v>29</v>
      </c>
      <c r="D12" s="638">
        <f>ausp4played</f>
        <v>2</v>
      </c>
      <c r="E12" s="639">
        <f>ausp4won</f>
        <v>0</v>
      </c>
      <c r="F12" s="638">
        <f>ausp4drawn</f>
        <v>0</v>
      </c>
      <c r="G12" s="638">
        <f>ausp4lost</f>
        <v>2</v>
      </c>
      <c r="H12" s="638">
        <f>ausp4ptsscored</f>
        <v>12</v>
      </c>
      <c r="I12" s="638">
        <f>ausp4ptsconc</f>
        <v>57</v>
      </c>
      <c r="J12" s="210">
        <f>SUM(H12-I12)</f>
        <v>-45</v>
      </c>
      <c r="K12" s="637">
        <f>ausp4tb</f>
        <v>0</v>
      </c>
      <c r="L12" s="637">
        <f>ausp4lb</f>
        <v>0</v>
      </c>
      <c r="M12" s="638">
        <f>ausp4triesscored</f>
        <v>2</v>
      </c>
      <c r="N12" s="638">
        <f>ausp4triesconc</f>
        <v>9</v>
      </c>
      <c r="O12" s="210">
        <f>SUM(E12*4)+(F12*2)+K12+L12</f>
        <v>0</v>
      </c>
      <c r="Q12" s="278" t="s">
        <v>72</v>
      </c>
      <c r="R12" s="483">
        <v>1</v>
      </c>
      <c r="S12" s="484"/>
      <c r="T12" s="486">
        <v>1</v>
      </c>
      <c r="U12" s="485">
        <v>2</v>
      </c>
      <c r="V12" s="487">
        <f t="shared" si="6"/>
        <v>4</v>
      </c>
      <c r="W12" s="488"/>
      <c r="X12" s="489"/>
      <c r="Y12" s="490"/>
      <c r="Z12" s="491"/>
      <c r="AA12" s="492">
        <f t="shared" si="7"/>
        <v>0</v>
      </c>
      <c r="AB12" s="600">
        <f t="shared" si="8"/>
        <v>4</v>
      </c>
      <c r="AD12" s="279" t="s">
        <v>29</v>
      </c>
      <c r="AE12" s="483"/>
      <c r="AF12" s="484"/>
      <c r="AG12" s="486"/>
      <c r="AH12" s="485"/>
      <c r="AI12" s="487">
        <f t="shared" ref="AI12:AI15" si="9">SUM(AD12:AH12)</f>
        <v>0</v>
      </c>
      <c r="AJ12" s="488"/>
      <c r="AK12" s="489"/>
      <c r="AL12" s="490">
        <v>1</v>
      </c>
      <c r="AM12" s="490">
        <v>1</v>
      </c>
      <c r="AN12" s="491"/>
      <c r="AO12" s="492">
        <f t="shared" ref="AO12:AO15" si="10">SUM(AJ12:AN12)</f>
        <v>2</v>
      </c>
      <c r="AP12" s="492">
        <f t="shared" ref="AP12:AP15" si="11">SUM(AI12:AM12)</f>
        <v>2</v>
      </c>
    </row>
    <row r="13" spans="1:42" ht="14.95" customHeight="1" thickBot="1" x14ac:dyDescent="0.3">
      <c r="A13" s="96">
        <v>4</v>
      </c>
      <c r="B13" s="149" t="s">
        <v>46</v>
      </c>
      <c r="C13" s="201" t="s">
        <v>55</v>
      </c>
      <c r="D13" s="637">
        <f>usap4played</f>
        <v>2</v>
      </c>
      <c r="E13" s="210">
        <f>usap4won</f>
        <v>1</v>
      </c>
      <c r="F13" s="637">
        <f>usap4drawn</f>
        <v>0</v>
      </c>
      <c r="G13" s="637">
        <f>usap4lost</f>
        <v>1</v>
      </c>
      <c r="H13" s="637">
        <f>usap4ptsscored</f>
        <v>48</v>
      </c>
      <c r="I13" s="637">
        <f>usap4ptsconc</f>
        <v>60</v>
      </c>
      <c r="J13" s="210">
        <f>SUM(H13-I13)</f>
        <v>-12</v>
      </c>
      <c r="K13" s="637">
        <f>usap4tb</f>
        <v>1</v>
      </c>
      <c r="L13" s="637">
        <f>usap4lb</f>
        <v>0</v>
      </c>
      <c r="M13" s="637">
        <f>usap4triesscored</f>
        <v>7</v>
      </c>
      <c r="N13" s="637">
        <f>usap4triesconc</f>
        <v>9</v>
      </c>
      <c r="O13" s="210">
        <f>SUM(E13*4)+(F13*2)+K13+L13</f>
        <v>5</v>
      </c>
      <c r="Q13" s="201" t="s">
        <v>55</v>
      </c>
      <c r="R13" s="483">
        <v>2</v>
      </c>
      <c r="S13" s="484">
        <v>1</v>
      </c>
      <c r="T13" s="486"/>
      <c r="U13" s="485">
        <v>1</v>
      </c>
      <c r="V13" s="487">
        <f t="shared" si="6"/>
        <v>4</v>
      </c>
      <c r="W13" s="488">
        <v>2</v>
      </c>
      <c r="X13" s="489">
        <v>2</v>
      </c>
      <c r="Y13" s="490">
        <v>1</v>
      </c>
      <c r="Z13" s="491"/>
      <c r="AA13" s="492">
        <f t="shared" si="7"/>
        <v>5</v>
      </c>
      <c r="AB13" s="600">
        <f t="shared" si="8"/>
        <v>9</v>
      </c>
      <c r="AD13" s="54" t="s">
        <v>36</v>
      </c>
      <c r="AE13" s="483"/>
      <c r="AF13" s="484"/>
      <c r="AG13" s="486"/>
      <c r="AH13" s="485"/>
      <c r="AI13" s="487">
        <f t="shared" si="9"/>
        <v>0</v>
      </c>
      <c r="AJ13" s="488"/>
      <c r="AK13" s="489"/>
      <c r="AL13" s="490">
        <v>1</v>
      </c>
      <c r="AM13" s="490"/>
      <c r="AN13" s="491"/>
      <c r="AO13" s="492">
        <f t="shared" si="10"/>
        <v>1</v>
      </c>
      <c r="AP13" s="492">
        <f t="shared" si="11"/>
        <v>1</v>
      </c>
    </row>
    <row r="14" spans="1:42" ht="14.95" customHeight="1" thickBot="1" x14ac:dyDescent="0.3">
      <c r="H14">
        <f>SUM(H10:H13)</f>
        <v>182</v>
      </c>
      <c r="I14">
        <f>SUM(I10:I13)</f>
        <v>182</v>
      </c>
      <c r="K14">
        <f t="shared" ref="K14:N14" si="12">SUM(K10:K13)</f>
        <v>4</v>
      </c>
      <c r="L14">
        <f t="shared" si="12"/>
        <v>0</v>
      </c>
      <c r="M14">
        <f t="shared" si="12"/>
        <v>28</v>
      </c>
      <c r="N14">
        <f t="shared" si="12"/>
        <v>28</v>
      </c>
      <c r="Q14" s="470"/>
      <c r="AB14" s="493">
        <f>SUM(AB10:AB13)</f>
        <v>28</v>
      </c>
      <c r="AD14" s="278" t="s">
        <v>72</v>
      </c>
      <c r="AE14" s="483"/>
      <c r="AF14" s="484"/>
      <c r="AG14" s="486"/>
      <c r="AH14" s="485"/>
      <c r="AI14" s="487">
        <f t="shared" si="9"/>
        <v>0</v>
      </c>
      <c r="AJ14" s="488"/>
      <c r="AK14" s="489"/>
      <c r="AL14" s="490"/>
      <c r="AM14" s="490"/>
      <c r="AN14" s="491"/>
      <c r="AO14" s="492">
        <f t="shared" si="10"/>
        <v>0</v>
      </c>
      <c r="AP14" s="492">
        <f t="shared" si="11"/>
        <v>0</v>
      </c>
    </row>
    <row r="15" spans="1:42" ht="14.95" thickBot="1" x14ac:dyDescent="0.3">
      <c r="A15" s="583" t="s">
        <v>53</v>
      </c>
      <c r="B15" s="629"/>
      <c r="C15" s="845" t="s">
        <v>478</v>
      </c>
      <c r="D15" s="845"/>
      <c r="E15" s="845"/>
      <c r="F15" s="845"/>
      <c r="G15" s="845"/>
      <c r="H15" s="845"/>
      <c r="I15" s="630"/>
      <c r="J15" s="306"/>
      <c r="Q15" s="619" t="s">
        <v>326</v>
      </c>
      <c r="R15" s="620"/>
      <c r="S15" s="620"/>
      <c r="T15" s="620"/>
      <c r="U15" s="620"/>
      <c r="V15" s="620"/>
      <c r="W15" s="620"/>
      <c r="X15" s="620"/>
      <c r="Y15" s="619"/>
      <c r="Z15" s="620"/>
      <c r="AA15" s="620"/>
      <c r="AB15" s="13"/>
      <c r="AD15" s="201" t="s">
        <v>55</v>
      </c>
      <c r="AE15" s="483"/>
      <c r="AF15" s="484"/>
      <c r="AG15" s="486"/>
      <c r="AH15" s="485"/>
      <c r="AI15" s="487">
        <f t="shared" si="9"/>
        <v>0</v>
      </c>
      <c r="AJ15" s="488">
        <v>1</v>
      </c>
      <c r="AK15" s="489"/>
      <c r="AL15" s="490"/>
      <c r="AM15" s="490"/>
      <c r="AN15" s="491"/>
      <c r="AO15" s="492">
        <f t="shared" si="10"/>
        <v>1</v>
      </c>
      <c r="AP15" s="492">
        <f t="shared" si="11"/>
        <v>1</v>
      </c>
    </row>
    <row r="16" spans="1:42" ht="14.95" customHeight="1" thickBot="1" x14ac:dyDescent="0.3">
      <c r="A16" s="333" t="s">
        <v>479</v>
      </c>
      <c r="B16" s="631" t="s">
        <v>322</v>
      </c>
      <c r="C16" s="631" t="s">
        <v>480</v>
      </c>
      <c r="D16" s="632" t="s">
        <v>481</v>
      </c>
      <c r="E16" s="631" t="s">
        <v>482</v>
      </c>
      <c r="F16" s="631" t="s">
        <v>483</v>
      </c>
      <c r="G16" s="631" t="s">
        <v>484</v>
      </c>
      <c r="H16" s="467" t="s">
        <v>485</v>
      </c>
      <c r="I16" s="467" t="s">
        <v>21</v>
      </c>
      <c r="J16" s="629" t="s">
        <v>324</v>
      </c>
      <c r="Q16" s="480"/>
      <c r="R16" s="502" t="s">
        <v>313</v>
      </c>
      <c r="S16" s="502" t="s">
        <v>314</v>
      </c>
      <c r="T16" s="503" t="s">
        <v>315</v>
      </c>
      <c r="U16" s="503" t="s">
        <v>316</v>
      </c>
      <c r="V16" s="504" t="s">
        <v>327</v>
      </c>
      <c r="W16" s="681"/>
      <c r="X16" s="506"/>
      <c r="AD16" s="470"/>
      <c r="AN16">
        <f>SUM(AN12:AN15)</f>
        <v>0</v>
      </c>
      <c r="AP16" s="493">
        <f>SUM(AP12:AP15)</f>
        <v>4</v>
      </c>
    </row>
    <row r="17" spans="1:41" ht="14.95" thickBot="1" x14ac:dyDescent="0.3">
      <c r="A17" s="303">
        <v>1</v>
      </c>
      <c r="B17" s="631">
        <f>SUM(E17+H17)</f>
        <v>13</v>
      </c>
      <c r="C17" s="471">
        <v>4</v>
      </c>
      <c r="D17" s="174">
        <v>3</v>
      </c>
      <c r="E17" s="467">
        <f>SUM(C17+D17)</f>
        <v>7</v>
      </c>
      <c r="F17" s="471">
        <v>3</v>
      </c>
      <c r="G17" s="471">
        <v>3</v>
      </c>
      <c r="H17" s="467">
        <f>SUM(F17+G17)</f>
        <v>6</v>
      </c>
      <c r="I17" s="471">
        <v>2</v>
      </c>
      <c r="J17" s="633">
        <v>0</v>
      </c>
      <c r="Q17" s="202" t="s">
        <v>29</v>
      </c>
      <c r="R17" s="483"/>
      <c r="S17" s="484"/>
      <c r="T17" s="486"/>
      <c r="U17" s="485"/>
      <c r="V17" s="487">
        <f>SUM(R17:U17)</f>
        <v>0</v>
      </c>
      <c r="W17" s="52"/>
      <c r="X17" s="508"/>
      <c r="AD17" s="619" t="s">
        <v>460</v>
      </c>
      <c r="AE17" s="620"/>
      <c r="AF17" s="620"/>
      <c r="AG17" s="620"/>
      <c r="AH17" s="13"/>
      <c r="AI17" s="13"/>
      <c r="AJ17" s="619" t="s">
        <v>461</v>
      </c>
      <c r="AK17" s="620"/>
      <c r="AL17" s="620"/>
      <c r="AM17" s="620"/>
      <c r="AN17" s="13"/>
      <c r="AO17" s="13"/>
    </row>
    <row r="18" spans="1:41" ht="14.95" thickBot="1" x14ac:dyDescent="0.3">
      <c r="A18" s="69">
        <v>2</v>
      </c>
      <c r="B18" s="467">
        <f>SUM(E18+H18)</f>
        <v>15</v>
      </c>
      <c r="C18" s="471">
        <v>2</v>
      </c>
      <c r="D18" s="13">
        <v>4</v>
      </c>
      <c r="E18" s="467">
        <f>SUM(C18+D18)</f>
        <v>6</v>
      </c>
      <c r="F18" s="471">
        <v>4</v>
      </c>
      <c r="G18" s="471">
        <v>5</v>
      </c>
      <c r="H18" s="467">
        <f>SUM(F18+G18)</f>
        <v>9</v>
      </c>
      <c r="I18" s="471">
        <v>2</v>
      </c>
      <c r="J18" s="633">
        <v>0</v>
      </c>
      <c r="Q18" s="8" t="s">
        <v>36</v>
      </c>
      <c r="R18" s="483"/>
      <c r="S18" s="484">
        <v>1</v>
      </c>
      <c r="T18" s="486"/>
      <c r="U18" s="485"/>
      <c r="V18" s="487">
        <f t="shared" ref="V18:V20" si="13">SUM(R18:U18)</f>
        <v>1</v>
      </c>
      <c r="W18" s="52"/>
      <c r="X18" s="508"/>
      <c r="AD18" s="279" t="s">
        <v>29</v>
      </c>
      <c r="AE18" s="509"/>
      <c r="AJ18" s="468"/>
      <c r="AK18" s="466"/>
      <c r="AL18" s="13"/>
      <c r="AM18" s="13"/>
      <c r="AN18" s="174"/>
      <c r="AO18" s="174"/>
    </row>
    <row r="19" spans="1:41" ht="14.95" thickBot="1" x14ac:dyDescent="0.3">
      <c r="A19" s="69">
        <v>3</v>
      </c>
      <c r="B19" s="631">
        <f>SUM(E19+H19)</f>
        <v>0</v>
      </c>
      <c r="C19" s="501"/>
      <c r="D19" s="174"/>
      <c r="E19" s="631">
        <f>SUM(C19+D19)</f>
        <v>0</v>
      </c>
      <c r="F19" s="501"/>
      <c r="G19" s="501"/>
      <c r="H19" s="631">
        <f>SUM(F19+G19)</f>
        <v>0</v>
      </c>
      <c r="I19" s="501"/>
      <c r="J19" s="633"/>
      <c r="Q19" s="280" t="s">
        <v>72</v>
      </c>
      <c r="R19" s="483"/>
      <c r="S19" s="484"/>
      <c r="T19" s="486"/>
      <c r="U19" s="485"/>
      <c r="V19" s="487">
        <f t="shared" si="13"/>
        <v>0</v>
      </c>
      <c r="W19" s="52"/>
      <c r="X19" s="508"/>
      <c r="AD19" s="54" t="s">
        <v>36</v>
      </c>
      <c r="AE19" s="510"/>
      <c r="AJ19" s="468"/>
      <c r="AK19" s="466"/>
      <c r="AL19" s="13"/>
      <c r="AM19" s="13"/>
      <c r="AN19" s="174"/>
      <c r="AO19" s="174"/>
    </row>
    <row r="20" spans="1:41" ht="14.95" customHeight="1" thickBot="1" x14ac:dyDescent="0.3">
      <c r="A20" s="634" t="s">
        <v>53</v>
      </c>
      <c r="B20" s="500">
        <f>SUM(B16:B19)</f>
        <v>28</v>
      </c>
      <c r="C20" s="500">
        <f>SUM(C16:C19)</f>
        <v>6</v>
      </c>
      <c r="D20" s="500">
        <f>SUM(D16:D19)</f>
        <v>7</v>
      </c>
      <c r="E20" s="500">
        <f>SUM(E16:E19)</f>
        <v>13</v>
      </c>
      <c r="F20" s="500">
        <f>SUM(F16:F19)</f>
        <v>7</v>
      </c>
      <c r="G20" s="500">
        <f>SUM(G16:G19)</f>
        <v>8</v>
      </c>
      <c r="H20" s="500">
        <f>SUM(H16:H19)</f>
        <v>15</v>
      </c>
      <c r="I20" s="500">
        <f>SUM(I16:I19)</f>
        <v>4</v>
      </c>
      <c r="J20" s="500">
        <f>SUM(J16:J19)</f>
        <v>0</v>
      </c>
      <c r="Q20" s="34" t="s">
        <v>55</v>
      </c>
      <c r="R20" s="483"/>
      <c r="S20" s="484"/>
      <c r="T20" s="486"/>
      <c r="U20" s="485"/>
      <c r="V20" s="487">
        <f t="shared" si="13"/>
        <v>0</v>
      </c>
      <c r="W20" s="52"/>
      <c r="X20" s="508"/>
      <c r="AD20" s="278" t="s">
        <v>72</v>
      </c>
      <c r="AE20" s="510"/>
      <c r="AJ20" s="640"/>
      <c r="AK20" s="605" t="s">
        <v>462</v>
      </c>
      <c r="AL20" s="454"/>
      <c r="AM20" s="454"/>
      <c r="AN20" s="174"/>
      <c r="AO20" s="174"/>
    </row>
    <row r="21" spans="1:41" ht="14.95" thickBot="1" x14ac:dyDescent="0.3">
      <c r="Q21" s="470"/>
      <c r="AD21" s="201" t="s">
        <v>55</v>
      </c>
      <c r="AE21" s="510"/>
      <c r="AJ21" s="606" t="s">
        <v>576</v>
      </c>
      <c r="AK21" s="306" t="s">
        <v>577</v>
      </c>
      <c r="AL21" s="174"/>
      <c r="AM21" s="174"/>
      <c r="AN21" s="13"/>
      <c r="AO21" s="13"/>
    </row>
    <row r="22" spans="1:41" ht="14.95" thickBot="1" x14ac:dyDescent="0.3">
      <c r="A22" s="619" t="s">
        <v>590</v>
      </c>
      <c r="B22" s="620"/>
      <c r="C22" s="620"/>
      <c r="Q22" s="822" t="s">
        <v>633</v>
      </c>
      <c r="R22" s="823"/>
      <c r="S22" s="823"/>
      <c r="T22" s="823"/>
      <c r="U22" s="823"/>
      <c r="V22" s="823"/>
      <c r="W22" s="823"/>
      <c r="X22" s="823"/>
      <c r="Y22" s="823"/>
      <c r="Z22" s="823"/>
      <c r="AD22" s="34" t="s">
        <v>34</v>
      </c>
      <c r="AE22" s="510"/>
      <c r="AJ22" s="606" t="s">
        <v>636</v>
      </c>
      <c r="AK22" s="306" t="s">
        <v>637</v>
      </c>
      <c r="AL22" s="174"/>
      <c r="AM22" s="174"/>
      <c r="AN22" s="13"/>
      <c r="AO22" s="13"/>
    </row>
    <row r="23" spans="1:41" ht="14.95" thickBot="1" x14ac:dyDescent="0.3">
      <c r="AD23" s="8" t="s">
        <v>31</v>
      </c>
      <c r="AE23" s="510"/>
      <c r="AJ23" s="606" t="s">
        <v>648</v>
      </c>
      <c r="AK23" s="306" t="s">
        <v>649</v>
      </c>
      <c r="AL23" s="174"/>
      <c r="AM23" s="174"/>
      <c r="AN23" s="13"/>
      <c r="AO23" s="13"/>
    </row>
    <row r="24" spans="1:41" x14ac:dyDescent="0.25">
      <c r="AD24" s="470"/>
      <c r="AJ24" s="606" t="s">
        <v>585</v>
      </c>
      <c r="AK24" s="306" t="s">
        <v>638</v>
      </c>
      <c r="AL24" s="174"/>
      <c r="AM24" s="174"/>
      <c r="AN24" s="13"/>
      <c r="AO24" s="13"/>
    </row>
    <row r="25" spans="1:41" x14ac:dyDescent="0.25">
      <c r="AD25" s="619" t="s">
        <v>464</v>
      </c>
      <c r="AE25" s="620"/>
      <c r="AF25" s="620"/>
      <c r="AG25" s="620"/>
      <c r="AH25" s="620"/>
      <c r="AJ25" s="468"/>
      <c r="AK25" s="466"/>
      <c r="AL25" s="13"/>
      <c r="AM25" s="13"/>
      <c r="AN25" s="13"/>
      <c r="AO25" s="13"/>
    </row>
    <row r="26" spans="1:41" x14ac:dyDescent="0.25">
      <c r="AD26" s="306" t="s">
        <v>578</v>
      </c>
      <c r="AE26" s="174" t="s">
        <v>579</v>
      </c>
      <c r="AF26" s="174"/>
      <c r="AG26" s="174"/>
      <c r="AH26" s="174"/>
      <c r="AI26" s="174"/>
      <c r="AJ26" s="606"/>
      <c r="AK26" s="306"/>
      <c r="AL26" s="174"/>
      <c r="AM26" s="174"/>
      <c r="AN26" s="13"/>
      <c r="AO26" s="13"/>
    </row>
    <row r="27" spans="1:41" x14ac:dyDescent="0.25">
      <c r="AD27" s="306"/>
      <c r="AE27" s="174"/>
      <c r="AF27" s="174"/>
      <c r="AG27" s="174"/>
      <c r="AH27" s="174"/>
      <c r="AI27" s="174"/>
      <c r="AJ27" s="468"/>
      <c r="AK27" s="466"/>
      <c r="AL27" s="13"/>
      <c r="AM27" s="13"/>
    </row>
    <row r="28" spans="1:41" x14ac:dyDescent="0.25">
      <c r="AD28" s="306"/>
      <c r="AE28" s="174"/>
      <c r="AF28" s="174"/>
      <c r="AG28" s="174"/>
      <c r="AH28" s="174"/>
      <c r="AI28" s="174"/>
      <c r="AJ28" s="468"/>
      <c r="AK28" s="466"/>
      <c r="AL28" s="13"/>
      <c r="AM28" s="13"/>
    </row>
    <row r="29" spans="1:41" x14ac:dyDescent="0.25">
      <c r="AD29" s="306"/>
      <c r="AE29" s="174"/>
      <c r="AF29" s="174"/>
      <c r="AG29" s="174"/>
      <c r="AH29" s="174"/>
      <c r="AI29" s="174"/>
      <c r="AJ29" s="468"/>
      <c r="AK29" s="466"/>
      <c r="AL29" s="13"/>
    </row>
    <row r="30" spans="1:41" x14ac:dyDescent="0.25">
      <c r="A30" s="619" t="s">
        <v>93</v>
      </c>
      <c r="B30" s="620"/>
      <c r="C30" s="620"/>
      <c r="AD30" s="466"/>
      <c r="AE30" s="13"/>
      <c r="AF30" s="13"/>
      <c r="AG30" s="13"/>
      <c r="AH30" s="13"/>
      <c r="AI30" s="13"/>
      <c r="AJ30" s="468"/>
      <c r="AK30" s="466"/>
      <c r="AL30" s="13"/>
      <c r="AM30" s="13"/>
    </row>
    <row r="31" spans="1:41" ht="14.95" thickBot="1" x14ac:dyDescent="0.3">
      <c r="A31" s="12"/>
      <c r="B31" s="636"/>
      <c r="C31" s="636"/>
      <c r="AD31" s="466"/>
      <c r="AE31" s="13"/>
      <c r="AF31" s="13"/>
      <c r="AG31" s="13"/>
      <c r="AH31" s="13"/>
      <c r="AJ31" s="468"/>
      <c r="AK31" s="466"/>
      <c r="AL31" s="13"/>
    </row>
    <row r="32" spans="1:41" ht="14.95" thickBot="1" x14ac:dyDescent="0.3">
      <c r="A32" s="685" t="s">
        <v>42</v>
      </c>
      <c r="B32" s="686" t="s">
        <v>43</v>
      </c>
      <c r="C32" s="686"/>
      <c r="D32" s="686" t="s">
        <v>0</v>
      </c>
      <c r="E32" s="687" t="s">
        <v>1</v>
      </c>
      <c r="F32" s="686" t="s">
        <v>2</v>
      </c>
      <c r="G32" s="686" t="s">
        <v>3</v>
      </c>
      <c r="H32" s="686" t="s">
        <v>4</v>
      </c>
      <c r="I32" s="686" t="s">
        <v>5</v>
      </c>
      <c r="J32" s="687" t="s">
        <v>44</v>
      </c>
      <c r="K32" s="686" t="s">
        <v>21</v>
      </c>
      <c r="L32" s="686" t="s">
        <v>22</v>
      </c>
      <c r="M32" s="686" t="s">
        <v>47</v>
      </c>
      <c r="N32" s="686" t="s">
        <v>48</v>
      </c>
      <c r="O32" s="687" t="s">
        <v>45</v>
      </c>
      <c r="AD32" s="69"/>
      <c r="AJ32" s="470"/>
    </row>
    <row r="33" spans="1:30" ht="14.95" thickBot="1" x14ac:dyDescent="0.3">
      <c r="A33" s="688">
        <v>1</v>
      </c>
      <c r="B33" s="149" t="s">
        <v>46</v>
      </c>
      <c r="C33" s="784" t="s">
        <v>72</v>
      </c>
      <c r="D33" s="690">
        <v>1</v>
      </c>
      <c r="E33" s="691">
        <v>1</v>
      </c>
      <c r="F33" s="690">
        <v>0</v>
      </c>
      <c r="G33" s="690">
        <v>0</v>
      </c>
      <c r="H33" s="690">
        <v>48</v>
      </c>
      <c r="I33" s="690">
        <v>15</v>
      </c>
      <c r="J33" s="691">
        <v>33</v>
      </c>
      <c r="K33" s="690">
        <v>1</v>
      </c>
      <c r="L33" s="690">
        <v>0</v>
      </c>
      <c r="M33" s="690">
        <v>7</v>
      </c>
      <c r="N33" s="690">
        <v>2</v>
      </c>
      <c r="O33" s="691">
        <v>5</v>
      </c>
      <c r="AD33" s="470"/>
    </row>
    <row r="34" spans="1:30" ht="14.95" thickBot="1" x14ac:dyDescent="0.3">
      <c r="A34" s="688">
        <v>2</v>
      </c>
      <c r="B34" s="149" t="s">
        <v>46</v>
      </c>
      <c r="C34" s="693" t="s">
        <v>36</v>
      </c>
      <c r="D34" s="690">
        <v>1</v>
      </c>
      <c r="E34" s="691">
        <v>1</v>
      </c>
      <c r="F34" s="690">
        <v>0</v>
      </c>
      <c r="G34" s="690">
        <v>0</v>
      </c>
      <c r="H34" s="690">
        <v>24</v>
      </c>
      <c r="I34" s="690">
        <v>0</v>
      </c>
      <c r="J34" s="691">
        <v>24</v>
      </c>
      <c r="K34" s="690">
        <v>1</v>
      </c>
      <c r="L34" s="690">
        <v>0</v>
      </c>
      <c r="M34" s="690">
        <v>4</v>
      </c>
      <c r="N34" s="690">
        <v>0</v>
      </c>
      <c r="O34" s="691">
        <v>5</v>
      </c>
    </row>
    <row r="35" spans="1:30" ht="14.95" thickBot="1" x14ac:dyDescent="0.3">
      <c r="A35" s="688">
        <v>3</v>
      </c>
      <c r="B35" s="149" t="s">
        <v>46</v>
      </c>
      <c r="C35" s="785" t="s">
        <v>29</v>
      </c>
      <c r="D35" s="690">
        <v>1</v>
      </c>
      <c r="E35" s="691">
        <v>0</v>
      </c>
      <c r="F35" s="690">
        <v>0</v>
      </c>
      <c r="G35" s="690">
        <v>1</v>
      </c>
      <c r="H35" s="690">
        <v>0</v>
      </c>
      <c r="I35" s="690">
        <v>24</v>
      </c>
      <c r="J35" s="691">
        <v>-24</v>
      </c>
      <c r="K35" s="690">
        <v>0</v>
      </c>
      <c r="L35" s="690">
        <v>0</v>
      </c>
      <c r="M35" s="690">
        <v>0</v>
      </c>
      <c r="N35" s="690">
        <v>4</v>
      </c>
      <c r="O35" s="691">
        <v>0</v>
      </c>
    </row>
    <row r="36" spans="1:30" ht="14.95" thickBot="1" x14ac:dyDescent="0.3">
      <c r="A36" s="688">
        <v>4</v>
      </c>
      <c r="B36" s="149" t="s">
        <v>46</v>
      </c>
      <c r="C36" s="689" t="s">
        <v>55</v>
      </c>
      <c r="D36" s="690">
        <v>1</v>
      </c>
      <c r="E36" s="691">
        <v>0</v>
      </c>
      <c r="F36" s="690">
        <v>0</v>
      </c>
      <c r="G36" s="690">
        <v>1</v>
      </c>
      <c r="H36" s="690">
        <v>15</v>
      </c>
      <c r="I36" s="690">
        <v>48</v>
      </c>
      <c r="J36" s="691">
        <v>-33</v>
      </c>
      <c r="K36" s="690">
        <v>0</v>
      </c>
      <c r="L36" s="690">
        <v>0</v>
      </c>
      <c r="M36" s="690">
        <v>2</v>
      </c>
      <c r="N36" s="690">
        <v>7</v>
      </c>
      <c r="O36" s="691">
        <v>0</v>
      </c>
    </row>
    <row r="37" spans="1:30" x14ac:dyDescent="0.25">
      <c r="A37" s="12"/>
      <c r="B37" s="636"/>
      <c r="C37" s="636"/>
    </row>
    <row r="38" spans="1:30" ht="16.3" x14ac:dyDescent="0.3">
      <c r="A38" s="579" t="s">
        <v>28</v>
      </c>
    </row>
  </sheetData>
  <sortState xmlns:xlrd2="http://schemas.microsoft.com/office/spreadsheetml/2017/richdata2" ref="A10:O13">
    <sortCondition descending="1" ref="O10:O13"/>
    <sortCondition descending="1" ref="J10:J13"/>
  </sortState>
  <mergeCells count="18">
    <mergeCell ref="F1:G1"/>
    <mergeCell ref="C2:E2"/>
    <mergeCell ref="I2:K2"/>
    <mergeCell ref="L2:N2"/>
    <mergeCell ref="C3:E3"/>
    <mergeCell ref="L3:N3"/>
    <mergeCell ref="Q22:Z22"/>
    <mergeCell ref="C7:E7"/>
    <mergeCell ref="C15:H15"/>
    <mergeCell ref="AM2:AN2"/>
    <mergeCell ref="AM10:AN10"/>
    <mergeCell ref="C4:E4"/>
    <mergeCell ref="I4:K4"/>
    <mergeCell ref="L4:N4"/>
    <mergeCell ref="C5:E5"/>
    <mergeCell ref="L5:N5"/>
    <mergeCell ref="C6:E6"/>
    <mergeCell ref="L6:N6"/>
  </mergeCells>
  <pageMargins left="0.7" right="0.7" top="0.75" bottom="0.75" header="0.3" footer="0.3"/>
  <ignoredErrors>
    <ignoredError sqref="S2" twoDigitTextYear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7C25-46B5-4A68-AC64-7A39EE8587FD}">
  <dimension ref="A1:S38"/>
  <sheetViews>
    <sheetView workbookViewId="0">
      <selection activeCell="D18" sqref="D18"/>
    </sheetView>
  </sheetViews>
  <sheetFormatPr defaultRowHeight="14.3" x14ac:dyDescent="0.25"/>
  <cols>
    <col min="1" max="1" width="9.5" customWidth="1"/>
    <col min="3" max="3" width="28.125" bestFit="1" customWidth="1"/>
    <col min="7" max="7" width="1.625" customWidth="1"/>
    <col min="8" max="8" width="9.5" customWidth="1"/>
  </cols>
  <sheetData>
    <row r="1" spans="1:19" ht="14.95" thickBot="1" x14ac:dyDescent="0.3">
      <c r="A1" s="619" t="s">
        <v>469</v>
      </c>
      <c r="B1" s="619"/>
      <c r="C1" s="619"/>
    </row>
    <row r="2" spans="1:19" ht="17" thickBot="1" x14ac:dyDescent="0.3">
      <c r="A2" s="48"/>
      <c r="B2" s="841" t="s">
        <v>49</v>
      </c>
      <c r="C2" s="828"/>
      <c r="D2" s="838" t="s">
        <v>50</v>
      </c>
      <c r="E2" s="839"/>
      <c r="F2" s="57" t="s">
        <v>51</v>
      </c>
      <c r="H2" s="850" t="s">
        <v>53</v>
      </c>
      <c r="I2" s="852" t="s">
        <v>61</v>
      </c>
      <c r="J2" s="853"/>
      <c r="K2" s="852" t="s">
        <v>62</v>
      </c>
      <c r="L2" s="854"/>
      <c r="M2" s="854"/>
      <c r="N2" s="854"/>
      <c r="O2" s="853"/>
      <c r="P2" s="76" t="s">
        <v>63</v>
      </c>
      <c r="Q2" s="852" t="s">
        <v>64</v>
      </c>
      <c r="R2" s="853"/>
    </row>
    <row r="3" spans="1:19" ht="14.95" customHeight="1" thickBot="1" x14ac:dyDescent="0.3">
      <c r="A3" s="201" t="s">
        <v>55</v>
      </c>
      <c r="B3" s="782">
        <f>usap4yc</f>
        <v>1</v>
      </c>
      <c r="C3" s="783" t="s">
        <v>644</v>
      </c>
      <c r="D3" s="58">
        <f>usap4rc</f>
        <v>0</v>
      </c>
      <c r="E3" s="59"/>
      <c r="F3" s="60">
        <f>SUM(B3+D3*2)</f>
        <v>1</v>
      </c>
      <c r="H3" s="851"/>
      <c r="I3" s="77" t="s">
        <v>4</v>
      </c>
      <c r="J3" s="77" t="s">
        <v>5</v>
      </c>
      <c r="K3" s="78" t="s">
        <v>82</v>
      </c>
      <c r="L3" s="79" t="s">
        <v>83</v>
      </c>
      <c r="M3" s="79" t="s">
        <v>84</v>
      </c>
      <c r="N3" s="80" t="s">
        <v>85</v>
      </c>
      <c r="O3" s="81" t="s">
        <v>65</v>
      </c>
      <c r="P3" s="82" t="s">
        <v>66</v>
      </c>
      <c r="Q3" s="78" t="s">
        <v>4</v>
      </c>
      <c r="R3" s="81" t="s">
        <v>5</v>
      </c>
    </row>
    <row r="4" spans="1:19" ht="14.95" customHeight="1" thickBot="1" x14ac:dyDescent="0.3">
      <c r="A4" s="54" t="s">
        <v>36</v>
      </c>
      <c r="B4" s="61">
        <f>canp4yc</f>
        <v>1</v>
      </c>
      <c r="C4" s="113" t="s">
        <v>632</v>
      </c>
      <c r="D4" s="58">
        <f>canp4rc</f>
        <v>0</v>
      </c>
      <c r="E4" s="59"/>
      <c r="F4" s="60">
        <f>SUM(B4+D4*2)</f>
        <v>1</v>
      </c>
      <c r="H4" s="202" t="s">
        <v>29</v>
      </c>
      <c r="I4" s="83">
        <v>7</v>
      </c>
      <c r="J4" s="83">
        <v>7</v>
      </c>
      <c r="K4" s="83">
        <v>11</v>
      </c>
      <c r="L4" s="83">
        <v>7</v>
      </c>
      <c r="M4" s="83">
        <v>0</v>
      </c>
      <c r="N4" s="83">
        <v>0</v>
      </c>
      <c r="O4" s="84">
        <f t="shared" ref="O4:O7" si="0">SUM(K4:N4)</f>
        <v>18</v>
      </c>
      <c r="P4" s="83">
        <v>0</v>
      </c>
      <c r="Q4" s="295">
        <f t="shared" ref="Q4" si="1">SUM(I4/O4)*10</f>
        <v>3.8888888888888888</v>
      </c>
      <c r="R4" s="296">
        <f t="shared" ref="R4" si="2">SUM(J4/O4)*10</f>
        <v>3.8888888888888888</v>
      </c>
    </row>
    <row r="5" spans="1:19" ht="14.95" customHeight="1" thickBot="1" x14ac:dyDescent="0.3">
      <c r="A5" s="279" t="s">
        <v>29</v>
      </c>
      <c r="B5" s="62">
        <f>ausp4yc</f>
        <v>3</v>
      </c>
      <c r="C5" s="199" t="s">
        <v>646</v>
      </c>
      <c r="D5" s="58">
        <f>ausp4rc</f>
        <v>0</v>
      </c>
      <c r="E5" s="59"/>
      <c r="F5" s="60">
        <f>SUM(B5+D5*2)</f>
        <v>3</v>
      </c>
      <c r="H5" s="8" t="s">
        <v>36</v>
      </c>
      <c r="I5" s="83">
        <v>0</v>
      </c>
      <c r="J5" s="83">
        <v>5</v>
      </c>
      <c r="K5" s="83">
        <v>10</v>
      </c>
      <c r="L5" s="83">
        <v>0</v>
      </c>
      <c r="M5" s="83">
        <v>0</v>
      </c>
      <c r="N5" s="83">
        <v>0</v>
      </c>
      <c r="O5" s="84">
        <f t="shared" si="0"/>
        <v>10</v>
      </c>
      <c r="P5" s="83">
        <v>0</v>
      </c>
      <c r="Q5" s="295">
        <f t="shared" ref="Q5" si="3">SUM(I5/O5)*10</f>
        <v>0</v>
      </c>
      <c r="R5" s="296">
        <f t="shared" ref="R5" si="4">SUM(J5/O5)*10</f>
        <v>5</v>
      </c>
      <c r="S5" t="s">
        <v>53</v>
      </c>
    </row>
    <row r="6" spans="1:19" ht="14.95" customHeight="1" thickBot="1" x14ac:dyDescent="0.3">
      <c r="A6" s="278" t="s">
        <v>72</v>
      </c>
      <c r="B6" s="61">
        <f>nzlp4yc</f>
        <v>3</v>
      </c>
      <c r="C6" s="113" t="s">
        <v>634</v>
      </c>
      <c r="D6" s="58">
        <f>nzlp4rc</f>
        <v>1</v>
      </c>
      <c r="E6" s="59" t="s">
        <v>573</v>
      </c>
      <c r="F6" s="60">
        <f>SUM(B6+D6*2)</f>
        <v>5</v>
      </c>
      <c r="H6" s="280" t="s">
        <v>72</v>
      </c>
      <c r="I6" s="83">
        <v>17</v>
      </c>
      <c r="J6" s="83">
        <v>0</v>
      </c>
      <c r="K6" s="83">
        <v>33</v>
      </c>
      <c r="L6" s="83">
        <v>9</v>
      </c>
      <c r="M6" s="83">
        <v>0</v>
      </c>
      <c r="N6" s="83">
        <v>0</v>
      </c>
      <c r="O6" s="84">
        <f t="shared" si="0"/>
        <v>42</v>
      </c>
      <c r="P6" s="83">
        <v>0</v>
      </c>
      <c r="Q6" s="295">
        <f t="shared" ref="Q6" si="5">SUM(I6/O6)*10</f>
        <v>4.0476190476190474</v>
      </c>
      <c r="R6" s="296">
        <f t="shared" ref="R6" si="6">SUM(J6/O6)*10</f>
        <v>0</v>
      </c>
    </row>
    <row r="7" spans="1:19" ht="14.95" customHeight="1" thickBot="1" x14ac:dyDescent="0.3">
      <c r="A7" s="98" t="s">
        <v>52</v>
      </c>
      <c r="B7" s="61">
        <f>SUM(B3:B6)</f>
        <v>8</v>
      </c>
      <c r="C7" s="64"/>
      <c r="D7" s="65">
        <f>SUM(D3:D6)</f>
        <v>1</v>
      </c>
      <c r="E7" s="66"/>
      <c r="F7" s="57" t="s">
        <v>53</v>
      </c>
      <c r="H7" s="34" t="s">
        <v>55</v>
      </c>
      <c r="I7" s="83">
        <v>5</v>
      </c>
      <c r="J7" s="83">
        <v>0</v>
      </c>
      <c r="K7" s="83">
        <v>7</v>
      </c>
      <c r="L7" s="83">
        <v>0</v>
      </c>
      <c r="M7" s="83">
        <v>0</v>
      </c>
      <c r="N7" s="83">
        <v>0</v>
      </c>
      <c r="O7" s="84">
        <f t="shared" si="0"/>
        <v>7</v>
      </c>
      <c r="P7" s="83">
        <v>0</v>
      </c>
      <c r="Q7" s="295">
        <f t="shared" ref="Q7" si="7">SUM(I7/O7)*10</f>
        <v>7.1428571428571432</v>
      </c>
      <c r="R7" s="296">
        <f t="shared" ref="R7" si="8">SUM(J7/O7)*10</f>
        <v>0</v>
      </c>
    </row>
    <row r="8" spans="1:19" ht="14.95" customHeight="1" thickBot="1" x14ac:dyDescent="0.3">
      <c r="A8" s="840" t="s">
        <v>633</v>
      </c>
      <c r="B8" s="840"/>
      <c r="C8" s="823"/>
      <c r="D8" s="823"/>
      <c r="E8" s="68"/>
      <c r="H8" s="90" t="s">
        <v>52</v>
      </c>
      <c r="I8" s="85">
        <f t="shared" ref="I8:P8" si="9">SUM(I4:I7)</f>
        <v>29</v>
      </c>
      <c r="J8" s="85">
        <f t="shared" si="9"/>
        <v>12</v>
      </c>
      <c r="K8" s="85">
        <f t="shared" si="9"/>
        <v>61</v>
      </c>
      <c r="L8" s="85">
        <f t="shared" si="9"/>
        <v>16</v>
      </c>
      <c r="M8" s="85">
        <f t="shared" si="9"/>
        <v>0</v>
      </c>
      <c r="N8" s="85">
        <f t="shared" si="9"/>
        <v>0</v>
      </c>
      <c r="O8" s="85">
        <f t="shared" si="9"/>
        <v>77</v>
      </c>
      <c r="P8" s="85">
        <f t="shared" si="9"/>
        <v>0</v>
      </c>
      <c r="Q8" s="286">
        <f t="shared" ref="Q8" si="10">SUM(I8/O8)*10</f>
        <v>3.7662337662337664</v>
      </c>
      <c r="R8" s="287">
        <f t="shared" ref="R8" si="11">SUM(J8/O8)*10</f>
        <v>1.5584415584415585</v>
      </c>
    </row>
    <row r="9" spans="1:19" ht="14.95" customHeight="1" x14ac:dyDescent="0.25">
      <c r="A9" s="69" t="s">
        <v>54</v>
      </c>
      <c r="B9" s="69"/>
    </row>
    <row r="10" spans="1:19" ht="14.95" customHeight="1" x14ac:dyDescent="0.25">
      <c r="A10" s="626" t="s">
        <v>475</v>
      </c>
      <c r="B10" s="627"/>
      <c r="H10" s="69" t="s">
        <v>77</v>
      </c>
    </row>
    <row r="11" spans="1:19" ht="14.95" customHeight="1" thickBot="1" x14ac:dyDescent="0.3">
      <c r="A11" s="574" t="s">
        <v>476</v>
      </c>
      <c r="B11" s="628" t="s">
        <v>105</v>
      </c>
      <c r="C11" s="303"/>
      <c r="D11" s="303" t="s">
        <v>106</v>
      </c>
      <c r="E11" t="s">
        <v>53</v>
      </c>
      <c r="I11" s="69"/>
    </row>
    <row r="12" spans="1:19" ht="14.95" customHeight="1" thickBot="1" x14ac:dyDescent="0.3">
      <c r="A12" s="69">
        <v>1</v>
      </c>
      <c r="B12" s="174">
        <v>4</v>
      </c>
      <c r="C12" s="174"/>
      <c r="D12" s="174">
        <v>1</v>
      </c>
      <c r="H12" s="850" t="s">
        <v>53</v>
      </c>
      <c r="I12" s="852" t="s">
        <v>61</v>
      </c>
      <c r="J12" s="853"/>
      <c r="K12" s="852" t="s">
        <v>53</v>
      </c>
      <c r="L12" s="854"/>
      <c r="M12" s="854"/>
      <c r="N12" s="854"/>
      <c r="O12" s="853"/>
      <c r="P12" s="852" t="s">
        <v>64</v>
      </c>
      <c r="Q12" s="853"/>
    </row>
    <row r="13" spans="1:19" ht="14.95" customHeight="1" thickBot="1" x14ac:dyDescent="0.3">
      <c r="A13" s="69">
        <v>2</v>
      </c>
      <c r="B13" s="13">
        <v>4</v>
      </c>
      <c r="C13" s="13"/>
      <c r="D13" s="13">
        <v>0</v>
      </c>
      <c r="H13" s="851"/>
      <c r="I13" s="77" t="s">
        <v>4</v>
      </c>
      <c r="J13" s="77" t="s">
        <v>5</v>
      </c>
      <c r="K13" s="78" t="s">
        <v>67</v>
      </c>
      <c r="L13" s="79" t="s">
        <v>68</v>
      </c>
      <c r="M13" s="79" t="s">
        <v>89</v>
      </c>
      <c r="N13" s="80"/>
      <c r="O13" s="81" t="s">
        <v>65</v>
      </c>
      <c r="P13" s="78" t="s">
        <v>4</v>
      </c>
      <c r="Q13" s="81" t="s">
        <v>5</v>
      </c>
    </row>
    <row r="14" spans="1:19" ht="14.95" customHeight="1" thickBot="1" x14ac:dyDescent="0.3">
      <c r="A14" s="69">
        <v>3</v>
      </c>
      <c r="B14" s="174"/>
      <c r="C14" s="13"/>
      <c r="D14" s="174"/>
      <c r="H14" s="202" t="s">
        <v>29</v>
      </c>
      <c r="I14" s="83">
        <v>0</v>
      </c>
      <c r="J14" s="83">
        <v>5</v>
      </c>
      <c r="K14" s="83">
        <v>7</v>
      </c>
      <c r="L14" s="83">
        <v>0</v>
      </c>
      <c r="M14" s="83">
        <v>0</v>
      </c>
      <c r="N14" s="83">
        <v>0</v>
      </c>
      <c r="O14" s="84">
        <f t="shared" ref="O14:O17" si="12">SUM(K14:N14)</f>
        <v>7</v>
      </c>
      <c r="P14" s="295">
        <f t="shared" ref="P14:P15" si="13">SUM(I14/O14)*10</f>
        <v>0</v>
      </c>
      <c r="Q14" s="296">
        <f t="shared" ref="Q14:Q15" si="14">SUM(J14/O14)*10</f>
        <v>7.1428571428571432</v>
      </c>
    </row>
    <row r="15" spans="1:19" ht="14.95" customHeight="1" thickBot="1" x14ac:dyDescent="0.3">
      <c r="A15" s="303" t="s">
        <v>143</v>
      </c>
      <c r="B15" s="466">
        <f>SUM(B12:B14)</f>
        <v>8</v>
      </c>
      <c r="C15" s="466"/>
      <c r="D15" s="466">
        <f>SUM(D12:D14)</f>
        <v>1</v>
      </c>
      <c r="H15" s="8" t="s">
        <v>36</v>
      </c>
      <c r="I15" s="83">
        <v>7</v>
      </c>
      <c r="J15" s="83">
        <v>0</v>
      </c>
      <c r="K15" s="83">
        <v>11</v>
      </c>
      <c r="L15" s="83">
        <v>7</v>
      </c>
      <c r="M15" s="83">
        <v>0</v>
      </c>
      <c r="N15" s="83">
        <v>0</v>
      </c>
      <c r="O15" s="84">
        <f t="shared" si="12"/>
        <v>18</v>
      </c>
      <c r="P15" s="295">
        <f t="shared" si="13"/>
        <v>3.8888888888888888</v>
      </c>
      <c r="Q15" s="296">
        <f t="shared" si="14"/>
        <v>0</v>
      </c>
    </row>
    <row r="16" spans="1:19" ht="14.95" customHeight="1" thickBot="1" x14ac:dyDescent="0.3">
      <c r="H16" s="280" t="s">
        <v>72</v>
      </c>
      <c r="I16" s="83">
        <v>5</v>
      </c>
      <c r="J16" s="83">
        <v>0</v>
      </c>
      <c r="K16" s="83">
        <v>10</v>
      </c>
      <c r="L16" s="83">
        <v>0</v>
      </c>
      <c r="M16" s="83">
        <v>0</v>
      </c>
      <c r="N16" s="83">
        <v>0</v>
      </c>
      <c r="O16" s="84">
        <f t="shared" si="12"/>
        <v>10</v>
      </c>
      <c r="P16" s="295">
        <f t="shared" ref="P16" si="15">SUM(I16/O16)*10</f>
        <v>5</v>
      </c>
      <c r="Q16" s="296">
        <f t="shared" ref="Q16" si="16">SUM(J16/O16)*10</f>
        <v>0</v>
      </c>
    </row>
    <row r="17" spans="1:18" ht="14.95" customHeight="1" thickBot="1" x14ac:dyDescent="0.3">
      <c r="A17" s="840"/>
      <c r="B17" s="840"/>
      <c r="C17" s="823"/>
      <c r="D17" s="823"/>
      <c r="H17" s="34" t="s">
        <v>55</v>
      </c>
      <c r="I17" s="83">
        <v>0</v>
      </c>
      <c r="J17" s="83">
        <v>24</v>
      </c>
      <c r="K17" s="83">
        <v>33</v>
      </c>
      <c r="L17" s="83">
        <v>9</v>
      </c>
      <c r="M17" s="83">
        <v>0</v>
      </c>
      <c r="N17" s="83">
        <v>0</v>
      </c>
      <c r="O17" s="84">
        <f t="shared" si="12"/>
        <v>42</v>
      </c>
      <c r="P17" s="295">
        <f t="shared" ref="P17" si="17">SUM(I17/O17)*10</f>
        <v>0</v>
      </c>
      <c r="Q17" s="296">
        <f t="shared" ref="Q17" si="18">SUM(J17/O17)*10</f>
        <v>5.7142857142857135</v>
      </c>
      <c r="R17" t="s">
        <v>53</v>
      </c>
    </row>
    <row r="18" spans="1:18" ht="14.95" thickBot="1" x14ac:dyDescent="0.3">
      <c r="A18" s="574" t="s">
        <v>28</v>
      </c>
      <c r="B18" s="14"/>
      <c r="E18" t="s">
        <v>53</v>
      </c>
      <c r="H18" s="90" t="s">
        <v>52</v>
      </c>
      <c r="I18" s="85">
        <f t="shared" ref="I18:O18" si="19">SUM(I14:I17)</f>
        <v>12</v>
      </c>
      <c r="J18" s="86">
        <f t="shared" si="19"/>
        <v>29</v>
      </c>
      <c r="K18" s="85">
        <f t="shared" si="19"/>
        <v>61</v>
      </c>
      <c r="L18" s="87">
        <f t="shared" si="19"/>
        <v>16</v>
      </c>
      <c r="M18" s="87">
        <f t="shared" si="19"/>
        <v>0</v>
      </c>
      <c r="N18" s="87">
        <f t="shared" si="19"/>
        <v>0</v>
      </c>
      <c r="O18" s="86">
        <f t="shared" si="19"/>
        <v>77</v>
      </c>
      <c r="P18" s="286">
        <f t="shared" ref="P18" si="20">SUM(I18/O18)*10</f>
        <v>1.5584415584415585</v>
      </c>
      <c r="Q18" s="287">
        <f t="shared" ref="Q18" si="21">SUM(J18/O18)*10</f>
        <v>3.7662337662337664</v>
      </c>
    </row>
    <row r="19" spans="1:18" x14ac:dyDescent="0.25">
      <c r="H19" t="s">
        <v>53</v>
      </c>
    </row>
    <row r="20" spans="1:18" x14ac:dyDescent="0.25">
      <c r="H20" s="582" t="s">
        <v>79</v>
      </c>
      <c r="I20" s="582"/>
      <c r="J20" s="582"/>
      <c r="K20" s="582"/>
      <c r="L20" s="308"/>
      <c r="M20" s="308"/>
    </row>
    <row r="21" spans="1:18" x14ac:dyDescent="0.25">
      <c r="H21" s="308"/>
      <c r="J21" s="69"/>
      <c r="K21" s="69"/>
    </row>
    <row r="22" spans="1:18" x14ac:dyDescent="0.25">
      <c r="H22" s="308"/>
      <c r="J22" s="69"/>
      <c r="K22" s="69"/>
    </row>
    <row r="23" spans="1:18" x14ac:dyDescent="0.25">
      <c r="H23" s="308"/>
      <c r="J23" s="69"/>
      <c r="K23" s="69"/>
    </row>
    <row r="24" spans="1:18" x14ac:dyDescent="0.25">
      <c r="H24" s="108"/>
      <c r="I24" s="69"/>
      <c r="J24" s="69"/>
      <c r="K24" s="69"/>
    </row>
    <row r="25" spans="1:18" x14ac:dyDescent="0.25">
      <c r="H25" s="582" t="s">
        <v>468</v>
      </c>
      <c r="J25" s="69"/>
      <c r="K25" s="69"/>
      <c r="L25" s="69"/>
      <c r="N25" s="582" t="s">
        <v>575</v>
      </c>
    </row>
    <row r="26" spans="1:18" x14ac:dyDescent="0.25">
      <c r="H26" s="69" t="s">
        <v>574</v>
      </c>
      <c r="J26" s="69"/>
      <c r="K26" s="69"/>
      <c r="L26" s="69"/>
    </row>
    <row r="27" spans="1:18" x14ac:dyDescent="0.25">
      <c r="H27" s="69" t="s">
        <v>635</v>
      </c>
      <c r="J27" s="69"/>
      <c r="K27" s="69"/>
      <c r="L27" s="69"/>
    </row>
    <row r="28" spans="1:18" x14ac:dyDescent="0.25">
      <c r="H28" s="69" t="s">
        <v>645</v>
      </c>
    </row>
    <row r="29" spans="1:18" x14ac:dyDescent="0.25">
      <c r="H29" s="69" t="s">
        <v>647</v>
      </c>
    </row>
    <row r="30" spans="1:18" x14ac:dyDescent="0.25">
      <c r="H30" s="131"/>
    </row>
    <row r="38" spans="1:1" x14ac:dyDescent="0.25">
      <c r="A38" s="310" t="s">
        <v>53</v>
      </c>
    </row>
  </sheetData>
  <sortState xmlns:xlrd2="http://schemas.microsoft.com/office/spreadsheetml/2017/richdata2" ref="A3:F6">
    <sortCondition ref="F3:F6"/>
    <sortCondition ref="D3:D6"/>
  </sortState>
  <mergeCells count="12">
    <mergeCell ref="A8:D8"/>
    <mergeCell ref="Q2:R2"/>
    <mergeCell ref="B2:C2"/>
    <mergeCell ref="D2:E2"/>
    <mergeCell ref="H2:H3"/>
    <mergeCell ref="I2:J2"/>
    <mergeCell ref="K2:O2"/>
    <mergeCell ref="A17:D17"/>
    <mergeCell ref="H12:H13"/>
    <mergeCell ref="I12:J12"/>
    <mergeCell ref="K12:O12"/>
    <mergeCell ref="P12:Q12"/>
  </mergeCells>
  <pageMargins left="0.7" right="0.7" top="0.75" bottom="0.75" header="0.3" footer="0.3"/>
  <ignoredErrors>
    <ignoredError sqref="O4:O7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D430-F54D-4A4E-B037-8C89FE5D596B}">
  <dimension ref="A1:AQ145"/>
  <sheetViews>
    <sheetView workbookViewId="0">
      <selection activeCell="G19" sqref="G19"/>
    </sheetView>
  </sheetViews>
  <sheetFormatPr defaultRowHeight="14.3" x14ac:dyDescent="0.25"/>
  <cols>
    <col min="1" max="1" width="3.75" bestFit="1" customWidth="1"/>
    <col min="2" max="2" width="4" bestFit="1" customWidth="1"/>
    <col min="3" max="3" width="12.5" bestFit="1" customWidth="1"/>
    <col min="4" max="16" width="4.375" customWidth="1"/>
    <col min="17" max="17" width="3.375" bestFit="1" customWidth="1"/>
    <col min="19" max="22" width="5.5" bestFit="1" customWidth="1"/>
    <col min="23" max="23" width="5.125" bestFit="1" customWidth="1"/>
    <col min="24" max="27" width="5.5" bestFit="1" customWidth="1"/>
    <col min="28" max="28" width="5.875" bestFit="1" customWidth="1"/>
    <col min="29" max="29" width="4.25" bestFit="1" customWidth="1"/>
    <col min="30" max="30" width="1.625" customWidth="1"/>
    <col min="32" max="32" width="4.5" bestFit="1" customWidth="1"/>
    <col min="33" max="35" width="5.5" bestFit="1" customWidth="1"/>
    <col min="36" max="36" width="5.125" bestFit="1" customWidth="1"/>
    <col min="37" max="39" width="5.5" bestFit="1" customWidth="1"/>
    <col min="40" max="40" width="4" bestFit="1" customWidth="1"/>
    <col min="41" max="41" width="5.125" bestFit="1" customWidth="1"/>
    <col min="42" max="42" width="5.875" bestFit="1" customWidth="1"/>
    <col min="43" max="43" width="3.75" bestFit="1" customWidth="1"/>
  </cols>
  <sheetData>
    <row r="1" spans="1:43" ht="14.95" customHeight="1" thickBot="1" x14ac:dyDescent="0.3">
      <c r="A1" s="644" t="s">
        <v>486</v>
      </c>
      <c r="B1" s="643"/>
      <c r="C1" s="643"/>
      <c r="D1" s="643"/>
      <c r="R1" s="408" t="s">
        <v>307</v>
      </c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408" t="s">
        <v>308</v>
      </c>
      <c r="AF1" s="517"/>
      <c r="AG1" s="517"/>
      <c r="AH1" s="517"/>
      <c r="AI1" s="517"/>
      <c r="AJ1" s="517"/>
      <c r="AK1" s="517"/>
      <c r="AL1" s="517"/>
      <c r="AM1" s="517"/>
      <c r="AN1" s="517"/>
      <c r="AO1" s="517"/>
      <c r="AP1" s="517"/>
    </row>
    <row r="2" spans="1:43" ht="14.95" customHeight="1" thickBot="1" x14ac:dyDescent="0.3">
      <c r="A2" s="658" t="s">
        <v>323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R2" s="480"/>
      <c r="S2" s="481" t="s">
        <v>271</v>
      </c>
      <c r="T2" s="522" t="s">
        <v>309</v>
      </c>
      <c r="U2" s="526" t="s">
        <v>310</v>
      </c>
      <c r="V2" s="523" t="s">
        <v>311</v>
      </c>
      <c r="W2" s="122" t="s">
        <v>312</v>
      </c>
      <c r="X2" s="524" t="s">
        <v>313</v>
      </c>
      <c r="Y2" s="524" t="s">
        <v>314</v>
      </c>
      <c r="Z2" s="482" t="s">
        <v>315</v>
      </c>
      <c r="AA2" s="482" t="s">
        <v>316</v>
      </c>
      <c r="AB2" s="525" t="s">
        <v>317</v>
      </c>
      <c r="AC2" s="527" t="s">
        <v>318</v>
      </c>
      <c r="AE2" s="480"/>
      <c r="AF2" s="481" t="s">
        <v>271</v>
      </c>
      <c r="AG2" s="522" t="s">
        <v>309</v>
      </c>
      <c r="AH2" s="523" t="s">
        <v>310</v>
      </c>
      <c r="AI2" s="523" t="s">
        <v>311</v>
      </c>
      <c r="AJ2" s="122" t="s">
        <v>312</v>
      </c>
      <c r="AK2" s="524" t="s">
        <v>313</v>
      </c>
      <c r="AL2" s="524" t="s">
        <v>314</v>
      </c>
      <c r="AM2" s="482" t="s">
        <v>315</v>
      </c>
      <c r="AN2" s="824" t="s">
        <v>316</v>
      </c>
      <c r="AO2" s="825"/>
      <c r="AP2" s="525" t="s">
        <v>317</v>
      </c>
      <c r="AQ2" s="493" t="s">
        <v>21</v>
      </c>
    </row>
    <row r="3" spans="1:43" ht="14.95" customHeight="1" thickBot="1" x14ac:dyDescent="0.3">
      <c r="A3" s="656"/>
      <c r="B3" s="657"/>
      <c r="C3" s="656"/>
      <c r="D3" s="657"/>
      <c r="E3" s="656"/>
      <c r="F3" s="657"/>
      <c r="G3" s="656"/>
      <c r="H3" s="657"/>
      <c r="I3" s="657"/>
      <c r="J3" s="657"/>
      <c r="K3" s="657"/>
      <c r="L3" s="657"/>
      <c r="M3" s="657"/>
      <c r="N3" s="657"/>
      <c r="O3" s="657"/>
      <c r="P3" s="657"/>
      <c r="R3" s="519" t="s">
        <v>332</v>
      </c>
      <c r="S3" s="483">
        <v>6</v>
      </c>
      <c r="T3" s="484">
        <v>1</v>
      </c>
      <c r="U3" s="485">
        <v>2</v>
      </c>
      <c r="V3" s="486">
        <v>2</v>
      </c>
      <c r="W3" s="487">
        <f t="shared" ref="W3:W18" si="0">SUM(S3:V3)</f>
        <v>11</v>
      </c>
      <c r="X3" s="488"/>
      <c r="Y3" s="489">
        <v>3</v>
      </c>
      <c r="Z3" s="490">
        <v>2</v>
      </c>
      <c r="AA3" s="491">
        <v>2</v>
      </c>
      <c r="AB3" s="492">
        <f t="shared" ref="AB3:AB18" si="1">SUM(X3:AA3)</f>
        <v>7</v>
      </c>
      <c r="AC3" s="493">
        <f t="shared" ref="AC3:AC18" si="2">SUM(W3+AB3)</f>
        <v>18</v>
      </c>
      <c r="AE3" s="494"/>
      <c r="AF3" s="495" t="s">
        <v>319</v>
      </c>
      <c r="AG3" s="495" t="s">
        <v>319</v>
      </c>
      <c r="AH3" s="496" t="s">
        <v>319</v>
      </c>
      <c r="AI3" s="496" t="s">
        <v>319</v>
      </c>
      <c r="AJ3" s="165" t="s">
        <v>53</v>
      </c>
      <c r="AK3" s="497" t="s">
        <v>319</v>
      </c>
      <c r="AL3" s="497" t="s">
        <v>319</v>
      </c>
      <c r="AM3" s="498" t="s">
        <v>319</v>
      </c>
      <c r="AN3" s="498" t="s">
        <v>319</v>
      </c>
      <c r="AO3" s="498" t="s">
        <v>320</v>
      </c>
      <c r="AP3" s="442"/>
      <c r="AQ3" s="556"/>
    </row>
    <row r="4" spans="1:43" ht="14.95" customHeight="1" thickBot="1" x14ac:dyDescent="0.3">
      <c r="A4" s="656"/>
      <c r="B4" s="657"/>
      <c r="C4" s="656"/>
      <c r="D4" s="657"/>
      <c r="E4" s="656"/>
      <c r="F4" s="657"/>
      <c r="G4" s="656"/>
      <c r="H4" s="657"/>
      <c r="I4" s="657"/>
      <c r="J4" s="657"/>
      <c r="K4" s="657"/>
      <c r="L4" s="657"/>
      <c r="M4" s="657"/>
      <c r="N4" s="657"/>
      <c r="O4" s="657"/>
      <c r="P4" s="657"/>
      <c r="R4" s="519" t="s">
        <v>333</v>
      </c>
      <c r="S4" s="483"/>
      <c r="T4" s="484"/>
      <c r="U4" s="485"/>
      <c r="V4" s="486"/>
      <c r="W4" s="487">
        <f t="shared" si="0"/>
        <v>0</v>
      </c>
      <c r="X4" s="488"/>
      <c r="Y4" s="489"/>
      <c r="Z4" s="490">
        <v>1</v>
      </c>
      <c r="AA4" s="491"/>
      <c r="AB4" s="492">
        <f t="shared" si="1"/>
        <v>1</v>
      </c>
      <c r="AC4" s="493">
        <f t="shared" si="2"/>
        <v>1</v>
      </c>
      <c r="AE4" s="519" t="s">
        <v>332</v>
      </c>
      <c r="AF4" s="483"/>
      <c r="AG4" s="484">
        <v>1</v>
      </c>
      <c r="AH4" s="486"/>
      <c r="AI4" s="485"/>
      <c r="AJ4" s="487">
        <f>SUM(AE4:AI4)</f>
        <v>1</v>
      </c>
      <c r="AK4" s="488"/>
      <c r="AL4" s="489">
        <v>1</v>
      </c>
      <c r="AM4" s="490"/>
      <c r="AN4" s="490"/>
      <c r="AO4" s="491"/>
      <c r="AP4" s="492">
        <f t="shared" ref="AP4:AP19" si="3">SUM(AK4:AO4)</f>
        <v>1</v>
      </c>
      <c r="AQ4" s="539">
        <f t="shared" ref="AQ4" si="4">SUM(AJ4+AP4-AO4)</f>
        <v>2</v>
      </c>
    </row>
    <row r="5" spans="1:43" ht="14.95" customHeight="1" thickBot="1" x14ac:dyDescent="0.3">
      <c r="A5" s="656"/>
      <c r="B5" s="657"/>
      <c r="C5" s="656"/>
      <c r="D5" s="657"/>
      <c r="E5" s="656"/>
      <c r="F5" s="657"/>
      <c r="G5" s="656"/>
      <c r="H5" s="657"/>
      <c r="I5" s="657"/>
      <c r="J5" s="657"/>
      <c r="K5" s="657"/>
      <c r="L5" s="657"/>
      <c r="M5" s="657"/>
      <c r="N5" s="657"/>
      <c r="O5" s="657"/>
      <c r="P5" s="657"/>
      <c r="R5" s="519" t="s">
        <v>334</v>
      </c>
      <c r="S5" s="483">
        <v>4</v>
      </c>
      <c r="T5" s="484">
        <v>7</v>
      </c>
      <c r="U5" s="485">
        <v>5</v>
      </c>
      <c r="V5" s="486">
        <v>5</v>
      </c>
      <c r="W5" s="487">
        <f t="shared" si="0"/>
        <v>21</v>
      </c>
      <c r="X5" s="488">
        <v>3</v>
      </c>
      <c r="Y5" s="489">
        <v>6</v>
      </c>
      <c r="Z5" s="490">
        <v>2</v>
      </c>
      <c r="AA5" s="491">
        <v>5</v>
      </c>
      <c r="AB5" s="492">
        <f t="shared" si="1"/>
        <v>16</v>
      </c>
      <c r="AC5" s="493">
        <f t="shared" si="2"/>
        <v>37</v>
      </c>
      <c r="AE5" s="519" t="s">
        <v>333</v>
      </c>
      <c r="AF5" s="483"/>
      <c r="AG5" s="484"/>
      <c r="AH5" s="486"/>
      <c r="AI5" s="485"/>
      <c r="AJ5" s="487">
        <f t="shared" ref="AJ5:AJ19" si="5">SUM(AE5:AI5)</f>
        <v>0</v>
      </c>
      <c r="AK5" s="488"/>
      <c r="AL5" s="489"/>
      <c r="AM5" s="490"/>
      <c r="AN5" s="490"/>
      <c r="AO5" s="491"/>
      <c r="AP5" s="492">
        <f t="shared" si="3"/>
        <v>0</v>
      </c>
      <c r="AQ5" s="539">
        <f>SUM(AJ5+AP5-AO5)</f>
        <v>0</v>
      </c>
    </row>
    <row r="6" spans="1:43" ht="14.95" customHeight="1" thickBot="1" x14ac:dyDescent="0.3">
      <c r="A6" s="656"/>
      <c r="B6" s="657"/>
      <c r="C6" s="656"/>
      <c r="D6" s="657"/>
      <c r="E6" s="656"/>
      <c r="F6" s="657"/>
      <c r="G6" s="656"/>
      <c r="H6" s="657"/>
      <c r="I6" s="657"/>
      <c r="J6" s="657"/>
      <c r="K6" s="657"/>
      <c r="L6" s="657"/>
      <c r="M6" s="657"/>
      <c r="N6" s="657"/>
      <c r="O6" s="657"/>
      <c r="P6" s="657"/>
      <c r="R6" s="519" t="s">
        <v>335</v>
      </c>
      <c r="S6" s="483">
        <v>6</v>
      </c>
      <c r="T6" s="484">
        <v>4</v>
      </c>
      <c r="U6" s="485">
        <v>5</v>
      </c>
      <c r="V6" s="486">
        <v>7</v>
      </c>
      <c r="W6" s="487">
        <f t="shared" si="0"/>
        <v>22</v>
      </c>
      <c r="X6" s="488">
        <v>7</v>
      </c>
      <c r="Y6" s="489">
        <v>8</v>
      </c>
      <c r="Z6" s="490">
        <v>7</v>
      </c>
      <c r="AA6" s="491">
        <v>4</v>
      </c>
      <c r="AB6" s="492">
        <f t="shared" si="1"/>
        <v>26</v>
      </c>
      <c r="AC6" s="493">
        <f t="shared" si="2"/>
        <v>48</v>
      </c>
      <c r="AE6" s="519" t="s">
        <v>334</v>
      </c>
      <c r="AF6" s="483"/>
      <c r="AG6" s="484"/>
      <c r="AH6" s="486">
        <v>1</v>
      </c>
      <c r="AI6" s="485">
        <v>1</v>
      </c>
      <c r="AJ6" s="487">
        <f t="shared" si="5"/>
        <v>2</v>
      </c>
      <c r="AK6" s="488"/>
      <c r="AL6" s="489">
        <v>1</v>
      </c>
      <c r="AM6" s="490"/>
      <c r="AN6" s="490"/>
      <c r="AO6" s="491"/>
      <c r="AP6" s="492">
        <f t="shared" si="3"/>
        <v>1</v>
      </c>
      <c r="AQ6" s="539">
        <f t="shared" ref="AQ6:AQ19" si="6">SUM(AJ6+AP6-AO6)</f>
        <v>3</v>
      </c>
    </row>
    <row r="7" spans="1:43" ht="14.95" customHeight="1" thickBot="1" x14ac:dyDescent="0.3">
      <c r="A7" s="656"/>
      <c r="B7" s="657"/>
      <c r="C7" s="656"/>
      <c r="D7" s="657"/>
      <c r="E7" s="656"/>
      <c r="F7" s="657"/>
      <c r="G7" s="656"/>
      <c r="H7" s="657"/>
      <c r="I7" s="657"/>
      <c r="J7" s="657"/>
      <c r="K7" s="657"/>
      <c r="L7" s="657"/>
      <c r="M7" s="657"/>
      <c r="N7" s="657"/>
      <c r="O7" s="657"/>
      <c r="P7" s="657"/>
      <c r="R7" s="519" t="s">
        <v>336</v>
      </c>
      <c r="S7" s="483">
        <v>1</v>
      </c>
      <c r="T7" s="484">
        <v>1</v>
      </c>
      <c r="U7" s="485">
        <v>2</v>
      </c>
      <c r="V7" s="486">
        <v>1</v>
      </c>
      <c r="W7" s="487">
        <f t="shared" si="0"/>
        <v>5</v>
      </c>
      <c r="X7" s="488">
        <v>1</v>
      </c>
      <c r="Y7" s="489">
        <v>1</v>
      </c>
      <c r="Z7" s="490"/>
      <c r="AA7" s="491">
        <v>1</v>
      </c>
      <c r="AB7" s="492">
        <f t="shared" ref="AB7:AB10" si="7">SUM(X7:AA7)</f>
        <v>3</v>
      </c>
      <c r="AC7" s="493">
        <f t="shared" ref="AC7:AC10" si="8">SUM(W7+AB7)</f>
        <v>8</v>
      </c>
      <c r="AE7" s="519" t="s">
        <v>335</v>
      </c>
      <c r="AF7" s="483"/>
      <c r="AG7" s="484">
        <v>1</v>
      </c>
      <c r="AH7" s="486"/>
      <c r="AI7" s="485">
        <v>1</v>
      </c>
      <c r="AJ7" s="487">
        <f t="shared" si="5"/>
        <v>2</v>
      </c>
      <c r="AK7" s="488">
        <v>1</v>
      </c>
      <c r="AL7" s="489"/>
      <c r="AM7" s="490"/>
      <c r="AN7" s="490"/>
      <c r="AO7" s="491"/>
      <c r="AP7" s="492">
        <f t="shared" si="3"/>
        <v>1</v>
      </c>
      <c r="AQ7" s="539">
        <f t="shared" si="6"/>
        <v>3</v>
      </c>
    </row>
    <row r="8" spans="1:43" ht="14.95" customHeight="1" thickBot="1" x14ac:dyDescent="0.3">
      <c r="A8" s="656"/>
      <c r="B8" s="657"/>
      <c r="C8" s="656"/>
      <c r="D8" s="657"/>
      <c r="E8" s="656"/>
      <c r="F8" s="657"/>
      <c r="G8" s="656"/>
      <c r="H8" s="657"/>
      <c r="I8" s="657"/>
      <c r="J8" s="657"/>
      <c r="K8" s="657"/>
      <c r="L8" s="657"/>
      <c r="M8" s="657"/>
      <c r="N8" s="657"/>
      <c r="O8" s="657"/>
      <c r="P8" s="657"/>
      <c r="R8" s="519" t="s">
        <v>337</v>
      </c>
      <c r="S8" s="483">
        <v>4</v>
      </c>
      <c r="T8" s="484">
        <v>3</v>
      </c>
      <c r="U8" s="485">
        <v>5</v>
      </c>
      <c r="V8" s="486">
        <v>4</v>
      </c>
      <c r="W8" s="487">
        <f t="shared" si="0"/>
        <v>16</v>
      </c>
      <c r="X8" s="488">
        <v>3</v>
      </c>
      <c r="Y8" s="489">
        <v>5</v>
      </c>
      <c r="Z8" s="490">
        <v>7</v>
      </c>
      <c r="AA8" s="491">
        <v>4</v>
      </c>
      <c r="AB8" s="492">
        <f t="shared" si="7"/>
        <v>19</v>
      </c>
      <c r="AC8" s="493">
        <f t="shared" si="8"/>
        <v>35</v>
      </c>
      <c r="AE8" s="519" t="s">
        <v>336</v>
      </c>
      <c r="AF8" s="483"/>
      <c r="AG8" s="484"/>
      <c r="AH8" s="486"/>
      <c r="AI8" s="485">
        <v>1</v>
      </c>
      <c r="AJ8" s="487">
        <f>SUM(AE8:AI8)</f>
        <v>1</v>
      </c>
      <c r="AK8" s="488"/>
      <c r="AL8" s="489"/>
      <c r="AM8" s="490"/>
      <c r="AN8" s="490"/>
      <c r="AO8" s="491"/>
      <c r="AP8" s="492">
        <f t="shared" si="3"/>
        <v>0</v>
      </c>
      <c r="AQ8" s="539">
        <f t="shared" si="6"/>
        <v>1</v>
      </c>
    </row>
    <row r="9" spans="1:43" ht="14.95" customHeight="1" thickBot="1" x14ac:dyDescent="0.3">
      <c r="A9" s="656"/>
      <c r="B9" s="657"/>
      <c r="C9" s="656"/>
      <c r="D9" s="657"/>
      <c r="E9" s="656"/>
      <c r="F9" s="657"/>
      <c r="G9" s="656"/>
      <c r="H9" s="657"/>
      <c r="I9" s="657"/>
      <c r="J9" s="657"/>
      <c r="K9" s="657"/>
      <c r="L9" s="657"/>
      <c r="M9" s="657"/>
      <c r="N9" s="657"/>
      <c r="O9" s="657"/>
      <c r="P9" s="657"/>
      <c r="R9" s="519" t="s">
        <v>338</v>
      </c>
      <c r="S9" s="483">
        <v>4</v>
      </c>
      <c r="T9" s="484">
        <v>1</v>
      </c>
      <c r="U9" s="485">
        <v>2</v>
      </c>
      <c r="V9" s="486">
        <v>3</v>
      </c>
      <c r="W9" s="487">
        <f t="shared" si="0"/>
        <v>10</v>
      </c>
      <c r="X9" s="488">
        <v>1</v>
      </c>
      <c r="Y9" s="489">
        <v>2</v>
      </c>
      <c r="Z9" s="490">
        <v>2</v>
      </c>
      <c r="AA9" s="491"/>
      <c r="AB9" s="492">
        <f t="shared" si="7"/>
        <v>5</v>
      </c>
      <c r="AC9" s="493">
        <f t="shared" si="8"/>
        <v>15</v>
      </c>
      <c r="AE9" s="519" t="s">
        <v>337</v>
      </c>
      <c r="AF9" s="483"/>
      <c r="AG9" s="484">
        <v>1</v>
      </c>
      <c r="AH9" s="486"/>
      <c r="AI9" s="485">
        <v>1</v>
      </c>
      <c r="AJ9" s="487">
        <f t="shared" si="5"/>
        <v>2</v>
      </c>
      <c r="AK9" s="488"/>
      <c r="AL9" s="489"/>
      <c r="AM9" s="490"/>
      <c r="AN9" s="490"/>
      <c r="AO9" s="491"/>
      <c r="AP9" s="492">
        <f t="shared" si="3"/>
        <v>0</v>
      </c>
      <c r="AQ9" s="539">
        <f t="shared" si="6"/>
        <v>2</v>
      </c>
    </row>
    <row r="10" spans="1:43" ht="14.95" customHeight="1" thickBot="1" x14ac:dyDescent="0.3">
      <c r="A10" s="656"/>
      <c r="B10" s="657"/>
      <c r="C10" s="656"/>
      <c r="D10" s="657"/>
      <c r="E10" s="656"/>
      <c r="F10" s="657"/>
      <c r="G10" s="656"/>
      <c r="H10" s="657"/>
      <c r="I10" s="657"/>
      <c r="J10" s="657"/>
      <c r="K10" s="657"/>
      <c r="L10" s="657"/>
      <c r="M10" s="657"/>
      <c r="N10" s="657"/>
      <c r="O10" s="657"/>
      <c r="P10" s="657"/>
      <c r="R10" s="519" t="s">
        <v>339</v>
      </c>
      <c r="S10" s="483"/>
      <c r="T10" s="484">
        <v>3</v>
      </c>
      <c r="U10" s="485">
        <v>3</v>
      </c>
      <c r="V10" s="486">
        <v>2</v>
      </c>
      <c r="W10" s="487">
        <f t="shared" si="0"/>
        <v>8</v>
      </c>
      <c r="X10" s="488">
        <v>2</v>
      </c>
      <c r="Y10" s="489">
        <v>1</v>
      </c>
      <c r="Z10" s="490">
        <v>1</v>
      </c>
      <c r="AA10" s="491">
        <v>4</v>
      </c>
      <c r="AB10" s="492">
        <f t="shared" si="7"/>
        <v>8</v>
      </c>
      <c r="AC10" s="493">
        <f t="shared" si="8"/>
        <v>16</v>
      </c>
      <c r="AE10" s="519" t="s">
        <v>338</v>
      </c>
      <c r="AF10" s="483"/>
      <c r="AG10" s="484"/>
      <c r="AH10" s="486"/>
      <c r="AI10" s="485">
        <v>2</v>
      </c>
      <c r="AJ10" s="487">
        <f t="shared" si="5"/>
        <v>2</v>
      </c>
      <c r="AK10" s="488"/>
      <c r="AL10" s="489"/>
      <c r="AM10" s="490"/>
      <c r="AN10" s="490"/>
      <c r="AO10" s="491"/>
      <c r="AP10" s="492">
        <f t="shared" si="3"/>
        <v>0</v>
      </c>
      <c r="AQ10" s="539">
        <f t="shared" si="6"/>
        <v>2</v>
      </c>
    </row>
    <row r="11" spans="1:43" ht="14.95" customHeight="1" thickBot="1" x14ac:dyDescent="0.3">
      <c r="A11" s="656"/>
      <c r="B11" s="657"/>
      <c r="C11" s="656"/>
      <c r="D11" s="657"/>
      <c r="E11" s="656"/>
      <c r="F11" s="657"/>
      <c r="G11" s="656"/>
      <c r="H11" s="657"/>
      <c r="I11" s="657"/>
      <c r="J11" s="657"/>
      <c r="K11" s="657"/>
      <c r="L11" s="657"/>
      <c r="M11" s="657"/>
      <c r="N11" s="657"/>
      <c r="O11" s="657"/>
      <c r="P11" s="657"/>
      <c r="R11" s="519" t="s">
        <v>340</v>
      </c>
      <c r="S11" s="483">
        <v>2</v>
      </c>
      <c r="T11" s="484"/>
      <c r="U11" s="485">
        <v>1</v>
      </c>
      <c r="V11" s="486"/>
      <c r="W11" s="487">
        <f t="shared" si="0"/>
        <v>3</v>
      </c>
      <c r="X11" s="488">
        <v>3</v>
      </c>
      <c r="Y11" s="489">
        <v>1</v>
      </c>
      <c r="Z11" s="490">
        <v>3</v>
      </c>
      <c r="AA11" s="491"/>
      <c r="AB11" s="492">
        <f t="shared" ref="AB11:AB12" si="9">SUM(X11:AA11)</f>
        <v>7</v>
      </c>
      <c r="AC11" s="493">
        <f t="shared" ref="AC11:AC12" si="10">SUM(W11+AB11)</f>
        <v>10</v>
      </c>
      <c r="AE11" s="519" t="s">
        <v>339</v>
      </c>
      <c r="AF11" s="483"/>
      <c r="AG11" s="484"/>
      <c r="AH11" s="486">
        <v>1</v>
      </c>
      <c r="AI11" s="485"/>
      <c r="AJ11" s="487">
        <f t="shared" si="5"/>
        <v>1</v>
      </c>
      <c r="AK11" s="488"/>
      <c r="AL11" s="489"/>
      <c r="AM11" s="490">
        <v>1</v>
      </c>
      <c r="AN11" s="490"/>
      <c r="AO11" s="491">
        <v>1</v>
      </c>
      <c r="AP11" s="492">
        <f t="shared" si="3"/>
        <v>2</v>
      </c>
      <c r="AQ11" s="539">
        <f t="shared" si="6"/>
        <v>2</v>
      </c>
    </row>
    <row r="12" spans="1:43" ht="14.95" customHeight="1" thickBot="1" x14ac:dyDescent="0.3">
      <c r="A12" s="656"/>
      <c r="B12" s="657"/>
      <c r="C12" s="656"/>
      <c r="D12" s="657"/>
      <c r="E12" s="656"/>
      <c r="F12" s="657"/>
      <c r="G12" s="656"/>
      <c r="H12" s="657"/>
      <c r="I12" s="657"/>
      <c r="J12" s="657"/>
      <c r="K12" s="657"/>
      <c r="L12" s="657"/>
      <c r="M12" s="657"/>
      <c r="N12" s="657"/>
      <c r="O12" s="657"/>
      <c r="P12" s="657"/>
      <c r="R12" s="519" t="s">
        <v>341</v>
      </c>
      <c r="S12" s="483"/>
      <c r="T12" s="484">
        <v>7</v>
      </c>
      <c r="U12" s="485">
        <v>5</v>
      </c>
      <c r="V12" s="486">
        <v>7</v>
      </c>
      <c r="W12" s="487">
        <f t="shared" si="0"/>
        <v>19</v>
      </c>
      <c r="X12" s="488">
        <v>7</v>
      </c>
      <c r="Y12" s="489">
        <v>5</v>
      </c>
      <c r="Z12" s="490">
        <v>4</v>
      </c>
      <c r="AA12" s="491">
        <v>6</v>
      </c>
      <c r="AB12" s="492">
        <f t="shared" si="9"/>
        <v>22</v>
      </c>
      <c r="AC12" s="493">
        <f t="shared" si="10"/>
        <v>41</v>
      </c>
      <c r="AE12" s="519" t="s">
        <v>340</v>
      </c>
      <c r="AF12" s="483"/>
      <c r="AG12" s="484"/>
      <c r="AH12" s="486"/>
      <c r="AI12" s="485"/>
      <c r="AJ12" s="487">
        <f t="shared" si="5"/>
        <v>0</v>
      </c>
      <c r="AK12" s="488"/>
      <c r="AL12" s="489"/>
      <c r="AM12" s="490">
        <v>1</v>
      </c>
      <c r="AN12" s="490"/>
      <c r="AO12" s="491"/>
      <c r="AP12" s="492">
        <f t="shared" si="3"/>
        <v>1</v>
      </c>
      <c r="AQ12" s="539">
        <f t="shared" si="6"/>
        <v>1</v>
      </c>
    </row>
    <row r="13" spans="1:43" ht="14.95" customHeight="1" thickBot="1" x14ac:dyDescent="0.3">
      <c r="A13" s="656"/>
      <c r="B13" s="657"/>
      <c r="C13" s="656"/>
      <c r="D13" s="657"/>
      <c r="E13" s="656"/>
      <c r="F13" s="657"/>
      <c r="G13" s="656"/>
      <c r="H13" s="657"/>
      <c r="I13" s="657"/>
      <c r="J13" s="657"/>
      <c r="K13" s="657"/>
      <c r="L13" s="657"/>
      <c r="M13" s="657"/>
      <c r="N13" s="657"/>
      <c r="O13" s="657"/>
      <c r="P13" s="657"/>
      <c r="R13" s="519" t="s">
        <v>342</v>
      </c>
      <c r="S13" s="483">
        <v>3</v>
      </c>
      <c r="T13" s="484">
        <v>2</v>
      </c>
      <c r="U13" s="485">
        <v>2</v>
      </c>
      <c r="V13" s="486"/>
      <c r="W13" s="487">
        <f t="shared" si="0"/>
        <v>7</v>
      </c>
      <c r="X13" s="488">
        <v>4</v>
      </c>
      <c r="Y13" s="489">
        <v>2</v>
      </c>
      <c r="Z13" s="490">
        <v>1</v>
      </c>
      <c r="AA13" s="491">
        <v>5</v>
      </c>
      <c r="AB13" s="492">
        <f t="shared" si="1"/>
        <v>12</v>
      </c>
      <c r="AC13" s="493">
        <f t="shared" si="2"/>
        <v>19</v>
      </c>
      <c r="AE13" s="519" t="s">
        <v>341</v>
      </c>
      <c r="AF13" s="483"/>
      <c r="AG13" s="484"/>
      <c r="AH13" s="486"/>
      <c r="AI13" s="485">
        <v>1</v>
      </c>
      <c r="AJ13" s="487">
        <f t="shared" si="5"/>
        <v>1</v>
      </c>
      <c r="AK13" s="488">
        <v>1</v>
      </c>
      <c r="AL13" s="489">
        <v>1</v>
      </c>
      <c r="AM13" s="490"/>
      <c r="AN13" s="490"/>
      <c r="AO13" s="491"/>
      <c r="AP13" s="492">
        <f t="shared" si="3"/>
        <v>2</v>
      </c>
      <c r="AQ13" s="539">
        <f t="shared" si="6"/>
        <v>3</v>
      </c>
    </row>
    <row r="14" spans="1:43" ht="14.95" customHeight="1" thickBot="1" x14ac:dyDescent="0.3">
      <c r="A14" s="656"/>
      <c r="B14" s="657"/>
      <c r="C14" s="656"/>
      <c r="D14" s="657"/>
      <c r="E14" s="656"/>
      <c r="F14" s="657"/>
      <c r="G14" s="656"/>
      <c r="H14" s="657"/>
      <c r="I14" s="657"/>
      <c r="J14" s="657"/>
      <c r="K14" s="657"/>
      <c r="L14" s="657"/>
      <c r="M14" s="657"/>
      <c r="N14" s="657"/>
      <c r="O14" s="657"/>
      <c r="P14" s="657"/>
      <c r="R14" s="519" t="s">
        <v>343</v>
      </c>
      <c r="S14" s="483"/>
      <c r="T14" s="484"/>
      <c r="U14" s="485"/>
      <c r="V14" s="486"/>
      <c r="W14" s="487">
        <f t="shared" si="0"/>
        <v>0</v>
      </c>
      <c r="X14" s="488"/>
      <c r="Y14" s="489"/>
      <c r="Z14" s="490"/>
      <c r="AA14" s="491"/>
      <c r="AB14" s="492">
        <f t="shared" si="1"/>
        <v>0</v>
      </c>
      <c r="AC14" s="493">
        <f t="shared" si="2"/>
        <v>0</v>
      </c>
      <c r="AE14" s="519" t="s">
        <v>342</v>
      </c>
      <c r="AF14" s="483"/>
      <c r="AG14" s="484"/>
      <c r="AH14" s="486"/>
      <c r="AI14" s="485">
        <v>1</v>
      </c>
      <c r="AJ14" s="487">
        <f t="shared" si="5"/>
        <v>1</v>
      </c>
      <c r="AK14" s="488"/>
      <c r="AL14" s="489">
        <v>1</v>
      </c>
      <c r="AM14" s="490"/>
      <c r="AN14" s="490"/>
      <c r="AO14" s="491"/>
      <c r="AP14" s="492">
        <f t="shared" si="3"/>
        <v>1</v>
      </c>
      <c r="AQ14" s="539">
        <f t="shared" si="6"/>
        <v>2</v>
      </c>
    </row>
    <row r="15" spans="1:43" ht="14.95" customHeight="1" thickBot="1" x14ac:dyDescent="0.3">
      <c r="A15" s="656"/>
      <c r="B15" s="657"/>
      <c r="C15" s="656"/>
      <c r="D15" s="657"/>
      <c r="E15" s="656"/>
      <c r="F15" s="657"/>
      <c r="G15" s="656"/>
      <c r="H15" s="657"/>
      <c r="I15" s="657"/>
      <c r="J15" s="657"/>
      <c r="K15" s="657"/>
      <c r="L15" s="657"/>
      <c r="M15" s="657"/>
      <c r="N15" s="657"/>
      <c r="O15" s="657"/>
      <c r="P15" s="657"/>
      <c r="R15" s="519" t="s">
        <v>344</v>
      </c>
      <c r="S15" s="483">
        <v>3</v>
      </c>
      <c r="T15" s="484">
        <v>1</v>
      </c>
      <c r="U15" s="485">
        <v>1</v>
      </c>
      <c r="V15" s="486">
        <v>2</v>
      </c>
      <c r="W15" s="487">
        <f t="shared" si="0"/>
        <v>7</v>
      </c>
      <c r="X15" s="488">
        <v>1</v>
      </c>
      <c r="Y15" s="489">
        <v>3</v>
      </c>
      <c r="Z15" s="490">
        <v>1</v>
      </c>
      <c r="AA15" s="491">
        <v>3</v>
      </c>
      <c r="AB15" s="492">
        <f t="shared" si="1"/>
        <v>8</v>
      </c>
      <c r="AC15" s="493">
        <f t="shared" si="2"/>
        <v>15</v>
      </c>
      <c r="AE15" s="519" t="s">
        <v>343</v>
      </c>
      <c r="AF15" s="483"/>
      <c r="AG15" s="484"/>
      <c r="AH15" s="486"/>
      <c r="AI15" s="485"/>
      <c r="AJ15" s="487">
        <f t="shared" si="5"/>
        <v>0</v>
      </c>
      <c r="AK15" s="488"/>
      <c r="AL15" s="489"/>
      <c r="AM15" s="490"/>
      <c r="AN15" s="490"/>
      <c r="AO15" s="491"/>
      <c r="AP15" s="492">
        <f t="shared" si="3"/>
        <v>0</v>
      </c>
      <c r="AQ15" s="539">
        <f t="shared" si="6"/>
        <v>0</v>
      </c>
    </row>
    <row r="16" spans="1:43" ht="14.95" customHeight="1" thickBot="1" x14ac:dyDescent="0.3">
      <c r="A16" s="656"/>
      <c r="B16" s="657"/>
      <c r="C16" s="656"/>
      <c r="D16" s="657"/>
      <c r="E16" s="656"/>
      <c r="F16" s="657"/>
      <c r="G16" s="656"/>
      <c r="H16" s="657"/>
      <c r="I16" s="657"/>
      <c r="J16" s="657"/>
      <c r="K16" s="657"/>
      <c r="L16" s="657"/>
      <c r="M16" s="657"/>
      <c r="N16" s="657"/>
      <c r="O16" s="657"/>
      <c r="P16" s="657"/>
      <c r="R16" s="519" t="s">
        <v>345</v>
      </c>
      <c r="S16" s="483"/>
      <c r="T16" s="484">
        <v>1</v>
      </c>
      <c r="U16" s="485">
        <v>2</v>
      </c>
      <c r="V16" s="486">
        <v>1</v>
      </c>
      <c r="W16" s="487">
        <f t="shared" si="0"/>
        <v>4</v>
      </c>
      <c r="X16" s="488">
        <v>1</v>
      </c>
      <c r="Y16" s="489">
        <v>1</v>
      </c>
      <c r="Z16" s="490"/>
      <c r="AA16" s="491">
        <v>3</v>
      </c>
      <c r="AB16" s="492">
        <f t="shared" si="1"/>
        <v>5</v>
      </c>
      <c r="AC16" s="493">
        <f t="shared" si="2"/>
        <v>9</v>
      </c>
      <c r="AE16" s="519" t="s">
        <v>344</v>
      </c>
      <c r="AF16" s="483"/>
      <c r="AG16" s="484"/>
      <c r="AH16" s="486"/>
      <c r="AI16" s="485"/>
      <c r="AJ16" s="487">
        <f t="shared" si="5"/>
        <v>0</v>
      </c>
      <c r="AK16" s="488">
        <v>1</v>
      </c>
      <c r="AL16" s="489">
        <v>1</v>
      </c>
      <c r="AM16" s="490"/>
      <c r="AN16" s="490"/>
      <c r="AO16" s="491"/>
      <c r="AP16" s="492">
        <f t="shared" si="3"/>
        <v>2</v>
      </c>
      <c r="AQ16" s="539">
        <f t="shared" si="6"/>
        <v>2</v>
      </c>
    </row>
    <row r="17" spans="1:43" ht="14.95" customHeight="1" thickBot="1" x14ac:dyDescent="0.3">
      <c r="A17" s="656"/>
      <c r="B17" s="657"/>
      <c r="C17" s="656"/>
      <c r="D17" s="657"/>
      <c r="E17" s="656"/>
      <c r="F17" s="657"/>
      <c r="G17" s="656"/>
      <c r="H17" s="657"/>
      <c r="I17" s="657"/>
      <c r="J17" s="657"/>
      <c r="K17" s="657"/>
      <c r="L17" s="657"/>
      <c r="M17" s="657"/>
      <c r="N17" s="657"/>
      <c r="O17" s="657"/>
      <c r="P17" s="657"/>
      <c r="R17" s="519" t="s">
        <v>55</v>
      </c>
      <c r="S17" s="483">
        <v>1</v>
      </c>
      <c r="T17" s="484">
        <v>1</v>
      </c>
      <c r="U17" s="485">
        <v>5</v>
      </c>
      <c r="V17" s="486"/>
      <c r="W17" s="487">
        <f t="shared" si="0"/>
        <v>7</v>
      </c>
      <c r="X17" s="488">
        <v>3</v>
      </c>
      <c r="Y17" s="489">
        <v>2</v>
      </c>
      <c r="Z17" s="490">
        <v>2</v>
      </c>
      <c r="AA17" s="491">
        <v>2</v>
      </c>
      <c r="AB17" s="492">
        <f t="shared" si="1"/>
        <v>9</v>
      </c>
      <c r="AC17" s="493">
        <f t="shared" si="2"/>
        <v>16</v>
      </c>
      <c r="AE17" s="519" t="s">
        <v>345</v>
      </c>
      <c r="AF17" s="483"/>
      <c r="AG17" s="484"/>
      <c r="AH17" s="486"/>
      <c r="AI17" s="485"/>
      <c r="AJ17" s="487">
        <f t="shared" si="5"/>
        <v>0</v>
      </c>
      <c r="AK17" s="488"/>
      <c r="AL17" s="489">
        <v>1</v>
      </c>
      <c r="AM17" s="490"/>
      <c r="AN17" s="490"/>
      <c r="AO17" s="491"/>
      <c r="AP17" s="492">
        <f t="shared" si="3"/>
        <v>1</v>
      </c>
      <c r="AQ17" s="539">
        <f t="shared" si="6"/>
        <v>1</v>
      </c>
    </row>
    <row r="18" spans="1:43" ht="14.95" customHeight="1" thickBot="1" x14ac:dyDescent="0.3">
      <c r="A18" s="656"/>
      <c r="B18" s="657"/>
      <c r="C18" s="656"/>
      <c r="D18" s="657"/>
      <c r="E18" s="656"/>
      <c r="F18" s="657"/>
      <c r="G18" s="656"/>
      <c r="H18" s="657"/>
      <c r="I18" s="657"/>
      <c r="J18" s="657"/>
      <c r="K18" s="657"/>
      <c r="L18" s="657"/>
      <c r="M18" s="657"/>
      <c r="N18" s="657"/>
      <c r="O18" s="657"/>
      <c r="P18" s="657"/>
      <c r="R18" s="519" t="s">
        <v>346</v>
      </c>
      <c r="S18" s="483">
        <v>1</v>
      </c>
      <c r="T18" s="484">
        <v>2</v>
      </c>
      <c r="U18" s="485"/>
      <c r="V18" s="486"/>
      <c r="W18" s="487">
        <f t="shared" si="0"/>
        <v>3</v>
      </c>
      <c r="X18" s="488">
        <v>2</v>
      </c>
      <c r="Y18" s="489"/>
      <c r="Z18" s="490"/>
      <c r="AA18" s="491">
        <v>1</v>
      </c>
      <c r="AB18" s="492">
        <f t="shared" si="1"/>
        <v>3</v>
      </c>
      <c r="AC18" s="493">
        <f t="shared" si="2"/>
        <v>6</v>
      </c>
      <c r="AE18" s="519" t="s">
        <v>55</v>
      </c>
      <c r="AF18" s="483"/>
      <c r="AG18" s="484"/>
      <c r="AH18" s="486">
        <v>1</v>
      </c>
      <c r="AI18" s="485"/>
      <c r="AJ18" s="487">
        <f t="shared" si="5"/>
        <v>1</v>
      </c>
      <c r="AK18" s="488"/>
      <c r="AL18" s="489"/>
      <c r="AM18" s="490">
        <v>1</v>
      </c>
      <c r="AN18" s="490"/>
      <c r="AO18" s="491"/>
      <c r="AP18" s="492">
        <f t="shared" si="3"/>
        <v>1</v>
      </c>
      <c r="AQ18" s="539">
        <f t="shared" si="6"/>
        <v>2</v>
      </c>
    </row>
    <row r="19" spans="1:43" ht="14.95" customHeight="1" thickBot="1" x14ac:dyDescent="0.3">
      <c r="A19" s="656"/>
      <c r="B19" s="657"/>
      <c r="C19" s="656"/>
      <c r="D19" s="657"/>
      <c r="E19" s="656"/>
      <c r="F19" s="657"/>
      <c r="G19" s="656"/>
      <c r="H19" s="657"/>
      <c r="I19" s="657"/>
      <c r="J19" s="657"/>
      <c r="K19" s="657"/>
      <c r="L19" s="657"/>
      <c r="M19" s="657"/>
      <c r="N19" s="657"/>
      <c r="O19" s="657"/>
      <c r="P19" s="657"/>
      <c r="AC19" s="493">
        <f>SUM(AC3:AC18)</f>
        <v>294</v>
      </c>
      <c r="AE19" s="519" t="s">
        <v>346</v>
      </c>
      <c r="AF19" s="483"/>
      <c r="AG19" s="484"/>
      <c r="AH19" s="486"/>
      <c r="AI19" s="485"/>
      <c r="AJ19" s="487">
        <f t="shared" si="5"/>
        <v>0</v>
      </c>
      <c r="AK19" s="488">
        <v>1</v>
      </c>
      <c r="AL19" s="489"/>
      <c r="AM19" s="490"/>
      <c r="AN19" s="490"/>
      <c r="AO19" s="491"/>
      <c r="AP19" s="492">
        <f t="shared" si="3"/>
        <v>1</v>
      </c>
      <c r="AQ19" s="539">
        <f t="shared" si="6"/>
        <v>1</v>
      </c>
    </row>
    <row r="20" spans="1:43" ht="14.95" customHeight="1" thickBot="1" x14ac:dyDescent="0.3">
      <c r="A20" s="656"/>
      <c r="B20" s="657"/>
      <c r="C20" s="656"/>
      <c r="D20" s="657"/>
      <c r="E20" s="656"/>
      <c r="F20" s="657"/>
      <c r="G20" s="656"/>
      <c r="H20" s="657"/>
      <c r="I20" s="657"/>
      <c r="J20" s="657"/>
      <c r="K20" s="657"/>
      <c r="L20" s="657"/>
      <c r="M20" s="657"/>
      <c r="N20" s="657"/>
      <c r="O20" s="657"/>
      <c r="P20" s="657"/>
      <c r="R20" s="408" t="s">
        <v>321</v>
      </c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O20">
        <f>SUM(AO4:AO19)</f>
        <v>1</v>
      </c>
      <c r="AQ20" s="539">
        <f>SUM(AQ4:AQ19)</f>
        <v>27</v>
      </c>
    </row>
    <row r="21" spans="1:43" ht="14.95" customHeight="1" thickBot="1" x14ac:dyDescent="0.3">
      <c r="A21" s="659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R21" s="480"/>
      <c r="S21" s="481" t="s">
        <v>271</v>
      </c>
      <c r="T21" s="481" t="s">
        <v>309</v>
      </c>
      <c r="U21" s="523" t="s">
        <v>310</v>
      </c>
      <c r="V21" s="523" t="s">
        <v>311</v>
      </c>
      <c r="W21" s="122" t="s">
        <v>312</v>
      </c>
      <c r="X21" s="524" t="s">
        <v>313</v>
      </c>
      <c r="Y21" s="524" t="s">
        <v>314</v>
      </c>
      <c r="Z21" s="482" t="s">
        <v>315</v>
      </c>
      <c r="AA21" s="482" t="s">
        <v>316</v>
      </c>
      <c r="AB21" s="525" t="s">
        <v>317</v>
      </c>
      <c r="AC21" s="527" t="s">
        <v>318</v>
      </c>
      <c r="AE21" s="408" t="s">
        <v>325</v>
      </c>
      <c r="AF21" s="517"/>
      <c r="AG21" s="517"/>
      <c r="AH21" s="517"/>
      <c r="AI21" s="517"/>
    </row>
    <row r="22" spans="1:43" ht="14.95" customHeight="1" thickBot="1" x14ac:dyDescent="0.3">
      <c r="A22" s="822"/>
      <c r="B22" s="822"/>
      <c r="C22" s="822"/>
      <c r="D22" s="823"/>
      <c r="E22" s="823"/>
      <c r="F22" s="823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R22" s="519" t="s">
        <v>332</v>
      </c>
      <c r="S22" s="483">
        <v>2</v>
      </c>
      <c r="T22" s="484">
        <v>3</v>
      </c>
      <c r="U22" s="486">
        <v>1</v>
      </c>
      <c r="V22" s="485">
        <v>3</v>
      </c>
      <c r="W22" s="487">
        <f t="shared" ref="W22:W37" si="11">SUM(S22:V22)</f>
        <v>9</v>
      </c>
      <c r="X22" s="488">
        <v>3</v>
      </c>
      <c r="Y22" s="489">
        <v>3</v>
      </c>
      <c r="Z22" s="490">
        <v>2</v>
      </c>
      <c r="AA22" s="491">
        <v>2</v>
      </c>
      <c r="AB22" s="492">
        <f t="shared" ref="AB22:AB37" si="12">SUM(X22:AA22)</f>
        <v>10</v>
      </c>
      <c r="AC22" s="493">
        <f>SUM(W22+AB22)</f>
        <v>19</v>
      </c>
      <c r="AE22" s="480"/>
      <c r="AF22" s="481" t="s">
        <v>271</v>
      </c>
      <c r="AG22" s="522" t="s">
        <v>309</v>
      </c>
      <c r="AH22" s="523" t="s">
        <v>310</v>
      </c>
      <c r="AI22" s="523" t="s">
        <v>311</v>
      </c>
      <c r="AJ22" s="122" t="s">
        <v>312</v>
      </c>
      <c r="AK22" s="524" t="s">
        <v>313</v>
      </c>
      <c r="AL22" s="524" t="s">
        <v>314</v>
      </c>
      <c r="AM22" s="482" t="s">
        <v>315</v>
      </c>
      <c r="AN22" s="824" t="s">
        <v>316</v>
      </c>
      <c r="AO22" s="825"/>
      <c r="AP22" s="525" t="s">
        <v>317</v>
      </c>
      <c r="AQ22" s="493" t="s">
        <v>21</v>
      </c>
    </row>
    <row r="23" spans="1:43" ht="14.95" customHeight="1" thickBot="1" x14ac:dyDescent="0.3">
      <c r="A23" s="94" t="s">
        <v>42</v>
      </c>
      <c r="B23" s="95" t="s">
        <v>43</v>
      </c>
      <c r="C23" s="49"/>
      <c r="D23" s="49" t="s">
        <v>0</v>
      </c>
      <c r="E23" s="50" t="s">
        <v>1</v>
      </c>
      <c r="F23" s="49" t="s">
        <v>2</v>
      </c>
      <c r="G23" s="49" t="s">
        <v>3</v>
      </c>
      <c r="H23" s="49" t="s">
        <v>4</v>
      </c>
      <c r="I23" s="49" t="s">
        <v>5</v>
      </c>
      <c r="J23" s="50" t="s">
        <v>44</v>
      </c>
      <c r="K23" s="49" t="s">
        <v>21</v>
      </c>
      <c r="L23" s="49" t="s">
        <v>22</v>
      </c>
      <c r="M23" s="49" t="s">
        <v>59</v>
      </c>
      <c r="N23" s="49" t="s">
        <v>47</v>
      </c>
      <c r="O23" s="49" t="s">
        <v>48</v>
      </c>
      <c r="P23" s="50" t="s">
        <v>45</v>
      </c>
      <c r="Q23" s="500"/>
      <c r="R23" s="519" t="s">
        <v>333</v>
      </c>
      <c r="S23" s="483">
        <v>4</v>
      </c>
      <c r="T23" s="484">
        <v>5</v>
      </c>
      <c r="U23" s="486">
        <v>5</v>
      </c>
      <c r="V23" s="485">
        <v>4</v>
      </c>
      <c r="W23" s="487">
        <f t="shared" si="11"/>
        <v>18</v>
      </c>
      <c r="X23" s="488">
        <v>5</v>
      </c>
      <c r="Y23" s="489">
        <v>4</v>
      </c>
      <c r="Z23" s="490">
        <v>3</v>
      </c>
      <c r="AA23" s="491">
        <v>6</v>
      </c>
      <c r="AB23" s="492">
        <f t="shared" si="12"/>
        <v>18</v>
      </c>
      <c r="AC23" s="493">
        <f t="shared" ref="AC23:AC37" si="13">SUM(W23+AB23)</f>
        <v>36</v>
      </c>
      <c r="AE23" s="494"/>
      <c r="AF23" s="495" t="s">
        <v>319</v>
      </c>
      <c r="AG23" s="495" t="s">
        <v>319</v>
      </c>
      <c r="AH23" s="496" t="s">
        <v>319</v>
      </c>
      <c r="AI23" s="496" t="s">
        <v>319</v>
      </c>
      <c r="AJ23" s="165" t="s">
        <v>53</v>
      </c>
      <c r="AK23" s="497" t="s">
        <v>319</v>
      </c>
      <c r="AL23" s="497" t="s">
        <v>319</v>
      </c>
      <c r="AM23" s="498" t="s">
        <v>319</v>
      </c>
      <c r="AN23" s="498" t="s">
        <v>319</v>
      </c>
      <c r="AO23" s="498" t="s">
        <v>320</v>
      </c>
      <c r="AP23" s="442"/>
      <c r="AQ23" s="493"/>
    </row>
    <row r="24" spans="1:43" ht="14.95" customHeight="1" thickBot="1" x14ac:dyDescent="0.3">
      <c r="A24" s="132">
        <v>1</v>
      </c>
      <c r="B24" s="114" t="s">
        <v>46</v>
      </c>
      <c r="C24" s="92" t="s">
        <v>30</v>
      </c>
      <c r="D24" s="638"/>
      <c r="E24" s="639"/>
      <c r="F24" s="638"/>
      <c r="G24" s="638"/>
      <c r="H24" s="638"/>
      <c r="I24" s="638"/>
      <c r="J24" s="210"/>
      <c r="K24" s="637"/>
      <c r="L24" s="637"/>
      <c r="M24" s="637"/>
      <c r="N24" s="638"/>
      <c r="O24" s="638"/>
      <c r="P24" s="210"/>
      <c r="Q24" s="471"/>
      <c r="R24" s="519" t="s">
        <v>334</v>
      </c>
      <c r="S24" s="483">
        <v>2</v>
      </c>
      <c r="T24" s="484">
        <v>1</v>
      </c>
      <c r="U24" s="486">
        <v>3</v>
      </c>
      <c r="V24" s="485"/>
      <c r="W24" s="487">
        <f t="shared" si="11"/>
        <v>6</v>
      </c>
      <c r="X24" s="488">
        <v>2</v>
      </c>
      <c r="Y24" s="489">
        <v>2</v>
      </c>
      <c r="Z24" s="490">
        <v>2</v>
      </c>
      <c r="AA24" s="491">
        <v>1</v>
      </c>
      <c r="AB24" s="492">
        <f t="shared" si="12"/>
        <v>7</v>
      </c>
      <c r="AC24" s="493">
        <f t="shared" si="13"/>
        <v>13</v>
      </c>
      <c r="AE24" s="519" t="s">
        <v>332</v>
      </c>
      <c r="AF24" s="483"/>
      <c r="AG24" s="484"/>
      <c r="AH24" s="486"/>
      <c r="AI24" s="485"/>
      <c r="AJ24" s="487">
        <f t="shared" ref="AJ24:AJ39" si="14">SUM(AE24:AI24)</f>
        <v>0</v>
      </c>
      <c r="AK24" s="488">
        <v>1</v>
      </c>
      <c r="AL24" s="489"/>
      <c r="AM24" s="490">
        <v>1</v>
      </c>
      <c r="AN24" s="490"/>
      <c r="AO24" s="491"/>
      <c r="AP24" s="492">
        <f t="shared" ref="AP24:AP39" si="15">SUM(AK24:AO24)</f>
        <v>2</v>
      </c>
      <c r="AQ24" s="539">
        <f t="shared" ref="AQ24" si="16">SUM(AJ24+AP24-AO24)</f>
        <v>2</v>
      </c>
    </row>
    <row r="25" spans="1:43" ht="14.95" customHeight="1" thickBot="1" x14ac:dyDescent="0.3">
      <c r="A25" s="96">
        <v>2</v>
      </c>
      <c r="B25" s="114" t="s">
        <v>46</v>
      </c>
      <c r="C25" s="201" t="s">
        <v>33</v>
      </c>
      <c r="D25" s="637"/>
      <c r="E25" s="210"/>
      <c r="F25" s="637"/>
      <c r="G25" s="637"/>
      <c r="H25" s="637"/>
      <c r="I25" s="637"/>
      <c r="J25" s="210"/>
      <c r="K25" s="637"/>
      <c r="L25" s="637"/>
      <c r="M25" s="637"/>
      <c r="N25" s="637"/>
      <c r="O25" s="637"/>
      <c r="P25" s="210"/>
      <c r="Q25" s="471"/>
      <c r="R25" s="519" t="s">
        <v>335</v>
      </c>
      <c r="S25" s="483">
        <v>2</v>
      </c>
      <c r="T25" s="484"/>
      <c r="U25" s="486">
        <v>2</v>
      </c>
      <c r="V25" s="485"/>
      <c r="W25" s="487">
        <f t="shared" si="11"/>
        <v>4</v>
      </c>
      <c r="X25" s="488"/>
      <c r="Y25" s="489">
        <v>2</v>
      </c>
      <c r="Z25" s="490"/>
      <c r="AA25" s="491">
        <v>2</v>
      </c>
      <c r="AB25" s="492">
        <f t="shared" si="12"/>
        <v>4</v>
      </c>
      <c r="AC25" s="493">
        <f t="shared" si="13"/>
        <v>8</v>
      </c>
      <c r="AE25" s="519" t="s">
        <v>333</v>
      </c>
      <c r="AF25" s="483"/>
      <c r="AG25" s="484">
        <v>1</v>
      </c>
      <c r="AH25" s="486">
        <v>1</v>
      </c>
      <c r="AI25" s="485">
        <v>1</v>
      </c>
      <c r="AJ25" s="487">
        <f t="shared" si="14"/>
        <v>3</v>
      </c>
      <c r="AK25" s="488"/>
      <c r="AL25" s="489"/>
      <c r="AM25" s="490"/>
      <c r="AN25" s="490"/>
      <c r="AO25" s="491"/>
      <c r="AP25" s="492">
        <f t="shared" si="15"/>
        <v>0</v>
      </c>
      <c r="AQ25" s="539">
        <f>SUM(AJ25+AP25-AO25)</f>
        <v>3</v>
      </c>
    </row>
    <row r="26" spans="1:43" ht="14.95" customHeight="1" thickBot="1" x14ac:dyDescent="0.3">
      <c r="A26" s="96">
        <v>3</v>
      </c>
      <c r="B26" s="114" t="s">
        <v>46</v>
      </c>
      <c r="C26" s="55" t="s">
        <v>35</v>
      </c>
      <c r="D26" s="637"/>
      <c r="E26" s="210"/>
      <c r="F26" s="637"/>
      <c r="G26" s="637"/>
      <c r="H26" s="637"/>
      <c r="I26" s="637"/>
      <c r="J26" s="210"/>
      <c r="K26" s="637"/>
      <c r="L26" s="637"/>
      <c r="M26" s="637"/>
      <c r="N26" s="637"/>
      <c r="O26" s="637"/>
      <c r="P26" s="210"/>
      <c r="Q26" s="501"/>
      <c r="R26" s="519" t="s">
        <v>336</v>
      </c>
      <c r="S26" s="483">
        <v>4</v>
      </c>
      <c r="T26" s="484">
        <v>2</v>
      </c>
      <c r="U26" s="486">
        <v>2</v>
      </c>
      <c r="V26" s="485">
        <v>1</v>
      </c>
      <c r="W26" s="487">
        <f t="shared" si="11"/>
        <v>9</v>
      </c>
      <c r="X26" s="488">
        <v>3</v>
      </c>
      <c r="Y26" s="489">
        <v>4</v>
      </c>
      <c r="Z26" s="490">
        <v>2</v>
      </c>
      <c r="AA26" s="491">
        <v>3</v>
      </c>
      <c r="AB26" s="492">
        <f t="shared" ref="AB26:AB29" si="17">SUM(X26:AA26)</f>
        <v>12</v>
      </c>
      <c r="AC26" s="493">
        <f>SUM(W26+AB26)</f>
        <v>21</v>
      </c>
      <c r="AE26" s="519" t="s">
        <v>334</v>
      </c>
      <c r="AF26" s="483"/>
      <c r="AG26" s="484"/>
      <c r="AH26" s="486"/>
      <c r="AI26" s="485"/>
      <c r="AJ26" s="487">
        <f t="shared" si="14"/>
        <v>0</v>
      </c>
      <c r="AK26" s="488"/>
      <c r="AL26" s="489"/>
      <c r="AM26" s="490"/>
      <c r="AN26" s="490"/>
      <c r="AO26" s="491"/>
      <c r="AP26" s="492">
        <f t="shared" si="15"/>
        <v>0</v>
      </c>
      <c r="AQ26" s="539">
        <f t="shared" ref="AQ26:AQ39" si="18">SUM(AJ26+AP26-AO26)</f>
        <v>0</v>
      </c>
    </row>
    <row r="27" spans="1:43" ht="14.95" customHeight="1" thickBot="1" x14ac:dyDescent="0.3">
      <c r="A27" s="96">
        <v>4</v>
      </c>
      <c r="B27" s="114" t="s">
        <v>46</v>
      </c>
      <c r="C27" s="297" t="s">
        <v>32</v>
      </c>
      <c r="D27" s="637"/>
      <c r="E27" s="210"/>
      <c r="F27" s="637"/>
      <c r="G27" s="637"/>
      <c r="H27" s="637"/>
      <c r="I27" s="637"/>
      <c r="J27" s="210"/>
      <c r="K27" s="637"/>
      <c r="L27" s="637"/>
      <c r="M27" s="637"/>
      <c r="N27" s="637"/>
      <c r="O27" s="637"/>
      <c r="P27" s="210"/>
      <c r="Q27" s="501"/>
      <c r="R27" s="519" t="s">
        <v>337</v>
      </c>
      <c r="S27" s="483">
        <v>2</v>
      </c>
      <c r="T27" s="484">
        <v>1</v>
      </c>
      <c r="U27" s="486">
        <v>1</v>
      </c>
      <c r="V27" s="485">
        <v>3</v>
      </c>
      <c r="W27" s="487">
        <f t="shared" si="11"/>
        <v>7</v>
      </c>
      <c r="X27" s="488">
        <v>2</v>
      </c>
      <c r="Y27" s="489">
        <v>2</v>
      </c>
      <c r="Z27" s="490">
        <v>2</v>
      </c>
      <c r="AA27" s="491">
        <v>2</v>
      </c>
      <c r="AB27" s="492">
        <f t="shared" si="17"/>
        <v>8</v>
      </c>
      <c r="AC27" s="493">
        <f t="shared" ref="AC27:AC29" si="19">SUM(W27+AB27)</f>
        <v>15</v>
      </c>
      <c r="AE27" s="519" t="s">
        <v>335</v>
      </c>
      <c r="AF27" s="483"/>
      <c r="AG27" s="484"/>
      <c r="AH27" s="486"/>
      <c r="AI27" s="485"/>
      <c r="AJ27" s="487">
        <f t="shared" si="14"/>
        <v>0</v>
      </c>
      <c r="AK27" s="488"/>
      <c r="AL27" s="489"/>
      <c r="AM27" s="490"/>
      <c r="AN27" s="490"/>
      <c r="AO27" s="491"/>
      <c r="AP27" s="492">
        <f t="shared" si="15"/>
        <v>0</v>
      </c>
      <c r="AQ27" s="539">
        <f t="shared" si="18"/>
        <v>0</v>
      </c>
    </row>
    <row r="28" spans="1:43" ht="14.95" customHeight="1" thickBot="1" x14ac:dyDescent="0.3">
      <c r="A28" s="96">
        <v>5</v>
      </c>
      <c r="B28" s="114" t="s">
        <v>46</v>
      </c>
      <c r="C28" s="201" t="s">
        <v>34</v>
      </c>
      <c r="D28" s="637"/>
      <c r="E28" s="210"/>
      <c r="F28" s="637"/>
      <c r="G28" s="637"/>
      <c r="H28" s="637"/>
      <c r="I28" s="637"/>
      <c r="J28" s="210"/>
      <c r="K28" s="637"/>
      <c r="L28" s="637"/>
      <c r="M28" s="637"/>
      <c r="N28" s="637"/>
      <c r="O28" s="637"/>
      <c r="P28" s="210"/>
      <c r="Q28" s="501"/>
      <c r="R28" s="519" t="s">
        <v>338</v>
      </c>
      <c r="S28" s="483"/>
      <c r="T28" s="484">
        <v>2</v>
      </c>
      <c r="U28" s="486">
        <v>3</v>
      </c>
      <c r="V28" s="485">
        <v>1</v>
      </c>
      <c r="W28" s="487">
        <f t="shared" si="11"/>
        <v>6</v>
      </c>
      <c r="X28" s="488">
        <v>2</v>
      </c>
      <c r="Y28" s="489">
        <v>3</v>
      </c>
      <c r="Z28" s="490">
        <v>1</v>
      </c>
      <c r="AA28" s="491">
        <v>3</v>
      </c>
      <c r="AB28" s="492">
        <f t="shared" si="17"/>
        <v>9</v>
      </c>
      <c r="AC28" s="493">
        <f t="shared" si="19"/>
        <v>15</v>
      </c>
      <c r="AE28" s="519" t="s">
        <v>336</v>
      </c>
      <c r="AF28" s="483"/>
      <c r="AG28" s="484"/>
      <c r="AH28" s="486">
        <v>1</v>
      </c>
      <c r="AI28" s="485"/>
      <c r="AJ28" s="487">
        <f t="shared" si="14"/>
        <v>1</v>
      </c>
      <c r="AK28" s="488">
        <v>1</v>
      </c>
      <c r="AL28" s="489">
        <v>1</v>
      </c>
      <c r="AM28" s="490"/>
      <c r="AN28" s="490"/>
      <c r="AO28" s="491"/>
      <c r="AP28" s="492">
        <f t="shared" si="15"/>
        <v>2</v>
      </c>
      <c r="AQ28" s="539">
        <f t="shared" si="18"/>
        <v>3</v>
      </c>
    </row>
    <row r="29" spans="1:43" ht="14.95" customHeight="1" thickBot="1" x14ac:dyDescent="0.3">
      <c r="A29" s="96">
        <v>6</v>
      </c>
      <c r="B29" s="114" t="s">
        <v>46</v>
      </c>
      <c r="C29" s="54" t="s">
        <v>31</v>
      </c>
      <c r="D29" s="637"/>
      <c r="E29" s="210"/>
      <c r="F29" s="637"/>
      <c r="G29" s="637"/>
      <c r="H29" s="637"/>
      <c r="I29" s="637"/>
      <c r="J29" s="210"/>
      <c r="K29" s="637"/>
      <c r="L29" s="637"/>
      <c r="M29" s="637"/>
      <c r="N29" s="637"/>
      <c r="O29" s="637"/>
      <c r="P29" s="210"/>
      <c r="Q29" s="501"/>
      <c r="R29" s="519" t="s">
        <v>339</v>
      </c>
      <c r="S29" s="483">
        <v>1</v>
      </c>
      <c r="T29" s="484">
        <v>1</v>
      </c>
      <c r="U29" s="486">
        <v>2</v>
      </c>
      <c r="V29" s="485"/>
      <c r="W29" s="487">
        <f t="shared" si="11"/>
        <v>4</v>
      </c>
      <c r="X29" s="488">
        <v>1</v>
      </c>
      <c r="Y29" s="489">
        <v>1</v>
      </c>
      <c r="Z29" s="490">
        <v>1</v>
      </c>
      <c r="AA29" s="491">
        <v>1</v>
      </c>
      <c r="AB29" s="492">
        <f t="shared" si="17"/>
        <v>4</v>
      </c>
      <c r="AC29" s="493">
        <f t="shared" si="19"/>
        <v>8</v>
      </c>
      <c r="AE29" s="519" t="s">
        <v>337</v>
      </c>
      <c r="AF29" s="483"/>
      <c r="AG29" s="484"/>
      <c r="AH29" s="486"/>
      <c r="AI29" s="485"/>
      <c r="AJ29" s="487">
        <f t="shared" si="14"/>
        <v>0</v>
      </c>
      <c r="AK29" s="488"/>
      <c r="AL29" s="489"/>
      <c r="AM29" s="490"/>
      <c r="AN29" s="490"/>
      <c r="AO29" s="491"/>
      <c r="AP29" s="492">
        <f t="shared" si="15"/>
        <v>0</v>
      </c>
      <c r="AQ29" s="539">
        <f t="shared" si="18"/>
        <v>0</v>
      </c>
    </row>
    <row r="30" spans="1:43" ht="14.95" customHeight="1" thickBot="1" x14ac:dyDescent="0.3">
      <c r="A30" s="96">
        <v>7</v>
      </c>
      <c r="B30" s="114" t="s">
        <v>46</v>
      </c>
      <c r="C30" s="202" t="s">
        <v>29</v>
      </c>
      <c r="D30" s="637"/>
      <c r="E30" s="210"/>
      <c r="F30" s="637"/>
      <c r="G30" s="637"/>
      <c r="H30" s="637"/>
      <c r="I30" s="637"/>
      <c r="J30" s="210"/>
      <c r="K30" s="637"/>
      <c r="L30" s="637"/>
      <c r="M30" s="637"/>
      <c r="N30" s="637"/>
      <c r="O30" s="637"/>
      <c r="P30" s="210"/>
      <c r="Q30" s="501"/>
      <c r="R30" s="519" t="s">
        <v>340</v>
      </c>
      <c r="S30" s="483">
        <v>2</v>
      </c>
      <c r="T30" s="484">
        <v>3</v>
      </c>
      <c r="U30" s="486">
        <v>2</v>
      </c>
      <c r="V30" s="485">
        <v>5</v>
      </c>
      <c r="W30" s="487">
        <f t="shared" si="11"/>
        <v>12</v>
      </c>
      <c r="X30" s="488">
        <v>1</v>
      </c>
      <c r="Y30" s="489">
        <v>1</v>
      </c>
      <c r="Z30" s="490">
        <v>2</v>
      </c>
      <c r="AA30" s="491">
        <v>3</v>
      </c>
      <c r="AB30" s="492">
        <f t="shared" ref="AB30:AB31" si="20">SUM(X30:AA30)</f>
        <v>7</v>
      </c>
      <c r="AC30" s="493">
        <f t="shared" ref="AC30:AC31" si="21">SUM(W30+AB30)</f>
        <v>19</v>
      </c>
      <c r="AE30" s="519" t="s">
        <v>338</v>
      </c>
      <c r="AF30" s="483"/>
      <c r="AG30" s="484"/>
      <c r="AH30" s="486"/>
      <c r="AI30" s="485"/>
      <c r="AJ30" s="487">
        <f t="shared" si="14"/>
        <v>0</v>
      </c>
      <c r="AK30" s="488"/>
      <c r="AL30" s="489">
        <v>2</v>
      </c>
      <c r="AM30" s="490"/>
      <c r="AN30" s="490"/>
      <c r="AO30" s="491"/>
      <c r="AP30" s="492">
        <f t="shared" si="15"/>
        <v>2</v>
      </c>
      <c r="AQ30" s="539">
        <f t="shared" si="18"/>
        <v>2</v>
      </c>
    </row>
    <row r="31" spans="1:43" ht="14.95" customHeight="1" thickBot="1" x14ac:dyDescent="0.3">
      <c r="A31" s="96">
        <v>8</v>
      </c>
      <c r="B31" s="114" t="s">
        <v>46</v>
      </c>
      <c r="C31" s="232" t="s">
        <v>36</v>
      </c>
      <c r="D31" s="637"/>
      <c r="E31" s="210"/>
      <c r="F31" s="637"/>
      <c r="G31" s="637"/>
      <c r="H31" s="637"/>
      <c r="I31" s="637"/>
      <c r="J31" s="210"/>
      <c r="K31" s="637"/>
      <c r="L31" s="637"/>
      <c r="M31" s="637"/>
      <c r="N31" s="637"/>
      <c r="O31" s="637"/>
      <c r="P31" s="210"/>
      <c r="Q31" s="500"/>
      <c r="R31" s="519" t="s">
        <v>341</v>
      </c>
      <c r="S31" s="483">
        <v>3</v>
      </c>
      <c r="T31" s="484">
        <v>2</v>
      </c>
      <c r="U31" s="486">
        <v>1</v>
      </c>
      <c r="V31" s="485">
        <v>1</v>
      </c>
      <c r="W31" s="487">
        <f t="shared" si="11"/>
        <v>7</v>
      </c>
      <c r="X31" s="488">
        <v>3</v>
      </c>
      <c r="Y31" s="489"/>
      <c r="Z31" s="490">
        <v>3</v>
      </c>
      <c r="AA31" s="491">
        <v>3</v>
      </c>
      <c r="AB31" s="492">
        <f t="shared" si="20"/>
        <v>9</v>
      </c>
      <c r="AC31" s="493">
        <f t="shared" si="21"/>
        <v>16</v>
      </c>
      <c r="AE31" s="519" t="s">
        <v>339</v>
      </c>
      <c r="AF31" s="483"/>
      <c r="AG31" s="484"/>
      <c r="AH31" s="486"/>
      <c r="AI31" s="485"/>
      <c r="AJ31" s="487">
        <f t="shared" si="14"/>
        <v>0</v>
      </c>
      <c r="AK31" s="488"/>
      <c r="AL31" s="489">
        <v>1</v>
      </c>
      <c r="AM31" s="490"/>
      <c r="AN31" s="490"/>
      <c r="AO31" s="491"/>
      <c r="AP31" s="492">
        <f t="shared" si="15"/>
        <v>1</v>
      </c>
      <c r="AQ31" s="539">
        <f t="shared" si="18"/>
        <v>1</v>
      </c>
    </row>
    <row r="32" spans="1:43" ht="14.95" customHeight="1" thickBot="1" x14ac:dyDescent="0.3">
      <c r="A32" s="96">
        <v>9</v>
      </c>
      <c r="B32" s="114" t="s">
        <v>46</v>
      </c>
      <c r="C32" s="219" t="s">
        <v>91</v>
      </c>
      <c r="D32" s="637"/>
      <c r="E32" s="210"/>
      <c r="F32" s="637"/>
      <c r="G32" s="637"/>
      <c r="H32" s="637"/>
      <c r="I32" s="637"/>
      <c r="J32" s="210"/>
      <c r="K32" s="637"/>
      <c r="L32" s="637"/>
      <c r="M32" s="637"/>
      <c r="N32" s="637"/>
      <c r="O32" s="637"/>
      <c r="P32" s="210"/>
      <c r="R32" s="519" t="s">
        <v>342</v>
      </c>
      <c r="S32" s="483">
        <v>1</v>
      </c>
      <c r="T32" s="484">
        <v>1</v>
      </c>
      <c r="U32" s="486">
        <v>4</v>
      </c>
      <c r="V32" s="485">
        <v>2</v>
      </c>
      <c r="W32" s="487">
        <f t="shared" si="11"/>
        <v>8</v>
      </c>
      <c r="X32" s="488">
        <v>5</v>
      </c>
      <c r="Y32" s="489">
        <v>2</v>
      </c>
      <c r="Z32" s="490">
        <v>3</v>
      </c>
      <c r="AA32" s="491">
        <v>3</v>
      </c>
      <c r="AB32" s="492">
        <f t="shared" si="12"/>
        <v>13</v>
      </c>
      <c r="AC32" s="493">
        <f t="shared" si="13"/>
        <v>21</v>
      </c>
      <c r="AE32" s="519" t="s">
        <v>340</v>
      </c>
      <c r="AF32" s="483"/>
      <c r="AG32" s="484"/>
      <c r="AH32" s="486"/>
      <c r="AI32" s="485">
        <v>2</v>
      </c>
      <c r="AJ32" s="487">
        <f t="shared" si="14"/>
        <v>2</v>
      </c>
      <c r="AK32" s="488"/>
      <c r="AL32" s="489"/>
      <c r="AM32" s="490"/>
      <c r="AN32" s="490"/>
      <c r="AO32" s="491"/>
      <c r="AP32" s="492">
        <f t="shared" si="15"/>
        <v>0</v>
      </c>
      <c r="AQ32" s="539">
        <f t="shared" si="18"/>
        <v>2</v>
      </c>
    </row>
    <row r="33" spans="1:43" ht="14.95" customHeight="1" thickBot="1" x14ac:dyDescent="0.3">
      <c r="A33" s="96">
        <v>10</v>
      </c>
      <c r="B33" s="114" t="s">
        <v>46</v>
      </c>
      <c r="C33" s="263" t="s">
        <v>176</v>
      </c>
      <c r="D33" s="637"/>
      <c r="E33" s="210"/>
      <c r="F33" s="637"/>
      <c r="G33" s="637"/>
      <c r="H33" s="637"/>
      <c r="I33" s="637"/>
      <c r="J33" s="210"/>
      <c r="K33" s="637"/>
      <c r="L33" s="637"/>
      <c r="M33" s="637"/>
      <c r="N33" s="637"/>
      <c r="O33" s="637"/>
      <c r="P33" s="210"/>
      <c r="R33" s="519" t="s">
        <v>343</v>
      </c>
      <c r="S33" s="483">
        <v>6</v>
      </c>
      <c r="T33" s="484">
        <v>4</v>
      </c>
      <c r="U33" s="486">
        <v>7</v>
      </c>
      <c r="V33" s="485">
        <v>2</v>
      </c>
      <c r="W33" s="487">
        <f t="shared" si="11"/>
        <v>19</v>
      </c>
      <c r="X33" s="488">
        <v>3</v>
      </c>
      <c r="Y33" s="489">
        <v>4</v>
      </c>
      <c r="Z33" s="490">
        <v>4</v>
      </c>
      <c r="AA33" s="491">
        <v>5</v>
      </c>
      <c r="AB33" s="492">
        <f t="shared" si="12"/>
        <v>16</v>
      </c>
      <c r="AC33" s="493">
        <f t="shared" si="13"/>
        <v>35</v>
      </c>
      <c r="AE33" s="519" t="s">
        <v>341</v>
      </c>
      <c r="AF33" s="483"/>
      <c r="AG33" s="484"/>
      <c r="AH33" s="486"/>
      <c r="AI33" s="485"/>
      <c r="AJ33" s="487">
        <f t="shared" si="14"/>
        <v>0</v>
      </c>
      <c r="AK33" s="488"/>
      <c r="AL33" s="489"/>
      <c r="AM33" s="490"/>
      <c r="AN33" s="490"/>
      <c r="AO33" s="491"/>
      <c r="AP33" s="492">
        <f t="shared" si="15"/>
        <v>0</v>
      </c>
      <c r="AQ33" s="539">
        <f t="shared" si="18"/>
        <v>0</v>
      </c>
    </row>
    <row r="34" spans="1:43" ht="14.95" customHeight="1" thickBot="1" x14ac:dyDescent="0.3">
      <c r="A34" s="96">
        <v>11</v>
      </c>
      <c r="B34" s="114" t="s">
        <v>46</v>
      </c>
      <c r="C34" s="280" t="s">
        <v>72</v>
      </c>
      <c r="D34" s="637"/>
      <c r="E34" s="210"/>
      <c r="F34" s="637"/>
      <c r="G34" s="637"/>
      <c r="H34" s="637"/>
      <c r="I34" s="637"/>
      <c r="J34" s="210"/>
      <c r="K34" s="637"/>
      <c r="L34" s="637"/>
      <c r="M34" s="637"/>
      <c r="N34" s="637"/>
      <c r="O34" s="637"/>
      <c r="P34" s="210"/>
      <c r="R34" s="519" t="s">
        <v>344</v>
      </c>
      <c r="S34" s="483"/>
      <c r="T34" s="484">
        <v>2</v>
      </c>
      <c r="U34" s="486">
        <v>3</v>
      </c>
      <c r="V34" s="485">
        <v>4</v>
      </c>
      <c r="W34" s="487">
        <f t="shared" si="11"/>
        <v>9</v>
      </c>
      <c r="X34" s="488">
        <v>1</v>
      </c>
      <c r="Y34" s="489">
        <v>2</v>
      </c>
      <c r="Z34" s="490">
        <v>2</v>
      </c>
      <c r="AA34" s="491">
        <v>2</v>
      </c>
      <c r="AB34" s="492">
        <f t="shared" si="12"/>
        <v>7</v>
      </c>
      <c r="AC34" s="493">
        <f t="shared" si="13"/>
        <v>16</v>
      </c>
      <c r="AE34" s="519" t="s">
        <v>342</v>
      </c>
      <c r="AF34" s="483"/>
      <c r="AG34" s="484"/>
      <c r="AH34" s="486"/>
      <c r="AI34" s="485">
        <v>1</v>
      </c>
      <c r="AJ34" s="487">
        <f t="shared" si="14"/>
        <v>1</v>
      </c>
      <c r="AK34" s="488"/>
      <c r="AL34" s="489"/>
      <c r="AM34" s="490">
        <v>1</v>
      </c>
      <c r="AN34" s="490"/>
      <c r="AO34" s="491">
        <v>1</v>
      </c>
      <c r="AP34" s="492">
        <f t="shared" si="15"/>
        <v>2</v>
      </c>
      <c r="AQ34" s="539">
        <f t="shared" si="18"/>
        <v>2</v>
      </c>
    </row>
    <row r="35" spans="1:43" ht="14.95" customHeight="1" thickBot="1" x14ac:dyDescent="0.3">
      <c r="A35" s="96">
        <v>12</v>
      </c>
      <c r="B35" s="114" t="s">
        <v>46</v>
      </c>
      <c r="C35" s="139" t="s">
        <v>55</v>
      </c>
      <c r="D35" s="637"/>
      <c r="E35" s="210"/>
      <c r="F35" s="637"/>
      <c r="G35" s="637"/>
      <c r="H35" s="637"/>
      <c r="I35" s="637"/>
      <c r="J35" s="210"/>
      <c r="K35" s="637"/>
      <c r="L35" s="637"/>
      <c r="M35" s="637"/>
      <c r="N35" s="637"/>
      <c r="O35" s="637"/>
      <c r="P35" s="210"/>
      <c r="R35" s="519" t="s">
        <v>345</v>
      </c>
      <c r="S35" s="483">
        <v>2</v>
      </c>
      <c r="T35" s="484">
        <v>3</v>
      </c>
      <c r="U35" s="486">
        <v>1</v>
      </c>
      <c r="V35" s="485">
        <v>2</v>
      </c>
      <c r="W35" s="487">
        <f t="shared" si="11"/>
        <v>8</v>
      </c>
      <c r="X35" s="488">
        <v>4</v>
      </c>
      <c r="Y35" s="489">
        <v>3</v>
      </c>
      <c r="Z35" s="490">
        <v>4</v>
      </c>
      <c r="AA35" s="491">
        <v>1</v>
      </c>
      <c r="AB35" s="492">
        <f t="shared" si="12"/>
        <v>12</v>
      </c>
      <c r="AC35" s="493">
        <f t="shared" si="13"/>
        <v>20</v>
      </c>
      <c r="AE35" s="519" t="s">
        <v>343</v>
      </c>
      <c r="AF35" s="483"/>
      <c r="AG35" s="484">
        <v>2</v>
      </c>
      <c r="AH35" s="486">
        <v>1</v>
      </c>
      <c r="AI35" s="485"/>
      <c r="AJ35" s="487">
        <f t="shared" si="14"/>
        <v>3</v>
      </c>
      <c r="AK35" s="488"/>
      <c r="AL35" s="489"/>
      <c r="AM35" s="490"/>
      <c r="AN35" s="490"/>
      <c r="AO35" s="491"/>
      <c r="AP35" s="492">
        <f t="shared" si="15"/>
        <v>0</v>
      </c>
      <c r="AQ35" s="539">
        <f t="shared" si="18"/>
        <v>3</v>
      </c>
    </row>
    <row r="36" spans="1:43" ht="14.95" customHeight="1" thickBot="1" x14ac:dyDescent="0.3">
      <c r="A36" s="51"/>
      <c r="B36" s="52"/>
      <c r="C36" s="56"/>
      <c r="D36" s="53"/>
      <c r="E36" s="53"/>
      <c r="F36" s="53"/>
      <c r="G36" s="53"/>
      <c r="H36" s="53">
        <f>SUM(H24:H29)</f>
        <v>0</v>
      </c>
      <c r="I36" s="53">
        <f>SUM(I24:I29)</f>
        <v>0</v>
      </c>
      <c r="J36" s="53"/>
      <c r="K36" s="53"/>
      <c r="L36" s="53"/>
      <c r="M36" s="53"/>
      <c r="N36" s="53">
        <f t="shared" ref="N36:O36" si="22">SUM(N24:N29)</f>
        <v>0</v>
      </c>
      <c r="O36" s="53">
        <f t="shared" si="22"/>
        <v>0</v>
      </c>
      <c r="P36" s="53"/>
      <c r="R36" s="519" t="s">
        <v>55</v>
      </c>
      <c r="S36" s="483">
        <v>2</v>
      </c>
      <c r="T36" s="484">
        <v>1</v>
      </c>
      <c r="U36" s="486"/>
      <c r="V36" s="485">
        <v>3</v>
      </c>
      <c r="W36" s="487">
        <f t="shared" si="11"/>
        <v>6</v>
      </c>
      <c r="X36" s="488">
        <v>2</v>
      </c>
      <c r="Y36" s="489">
        <v>5</v>
      </c>
      <c r="Z36" s="490">
        <v>1</v>
      </c>
      <c r="AA36" s="491">
        <v>2</v>
      </c>
      <c r="AB36" s="492">
        <f t="shared" si="12"/>
        <v>10</v>
      </c>
      <c r="AC36" s="493">
        <f t="shared" si="13"/>
        <v>16</v>
      </c>
      <c r="AE36" s="519" t="s">
        <v>344</v>
      </c>
      <c r="AF36" s="483"/>
      <c r="AG36" s="484"/>
      <c r="AH36" s="486"/>
      <c r="AI36" s="485"/>
      <c r="AJ36" s="487">
        <f t="shared" si="14"/>
        <v>0</v>
      </c>
      <c r="AK36" s="488"/>
      <c r="AL36" s="489">
        <v>1</v>
      </c>
      <c r="AM36" s="490"/>
      <c r="AN36" s="490"/>
      <c r="AO36" s="491"/>
      <c r="AP36" s="492">
        <f t="shared" si="15"/>
        <v>1</v>
      </c>
      <c r="AQ36" s="539">
        <f t="shared" si="18"/>
        <v>1</v>
      </c>
    </row>
    <row r="37" spans="1:43" ht="14.95" customHeight="1" thickBot="1" x14ac:dyDescent="0.3">
      <c r="A37" s="302"/>
      <c r="B37" s="499"/>
      <c r="C37" s="499"/>
      <c r="D37" s="499"/>
      <c r="E37" s="499"/>
      <c r="F37" s="499"/>
      <c r="G37" s="69"/>
      <c r="H37" s="303"/>
      <c r="I37" s="303"/>
      <c r="J37" s="303"/>
      <c r="K37" s="303"/>
      <c r="L37" s="303"/>
      <c r="M37" s="303"/>
      <c r="N37" s="303"/>
      <c r="O37" s="303"/>
      <c r="P37" s="303"/>
      <c r="R37" s="519" t="s">
        <v>346</v>
      </c>
      <c r="S37" s="483">
        <v>2</v>
      </c>
      <c r="T37" s="484">
        <v>3</v>
      </c>
      <c r="U37" s="486">
        <v>3</v>
      </c>
      <c r="V37" s="485">
        <v>3</v>
      </c>
      <c r="W37" s="487">
        <f t="shared" si="11"/>
        <v>11</v>
      </c>
      <c r="X37" s="488">
        <v>2</v>
      </c>
      <c r="Y37" s="489">
        <v>1</v>
      </c>
      <c r="Z37" s="490">
        <v>1</v>
      </c>
      <c r="AA37" s="491">
        <v>1</v>
      </c>
      <c r="AB37" s="492">
        <f t="shared" si="12"/>
        <v>5</v>
      </c>
      <c r="AC37" s="493">
        <f t="shared" si="13"/>
        <v>16</v>
      </c>
      <c r="AE37" s="519" t="s">
        <v>345</v>
      </c>
      <c r="AF37" s="483"/>
      <c r="AG37" s="484"/>
      <c r="AH37" s="486"/>
      <c r="AI37" s="485">
        <v>1</v>
      </c>
      <c r="AJ37" s="487">
        <f t="shared" si="14"/>
        <v>1</v>
      </c>
      <c r="AK37" s="488">
        <v>1</v>
      </c>
      <c r="AL37" s="489"/>
      <c r="AM37" s="490">
        <v>1</v>
      </c>
      <c r="AN37" s="490"/>
      <c r="AO37" s="491"/>
      <c r="AP37" s="492">
        <f t="shared" si="15"/>
        <v>2</v>
      </c>
      <c r="AQ37" s="539">
        <f t="shared" si="18"/>
        <v>3</v>
      </c>
    </row>
    <row r="38" spans="1:43" ht="14.95" customHeight="1" thickBot="1" x14ac:dyDescent="0.3">
      <c r="A38" s="303"/>
      <c r="B38" s="558"/>
      <c r="C38" s="13"/>
      <c r="D38" s="55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R38" s="470"/>
      <c r="AC38" s="493">
        <f>SUM(AC22:AC37)</f>
        <v>294</v>
      </c>
      <c r="AE38" s="519" t="s">
        <v>55</v>
      </c>
      <c r="AF38" s="483"/>
      <c r="AG38" s="484"/>
      <c r="AH38" s="486"/>
      <c r="AI38" s="485">
        <v>1</v>
      </c>
      <c r="AJ38" s="487">
        <f t="shared" si="14"/>
        <v>1</v>
      </c>
      <c r="AK38" s="488"/>
      <c r="AL38" s="489">
        <v>1</v>
      </c>
      <c r="AM38" s="490"/>
      <c r="AN38" s="490"/>
      <c r="AO38" s="491"/>
      <c r="AP38" s="492">
        <f t="shared" si="15"/>
        <v>1</v>
      </c>
      <c r="AQ38" s="539">
        <f t="shared" si="18"/>
        <v>2</v>
      </c>
    </row>
    <row r="39" spans="1:43" ht="14.95" customHeight="1" thickBot="1" x14ac:dyDescent="0.3">
      <c r="A39" s="69"/>
      <c r="B39" s="557"/>
      <c r="C39" s="13"/>
      <c r="D39" s="557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R39" s="408" t="s">
        <v>326</v>
      </c>
      <c r="S39" s="517"/>
      <c r="T39" s="517"/>
      <c r="U39" s="517"/>
      <c r="V39" s="517"/>
      <c r="W39" s="517"/>
      <c r="X39" s="517"/>
      <c r="Y39" s="517"/>
      <c r="Z39" s="408"/>
      <c r="AA39" s="517"/>
      <c r="AB39" s="517"/>
      <c r="AC39" s="13"/>
      <c r="AE39" s="519" t="s">
        <v>346</v>
      </c>
      <c r="AF39" s="483"/>
      <c r="AG39" s="484"/>
      <c r="AH39" s="486"/>
      <c r="AI39" s="485">
        <v>2</v>
      </c>
      <c r="AJ39" s="487">
        <f t="shared" si="14"/>
        <v>2</v>
      </c>
      <c r="AK39" s="488">
        <v>1</v>
      </c>
      <c r="AL39" s="489"/>
      <c r="AM39" s="490"/>
      <c r="AN39" s="490"/>
      <c r="AO39" s="491"/>
      <c r="AP39" s="492">
        <f t="shared" si="15"/>
        <v>1</v>
      </c>
      <c r="AQ39" s="539">
        <f t="shared" si="18"/>
        <v>3</v>
      </c>
    </row>
    <row r="40" spans="1:43" ht="14.95" customHeight="1" thickBot="1" x14ac:dyDescent="0.3">
      <c r="A40" s="69"/>
      <c r="B40" s="558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R40" s="480"/>
      <c r="S40" s="502" t="s">
        <v>313</v>
      </c>
      <c r="T40" s="502" t="s">
        <v>314</v>
      </c>
      <c r="U40" s="503" t="s">
        <v>315</v>
      </c>
      <c r="V40" s="503" t="s">
        <v>316</v>
      </c>
      <c r="W40" s="504" t="s">
        <v>327</v>
      </c>
      <c r="X40" s="505"/>
      <c r="Y40" s="506"/>
      <c r="AE40" s="822"/>
      <c r="AF40" s="823"/>
      <c r="AG40" s="823"/>
      <c r="AH40" s="823"/>
      <c r="AI40" s="823"/>
      <c r="AJ40" s="823"/>
      <c r="AK40" s="823"/>
      <c r="AL40" s="823"/>
      <c r="AM40" s="823"/>
      <c r="AN40" s="823"/>
      <c r="AO40">
        <f>SUM(AO24:AO39)</f>
        <v>1</v>
      </c>
      <c r="AQ40" s="539">
        <f>SUM(AQ24:AQ39)</f>
        <v>27</v>
      </c>
    </row>
    <row r="41" spans="1:43" ht="14.95" customHeight="1" thickBot="1" x14ac:dyDescent="0.3">
      <c r="A41" s="303"/>
      <c r="B41" s="174"/>
      <c r="C41" s="174"/>
      <c r="D41" s="511"/>
      <c r="E41" s="174"/>
      <c r="F41" s="174"/>
      <c r="G41" s="174"/>
      <c r="H41" s="511"/>
      <c r="I41" s="511"/>
      <c r="J41" s="511"/>
      <c r="K41" s="511"/>
      <c r="L41" s="511"/>
      <c r="M41" s="511"/>
      <c r="N41" s="511"/>
      <c r="O41" s="511"/>
      <c r="P41" s="511"/>
      <c r="R41" s="519" t="s">
        <v>332</v>
      </c>
      <c r="S41" s="483"/>
      <c r="T41" s="484"/>
      <c r="U41" s="486"/>
      <c r="V41" s="485"/>
      <c r="W41" s="507">
        <f>SUM(S41:V41)</f>
        <v>0</v>
      </c>
      <c r="X41" s="52"/>
      <c r="Y41" s="508"/>
      <c r="AE41" s="408" t="s">
        <v>329</v>
      </c>
      <c r="AF41" s="517"/>
      <c r="AG41" s="517"/>
      <c r="AH41" s="517"/>
      <c r="AI41" s="517"/>
      <c r="AJ41" s="517"/>
      <c r="AK41" s="408" t="s">
        <v>330</v>
      </c>
      <c r="AL41" s="517"/>
      <c r="AM41" s="517"/>
      <c r="AN41" s="517"/>
      <c r="AO41" s="517"/>
      <c r="AP41" s="517"/>
    </row>
    <row r="42" spans="1:43" ht="14.95" customHeight="1" thickBot="1" x14ac:dyDescent="0.3">
      <c r="A42" s="303"/>
      <c r="B42" s="511"/>
      <c r="C42" s="511"/>
      <c r="D42" s="511"/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R42" s="519" t="s">
        <v>333</v>
      </c>
      <c r="S42" s="483"/>
      <c r="T42" s="484"/>
      <c r="U42" s="486"/>
      <c r="V42" s="485"/>
      <c r="W42" s="507">
        <f t="shared" ref="W42:W56" si="23">SUM(S42:V42)</f>
        <v>0</v>
      </c>
      <c r="X42" s="52"/>
      <c r="Y42" s="508"/>
      <c r="AE42" s="520" t="s">
        <v>332</v>
      </c>
      <c r="AF42" s="509">
        <v>0</v>
      </c>
      <c r="AK42" s="518" t="s">
        <v>394</v>
      </c>
      <c r="AL42" s="466" t="s">
        <v>332</v>
      </c>
      <c r="AM42" s="13" t="s">
        <v>349</v>
      </c>
      <c r="AN42" s="13" t="s">
        <v>160</v>
      </c>
      <c r="AO42" s="13"/>
      <c r="AP42" s="13"/>
    </row>
    <row r="43" spans="1:43" ht="14.95" customHeight="1" thickBot="1" x14ac:dyDescent="0.3">
      <c r="A43" s="303"/>
      <c r="B43" s="511"/>
      <c r="C43" s="511"/>
      <c r="D43" s="511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R43" s="519" t="s">
        <v>334</v>
      </c>
      <c r="S43" s="483"/>
      <c r="T43" s="484"/>
      <c r="U43" s="486"/>
      <c r="V43" s="485"/>
      <c r="W43" s="507">
        <f t="shared" si="23"/>
        <v>0</v>
      </c>
      <c r="X43" s="52"/>
      <c r="Y43" s="508"/>
      <c r="AE43" s="519" t="s">
        <v>333</v>
      </c>
      <c r="AF43" s="510">
        <v>0</v>
      </c>
      <c r="AK43" s="518" t="s">
        <v>396</v>
      </c>
      <c r="AL43" s="466" t="s">
        <v>337</v>
      </c>
      <c r="AM43" s="13" t="s">
        <v>363</v>
      </c>
      <c r="AN43" s="13" t="s">
        <v>162</v>
      </c>
      <c r="AO43" s="13"/>
      <c r="AP43" s="13"/>
    </row>
    <row r="44" spans="1:43" ht="14.95" customHeight="1" thickBot="1" x14ac:dyDescent="0.3">
      <c r="A44" s="303"/>
      <c r="B44" s="511"/>
      <c r="C44" s="511"/>
      <c r="D44" s="511"/>
      <c r="E44" s="511"/>
      <c r="F44" s="511"/>
      <c r="G44" s="511"/>
      <c r="H44" s="511"/>
      <c r="I44" s="511"/>
      <c r="J44" s="511"/>
      <c r="K44" s="511"/>
      <c r="L44" s="511"/>
      <c r="M44" s="511"/>
      <c r="N44" s="511"/>
      <c r="O44" s="511"/>
      <c r="P44" s="511"/>
      <c r="R44" s="519" t="s">
        <v>335</v>
      </c>
      <c r="S44" s="483"/>
      <c r="T44" s="484"/>
      <c r="U44" s="486"/>
      <c r="V44" s="485"/>
      <c r="W44" s="507">
        <f t="shared" si="23"/>
        <v>0</v>
      </c>
      <c r="X44" s="52"/>
      <c r="Y44" s="508"/>
      <c r="AE44" s="519" t="s">
        <v>334</v>
      </c>
      <c r="AF44" s="510">
        <v>0</v>
      </c>
      <c r="AK44" s="518" t="s">
        <v>395</v>
      </c>
      <c r="AL44" s="466" t="s">
        <v>335</v>
      </c>
      <c r="AM44" s="13" t="s">
        <v>349</v>
      </c>
      <c r="AN44" s="13" t="s">
        <v>157</v>
      </c>
      <c r="AO44" s="13"/>
      <c r="AP44" s="13"/>
    </row>
    <row r="45" spans="1:43" ht="14.95" customHeight="1" thickBot="1" x14ac:dyDescent="0.3">
      <c r="A45" s="512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R45" s="519" t="s">
        <v>336</v>
      </c>
      <c r="S45" s="483"/>
      <c r="T45" s="484"/>
      <c r="U45" s="486"/>
      <c r="V45" s="485"/>
      <c r="W45" s="507">
        <f>SUM(S45:V45)</f>
        <v>0</v>
      </c>
      <c r="X45" s="52"/>
      <c r="Y45" s="508"/>
      <c r="AE45" s="519" t="s">
        <v>335</v>
      </c>
      <c r="AF45" s="510">
        <v>0</v>
      </c>
      <c r="AK45" s="518">
        <v>23</v>
      </c>
      <c r="AL45" s="466" t="s">
        <v>339</v>
      </c>
      <c r="AM45" s="13" t="s">
        <v>363</v>
      </c>
      <c r="AN45" s="13" t="s">
        <v>137</v>
      </c>
      <c r="AO45" s="13"/>
      <c r="AP45" s="13"/>
    </row>
    <row r="46" spans="1:43" ht="14.95" customHeight="1" thickBot="1" x14ac:dyDescent="0.35">
      <c r="A46" s="579" t="s">
        <v>28</v>
      </c>
      <c r="R46" s="519" t="s">
        <v>337</v>
      </c>
      <c r="S46" s="483"/>
      <c r="T46" s="484"/>
      <c r="U46" s="486"/>
      <c r="V46" s="485"/>
      <c r="W46" s="507">
        <f t="shared" si="23"/>
        <v>0</v>
      </c>
      <c r="X46" s="52"/>
      <c r="Y46" s="508"/>
      <c r="AE46" s="519" t="s">
        <v>336</v>
      </c>
      <c r="AF46" s="510">
        <v>0</v>
      </c>
      <c r="AK46" s="518">
        <v>27</v>
      </c>
      <c r="AL46" s="466" t="s">
        <v>55</v>
      </c>
      <c r="AM46" s="13" t="s">
        <v>349</v>
      </c>
      <c r="AN46" s="13" t="s">
        <v>136</v>
      </c>
      <c r="AO46" s="13"/>
      <c r="AP46" s="13"/>
    </row>
    <row r="47" spans="1:43" ht="14.95" customHeight="1" thickBot="1" x14ac:dyDescent="0.3">
      <c r="R47" s="519" t="s">
        <v>338</v>
      </c>
      <c r="S47" s="483"/>
      <c r="T47" s="484"/>
      <c r="U47" s="486">
        <v>1</v>
      </c>
      <c r="V47" s="485"/>
      <c r="W47" s="507">
        <f t="shared" si="23"/>
        <v>1</v>
      </c>
      <c r="X47" s="52"/>
      <c r="Y47" s="508"/>
      <c r="AE47" s="519" t="s">
        <v>337</v>
      </c>
      <c r="AF47" s="510">
        <v>0</v>
      </c>
      <c r="AK47" s="518">
        <v>29</v>
      </c>
      <c r="AL47" s="466" t="s">
        <v>334</v>
      </c>
      <c r="AM47" s="13" t="s">
        <v>354</v>
      </c>
      <c r="AN47" s="13" t="s">
        <v>160</v>
      </c>
      <c r="AO47" s="13"/>
      <c r="AP47" s="13"/>
    </row>
    <row r="48" spans="1:43" ht="14.95" customHeight="1" thickBot="1" x14ac:dyDescent="0.3">
      <c r="R48" s="519" t="s">
        <v>339</v>
      </c>
      <c r="S48" s="483"/>
      <c r="T48" s="484"/>
      <c r="U48" s="486"/>
      <c r="V48" s="485"/>
      <c r="W48" s="507">
        <f t="shared" si="23"/>
        <v>0</v>
      </c>
      <c r="X48" s="52"/>
      <c r="Y48" s="508"/>
      <c r="AE48" s="519" t="s">
        <v>338</v>
      </c>
      <c r="AF48" s="510">
        <v>0</v>
      </c>
      <c r="AK48" s="518">
        <v>31</v>
      </c>
      <c r="AL48" s="466" t="s">
        <v>334</v>
      </c>
      <c r="AM48" s="13" t="s">
        <v>353</v>
      </c>
      <c r="AN48" s="13" t="s">
        <v>157</v>
      </c>
      <c r="AO48" s="13"/>
      <c r="AP48" s="13"/>
    </row>
    <row r="49" spans="1:43" ht="14.95" customHeight="1" thickBot="1" x14ac:dyDescent="0.3">
      <c r="R49" s="519" t="s">
        <v>340</v>
      </c>
      <c r="S49" s="483"/>
      <c r="T49" s="484"/>
      <c r="U49" s="486"/>
      <c r="V49" s="485"/>
      <c r="W49" s="507">
        <f>SUM(S49:V49)</f>
        <v>0</v>
      </c>
      <c r="X49" s="52"/>
      <c r="Y49" s="508"/>
      <c r="AE49" s="519" t="s">
        <v>339</v>
      </c>
      <c r="AF49" s="510">
        <v>0</v>
      </c>
      <c r="AK49" s="518">
        <v>31</v>
      </c>
      <c r="AL49" s="466" t="s">
        <v>341</v>
      </c>
      <c r="AM49" s="13" t="s">
        <v>357</v>
      </c>
      <c r="AN49" s="13" t="s">
        <v>162</v>
      </c>
      <c r="AO49" s="13"/>
      <c r="AP49" s="13"/>
    </row>
    <row r="50" spans="1:43" ht="14.95" customHeight="1" thickBot="1" x14ac:dyDescent="0.3">
      <c r="R50" s="519" t="s">
        <v>341</v>
      </c>
      <c r="S50" s="483"/>
      <c r="T50" s="484"/>
      <c r="U50" s="486"/>
      <c r="V50" s="485"/>
      <c r="W50" s="507">
        <f t="shared" si="23"/>
        <v>0</v>
      </c>
      <c r="X50" s="52"/>
      <c r="Y50" s="508"/>
      <c r="AE50" s="519" t="s">
        <v>340</v>
      </c>
      <c r="AF50" s="510">
        <v>0</v>
      </c>
      <c r="AK50" s="518">
        <v>35</v>
      </c>
      <c r="AL50" s="466" t="s">
        <v>335</v>
      </c>
      <c r="AM50" s="13" t="s">
        <v>55</v>
      </c>
      <c r="AN50" s="13" t="s">
        <v>156</v>
      </c>
    </row>
    <row r="51" spans="1:43" ht="14.95" customHeight="1" thickBot="1" x14ac:dyDescent="0.3">
      <c r="R51" s="519" t="s">
        <v>342</v>
      </c>
      <c r="S51" s="483"/>
      <c r="T51" s="484"/>
      <c r="U51" s="486"/>
      <c r="V51" s="485"/>
      <c r="W51" s="507">
        <f t="shared" si="23"/>
        <v>0</v>
      </c>
      <c r="X51" s="52"/>
      <c r="Y51" s="508"/>
      <c r="AE51" s="519" t="s">
        <v>341</v>
      </c>
      <c r="AF51" s="510">
        <v>0</v>
      </c>
      <c r="AK51" s="466">
        <v>37</v>
      </c>
      <c r="AL51" s="466" t="s">
        <v>338</v>
      </c>
      <c r="AM51" s="13" t="s">
        <v>357</v>
      </c>
      <c r="AN51" s="13" t="s">
        <v>164</v>
      </c>
    </row>
    <row r="52" spans="1:43" ht="14.95" customHeight="1" thickBot="1" x14ac:dyDescent="0.3">
      <c r="A52" s="512" t="s">
        <v>53</v>
      </c>
      <c r="R52" s="519" t="s">
        <v>343</v>
      </c>
      <c r="S52" s="483"/>
      <c r="T52" s="484"/>
      <c r="U52" s="486"/>
      <c r="V52" s="485"/>
      <c r="W52" s="507">
        <f t="shared" si="23"/>
        <v>0</v>
      </c>
      <c r="X52" s="52"/>
      <c r="Y52" s="508"/>
      <c r="AE52" s="519" t="s">
        <v>342</v>
      </c>
      <c r="AF52" s="510">
        <v>0</v>
      </c>
      <c r="AK52" s="466">
        <v>37</v>
      </c>
      <c r="AL52" s="466" t="s">
        <v>336</v>
      </c>
      <c r="AM52" s="13" t="s">
        <v>353</v>
      </c>
      <c r="AN52" s="13" t="s">
        <v>136</v>
      </c>
    </row>
    <row r="53" spans="1:43" ht="14.95" customHeight="1" thickBot="1" x14ac:dyDescent="0.3">
      <c r="R53" s="519" t="s">
        <v>344</v>
      </c>
      <c r="S53" s="483"/>
      <c r="T53" s="484"/>
      <c r="U53" s="486"/>
      <c r="V53" s="485"/>
      <c r="W53" s="507">
        <f t="shared" si="23"/>
        <v>0</v>
      </c>
      <c r="X53" s="52"/>
      <c r="Y53" s="508"/>
      <c r="AE53" s="519" t="s">
        <v>343</v>
      </c>
      <c r="AF53" s="510">
        <v>0</v>
      </c>
      <c r="AK53" s="466">
        <v>37</v>
      </c>
      <c r="AL53" s="466" t="s">
        <v>337</v>
      </c>
      <c r="AM53" s="13" t="s">
        <v>342</v>
      </c>
      <c r="AN53" s="13" t="s">
        <v>137</v>
      </c>
    </row>
    <row r="54" spans="1:43" ht="14.95" customHeight="1" thickBot="1" x14ac:dyDescent="0.3">
      <c r="R54" s="519" t="s">
        <v>345</v>
      </c>
      <c r="S54" s="483"/>
      <c r="T54" s="484">
        <v>1</v>
      </c>
      <c r="U54" s="486"/>
      <c r="V54" s="485"/>
      <c r="W54" s="507">
        <f t="shared" si="23"/>
        <v>1</v>
      </c>
      <c r="X54" s="52"/>
      <c r="Y54" s="508"/>
      <c r="AE54" s="519" t="s">
        <v>344</v>
      </c>
      <c r="AF54" s="510">
        <v>0</v>
      </c>
      <c r="AK54" s="466">
        <v>38</v>
      </c>
      <c r="AL54" s="466" t="s">
        <v>338</v>
      </c>
      <c r="AM54" s="13" t="s">
        <v>365</v>
      </c>
      <c r="AN54" s="13" t="s">
        <v>162</v>
      </c>
    </row>
    <row r="55" spans="1:43" ht="14.95" customHeight="1" thickBot="1" x14ac:dyDescent="0.3">
      <c r="R55" s="519" t="s">
        <v>55</v>
      </c>
      <c r="S55" s="483"/>
      <c r="T55" s="484"/>
      <c r="U55" s="486"/>
      <c r="V55" s="485"/>
      <c r="W55" s="507">
        <f t="shared" si="23"/>
        <v>0</v>
      </c>
      <c r="X55" s="52"/>
      <c r="Y55" s="508"/>
      <c r="AE55" s="519" t="s">
        <v>345</v>
      </c>
      <c r="AF55" s="510">
        <v>0</v>
      </c>
      <c r="AK55" s="518" t="s">
        <v>362</v>
      </c>
      <c r="AL55" s="466" t="s">
        <v>342</v>
      </c>
      <c r="AM55" s="13" t="s">
        <v>363</v>
      </c>
      <c r="AN55" s="13" t="s">
        <v>164</v>
      </c>
    </row>
    <row r="56" spans="1:43" ht="14.95" thickBot="1" x14ac:dyDescent="0.3">
      <c r="R56" s="519" t="s">
        <v>346</v>
      </c>
      <c r="S56" s="483"/>
      <c r="T56" s="484"/>
      <c r="U56" s="486"/>
      <c r="V56" s="485"/>
      <c r="W56" s="507">
        <f t="shared" si="23"/>
        <v>0</v>
      </c>
      <c r="X56" s="52"/>
      <c r="Y56" s="508"/>
      <c r="AE56" s="519" t="s">
        <v>55</v>
      </c>
      <c r="AF56" s="510">
        <v>0</v>
      </c>
      <c r="AJ56" s="556"/>
      <c r="AK56" s="513"/>
      <c r="AL56" s="514"/>
      <c r="AM56" s="515"/>
      <c r="AN56" s="515"/>
      <c r="AO56" s="516"/>
      <c r="AP56" s="516"/>
      <c r="AQ56" s="556"/>
    </row>
    <row r="57" spans="1:43" ht="14.95" thickBot="1" x14ac:dyDescent="0.3">
      <c r="R57" s="855" t="s">
        <v>376</v>
      </c>
      <c r="S57" s="856"/>
      <c r="T57" s="856"/>
      <c r="U57" s="856"/>
      <c r="V57" s="856"/>
      <c r="W57" s="856"/>
      <c r="X57" s="856"/>
      <c r="Y57" s="856"/>
      <c r="Z57" s="856"/>
      <c r="AA57" s="856"/>
      <c r="AB57" s="856"/>
      <c r="AC57" s="856"/>
      <c r="AE57" s="519" t="s">
        <v>346</v>
      </c>
      <c r="AF57" s="510">
        <v>0</v>
      </c>
      <c r="AK57" s="466">
        <v>43</v>
      </c>
      <c r="AL57" s="466" t="s">
        <v>344</v>
      </c>
      <c r="AM57" s="13" t="s">
        <v>353</v>
      </c>
      <c r="AN57" s="13" t="s">
        <v>160</v>
      </c>
    </row>
    <row r="58" spans="1:43" x14ac:dyDescent="0.25">
      <c r="R58" s="855" t="s">
        <v>377</v>
      </c>
      <c r="S58" s="856"/>
      <c r="T58" s="856"/>
      <c r="U58" s="856"/>
      <c r="V58" s="856"/>
      <c r="W58" s="856"/>
      <c r="X58" s="856"/>
      <c r="Y58" s="856"/>
      <c r="Z58" s="856"/>
      <c r="AA58" s="856"/>
      <c r="AB58" s="856"/>
      <c r="AC58" s="856"/>
      <c r="AE58" s="470"/>
      <c r="AK58" s="466">
        <v>44</v>
      </c>
      <c r="AL58" s="466" t="s">
        <v>335</v>
      </c>
      <c r="AM58" s="13" t="s">
        <v>378</v>
      </c>
      <c r="AN58" s="13" t="s">
        <v>136</v>
      </c>
    </row>
    <row r="59" spans="1:43" x14ac:dyDescent="0.25">
      <c r="AE59" s="408" t="s">
        <v>369</v>
      </c>
      <c r="AF59" s="517"/>
      <c r="AG59" s="517"/>
      <c r="AH59" s="517"/>
      <c r="AI59" s="517"/>
      <c r="AK59" s="466">
        <v>45</v>
      </c>
      <c r="AL59" s="466" t="s">
        <v>346</v>
      </c>
      <c r="AM59" s="13" t="s">
        <v>354</v>
      </c>
      <c r="AN59" s="13" t="s">
        <v>136</v>
      </c>
    </row>
    <row r="60" spans="1:43" x14ac:dyDescent="0.25">
      <c r="AE60" s="466" t="s">
        <v>351</v>
      </c>
      <c r="AF60" s="13" t="s">
        <v>352</v>
      </c>
      <c r="AG60" s="13"/>
      <c r="AH60" s="13"/>
      <c r="AI60" s="13"/>
      <c r="AK60" s="69">
        <v>46</v>
      </c>
      <c r="AL60" s="69" t="s">
        <v>341</v>
      </c>
      <c r="AM60" s="13" t="s">
        <v>365</v>
      </c>
      <c r="AN60" s="13" t="s">
        <v>164</v>
      </c>
    </row>
    <row r="61" spans="1:43" x14ac:dyDescent="0.25">
      <c r="AE61" s="466" t="s">
        <v>382</v>
      </c>
      <c r="AF61" s="13" t="s">
        <v>383</v>
      </c>
      <c r="AG61" s="13"/>
      <c r="AH61" s="13"/>
      <c r="AI61" s="13"/>
      <c r="AK61" s="69">
        <v>56</v>
      </c>
      <c r="AL61" s="69" t="s">
        <v>344</v>
      </c>
      <c r="AM61" s="13" t="s">
        <v>354</v>
      </c>
      <c r="AN61" s="13" t="s">
        <v>157</v>
      </c>
    </row>
    <row r="62" spans="1:43" x14ac:dyDescent="0.25">
      <c r="AE62" s="466" t="s">
        <v>402</v>
      </c>
      <c r="AF62" s="13" t="s">
        <v>403</v>
      </c>
      <c r="AG62" s="13"/>
      <c r="AH62" s="13"/>
      <c r="AI62" s="13"/>
      <c r="AK62" s="69">
        <v>57</v>
      </c>
      <c r="AL62" s="69" t="s">
        <v>334</v>
      </c>
      <c r="AM62" s="13" t="s">
        <v>399</v>
      </c>
      <c r="AN62" s="13" t="s">
        <v>136</v>
      </c>
    </row>
    <row r="63" spans="1:43" x14ac:dyDescent="0.25">
      <c r="AE63" s="466" t="s">
        <v>331</v>
      </c>
      <c r="AF63" s="13" t="s">
        <v>350</v>
      </c>
      <c r="AG63" s="13"/>
      <c r="AH63" s="13"/>
      <c r="AI63" s="13"/>
      <c r="AJ63" s="13"/>
      <c r="AK63" s="69">
        <v>58</v>
      </c>
      <c r="AL63" s="69" t="s">
        <v>332</v>
      </c>
      <c r="AM63" s="13" t="s">
        <v>55</v>
      </c>
      <c r="AN63" s="13" t="s">
        <v>157</v>
      </c>
    </row>
    <row r="64" spans="1:43" x14ac:dyDescent="0.25">
      <c r="AE64" s="466" t="s">
        <v>367</v>
      </c>
      <c r="AF64" s="13" t="s">
        <v>368</v>
      </c>
      <c r="AG64" s="13"/>
      <c r="AH64" s="13"/>
      <c r="AI64" s="13"/>
      <c r="AJ64" s="13"/>
      <c r="AK64" s="69">
        <v>58</v>
      </c>
      <c r="AL64" s="69" t="s">
        <v>342</v>
      </c>
      <c r="AM64" s="13" t="s">
        <v>384</v>
      </c>
      <c r="AN64" s="13" t="s">
        <v>162</v>
      </c>
    </row>
    <row r="65" spans="31:40" x14ac:dyDescent="0.25">
      <c r="AE65" s="466" t="s">
        <v>408</v>
      </c>
      <c r="AF65" s="13" t="s">
        <v>409</v>
      </c>
      <c r="AG65" s="13"/>
      <c r="AH65" s="13"/>
      <c r="AI65" s="13"/>
      <c r="AJ65" s="13"/>
      <c r="AK65" s="69">
        <v>58</v>
      </c>
      <c r="AL65" s="69" t="s">
        <v>341</v>
      </c>
      <c r="AM65" s="13" t="s">
        <v>380</v>
      </c>
      <c r="AN65" s="13" t="s">
        <v>137</v>
      </c>
    </row>
    <row r="66" spans="31:40" x14ac:dyDescent="0.25">
      <c r="AE66" s="466" t="s">
        <v>360</v>
      </c>
      <c r="AF66" s="13" t="s">
        <v>361</v>
      </c>
      <c r="AG66" s="13"/>
      <c r="AH66" s="13"/>
      <c r="AI66" s="13"/>
      <c r="AJ66" s="13"/>
      <c r="AK66" s="69">
        <v>60</v>
      </c>
      <c r="AL66" s="69" t="s">
        <v>345</v>
      </c>
      <c r="AM66" s="13" t="s">
        <v>380</v>
      </c>
      <c r="AN66" s="13" t="s">
        <v>162</v>
      </c>
    </row>
    <row r="67" spans="31:40" x14ac:dyDescent="0.25">
      <c r="AE67" s="69" t="s">
        <v>372</v>
      </c>
      <c r="AF67" t="s">
        <v>373</v>
      </c>
      <c r="AJ67" s="13"/>
      <c r="AK67" s="69">
        <v>61</v>
      </c>
      <c r="AL67" s="69" t="s">
        <v>340</v>
      </c>
      <c r="AM67" s="13" t="s">
        <v>365</v>
      </c>
      <c r="AN67" s="13" t="s">
        <v>137</v>
      </c>
    </row>
    <row r="68" spans="31:40" x14ac:dyDescent="0.25">
      <c r="AE68" s="69" t="s">
        <v>388</v>
      </c>
      <c r="AF68" t="s">
        <v>389</v>
      </c>
      <c r="AJ68" s="13"/>
      <c r="AK68" s="69">
        <v>67</v>
      </c>
      <c r="AL68" s="69" t="s">
        <v>55</v>
      </c>
      <c r="AM68" s="13" t="s">
        <v>378</v>
      </c>
      <c r="AN68" s="13" t="s">
        <v>157</v>
      </c>
    </row>
    <row r="69" spans="31:40" x14ac:dyDescent="0.25">
      <c r="AE69" s="69" t="s">
        <v>358</v>
      </c>
      <c r="AF69" t="s">
        <v>359</v>
      </c>
      <c r="AK69" s="69">
        <v>68</v>
      </c>
      <c r="AL69" s="69" t="s">
        <v>339</v>
      </c>
      <c r="AM69" s="13" t="s">
        <v>342</v>
      </c>
      <c r="AN69" s="13" t="s">
        <v>162</v>
      </c>
    </row>
    <row r="70" spans="31:40" x14ac:dyDescent="0.25">
      <c r="AE70" s="69" t="s">
        <v>410</v>
      </c>
      <c r="AF70" t="s">
        <v>411</v>
      </c>
      <c r="AJ70" s="13"/>
      <c r="AK70" s="470"/>
      <c r="AL70" s="69"/>
    </row>
    <row r="71" spans="31:40" x14ac:dyDescent="0.25">
      <c r="AE71" s="69" t="s">
        <v>397</v>
      </c>
      <c r="AF71" t="s">
        <v>398</v>
      </c>
      <c r="AJ71" s="13"/>
      <c r="AK71" s="69"/>
      <c r="AL71" s="69"/>
      <c r="AM71" s="13"/>
    </row>
    <row r="72" spans="31:40" x14ac:dyDescent="0.25">
      <c r="AE72" s="69" t="s">
        <v>412</v>
      </c>
      <c r="AF72" t="s">
        <v>413</v>
      </c>
      <c r="AJ72" s="13"/>
      <c r="AK72" s="69"/>
      <c r="AL72" s="69"/>
      <c r="AM72" s="13"/>
    </row>
    <row r="73" spans="31:40" x14ac:dyDescent="0.25">
      <c r="AE73" s="69"/>
      <c r="AK73" s="69"/>
      <c r="AL73" s="69"/>
      <c r="AM73" s="13"/>
    </row>
    <row r="74" spans="31:40" x14ac:dyDescent="0.25">
      <c r="AE74" s="69"/>
      <c r="AK74" s="69"/>
      <c r="AL74" s="69"/>
    </row>
    <row r="75" spans="31:40" x14ac:dyDescent="0.25">
      <c r="AE75" s="69"/>
      <c r="AK75" s="69"/>
      <c r="AL75" s="69"/>
      <c r="AM75" s="13"/>
    </row>
    <row r="76" spans="31:40" x14ac:dyDescent="0.25">
      <c r="AE76" s="69"/>
      <c r="AK76" s="69"/>
      <c r="AL76" s="69"/>
      <c r="AM76" s="13"/>
    </row>
    <row r="77" spans="31:40" x14ac:dyDescent="0.25">
      <c r="AE77" s="470"/>
      <c r="AK77" s="69"/>
      <c r="AL77" s="69"/>
      <c r="AM77" s="13"/>
    </row>
    <row r="78" spans="31:40" x14ac:dyDescent="0.25">
      <c r="AE78" s="69"/>
      <c r="AK78" s="69"/>
      <c r="AL78" s="69"/>
      <c r="AM78" s="13"/>
    </row>
    <row r="79" spans="31:40" x14ac:dyDescent="0.25">
      <c r="AE79" s="69"/>
      <c r="AK79" s="69"/>
      <c r="AL79" s="69"/>
      <c r="AM79" s="13"/>
    </row>
    <row r="80" spans="31:40" x14ac:dyDescent="0.25">
      <c r="AE80" s="69"/>
      <c r="AK80" s="69"/>
      <c r="AL80" s="69"/>
      <c r="AM80" s="13"/>
    </row>
    <row r="81" spans="31:39" x14ac:dyDescent="0.25">
      <c r="AE81" s="69"/>
      <c r="AK81" s="470"/>
      <c r="AL81" s="69"/>
      <c r="AM81" s="13"/>
    </row>
    <row r="82" spans="31:39" x14ac:dyDescent="0.25">
      <c r="AE82" s="69"/>
      <c r="AK82" s="69"/>
      <c r="AL82" s="69"/>
      <c r="AM82" s="13"/>
    </row>
    <row r="83" spans="31:39" x14ac:dyDescent="0.25">
      <c r="AE83" s="69"/>
      <c r="AK83" s="69"/>
      <c r="AL83" s="69"/>
      <c r="AM83" s="13"/>
    </row>
    <row r="84" spans="31:39" x14ac:dyDescent="0.25">
      <c r="AE84" s="69"/>
      <c r="AK84" s="69"/>
      <c r="AL84" s="69"/>
      <c r="AM84" s="13"/>
    </row>
    <row r="85" spans="31:39" x14ac:dyDescent="0.25">
      <c r="AE85" s="69"/>
      <c r="AK85" s="69"/>
      <c r="AL85" s="69"/>
      <c r="AM85" s="13"/>
    </row>
    <row r="86" spans="31:39" x14ac:dyDescent="0.25">
      <c r="AE86" s="69"/>
      <c r="AK86" s="69"/>
      <c r="AL86" s="69"/>
      <c r="AM86" s="13"/>
    </row>
    <row r="87" spans="31:39" x14ac:dyDescent="0.25">
      <c r="AE87" s="69"/>
      <c r="AK87" s="69"/>
      <c r="AL87" s="69"/>
      <c r="AM87" s="13"/>
    </row>
    <row r="88" spans="31:39" x14ac:dyDescent="0.25">
      <c r="AE88" s="69"/>
      <c r="AK88" s="69"/>
      <c r="AL88" s="69"/>
      <c r="AM88" s="13"/>
    </row>
    <row r="89" spans="31:39" x14ac:dyDescent="0.25">
      <c r="AE89" s="69"/>
      <c r="AK89" s="69"/>
      <c r="AL89" s="69"/>
    </row>
    <row r="90" spans="31:39" x14ac:dyDescent="0.25">
      <c r="AE90" s="69"/>
      <c r="AK90" s="69"/>
      <c r="AL90" s="69"/>
      <c r="AM90" s="13"/>
    </row>
    <row r="91" spans="31:39" x14ac:dyDescent="0.25">
      <c r="AE91" s="69"/>
      <c r="AK91" s="69"/>
      <c r="AL91" s="69"/>
      <c r="AM91" s="13"/>
    </row>
    <row r="92" spans="31:39" x14ac:dyDescent="0.25">
      <c r="AE92" s="69"/>
      <c r="AK92" s="69"/>
      <c r="AL92" s="69"/>
      <c r="AM92" s="13"/>
    </row>
    <row r="93" spans="31:39" x14ac:dyDescent="0.25">
      <c r="AE93" s="69"/>
      <c r="AK93" s="69"/>
      <c r="AL93" s="69"/>
      <c r="AM93" s="13"/>
    </row>
    <row r="94" spans="31:39" x14ac:dyDescent="0.25">
      <c r="AE94" s="69"/>
      <c r="AK94" s="69"/>
      <c r="AL94" s="69"/>
      <c r="AM94" s="13"/>
    </row>
    <row r="95" spans="31:39" x14ac:dyDescent="0.25">
      <c r="AE95" s="69"/>
      <c r="AK95" s="69"/>
      <c r="AL95" s="69"/>
      <c r="AM95" s="13"/>
    </row>
    <row r="96" spans="31:39" x14ac:dyDescent="0.25">
      <c r="AE96" s="69"/>
      <c r="AK96" s="69"/>
      <c r="AL96" s="69"/>
      <c r="AM96" s="13"/>
    </row>
    <row r="97" spans="31:39" x14ac:dyDescent="0.25">
      <c r="AE97" s="69"/>
      <c r="AK97" s="69"/>
      <c r="AL97" s="69"/>
      <c r="AM97" s="13"/>
    </row>
    <row r="98" spans="31:39" x14ac:dyDescent="0.25">
      <c r="AE98" s="69"/>
      <c r="AK98" s="69"/>
      <c r="AL98" s="69"/>
    </row>
    <row r="99" spans="31:39" x14ac:dyDescent="0.25">
      <c r="AE99" s="69"/>
      <c r="AK99" s="69"/>
      <c r="AL99" s="69"/>
    </row>
    <row r="100" spans="31:39" x14ac:dyDescent="0.25">
      <c r="AE100" s="69"/>
      <c r="AK100" s="69"/>
      <c r="AL100" s="69"/>
      <c r="AM100" s="13"/>
    </row>
    <row r="101" spans="31:39" x14ac:dyDescent="0.25">
      <c r="AE101" s="470"/>
      <c r="AK101" s="69"/>
      <c r="AL101" s="69"/>
      <c r="AM101" s="13"/>
    </row>
    <row r="102" spans="31:39" x14ac:dyDescent="0.25">
      <c r="AK102" s="69"/>
      <c r="AL102" s="69"/>
      <c r="AM102" s="13"/>
    </row>
    <row r="103" spans="31:39" x14ac:dyDescent="0.25">
      <c r="AG103" s="470" t="s">
        <v>53</v>
      </c>
      <c r="AK103" s="69"/>
      <c r="AL103" s="69"/>
      <c r="AM103" s="13"/>
    </row>
    <row r="104" spans="31:39" x14ac:dyDescent="0.25">
      <c r="AK104" s="69"/>
      <c r="AL104" s="69"/>
      <c r="AM104" s="13"/>
    </row>
    <row r="105" spans="31:39" x14ac:dyDescent="0.25">
      <c r="AK105" s="69"/>
      <c r="AL105" s="69"/>
      <c r="AM105" s="13"/>
    </row>
    <row r="106" spans="31:39" x14ac:dyDescent="0.25">
      <c r="AK106" s="69"/>
      <c r="AL106" s="69"/>
    </row>
    <row r="107" spans="31:39" x14ac:dyDescent="0.25">
      <c r="AK107" s="69"/>
      <c r="AL107" s="69"/>
    </row>
    <row r="108" spans="31:39" x14ac:dyDescent="0.25">
      <c r="AK108" s="69"/>
      <c r="AL108" s="69"/>
    </row>
    <row r="109" spans="31:39" x14ac:dyDescent="0.25">
      <c r="AK109" s="69"/>
      <c r="AL109" s="69"/>
    </row>
    <row r="110" spans="31:39" x14ac:dyDescent="0.25">
      <c r="AK110" s="69"/>
      <c r="AL110" s="69"/>
    </row>
    <row r="111" spans="31:39" x14ac:dyDescent="0.25">
      <c r="AK111" s="69"/>
      <c r="AL111" s="69"/>
    </row>
    <row r="112" spans="31:39" x14ac:dyDescent="0.25">
      <c r="AK112" s="69"/>
      <c r="AL112" s="69"/>
      <c r="AM112" s="13"/>
    </row>
    <row r="113" spans="37:39" x14ac:dyDescent="0.25">
      <c r="AK113" s="69"/>
      <c r="AL113" s="69"/>
      <c r="AM113" s="13"/>
    </row>
    <row r="114" spans="37:39" x14ac:dyDescent="0.25">
      <c r="AK114" s="69"/>
      <c r="AL114" s="69"/>
    </row>
    <row r="115" spans="37:39" x14ac:dyDescent="0.25">
      <c r="AK115" s="69"/>
      <c r="AL115" s="69"/>
    </row>
    <row r="116" spans="37:39" x14ac:dyDescent="0.25">
      <c r="AK116" s="69"/>
      <c r="AL116" s="69"/>
    </row>
    <row r="117" spans="37:39" x14ac:dyDescent="0.25">
      <c r="AK117" s="69"/>
      <c r="AL117" s="69"/>
    </row>
    <row r="118" spans="37:39" x14ac:dyDescent="0.25">
      <c r="AK118" s="69"/>
      <c r="AL118" s="69"/>
      <c r="AM118" s="13"/>
    </row>
    <row r="119" spans="37:39" x14ac:dyDescent="0.25">
      <c r="AK119" s="69"/>
      <c r="AL119" s="69"/>
    </row>
    <row r="120" spans="37:39" x14ac:dyDescent="0.25">
      <c r="AK120" s="69"/>
      <c r="AL120" s="69"/>
    </row>
    <row r="121" spans="37:39" x14ac:dyDescent="0.25">
      <c r="AK121" s="69"/>
      <c r="AL121" s="69"/>
    </row>
    <row r="122" spans="37:39" x14ac:dyDescent="0.25">
      <c r="AK122" s="69"/>
      <c r="AL122" s="69"/>
    </row>
    <row r="123" spans="37:39" x14ac:dyDescent="0.25">
      <c r="AK123" s="69"/>
      <c r="AL123" s="69"/>
    </row>
    <row r="124" spans="37:39" x14ac:dyDescent="0.25">
      <c r="AK124" s="69"/>
      <c r="AL124" s="69"/>
    </row>
    <row r="125" spans="37:39" x14ac:dyDescent="0.25">
      <c r="AK125" s="69"/>
      <c r="AL125" s="69"/>
    </row>
    <row r="126" spans="37:39" x14ac:dyDescent="0.25">
      <c r="AK126" s="69"/>
      <c r="AL126" s="69"/>
    </row>
    <row r="127" spans="37:39" x14ac:dyDescent="0.25">
      <c r="AK127" s="69"/>
      <c r="AL127" s="69"/>
    </row>
    <row r="128" spans="37:39" x14ac:dyDescent="0.25">
      <c r="AK128" s="69"/>
      <c r="AL128" s="69"/>
    </row>
    <row r="129" spans="37:39" x14ac:dyDescent="0.25">
      <c r="AK129" s="69"/>
      <c r="AL129" s="69"/>
    </row>
    <row r="130" spans="37:39" x14ac:dyDescent="0.25">
      <c r="AK130" s="69"/>
      <c r="AL130" s="69"/>
    </row>
    <row r="131" spans="37:39" x14ac:dyDescent="0.25">
      <c r="AK131" s="69"/>
      <c r="AL131" s="69"/>
    </row>
    <row r="132" spans="37:39" x14ac:dyDescent="0.25">
      <c r="AK132" s="69"/>
      <c r="AL132" s="69"/>
    </row>
    <row r="133" spans="37:39" x14ac:dyDescent="0.25">
      <c r="AK133" s="69"/>
      <c r="AL133" s="69"/>
    </row>
    <row r="134" spans="37:39" x14ac:dyDescent="0.25">
      <c r="AK134" s="69"/>
      <c r="AL134" s="69"/>
      <c r="AM134" s="13"/>
    </row>
    <row r="135" spans="37:39" x14ac:dyDescent="0.25">
      <c r="AK135" s="69"/>
      <c r="AL135" s="69"/>
    </row>
    <row r="136" spans="37:39" x14ac:dyDescent="0.25">
      <c r="AK136" s="69"/>
      <c r="AL136" s="69"/>
    </row>
    <row r="137" spans="37:39" x14ac:dyDescent="0.25">
      <c r="AK137" s="69"/>
      <c r="AL137" s="69"/>
    </row>
    <row r="138" spans="37:39" x14ac:dyDescent="0.25">
      <c r="AK138" s="69"/>
      <c r="AL138" s="69"/>
      <c r="AM138" s="13"/>
    </row>
    <row r="139" spans="37:39" x14ac:dyDescent="0.25">
      <c r="AK139" s="69"/>
      <c r="AL139" s="69"/>
      <c r="AM139" s="13"/>
    </row>
    <row r="140" spans="37:39" x14ac:dyDescent="0.25">
      <c r="AK140" s="69"/>
      <c r="AL140" s="69"/>
      <c r="AM140" s="13"/>
    </row>
    <row r="141" spans="37:39" x14ac:dyDescent="0.25">
      <c r="AK141" s="69"/>
      <c r="AL141" s="69"/>
      <c r="AM141" s="13"/>
    </row>
    <row r="142" spans="37:39" x14ac:dyDescent="0.25">
      <c r="AK142" s="69"/>
      <c r="AL142" s="69"/>
      <c r="AM142" s="13"/>
    </row>
    <row r="143" spans="37:39" x14ac:dyDescent="0.25">
      <c r="AK143" s="69"/>
      <c r="AL143" s="69"/>
      <c r="AM143" s="13"/>
    </row>
    <row r="144" spans="37:39" x14ac:dyDescent="0.25">
      <c r="AK144" s="466"/>
      <c r="AL144" s="466"/>
      <c r="AM144" s="13"/>
    </row>
    <row r="145" spans="37:37" x14ac:dyDescent="0.25">
      <c r="AK145" s="470" t="s">
        <v>328</v>
      </c>
    </row>
  </sheetData>
  <sortState xmlns:xlrd2="http://schemas.microsoft.com/office/spreadsheetml/2017/richdata2" ref="E3:F20">
    <sortCondition ref="F3:F20"/>
  </sortState>
  <mergeCells count="6">
    <mergeCell ref="R58:AC58"/>
    <mergeCell ref="AN2:AO2"/>
    <mergeCell ref="A22:F22"/>
    <mergeCell ref="AN22:AO22"/>
    <mergeCell ref="AE40:AN40"/>
    <mergeCell ref="R57:AC57"/>
  </mergeCells>
  <pageMargins left="0.7" right="0.7" top="0.75" bottom="0.75" header="0.3" footer="0.3"/>
  <ignoredErrors>
    <ignoredError sqref="AG2 AG22 T2 T21" twoDigitTextYear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CD14-334A-4DB3-B925-68B3AC732DA1}">
  <dimension ref="A1:R54"/>
  <sheetViews>
    <sheetView workbookViewId="0">
      <selection activeCell="H20" sqref="H20"/>
    </sheetView>
  </sheetViews>
  <sheetFormatPr defaultRowHeight="14.3" x14ac:dyDescent="0.25"/>
  <cols>
    <col min="1" max="1" width="11.75" bestFit="1" customWidth="1"/>
    <col min="2" max="2" width="4.625" customWidth="1"/>
    <col min="3" max="3" width="28.625" customWidth="1"/>
    <col min="4" max="4" width="4.625" customWidth="1"/>
    <col min="7" max="7" width="1.625" customWidth="1"/>
    <col min="8" max="8" width="11.75" bestFit="1" customWidth="1"/>
  </cols>
  <sheetData>
    <row r="1" spans="1:18" ht="14.95" customHeight="1" thickBot="1" x14ac:dyDescent="0.3">
      <c r="A1" s="644" t="s">
        <v>486</v>
      </c>
      <c r="B1" s="645"/>
      <c r="C1" s="645"/>
    </row>
    <row r="2" spans="1:18" ht="14.95" customHeight="1" thickBot="1" x14ac:dyDescent="0.3">
      <c r="A2" s="48"/>
      <c r="B2" s="841" t="s">
        <v>49</v>
      </c>
      <c r="C2" s="828"/>
      <c r="D2" s="838" t="s">
        <v>50</v>
      </c>
      <c r="E2" s="839"/>
      <c r="F2" s="57" t="s">
        <v>51</v>
      </c>
      <c r="H2" s="861" t="s">
        <v>53</v>
      </c>
      <c r="I2" s="857" t="s">
        <v>61</v>
      </c>
      <c r="J2" s="858"/>
      <c r="K2" s="857" t="s">
        <v>62</v>
      </c>
      <c r="L2" s="863"/>
      <c r="M2" s="863"/>
      <c r="N2" s="863"/>
      <c r="O2" s="858"/>
      <c r="P2" s="857" t="s">
        <v>64</v>
      </c>
      <c r="Q2" s="858"/>
    </row>
    <row r="3" spans="1:18" ht="14.95" customHeight="1" thickBot="1" x14ac:dyDescent="0.3">
      <c r="A3" s="297" t="s">
        <v>32</v>
      </c>
      <c r="B3" s="200">
        <v>0</v>
      </c>
      <c r="C3" s="63"/>
      <c r="D3" s="58">
        <v>0</v>
      </c>
      <c r="E3" s="59"/>
      <c r="F3" s="60">
        <f t="shared" ref="F3:F20" si="0">SUM(B3+D3*2)</f>
        <v>0</v>
      </c>
      <c r="H3" s="862"/>
      <c r="I3" s="646" t="s">
        <v>4</v>
      </c>
      <c r="J3" s="646" t="s">
        <v>5</v>
      </c>
      <c r="K3" s="647" t="s">
        <v>82</v>
      </c>
      <c r="L3" s="648" t="s">
        <v>83</v>
      </c>
      <c r="M3" s="648" t="s">
        <v>84</v>
      </c>
      <c r="N3" s="649" t="s">
        <v>85</v>
      </c>
      <c r="O3" s="650" t="s">
        <v>65</v>
      </c>
      <c r="P3" s="647" t="s">
        <v>4</v>
      </c>
      <c r="Q3" s="650" t="s">
        <v>5</v>
      </c>
    </row>
    <row r="4" spans="1:18" ht="14.95" customHeight="1" thickBot="1" x14ac:dyDescent="0.3">
      <c r="A4" s="279" t="s">
        <v>29</v>
      </c>
      <c r="B4" s="200">
        <v>0</v>
      </c>
      <c r="C4" s="63"/>
      <c r="D4" s="58">
        <v>0</v>
      </c>
      <c r="E4" s="59"/>
      <c r="F4" s="60">
        <f t="shared" si="0"/>
        <v>0</v>
      </c>
      <c r="H4" s="202" t="s">
        <v>29</v>
      </c>
      <c r="I4" s="83">
        <v>0</v>
      </c>
      <c r="J4" s="83">
        <v>0</v>
      </c>
      <c r="K4" s="83">
        <v>0</v>
      </c>
      <c r="L4" s="83">
        <v>0</v>
      </c>
      <c r="M4" s="83">
        <v>0</v>
      </c>
      <c r="N4" s="83">
        <v>0</v>
      </c>
      <c r="O4" s="84">
        <f t="shared" ref="O4:O21" si="1">SUM(K4:N4)</f>
        <v>0</v>
      </c>
      <c r="P4" s="295" t="e">
        <f t="shared" ref="P4" si="2">SUM(I4/O4)*10</f>
        <v>#DIV/0!</v>
      </c>
      <c r="Q4" s="296" t="e">
        <f t="shared" ref="Q4" si="3">SUM(J4/O4)*10</f>
        <v>#DIV/0!</v>
      </c>
    </row>
    <row r="5" spans="1:18" ht="14.95" customHeight="1" thickBot="1" x14ac:dyDescent="0.3">
      <c r="A5" s="409" t="s">
        <v>163</v>
      </c>
      <c r="B5" s="200">
        <v>0</v>
      </c>
      <c r="C5" s="63"/>
      <c r="D5" s="58">
        <v>0</v>
      </c>
      <c r="E5" s="59"/>
      <c r="F5" s="60">
        <f t="shared" si="0"/>
        <v>0</v>
      </c>
      <c r="H5" s="410" t="s">
        <v>163</v>
      </c>
      <c r="I5" s="83">
        <v>0</v>
      </c>
      <c r="J5" s="83">
        <v>0</v>
      </c>
      <c r="K5" s="83">
        <v>0</v>
      </c>
      <c r="L5" s="83">
        <v>0</v>
      </c>
      <c r="M5" s="83">
        <v>0</v>
      </c>
      <c r="N5" s="83">
        <v>0</v>
      </c>
      <c r="O5" s="84">
        <f t="shared" si="1"/>
        <v>0</v>
      </c>
      <c r="P5" s="295" t="e">
        <f t="shared" ref="P5" si="4">SUM(I5/O5)*10</f>
        <v>#DIV/0!</v>
      </c>
      <c r="Q5" s="296" t="e">
        <f t="shared" ref="Q5" si="5">SUM(J5/O5)*10</f>
        <v>#DIV/0!</v>
      </c>
    </row>
    <row r="6" spans="1:18" ht="14.95" customHeight="1" thickBot="1" x14ac:dyDescent="0.3">
      <c r="A6" s="289" t="s">
        <v>91</v>
      </c>
      <c r="B6" s="200">
        <v>0</v>
      </c>
      <c r="C6" s="63"/>
      <c r="D6" s="58">
        <v>0</v>
      </c>
      <c r="E6" s="59"/>
      <c r="F6" s="60">
        <f t="shared" si="0"/>
        <v>0</v>
      </c>
      <c r="H6" s="232" t="s">
        <v>36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4">
        <f t="shared" si="1"/>
        <v>0</v>
      </c>
      <c r="P6" s="295" t="e">
        <f t="shared" ref="P6" si="6">SUM(I6/O6)*10</f>
        <v>#DIV/0!</v>
      </c>
      <c r="Q6" s="296" t="e">
        <f t="shared" ref="Q6" si="7">SUM(J6/O6)*10</f>
        <v>#DIV/0!</v>
      </c>
    </row>
    <row r="7" spans="1:18" ht="14.95" customHeight="1" thickBot="1" x14ac:dyDescent="0.3">
      <c r="A7" s="201" t="s">
        <v>488</v>
      </c>
      <c r="B7" s="200"/>
      <c r="C7" s="63"/>
      <c r="D7" s="58"/>
      <c r="E7" s="59"/>
      <c r="F7" s="60"/>
      <c r="H7" s="201" t="s">
        <v>488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4">
        <f t="shared" ref="O7:O8" si="8">SUM(K7:N7)</f>
        <v>0</v>
      </c>
      <c r="P7" s="295" t="e">
        <f t="shared" ref="P7:P8" si="9">SUM(I7/O7)*10</f>
        <v>#DIV/0!</v>
      </c>
      <c r="Q7" s="296" t="e">
        <f t="shared" ref="Q7:Q8" si="10">SUM(J7/O7)*10</f>
        <v>#DIV/0!</v>
      </c>
    </row>
    <row r="8" spans="1:18" ht="14.95" customHeight="1" thickBot="1" x14ac:dyDescent="0.3">
      <c r="A8" s="641" t="s">
        <v>108</v>
      </c>
      <c r="B8" s="200"/>
      <c r="C8" s="63"/>
      <c r="D8" s="58"/>
      <c r="E8" s="59"/>
      <c r="F8" s="60"/>
      <c r="H8" s="641" t="s">
        <v>108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4">
        <f t="shared" si="8"/>
        <v>0</v>
      </c>
      <c r="P8" s="295" t="e">
        <f t="shared" si="9"/>
        <v>#DIV/0!</v>
      </c>
      <c r="Q8" s="296" t="e">
        <f t="shared" si="10"/>
        <v>#DIV/0!</v>
      </c>
    </row>
    <row r="9" spans="1:18" ht="14.95" customHeight="1" thickBot="1" x14ac:dyDescent="0.3">
      <c r="A9" s="201" t="s">
        <v>34</v>
      </c>
      <c r="B9" s="200">
        <v>0</v>
      </c>
      <c r="C9" s="63"/>
      <c r="D9" s="58">
        <v>0</v>
      </c>
      <c r="E9" s="59"/>
      <c r="F9" s="60">
        <f t="shared" si="0"/>
        <v>0</v>
      </c>
      <c r="H9" s="93" t="s">
        <v>30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4">
        <f t="shared" si="1"/>
        <v>0</v>
      </c>
      <c r="P9" s="295" t="e">
        <f t="shared" ref="P9" si="11">SUM(I9/O9)*10</f>
        <v>#DIV/0!</v>
      </c>
      <c r="Q9" s="296" t="e">
        <f t="shared" ref="Q9" si="12">SUM(J9/O9)*10</f>
        <v>#DIV/0!</v>
      </c>
    </row>
    <row r="10" spans="1:18" ht="14.95" customHeight="1" thickBot="1" x14ac:dyDescent="0.3">
      <c r="A10" s="332" t="s">
        <v>112</v>
      </c>
      <c r="B10" s="200">
        <v>0</v>
      </c>
      <c r="C10" s="63"/>
      <c r="D10" s="58">
        <v>0</v>
      </c>
      <c r="E10" s="59"/>
      <c r="F10" s="60">
        <f t="shared" si="0"/>
        <v>0</v>
      </c>
      <c r="H10" s="207" t="s">
        <v>131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4">
        <f t="shared" si="1"/>
        <v>0</v>
      </c>
      <c r="P10" s="295" t="e">
        <f t="shared" ref="P10" si="13">SUM(I10/O10)*10</f>
        <v>#DIV/0!</v>
      </c>
      <c r="Q10" s="296" t="e">
        <f t="shared" ref="Q10" si="14">SUM(J10/O10)*10</f>
        <v>#DIV/0!</v>
      </c>
    </row>
    <row r="11" spans="1:18" ht="14.95" customHeight="1" thickBot="1" x14ac:dyDescent="0.3">
      <c r="A11" s="299" t="s">
        <v>36</v>
      </c>
      <c r="B11" s="200">
        <v>0</v>
      </c>
      <c r="C11" s="113"/>
      <c r="D11" s="58">
        <v>0</v>
      </c>
      <c r="E11" s="59"/>
      <c r="F11" s="60">
        <f t="shared" si="0"/>
        <v>0</v>
      </c>
      <c r="H11" s="34" t="s">
        <v>33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4">
        <f t="shared" si="1"/>
        <v>0</v>
      </c>
      <c r="P11" s="295" t="e">
        <f t="shared" ref="P11" si="15">SUM(I11/O11)*10</f>
        <v>#DIV/0!</v>
      </c>
      <c r="Q11" s="296" t="e">
        <f t="shared" ref="Q11" si="16">SUM(J11/O11)*10</f>
        <v>#DIV/0!</v>
      </c>
      <c r="R11" s="69"/>
    </row>
    <row r="12" spans="1:18" ht="14.95" customHeight="1" thickBot="1" x14ac:dyDescent="0.3">
      <c r="A12" s="92" t="s">
        <v>30</v>
      </c>
      <c r="B12" s="200">
        <v>0</v>
      </c>
      <c r="C12" s="63"/>
      <c r="D12" s="58">
        <v>0</v>
      </c>
      <c r="E12" s="59"/>
      <c r="F12" s="60">
        <f t="shared" si="0"/>
        <v>0</v>
      </c>
      <c r="H12" s="55" t="s">
        <v>35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f t="shared" si="1"/>
        <v>0</v>
      </c>
      <c r="P12" s="295" t="e">
        <f t="shared" ref="P12" si="17">SUM(I12/O12)*10</f>
        <v>#DIV/0!</v>
      </c>
      <c r="Q12" s="296" t="e">
        <f t="shared" ref="Q12" si="18">SUM(J12/O12)*10</f>
        <v>#DIV/0!</v>
      </c>
    </row>
    <row r="13" spans="1:18" ht="14.95" customHeight="1" thickBot="1" x14ac:dyDescent="0.3">
      <c r="A13" s="55" t="s">
        <v>35</v>
      </c>
      <c r="B13" s="200">
        <v>0</v>
      </c>
      <c r="C13" s="64"/>
      <c r="D13" s="58">
        <v>0</v>
      </c>
      <c r="E13" s="59"/>
      <c r="F13" s="60">
        <f t="shared" si="0"/>
        <v>0</v>
      </c>
      <c r="H13" s="139" t="s">
        <v>32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4">
        <f t="shared" si="1"/>
        <v>0</v>
      </c>
      <c r="P13" s="295" t="e">
        <f t="shared" ref="P13" si="19">SUM(I13/O13)*10</f>
        <v>#DIV/0!</v>
      </c>
      <c r="Q13" s="296" t="e">
        <f t="shared" ref="Q13" si="20">SUM(J13/O13)*10</f>
        <v>#DIV/0!</v>
      </c>
    </row>
    <row r="14" spans="1:18" ht="14.95" customHeight="1" thickBot="1" x14ac:dyDescent="0.3">
      <c r="A14" s="297" t="s">
        <v>55</v>
      </c>
      <c r="B14" s="200">
        <v>0</v>
      </c>
      <c r="C14" s="63"/>
      <c r="D14" s="58">
        <v>0</v>
      </c>
      <c r="E14" s="59"/>
      <c r="F14" s="60">
        <f t="shared" si="0"/>
        <v>0</v>
      </c>
      <c r="H14" s="219" t="s">
        <v>91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4">
        <f t="shared" si="1"/>
        <v>0</v>
      </c>
      <c r="P14" s="295" t="e">
        <f t="shared" ref="P14" si="21">SUM(I14/O14)*10</f>
        <v>#DIV/0!</v>
      </c>
      <c r="Q14" s="296" t="e">
        <f t="shared" ref="Q14" si="22">SUM(J14/O14)*10</f>
        <v>#DIV/0!</v>
      </c>
    </row>
    <row r="15" spans="1:18" ht="14.95" customHeight="1" thickBot="1" x14ac:dyDescent="0.3">
      <c r="A15" s="54" t="s">
        <v>31</v>
      </c>
      <c r="B15" s="200">
        <v>0</v>
      </c>
      <c r="C15" s="63"/>
      <c r="D15" s="58">
        <v>0</v>
      </c>
      <c r="E15" s="59"/>
      <c r="F15" s="60">
        <f t="shared" si="0"/>
        <v>0</v>
      </c>
      <c r="H15" s="280" t="s">
        <v>72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4">
        <f t="shared" si="1"/>
        <v>0</v>
      </c>
      <c r="P15" s="295" t="e">
        <f t="shared" ref="P15" si="23">SUM(I15/O15)*10</f>
        <v>#DIV/0!</v>
      </c>
      <c r="Q15" s="296" t="e">
        <f t="shared" ref="Q15" si="24">SUM(J15/O15)*10</f>
        <v>#DIV/0!</v>
      </c>
    </row>
    <row r="16" spans="1:18" ht="14.95" customHeight="1" thickBot="1" x14ac:dyDescent="0.3">
      <c r="A16" s="298" t="s">
        <v>176</v>
      </c>
      <c r="B16" s="200">
        <v>0</v>
      </c>
      <c r="C16" s="63"/>
      <c r="D16" s="58">
        <v>0</v>
      </c>
      <c r="E16" s="59"/>
      <c r="F16" s="60">
        <f t="shared" si="0"/>
        <v>0</v>
      </c>
      <c r="H16" s="139" t="s">
        <v>90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4">
        <f t="shared" si="1"/>
        <v>0</v>
      </c>
      <c r="P16" s="295" t="e">
        <f t="shared" ref="P16:P20" si="25">SUM(I16/O16)*10</f>
        <v>#DIV/0!</v>
      </c>
      <c r="Q16" s="296" t="e">
        <f t="shared" ref="Q16:Q22" si="26">SUM(J16/O16)*10</f>
        <v>#DIV/0!</v>
      </c>
      <c r="R16" t="s">
        <v>53</v>
      </c>
    </row>
    <row r="17" spans="1:18" ht="14.95" customHeight="1" thickBot="1" x14ac:dyDescent="0.3">
      <c r="A17" s="201" t="s">
        <v>33</v>
      </c>
      <c r="B17" s="200">
        <v>0</v>
      </c>
      <c r="C17" s="64"/>
      <c r="D17" s="58">
        <v>0</v>
      </c>
      <c r="E17" s="59"/>
      <c r="F17" s="60">
        <f t="shared" si="0"/>
        <v>0</v>
      </c>
      <c r="H17" s="34" t="s">
        <v>34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4">
        <f t="shared" si="1"/>
        <v>0</v>
      </c>
      <c r="P17" s="295" t="e">
        <f t="shared" ref="P17" si="27">SUM(I17/O17)*10</f>
        <v>#DIV/0!</v>
      </c>
      <c r="Q17" s="296" t="e">
        <f t="shared" ref="Q17" si="28">SUM(J17/O17)*10</f>
        <v>#DIV/0!</v>
      </c>
    </row>
    <row r="18" spans="1:18" ht="14.95" customHeight="1" thickBot="1" x14ac:dyDescent="0.3">
      <c r="A18" s="278" t="s">
        <v>72</v>
      </c>
      <c r="B18" s="200">
        <v>0</v>
      </c>
      <c r="C18" s="113"/>
      <c r="D18" s="58">
        <v>0</v>
      </c>
      <c r="E18" s="59"/>
      <c r="F18" s="60">
        <f t="shared" si="0"/>
        <v>0</v>
      </c>
      <c r="H18" s="263" t="s">
        <v>176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4">
        <f t="shared" ref="O18" si="29">SUM(K18:N18)</f>
        <v>0</v>
      </c>
      <c r="P18" s="295" t="e">
        <f t="shared" ref="P18" si="30">SUM(I18/O18)*10</f>
        <v>#DIV/0!</v>
      </c>
      <c r="Q18" s="296" t="e">
        <f t="shared" ref="Q18" si="31">SUM(J18/O18)*10</f>
        <v>#DIV/0!</v>
      </c>
    </row>
    <row r="19" spans="1:18" ht="14.95" customHeight="1" thickBot="1" x14ac:dyDescent="0.3">
      <c r="A19" s="297" t="s">
        <v>90</v>
      </c>
      <c r="B19" s="200">
        <v>0</v>
      </c>
      <c r="C19" s="63"/>
      <c r="D19" s="58">
        <v>0</v>
      </c>
      <c r="E19" s="59"/>
      <c r="F19" s="60">
        <f t="shared" si="0"/>
        <v>0</v>
      </c>
      <c r="H19" s="361" t="s">
        <v>112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4">
        <f t="shared" si="1"/>
        <v>0</v>
      </c>
      <c r="P19" s="295" t="e">
        <f t="shared" ref="P19" si="32">SUM(I19/O19)*10</f>
        <v>#DIV/0!</v>
      </c>
      <c r="Q19" s="296" t="e">
        <f t="shared" ref="Q19" si="33">SUM(J19/O19)*10</f>
        <v>#DIV/0!</v>
      </c>
    </row>
    <row r="20" spans="1:18" ht="14.95" customHeight="1" thickBot="1" x14ac:dyDescent="0.3">
      <c r="A20" s="331" t="s">
        <v>131</v>
      </c>
      <c r="B20" s="200">
        <v>0</v>
      </c>
      <c r="C20" s="317"/>
      <c r="D20" s="58">
        <v>0</v>
      </c>
      <c r="E20" s="59"/>
      <c r="F20" s="60">
        <f t="shared" si="0"/>
        <v>0</v>
      </c>
      <c r="H20" s="139" t="s">
        <v>55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4">
        <f t="shared" si="1"/>
        <v>0</v>
      </c>
      <c r="P20" s="295" t="e">
        <f t="shared" si="25"/>
        <v>#DIV/0!</v>
      </c>
      <c r="Q20" s="296" t="e">
        <f t="shared" si="26"/>
        <v>#DIV/0!</v>
      </c>
    </row>
    <row r="21" spans="1:18" ht="14.95" customHeight="1" thickBot="1" x14ac:dyDescent="0.3">
      <c r="A21" s="98" t="s">
        <v>52</v>
      </c>
      <c r="B21" s="61">
        <f>SUM(B3:B20)</f>
        <v>0</v>
      </c>
      <c r="C21" s="64"/>
      <c r="D21" s="65">
        <f>SUM(D3:D20)</f>
        <v>0</v>
      </c>
      <c r="E21" s="66"/>
      <c r="F21" s="57" t="s">
        <v>53</v>
      </c>
      <c r="H21" s="8" t="s">
        <v>31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106">
        <f t="shared" si="1"/>
        <v>0</v>
      </c>
      <c r="P21" s="295" t="e">
        <f t="shared" ref="P21" si="34">SUM(I21/O21)*10</f>
        <v>#DIV/0!</v>
      </c>
      <c r="Q21" s="296" t="e">
        <f t="shared" ref="Q21" si="35">SUM(J21/O21)*10</f>
        <v>#DIV/0!</v>
      </c>
    </row>
    <row r="22" spans="1:18" ht="14.95" customHeight="1" thickBot="1" x14ac:dyDescent="0.3">
      <c r="A22" s="69" t="s">
        <v>387</v>
      </c>
      <c r="D22" s="67"/>
      <c r="E22" s="68"/>
      <c r="H22" s="90" t="s">
        <v>52</v>
      </c>
      <c r="I22" s="85">
        <f>SUM(I4:I21)</f>
        <v>0</v>
      </c>
      <c r="J22" s="85">
        <f>SUM(J4:J21)</f>
        <v>0</v>
      </c>
      <c r="K22" s="85">
        <f>SUM(K4:K21)</f>
        <v>0</v>
      </c>
      <c r="L22" s="85">
        <f>SUM(L4:L20)</f>
        <v>0</v>
      </c>
      <c r="M22" s="85">
        <f>SUM(M4:M20)</f>
        <v>0</v>
      </c>
      <c r="N22" s="85">
        <f>SUM(N4:N20)</f>
        <v>0</v>
      </c>
      <c r="O22" s="85">
        <f>SUM(O4:O20)</f>
        <v>0</v>
      </c>
      <c r="P22" s="286" t="e">
        <f t="shared" ref="P22" si="36">SUM(I22/O22)*10</f>
        <v>#DIV/0!</v>
      </c>
      <c r="Q22" s="287" t="e">
        <f t="shared" si="26"/>
        <v>#DIV/0!</v>
      </c>
      <c r="R22" t="s">
        <v>53</v>
      </c>
    </row>
    <row r="23" spans="1:18" ht="14.95" customHeight="1" x14ac:dyDescent="0.25">
      <c r="A23" s="69" t="s">
        <v>54</v>
      </c>
      <c r="B23" s="69"/>
      <c r="R23" t="s">
        <v>53</v>
      </c>
    </row>
    <row r="24" spans="1:18" ht="14.95" customHeight="1" x14ac:dyDescent="0.25">
      <c r="A24" s="840" t="s">
        <v>487</v>
      </c>
      <c r="B24" s="840"/>
      <c r="C24" s="823"/>
      <c r="D24" s="823"/>
      <c r="H24" s="69" t="s">
        <v>77</v>
      </c>
    </row>
    <row r="25" spans="1:18" ht="14.95" customHeight="1" thickBot="1" x14ac:dyDescent="0.35">
      <c r="A25" s="579" t="s">
        <v>28</v>
      </c>
      <c r="B25" s="14"/>
      <c r="E25" t="s">
        <v>53</v>
      </c>
      <c r="I25" s="69"/>
    </row>
    <row r="26" spans="1:18" ht="14.95" customHeight="1" thickBot="1" x14ac:dyDescent="0.3">
      <c r="H26" s="864" t="s">
        <v>53</v>
      </c>
      <c r="I26" s="859" t="s">
        <v>61</v>
      </c>
      <c r="J26" s="860"/>
      <c r="K26" s="859" t="s">
        <v>53</v>
      </c>
      <c r="L26" s="866"/>
      <c r="M26" s="866"/>
      <c r="N26" s="866"/>
      <c r="O26" s="860"/>
      <c r="P26" s="859" t="s">
        <v>64</v>
      </c>
      <c r="Q26" s="860"/>
    </row>
    <row r="27" spans="1:18" ht="14.95" customHeight="1" thickBot="1" x14ac:dyDescent="0.3">
      <c r="H27" s="865"/>
      <c r="I27" s="651" t="s">
        <v>4</v>
      </c>
      <c r="J27" s="651" t="s">
        <v>5</v>
      </c>
      <c r="K27" s="652" t="s">
        <v>67</v>
      </c>
      <c r="L27" s="653" t="s">
        <v>68</v>
      </c>
      <c r="M27" s="653" t="s">
        <v>89</v>
      </c>
      <c r="N27" s="654"/>
      <c r="O27" s="655" t="s">
        <v>65</v>
      </c>
      <c r="P27" s="652" t="s">
        <v>4</v>
      </c>
      <c r="Q27" s="655" t="s">
        <v>5</v>
      </c>
      <c r="R27" s="69"/>
    </row>
    <row r="28" spans="1:18" ht="14.95" customHeight="1" thickBot="1" x14ac:dyDescent="0.3">
      <c r="H28" s="202" t="s">
        <v>29</v>
      </c>
      <c r="I28" s="83">
        <v>0</v>
      </c>
      <c r="J28" s="83">
        <v>0</v>
      </c>
      <c r="K28" s="336">
        <v>0</v>
      </c>
      <c r="L28" s="338">
        <v>0</v>
      </c>
      <c r="M28" s="338">
        <v>0</v>
      </c>
      <c r="N28" s="290">
        <v>0</v>
      </c>
      <c r="O28" s="84">
        <f t="shared" ref="O28:O45" si="37">SUM(K28:N28)</f>
        <v>0</v>
      </c>
      <c r="P28" s="295" t="e">
        <f t="shared" ref="P28" si="38">SUM(I28/O28)*10</f>
        <v>#DIV/0!</v>
      </c>
      <c r="Q28" s="296" t="e">
        <f t="shared" ref="Q28" si="39">SUM(J28/O28)*10</f>
        <v>#DIV/0!</v>
      </c>
    </row>
    <row r="29" spans="1:18" ht="14.95" customHeight="1" thickBot="1" x14ac:dyDescent="0.3">
      <c r="H29" s="410" t="s">
        <v>163</v>
      </c>
      <c r="I29" s="83">
        <v>0</v>
      </c>
      <c r="J29" s="83">
        <v>0</v>
      </c>
      <c r="K29" s="83">
        <v>0</v>
      </c>
      <c r="L29" s="339">
        <v>0</v>
      </c>
      <c r="M29" s="339">
        <v>0</v>
      </c>
      <c r="N29" s="290">
        <v>0</v>
      </c>
      <c r="O29" s="84">
        <f t="shared" si="37"/>
        <v>0</v>
      </c>
      <c r="P29" s="295" t="e">
        <f t="shared" ref="P29:P45" si="40">SUM(I29/O29)*10</f>
        <v>#DIV/0!</v>
      </c>
      <c r="Q29" s="296" t="e">
        <f t="shared" ref="Q29:Q45" si="41">SUM(J29/O29)*10</f>
        <v>#DIV/0!</v>
      </c>
    </row>
    <row r="30" spans="1:18" ht="14.95" customHeight="1" thickBot="1" x14ac:dyDescent="0.3">
      <c r="H30" s="233" t="s">
        <v>36</v>
      </c>
      <c r="I30" s="83">
        <v>0</v>
      </c>
      <c r="J30" s="83">
        <v>0</v>
      </c>
      <c r="K30" s="83">
        <v>0</v>
      </c>
      <c r="L30" s="339">
        <v>0</v>
      </c>
      <c r="M30" s="339">
        <v>0</v>
      </c>
      <c r="N30" s="290">
        <v>0</v>
      </c>
      <c r="O30" s="84">
        <f t="shared" si="37"/>
        <v>0</v>
      </c>
      <c r="P30" s="295" t="e">
        <f t="shared" si="40"/>
        <v>#DIV/0!</v>
      </c>
      <c r="Q30" s="296" t="e">
        <f t="shared" si="41"/>
        <v>#DIV/0!</v>
      </c>
    </row>
    <row r="31" spans="1:18" ht="14.95" customHeight="1" thickBot="1" x14ac:dyDescent="0.3">
      <c r="H31" s="93" t="s">
        <v>30</v>
      </c>
      <c r="I31" s="83">
        <v>0</v>
      </c>
      <c r="J31" s="83">
        <v>0</v>
      </c>
      <c r="K31" s="83">
        <v>0</v>
      </c>
      <c r="L31" s="339">
        <v>0</v>
      </c>
      <c r="M31" s="339">
        <v>0</v>
      </c>
      <c r="N31" s="290">
        <v>0</v>
      </c>
      <c r="O31" s="84">
        <f t="shared" si="37"/>
        <v>0</v>
      </c>
      <c r="P31" s="295" t="e">
        <f t="shared" si="40"/>
        <v>#DIV/0!</v>
      </c>
      <c r="Q31" s="296" t="e">
        <f t="shared" si="41"/>
        <v>#DIV/0!</v>
      </c>
    </row>
    <row r="32" spans="1:18" ht="14.95" customHeight="1" thickBot="1" x14ac:dyDescent="0.3">
      <c r="H32" s="34" t="s">
        <v>488</v>
      </c>
      <c r="I32" s="83">
        <v>0</v>
      </c>
      <c r="J32" s="83">
        <v>0</v>
      </c>
      <c r="K32" s="83">
        <v>0</v>
      </c>
      <c r="L32" s="339">
        <v>0</v>
      </c>
      <c r="M32" s="339">
        <v>0</v>
      </c>
      <c r="N32" s="290">
        <v>0</v>
      </c>
      <c r="O32" s="84">
        <f t="shared" ref="O32:O33" si="42">SUM(K32:N32)</f>
        <v>0</v>
      </c>
      <c r="P32" s="295" t="e">
        <f t="shared" si="40"/>
        <v>#DIV/0!</v>
      </c>
      <c r="Q32" s="296" t="e">
        <f t="shared" si="41"/>
        <v>#DIV/0!</v>
      </c>
    </row>
    <row r="33" spans="1:18" ht="14.95" thickBot="1" x14ac:dyDescent="0.3">
      <c r="H33" s="642" t="s">
        <v>108</v>
      </c>
      <c r="I33" s="83">
        <v>0</v>
      </c>
      <c r="J33" s="83">
        <v>0</v>
      </c>
      <c r="K33" s="83">
        <v>0</v>
      </c>
      <c r="L33" s="339">
        <v>0</v>
      </c>
      <c r="M33" s="339">
        <v>0</v>
      </c>
      <c r="N33" s="290">
        <v>0</v>
      </c>
      <c r="O33" s="84">
        <f t="shared" si="42"/>
        <v>0</v>
      </c>
      <c r="P33" s="295" t="e">
        <f t="shared" si="40"/>
        <v>#DIV/0!</v>
      </c>
      <c r="Q33" s="296" t="e">
        <f t="shared" si="41"/>
        <v>#DIV/0!</v>
      </c>
    </row>
    <row r="34" spans="1:18" ht="14.95" thickBot="1" x14ac:dyDescent="0.3">
      <c r="H34" s="207" t="s">
        <v>131</v>
      </c>
      <c r="I34" s="83">
        <v>0</v>
      </c>
      <c r="J34" s="83">
        <v>0</v>
      </c>
      <c r="K34" s="83">
        <v>0</v>
      </c>
      <c r="L34" s="339">
        <v>0</v>
      </c>
      <c r="M34" s="339">
        <v>0</v>
      </c>
      <c r="N34" s="290">
        <v>0</v>
      </c>
      <c r="O34" s="84">
        <f t="shared" si="37"/>
        <v>0</v>
      </c>
      <c r="P34" s="295" t="e">
        <f t="shared" si="40"/>
        <v>#DIV/0!</v>
      </c>
      <c r="Q34" s="296" t="e">
        <f t="shared" si="41"/>
        <v>#DIV/0!</v>
      </c>
    </row>
    <row r="35" spans="1:18" ht="14.95" thickBot="1" x14ac:dyDescent="0.3">
      <c r="H35" s="34" t="s">
        <v>33</v>
      </c>
      <c r="I35" s="83">
        <v>0</v>
      </c>
      <c r="J35" s="83">
        <v>0</v>
      </c>
      <c r="K35" s="83">
        <v>0</v>
      </c>
      <c r="L35" s="339">
        <v>0</v>
      </c>
      <c r="M35" s="339">
        <v>0</v>
      </c>
      <c r="N35" s="290">
        <v>0</v>
      </c>
      <c r="O35" s="84">
        <f t="shared" si="37"/>
        <v>0</v>
      </c>
      <c r="P35" s="295" t="e">
        <f t="shared" si="40"/>
        <v>#DIV/0!</v>
      </c>
      <c r="Q35" s="296" t="e">
        <f t="shared" si="41"/>
        <v>#DIV/0!</v>
      </c>
    </row>
    <row r="36" spans="1:18" ht="14.95" thickBot="1" x14ac:dyDescent="0.3">
      <c r="H36" s="21" t="s">
        <v>35</v>
      </c>
      <c r="I36" s="83">
        <v>0</v>
      </c>
      <c r="J36" s="83">
        <v>0</v>
      </c>
      <c r="K36" s="83">
        <v>0</v>
      </c>
      <c r="L36" s="339">
        <v>0</v>
      </c>
      <c r="M36" s="339">
        <v>0</v>
      </c>
      <c r="N36" s="290">
        <v>0</v>
      </c>
      <c r="O36" s="84">
        <f t="shared" si="37"/>
        <v>0</v>
      </c>
      <c r="P36" s="295" t="e">
        <f t="shared" si="40"/>
        <v>#DIV/0!</v>
      </c>
      <c r="Q36" s="296" t="e">
        <f t="shared" si="41"/>
        <v>#DIV/0!</v>
      </c>
    </row>
    <row r="37" spans="1:18" ht="14.95" thickBot="1" x14ac:dyDescent="0.3">
      <c r="H37" s="139" t="s">
        <v>32</v>
      </c>
      <c r="I37" s="83">
        <v>0</v>
      </c>
      <c r="J37" s="83">
        <v>0</v>
      </c>
      <c r="K37" s="83">
        <v>0</v>
      </c>
      <c r="L37" s="339">
        <v>0</v>
      </c>
      <c r="M37" s="339">
        <v>0</v>
      </c>
      <c r="N37" s="290">
        <v>0</v>
      </c>
      <c r="O37" s="84">
        <f t="shared" si="37"/>
        <v>0</v>
      </c>
      <c r="P37" s="295" t="e">
        <f t="shared" si="40"/>
        <v>#DIV/0!</v>
      </c>
      <c r="Q37" s="296" t="e">
        <f t="shared" si="41"/>
        <v>#DIV/0!</v>
      </c>
    </row>
    <row r="38" spans="1:18" ht="14.95" thickBot="1" x14ac:dyDescent="0.3">
      <c r="H38" s="219" t="s">
        <v>91</v>
      </c>
      <c r="I38" s="83">
        <v>0</v>
      </c>
      <c r="J38" s="83">
        <v>0</v>
      </c>
      <c r="K38" s="83">
        <v>0</v>
      </c>
      <c r="L38" s="339">
        <v>0</v>
      </c>
      <c r="M38" s="339">
        <v>0</v>
      </c>
      <c r="N38" s="290">
        <v>0</v>
      </c>
      <c r="O38" s="84">
        <f t="shared" si="37"/>
        <v>0</v>
      </c>
      <c r="P38" s="295" t="e">
        <f t="shared" si="40"/>
        <v>#DIV/0!</v>
      </c>
      <c r="Q38" s="296" t="e">
        <f t="shared" si="41"/>
        <v>#DIV/0!</v>
      </c>
      <c r="R38" s="69"/>
    </row>
    <row r="39" spans="1:18" ht="14.95" thickBot="1" x14ac:dyDescent="0.3">
      <c r="H39" s="280" t="s">
        <v>72</v>
      </c>
      <c r="I39" s="83">
        <v>0</v>
      </c>
      <c r="J39" s="83">
        <v>0</v>
      </c>
      <c r="K39" s="83">
        <v>0</v>
      </c>
      <c r="L39" s="339">
        <v>0</v>
      </c>
      <c r="M39" s="339">
        <v>0</v>
      </c>
      <c r="N39" s="290">
        <v>0</v>
      </c>
      <c r="O39" s="84">
        <f t="shared" si="37"/>
        <v>0</v>
      </c>
      <c r="P39" s="295" t="e">
        <f t="shared" si="40"/>
        <v>#DIV/0!</v>
      </c>
      <c r="Q39" s="296" t="e">
        <f t="shared" si="41"/>
        <v>#DIV/0!</v>
      </c>
      <c r="R39" s="69"/>
    </row>
    <row r="40" spans="1:18" ht="14.95" thickBot="1" x14ac:dyDescent="0.3">
      <c r="H40" s="139" t="s">
        <v>90</v>
      </c>
      <c r="I40" s="83">
        <v>0</v>
      </c>
      <c r="J40" s="83">
        <v>0</v>
      </c>
      <c r="K40" s="83">
        <v>0</v>
      </c>
      <c r="L40" s="339">
        <v>0</v>
      </c>
      <c r="M40" s="339">
        <v>0</v>
      </c>
      <c r="N40" s="290">
        <v>0</v>
      </c>
      <c r="O40" s="84">
        <f t="shared" si="37"/>
        <v>0</v>
      </c>
      <c r="P40" s="295" t="e">
        <f t="shared" si="40"/>
        <v>#DIV/0!</v>
      </c>
      <c r="Q40" s="296" t="e">
        <f t="shared" si="41"/>
        <v>#DIV/0!</v>
      </c>
      <c r="R40" s="69"/>
    </row>
    <row r="41" spans="1:18" ht="14.95" thickBot="1" x14ac:dyDescent="0.3">
      <c r="H41" s="34" t="s">
        <v>34</v>
      </c>
      <c r="I41" s="83">
        <v>0</v>
      </c>
      <c r="J41" s="83">
        <v>0</v>
      </c>
      <c r="K41" s="83">
        <v>0</v>
      </c>
      <c r="L41" s="339">
        <v>0</v>
      </c>
      <c r="M41" s="339">
        <v>0</v>
      </c>
      <c r="N41" s="290">
        <v>0</v>
      </c>
      <c r="O41" s="84">
        <f t="shared" si="37"/>
        <v>0</v>
      </c>
      <c r="P41" s="295" t="e">
        <f t="shared" si="40"/>
        <v>#DIV/0!</v>
      </c>
      <c r="Q41" s="296" t="e">
        <f t="shared" si="41"/>
        <v>#DIV/0!</v>
      </c>
    </row>
    <row r="42" spans="1:18" ht="14.95" thickBot="1" x14ac:dyDescent="0.3">
      <c r="H42" s="263" t="s">
        <v>176</v>
      </c>
      <c r="I42" s="83">
        <v>0</v>
      </c>
      <c r="J42" s="83">
        <v>0</v>
      </c>
      <c r="K42" s="83">
        <v>0</v>
      </c>
      <c r="L42" s="339">
        <v>0</v>
      </c>
      <c r="M42" s="339">
        <v>0</v>
      </c>
      <c r="N42" s="290">
        <v>0</v>
      </c>
      <c r="O42" s="84">
        <f t="shared" ref="O42" si="43">SUM(K42:N42)</f>
        <v>0</v>
      </c>
      <c r="P42" s="295" t="e">
        <f t="shared" si="40"/>
        <v>#DIV/0!</v>
      </c>
      <c r="Q42" s="296" t="e">
        <f t="shared" si="41"/>
        <v>#DIV/0!</v>
      </c>
      <c r="R42" t="s">
        <v>53</v>
      </c>
    </row>
    <row r="43" spans="1:18" ht="14.95" thickBot="1" x14ac:dyDescent="0.3">
      <c r="H43" s="361" t="s">
        <v>112</v>
      </c>
      <c r="I43" s="83">
        <v>0</v>
      </c>
      <c r="J43" s="83">
        <v>0</v>
      </c>
      <c r="K43" s="83">
        <v>0</v>
      </c>
      <c r="L43" s="339">
        <v>0</v>
      </c>
      <c r="M43" s="339">
        <v>0</v>
      </c>
      <c r="N43" s="290">
        <v>0</v>
      </c>
      <c r="O43" s="84">
        <f t="shared" si="37"/>
        <v>0</v>
      </c>
      <c r="P43" s="295" t="e">
        <f t="shared" si="40"/>
        <v>#DIV/0!</v>
      </c>
      <c r="Q43" s="296" t="e">
        <f t="shared" si="41"/>
        <v>#DIV/0!</v>
      </c>
    </row>
    <row r="44" spans="1:18" ht="14.95" thickBot="1" x14ac:dyDescent="0.3">
      <c r="H44" s="139" t="s">
        <v>55</v>
      </c>
      <c r="I44" s="83">
        <v>0</v>
      </c>
      <c r="J44" s="83">
        <v>0</v>
      </c>
      <c r="K44" s="83">
        <v>0</v>
      </c>
      <c r="L44" s="339">
        <v>0</v>
      </c>
      <c r="M44" s="339">
        <v>0</v>
      </c>
      <c r="N44" s="290">
        <v>0</v>
      </c>
      <c r="O44" s="84">
        <f t="shared" si="37"/>
        <v>0</v>
      </c>
      <c r="P44" s="295" t="e">
        <f t="shared" si="40"/>
        <v>#DIV/0!</v>
      </c>
      <c r="Q44" s="296" t="e">
        <f t="shared" si="41"/>
        <v>#DIV/0!</v>
      </c>
    </row>
    <row r="45" spans="1:18" ht="14.95" thickBot="1" x14ac:dyDescent="0.3">
      <c r="A45" s="131"/>
      <c r="H45" s="8" t="s">
        <v>31</v>
      </c>
      <c r="I45" s="83">
        <v>0</v>
      </c>
      <c r="J45" s="83">
        <v>0</v>
      </c>
      <c r="K45" s="337">
        <v>0</v>
      </c>
      <c r="L45" s="339">
        <v>0</v>
      </c>
      <c r="M45" s="339">
        <v>0</v>
      </c>
      <c r="N45" s="290">
        <v>0</v>
      </c>
      <c r="O45" s="84">
        <f t="shared" si="37"/>
        <v>0</v>
      </c>
      <c r="P45" s="295" t="e">
        <f t="shared" si="40"/>
        <v>#DIV/0!</v>
      </c>
      <c r="Q45" s="296" t="e">
        <f t="shared" si="41"/>
        <v>#DIV/0!</v>
      </c>
    </row>
    <row r="46" spans="1:18" ht="14.95" thickBot="1" x14ac:dyDescent="0.3">
      <c r="H46" s="90" t="s">
        <v>52</v>
      </c>
      <c r="I46" s="85">
        <f>SUM(I28:I45)</f>
        <v>0</v>
      </c>
      <c r="J46" s="86">
        <f>SUM(J28:J45)</f>
        <v>0</v>
      </c>
      <c r="K46" s="85">
        <f>SUM(K28:K45)</f>
        <v>0</v>
      </c>
      <c r="L46" s="87">
        <f>SUM(L28:L43)</f>
        <v>0</v>
      </c>
      <c r="M46" s="87">
        <f>SUM(M28:M43)</f>
        <v>0</v>
      </c>
      <c r="N46" s="87">
        <f>SUM(N28:N43)</f>
        <v>0</v>
      </c>
      <c r="O46" s="86">
        <f>SUM(O28:O43)</f>
        <v>0</v>
      </c>
      <c r="P46" s="286" t="e">
        <f t="shared" ref="P46" si="44">SUM(I46/O46)*10</f>
        <v>#DIV/0!</v>
      </c>
      <c r="Q46" s="287" t="e">
        <f t="shared" ref="Q46" si="45">SUM(J46/O46)*10</f>
        <v>#DIV/0!</v>
      </c>
    </row>
    <row r="47" spans="1:18" x14ac:dyDescent="0.25">
      <c r="H47" t="s">
        <v>53</v>
      </c>
    </row>
    <row r="48" spans="1:18" x14ac:dyDescent="0.25">
      <c r="H48" s="582" t="s">
        <v>79</v>
      </c>
      <c r="I48" s="582"/>
      <c r="J48" s="582"/>
      <c r="K48" s="582"/>
      <c r="L48" s="308"/>
      <c r="M48" s="308"/>
    </row>
    <row r="49" spans="8:14" x14ac:dyDescent="0.25">
      <c r="H49" s="308"/>
      <c r="J49" s="69"/>
      <c r="K49" s="69"/>
    </row>
    <row r="50" spans="8:14" x14ac:dyDescent="0.25">
      <c r="H50" s="308"/>
      <c r="J50" s="69"/>
      <c r="K50" s="69"/>
    </row>
    <row r="51" spans="8:14" x14ac:dyDescent="0.25">
      <c r="H51" s="308"/>
      <c r="J51" s="69"/>
      <c r="K51" s="69"/>
    </row>
    <row r="52" spans="8:14" x14ac:dyDescent="0.25">
      <c r="H52" s="108"/>
      <c r="I52" s="69"/>
      <c r="J52" s="69"/>
      <c r="K52" s="69"/>
    </row>
    <row r="53" spans="8:14" x14ac:dyDescent="0.25">
      <c r="H53" s="582" t="s">
        <v>468</v>
      </c>
      <c r="J53" s="69"/>
      <c r="K53" s="69"/>
      <c r="L53" s="69"/>
      <c r="N53" s="582" t="s">
        <v>81</v>
      </c>
    </row>
    <row r="54" spans="8:14" x14ac:dyDescent="0.25">
      <c r="H54" s="69"/>
    </row>
  </sheetData>
  <sortState xmlns:xlrd2="http://schemas.microsoft.com/office/spreadsheetml/2017/richdata2" ref="A3:F20">
    <sortCondition ref="F3:F20"/>
    <sortCondition ref="D3:D20"/>
    <sortCondition ref="B3:B20"/>
    <sortCondition ref="A3:A20"/>
  </sortState>
  <mergeCells count="11">
    <mergeCell ref="P2:Q2"/>
    <mergeCell ref="P26:Q26"/>
    <mergeCell ref="B2:C2"/>
    <mergeCell ref="D2:E2"/>
    <mergeCell ref="H2:H3"/>
    <mergeCell ref="I2:J2"/>
    <mergeCell ref="K2:O2"/>
    <mergeCell ref="A24:D24"/>
    <mergeCell ref="H26:H27"/>
    <mergeCell ref="I26:J26"/>
    <mergeCell ref="K26:O26"/>
  </mergeCells>
  <pageMargins left="0.7" right="0.7" top="0.75" bottom="0.75" header="0.3" footer="0.3"/>
  <ignoredErrors>
    <ignoredError sqref="L22:O22 L46:N46 O34:O45 O9:O21 O4:O6 O28:O31" formulaRange="1"/>
    <ignoredError sqref="P22:Q22 Q4:Q21 P29:Q45 P28:Q28 P46:Q46 P4:P21" evalError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D3E2-5623-4590-83BC-7F75786EB9F2}">
  <dimension ref="A1:AV28"/>
  <sheetViews>
    <sheetView workbookViewId="0">
      <selection activeCell="J7" sqref="J7:J8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3" width="3.75" customWidth="1"/>
    <col min="14" max="14" width="4" customWidth="1"/>
    <col min="15" max="18" width="3.75" customWidth="1"/>
    <col min="19" max="19" width="6.625" customWidth="1"/>
    <col min="20" max="20" width="6.25" customWidth="1"/>
    <col min="21" max="21" width="20.25" bestFit="1" customWidth="1"/>
    <col min="22" max="23" width="18.75" bestFit="1" customWidth="1"/>
    <col min="24" max="24" width="19.375" bestFit="1" customWidth="1"/>
    <col min="25" max="25" width="18.8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873" t="s">
        <v>433</v>
      </c>
      <c r="B1" s="874"/>
      <c r="C1" s="874"/>
      <c r="D1" s="429"/>
      <c r="E1" s="875" t="s">
        <v>24</v>
      </c>
      <c r="F1" s="876"/>
      <c r="G1" s="877"/>
      <c r="H1" s="875" t="s">
        <v>73</v>
      </c>
      <c r="I1" s="877"/>
      <c r="J1" s="878" t="s">
        <v>6</v>
      </c>
      <c r="K1" s="879"/>
      <c r="L1" s="879"/>
      <c r="M1" s="880"/>
      <c r="N1" s="878" t="s">
        <v>7</v>
      </c>
      <c r="O1" s="880"/>
      <c r="P1" s="878" t="s">
        <v>25</v>
      </c>
      <c r="Q1" s="879"/>
      <c r="R1" s="880"/>
      <c r="S1" s="472" t="s">
        <v>8</v>
      </c>
      <c r="T1" s="430" t="s">
        <v>9</v>
      </c>
      <c r="U1" s="431" t="s">
        <v>10</v>
      </c>
      <c r="V1" s="431" t="s">
        <v>11</v>
      </c>
      <c r="W1" s="431" t="s">
        <v>95</v>
      </c>
      <c r="X1" s="431" t="s">
        <v>26</v>
      </c>
      <c r="Y1" s="431" t="s">
        <v>27</v>
      </c>
      <c r="Z1" s="867" t="s">
        <v>20</v>
      </c>
      <c r="AA1" s="868"/>
      <c r="AB1" s="868"/>
      <c r="AC1" s="869"/>
      <c r="AD1" s="867" t="s">
        <v>56</v>
      </c>
      <c r="AE1" s="868"/>
      <c r="AF1" s="868"/>
      <c r="AG1" s="869"/>
      <c r="AH1" s="867" t="s">
        <v>57</v>
      </c>
      <c r="AI1" s="868"/>
      <c r="AJ1" s="868"/>
      <c r="AK1" s="869"/>
      <c r="AL1" s="867" t="s">
        <v>58</v>
      </c>
      <c r="AM1" s="868"/>
      <c r="AN1" s="868"/>
      <c r="AO1" s="869"/>
      <c r="AU1" s="69" t="s">
        <v>258</v>
      </c>
    </row>
    <row r="2" spans="1:48" ht="14.95" customHeight="1" thickBot="1" x14ac:dyDescent="0.3">
      <c r="A2" s="432" t="s">
        <v>19</v>
      </c>
      <c r="B2" s="433" t="s">
        <v>18</v>
      </c>
      <c r="C2" s="434" t="s">
        <v>17</v>
      </c>
      <c r="D2" s="434" t="s">
        <v>37</v>
      </c>
      <c r="E2" s="435" t="s">
        <v>16</v>
      </c>
      <c r="F2" s="435" t="s">
        <v>4</v>
      </c>
      <c r="G2" s="435" t="s">
        <v>5</v>
      </c>
      <c r="H2" s="436" t="s">
        <v>12</v>
      </c>
      <c r="I2" s="436" t="s">
        <v>3</v>
      </c>
      <c r="J2" s="436" t="s">
        <v>12</v>
      </c>
      <c r="K2" s="436" t="s">
        <v>13</v>
      </c>
      <c r="L2" s="436" t="s">
        <v>2</v>
      </c>
      <c r="M2" s="436" t="s">
        <v>14</v>
      </c>
      <c r="N2" s="436" t="s">
        <v>15</v>
      </c>
      <c r="O2" s="436" t="s">
        <v>16</v>
      </c>
      <c r="P2" s="436" t="s">
        <v>21</v>
      </c>
      <c r="Q2" s="436" t="s">
        <v>22</v>
      </c>
      <c r="R2" s="436" t="s">
        <v>12</v>
      </c>
      <c r="S2" s="435"/>
      <c r="T2" s="437"/>
      <c r="U2" s="438"/>
      <c r="V2" s="439"/>
      <c r="W2" s="439"/>
      <c r="X2" s="431"/>
      <c r="Y2" s="440"/>
      <c r="Z2" s="441" t="s">
        <v>0</v>
      </c>
      <c r="AA2" s="441" t="s">
        <v>1</v>
      </c>
      <c r="AB2" s="441" t="s">
        <v>2</v>
      </c>
      <c r="AC2" s="441" t="s">
        <v>3</v>
      </c>
      <c r="AD2" s="441" t="s">
        <v>0</v>
      </c>
      <c r="AE2" s="441" t="s">
        <v>1</v>
      </c>
      <c r="AF2" s="441" t="s">
        <v>2</v>
      </c>
      <c r="AG2" s="441" t="s">
        <v>3</v>
      </c>
      <c r="AH2" s="441" t="s">
        <v>0</v>
      </c>
      <c r="AI2" s="441" t="s">
        <v>1</v>
      </c>
      <c r="AJ2" s="441" t="s">
        <v>2</v>
      </c>
      <c r="AK2" s="441" t="s">
        <v>3</v>
      </c>
      <c r="AL2" s="441" t="s">
        <v>0</v>
      </c>
      <c r="AM2" s="441" t="s">
        <v>1</v>
      </c>
      <c r="AN2" s="441" t="s">
        <v>2</v>
      </c>
      <c r="AO2" s="441" t="s">
        <v>3</v>
      </c>
      <c r="AU2" s="443" t="s">
        <v>253</v>
      </c>
      <c r="AV2" s="444">
        <v>37</v>
      </c>
    </row>
    <row r="3" spans="1:48" ht="14.95" customHeight="1" thickBot="1" x14ac:dyDescent="0.35">
      <c r="A3" s="151" t="s">
        <v>434</v>
      </c>
      <c r="B3" s="152" t="s">
        <v>184</v>
      </c>
      <c r="C3" s="152" t="s">
        <v>131</v>
      </c>
      <c r="D3" s="152" t="s">
        <v>194</v>
      </c>
      <c r="E3" s="153" t="s">
        <v>1</v>
      </c>
      <c r="F3" s="153">
        <v>33</v>
      </c>
      <c r="G3" s="153">
        <v>15</v>
      </c>
      <c r="H3" s="345" t="s">
        <v>69</v>
      </c>
      <c r="I3" s="345" t="s">
        <v>69</v>
      </c>
      <c r="J3" s="345">
        <v>5</v>
      </c>
      <c r="K3" s="345">
        <v>4</v>
      </c>
      <c r="L3" s="345">
        <v>0</v>
      </c>
      <c r="M3" s="345">
        <v>0</v>
      </c>
      <c r="N3" s="345">
        <v>1</v>
      </c>
      <c r="O3" s="345">
        <v>0</v>
      </c>
      <c r="P3" s="345" t="s">
        <v>69</v>
      </c>
      <c r="Q3" s="345" t="s">
        <v>69</v>
      </c>
      <c r="R3" s="345">
        <v>2</v>
      </c>
      <c r="S3" s="542">
        <v>4127</v>
      </c>
      <c r="T3" s="156" t="s">
        <v>272</v>
      </c>
      <c r="U3" s="157" t="s">
        <v>435</v>
      </c>
      <c r="V3" s="155" t="s">
        <v>117</v>
      </c>
      <c r="W3" s="155" t="s">
        <v>436</v>
      </c>
      <c r="X3" s="154" t="s">
        <v>196</v>
      </c>
      <c r="Y3" s="348" t="s">
        <v>437</v>
      </c>
      <c r="Z3" s="154">
        <v>1</v>
      </c>
      <c r="AA3" s="154">
        <v>1</v>
      </c>
      <c r="AB3" s="154">
        <v>0</v>
      </c>
      <c r="AC3" s="451">
        <v>0</v>
      </c>
      <c r="AD3" s="154">
        <v>1</v>
      </c>
      <c r="AE3" s="154">
        <v>1</v>
      </c>
      <c r="AF3" s="154">
        <v>0</v>
      </c>
      <c r="AG3" s="451">
        <v>0</v>
      </c>
      <c r="AH3" s="154">
        <v>0</v>
      </c>
      <c r="AI3" s="154">
        <v>0</v>
      </c>
      <c r="AJ3" s="154">
        <v>0</v>
      </c>
      <c r="AK3" s="451">
        <v>0</v>
      </c>
      <c r="AL3" s="154">
        <v>0</v>
      </c>
      <c r="AM3" s="154">
        <v>0</v>
      </c>
      <c r="AN3" s="154">
        <v>0</v>
      </c>
      <c r="AO3" s="451">
        <v>0</v>
      </c>
      <c r="AU3" s="445" t="s">
        <v>254</v>
      </c>
      <c r="AV3" s="446">
        <v>19</v>
      </c>
    </row>
    <row r="4" spans="1:48" ht="14.95" customHeight="1" thickBot="1" x14ac:dyDescent="0.3">
      <c r="A4" s="766" t="s">
        <v>492</v>
      </c>
      <c r="B4" s="767" t="s">
        <v>123</v>
      </c>
      <c r="C4" s="767" t="s">
        <v>36</v>
      </c>
      <c r="D4" s="767" t="s">
        <v>562</v>
      </c>
      <c r="E4" s="768" t="s">
        <v>3</v>
      </c>
      <c r="F4" s="768">
        <v>0</v>
      </c>
      <c r="G4" s="768">
        <v>24</v>
      </c>
      <c r="H4" s="769">
        <v>0</v>
      </c>
      <c r="I4" s="769">
        <v>0</v>
      </c>
      <c r="J4" s="769">
        <v>0</v>
      </c>
      <c r="K4" s="769">
        <v>0</v>
      </c>
      <c r="L4" s="769">
        <v>0</v>
      </c>
      <c r="M4" s="769">
        <v>0</v>
      </c>
      <c r="N4" s="769">
        <v>2</v>
      </c>
      <c r="O4" s="769">
        <v>0</v>
      </c>
      <c r="P4" s="769">
        <v>1</v>
      </c>
      <c r="Q4" s="769">
        <v>0</v>
      </c>
      <c r="R4" s="769">
        <v>4</v>
      </c>
      <c r="S4" s="770">
        <v>1548</v>
      </c>
      <c r="T4" s="771" t="s">
        <v>583</v>
      </c>
      <c r="U4" s="772" t="s">
        <v>103</v>
      </c>
      <c r="V4" s="773" t="s">
        <v>566</v>
      </c>
      <c r="W4" s="772" t="s">
        <v>565</v>
      </c>
      <c r="X4" s="772" t="s">
        <v>124</v>
      </c>
      <c r="Y4" s="774" t="s">
        <v>582</v>
      </c>
      <c r="Z4" s="775">
        <v>1</v>
      </c>
      <c r="AA4" s="775">
        <v>0</v>
      </c>
      <c r="AB4" s="775">
        <v>0</v>
      </c>
      <c r="AC4" s="776">
        <v>1</v>
      </c>
      <c r="AD4" s="775">
        <v>0</v>
      </c>
      <c r="AE4" s="775">
        <v>0</v>
      </c>
      <c r="AF4" s="775">
        <v>0</v>
      </c>
      <c r="AG4" s="776">
        <v>0</v>
      </c>
      <c r="AH4" s="775">
        <v>0</v>
      </c>
      <c r="AI4" s="775">
        <v>0</v>
      </c>
      <c r="AJ4" s="775">
        <v>0</v>
      </c>
      <c r="AK4" s="776">
        <v>0</v>
      </c>
      <c r="AL4" s="775">
        <v>1</v>
      </c>
      <c r="AM4" s="775">
        <v>0</v>
      </c>
      <c r="AN4" s="775">
        <v>0</v>
      </c>
      <c r="AO4" s="776">
        <v>1</v>
      </c>
      <c r="AU4" s="445" t="s">
        <v>255</v>
      </c>
      <c r="AV4" s="446">
        <v>1</v>
      </c>
    </row>
    <row r="5" spans="1:48" ht="14.95" customHeight="1" thickBot="1" x14ac:dyDescent="0.3">
      <c r="A5" s="719" t="s">
        <v>625</v>
      </c>
      <c r="B5" s="720" t="s">
        <v>123</v>
      </c>
      <c r="C5" s="720" t="s">
        <v>55</v>
      </c>
      <c r="D5" s="720" t="s">
        <v>626</v>
      </c>
      <c r="E5" s="721" t="s">
        <v>3</v>
      </c>
      <c r="F5" s="721">
        <v>12</v>
      </c>
      <c r="G5" s="721">
        <v>33</v>
      </c>
      <c r="H5" s="722">
        <v>0</v>
      </c>
      <c r="I5" s="722">
        <v>0</v>
      </c>
      <c r="J5" s="722">
        <v>2</v>
      </c>
      <c r="K5" s="722">
        <v>1</v>
      </c>
      <c r="L5" s="722">
        <v>0</v>
      </c>
      <c r="M5" s="722">
        <v>0</v>
      </c>
      <c r="N5" s="722">
        <v>1</v>
      </c>
      <c r="O5" s="722">
        <v>0</v>
      </c>
      <c r="P5" s="722">
        <v>1</v>
      </c>
      <c r="Q5" s="722">
        <v>0</v>
      </c>
      <c r="R5" s="722">
        <v>5</v>
      </c>
      <c r="S5" s="1062">
        <v>11214</v>
      </c>
      <c r="T5" s="724" t="s">
        <v>643</v>
      </c>
      <c r="U5" s="725" t="s">
        <v>564</v>
      </c>
      <c r="V5" s="726" t="s">
        <v>565</v>
      </c>
      <c r="W5" s="725" t="s">
        <v>566</v>
      </c>
      <c r="X5" s="725" t="s">
        <v>142</v>
      </c>
      <c r="Y5" s="725" t="s">
        <v>144</v>
      </c>
      <c r="Z5" s="727">
        <v>1</v>
      </c>
      <c r="AA5" s="727">
        <v>0</v>
      </c>
      <c r="AB5" s="727">
        <v>0</v>
      </c>
      <c r="AC5" s="728">
        <v>1</v>
      </c>
      <c r="AD5" s="727">
        <v>0</v>
      </c>
      <c r="AE5" s="727">
        <v>0</v>
      </c>
      <c r="AF5" s="727">
        <v>0</v>
      </c>
      <c r="AG5" s="728">
        <v>0</v>
      </c>
      <c r="AH5" s="727">
        <v>1</v>
      </c>
      <c r="AI5" s="727">
        <v>0</v>
      </c>
      <c r="AJ5" s="727">
        <v>0</v>
      </c>
      <c r="AK5" s="728">
        <v>1</v>
      </c>
      <c r="AL5" s="727">
        <v>0</v>
      </c>
      <c r="AM5" s="727">
        <v>0</v>
      </c>
      <c r="AN5" s="727">
        <v>0</v>
      </c>
      <c r="AO5" s="728">
        <v>0</v>
      </c>
      <c r="AU5" s="445" t="s">
        <v>256</v>
      </c>
      <c r="AV5" s="446">
        <v>17</v>
      </c>
    </row>
    <row r="6" spans="1:48" ht="14.95" customHeight="1" thickBot="1" x14ac:dyDescent="0.3">
      <c r="A6" s="766"/>
      <c r="B6" s="767"/>
      <c r="C6" s="767"/>
      <c r="D6" s="767"/>
      <c r="E6" s="768"/>
      <c r="F6" s="768"/>
      <c r="G6" s="768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81"/>
      <c r="T6" s="771"/>
      <c r="U6" s="772"/>
      <c r="V6" s="773"/>
      <c r="W6" s="773"/>
      <c r="X6" s="772"/>
      <c r="Y6" s="774"/>
      <c r="Z6" s="775"/>
      <c r="AA6" s="775"/>
      <c r="AB6" s="775"/>
      <c r="AC6" s="776"/>
      <c r="AD6" s="775"/>
      <c r="AE6" s="775"/>
      <c r="AF6" s="775"/>
      <c r="AG6" s="776"/>
      <c r="AH6" s="775"/>
      <c r="AI6" s="775"/>
      <c r="AJ6" s="775"/>
      <c r="AK6" s="776"/>
      <c r="AL6" s="775"/>
      <c r="AM6" s="775"/>
      <c r="AN6" s="775"/>
      <c r="AO6" s="776"/>
      <c r="AU6" s="445" t="s">
        <v>257</v>
      </c>
      <c r="AV6" s="446">
        <v>756</v>
      </c>
    </row>
    <row r="7" spans="1:48" ht="14.95" customHeight="1" thickBot="1" x14ac:dyDescent="0.3">
      <c r="A7" s="151" t="s">
        <v>244</v>
      </c>
      <c r="B7" s="152"/>
      <c r="C7" s="152"/>
      <c r="D7" s="152"/>
      <c r="E7" s="153"/>
      <c r="F7" s="153"/>
      <c r="G7" s="153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535"/>
      <c r="T7" s="159"/>
      <c r="U7" s="157"/>
      <c r="V7" s="155"/>
      <c r="W7" s="155"/>
      <c r="X7" s="157"/>
      <c r="Y7" s="348"/>
      <c r="Z7" s="154"/>
      <c r="AA7" s="154"/>
      <c r="AB7" s="154"/>
      <c r="AC7" s="451"/>
      <c r="AD7" s="154"/>
      <c r="AE7" s="154"/>
      <c r="AF7" s="154"/>
      <c r="AG7" s="451"/>
      <c r="AH7" s="154"/>
      <c r="AI7" s="154"/>
      <c r="AJ7" s="154"/>
      <c r="AK7" s="451"/>
      <c r="AL7" s="154"/>
      <c r="AM7" s="154"/>
      <c r="AN7" s="154"/>
      <c r="AO7" s="451"/>
    </row>
    <row r="8" spans="1:48" ht="14.95" customHeight="1" thickBot="1" x14ac:dyDescent="0.3">
      <c r="A8" s="163" t="s">
        <v>266</v>
      </c>
      <c r="B8" s="164"/>
      <c r="C8" s="164"/>
      <c r="D8" s="164"/>
      <c r="E8" s="165"/>
      <c r="F8" s="165"/>
      <c r="G8" s="165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543"/>
      <c r="T8" s="167"/>
      <c r="U8" s="168"/>
      <c r="V8" s="166"/>
      <c r="W8" s="166"/>
      <c r="X8" s="166"/>
      <c r="Y8" s="349"/>
      <c r="Z8" s="169"/>
      <c r="AA8" s="169"/>
      <c r="AB8" s="169"/>
      <c r="AC8" s="316"/>
      <c r="AD8" s="169"/>
      <c r="AE8" s="169"/>
      <c r="AF8" s="169"/>
      <c r="AG8" s="316"/>
      <c r="AH8" s="169"/>
      <c r="AI8" s="169"/>
      <c r="AJ8" s="169"/>
      <c r="AK8" s="316"/>
      <c r="AL8" s="169"/>
      <c r="AM8" s="169"/>
      <c r="AN8" s="169"/>
      <c r="AO8" s="316"/>
    </row>
    <row r="9" spans="1:48" ht="14.95" customHeight="1" thickBot="1" x14ac:dyDescent="0.3">
      <c r="A9" s="163" t="s">
        <v>154</v>
      </c>
      <c r="B9" s="164"/>
      <c r="C9" s="164"/>
      <c r="D9" s="164"/>
      <c r="E9" s="165"/>
      <c r="F9" s="165"/>
      <c r="G9" s="165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543"/>
      <c r="T9" s="390"/>
      <c r="U9" s="168"/>
      <c r="V9" s="166"/>
      <c r="W9" s="166"/>
      <c r="X9" s="166"/>
      <c r="Y9" s="349"/>
      <c r="Z9" s="169"/>
      <c r="AA9" s="169"/>
      <c r="AB9" s="169"/>
      <c r="AC9" s="316"/>
      <c r="AD9" s="169"/>
      <c r="AE9" s="169"/>
      <c r="AF9" s="169"/>
      <c r="AG9" s="316"/>
      <c r="AH9" s="169"/>
      <c r="AI9" s="169"/>
      <c r="AJ9" s="169"/>
      <c r="AK9" s="316"/>
      <c r="AL9" s="169"/>
      <c r="AM9" s="169"/>
      <c r="AN9" s="169"/>
      <c r="AO9" s="316"/>
    </row>
    <row r="10" spans="1:48" ht="14.95" customHeight="1" thickBot="1" x14ac:dyDescent="0.35">
      <c r="A10" s="191" t="s">
        <v>160</v>
      </c>
      <c r="B10" s="192"/>
      <c r="C10" s="192"/>
      <c r="D10" s="192"/>
      <c r="E10" s="130"/>
      <c r="F10" s="130"/>
      <c r="G10" s="130"/>
      <c r="H10" s="359"/>
      <c r="I10" s="359"/>
      <c r="J10" s="359"/>
      <c r="K10" s="343"/>
      <c r="L10" s="359"/>
      <c r="M10" s="359"/>
      <c r="N10" s="359"/>
      <c r="O10" s="359"/>
      <c r="P10" s="359"/>
      <c r="Q10" s="359"/>
      <c r="R10" s="359"/>
      <c r="S10" s="359"/>
      <c r="T10" s="334"/>
      <c r="U10" s="176"/>
      <c r="V10" s="176"/>
      <c r="W10" s="176"/>
      <c r="X10" s="176"/>
      <c r="Y10" s="176"/>
      <c r="Z10" s="176"/>
      <c r="AA10" s="176"/>
      <c r="AB10" s="176"/>
      <c r="AC10" s="315"/>
      <c r="AD10" s="176"/>
      <c r="AE10" s="176"/>
      <c r="AF10" s="176"/>
      <c r="AG10" s="315"/>
      <c r="AH10" s="176"/>
      <c r="AI10" s="176"/>
      <c r="AJ10" s="176"/>
      <c r="AK10" s="315"/>
      <c r="AL10" s="176"/>
      <c r="AM10" s="176"/>
      <c r="AN10" s="176"/>
      <c r="AO10" s="315"/>
    </row>
    <row r="11" spans="1:48" ht="14.95" customHeight="1" thickBot="1" x14ac:dyDescent="0.35">
      <c r="A11" s="191" t="s">
        <v>157</v>
      </c>
      <c r="B11" s="192"/>
      <c r="C11" s="192"/>
      <c r="D11" s="192"/>
      <c r="E11" s="130"/>
      <c r="F11" s="130"/>
      <c r="G11" s="130"/>
      <c r="H11" s="359"/>
      <c r="I11" s="359"/>
      <c r="J11" s="359"/>
      <c r="K11" s="359"/>
      <c r="L11" s="343"/>
      <c r="M11" s="343"/>
      <c r="N11" s="343"/>
      <c r="O11" s="343"/>
      <c r="P11" s="343"/>
      <c r="Q11" s="343"/>
      <c r="R11" s="343"/>
      <c r="S11" s="359"/>
      <c r="T11" s="346"/>
      <c r="U11" s="179"/>
      <c r="V11" s="179"/>
      <c r="W11" s="179"/>
      <c r="X11" s="179"/>
      <c r="Y11" s="181"/>
      <c r="Z11" s="176"/>
      <c r="AA11" s="176"/>
      <c r="AB11" s="176"/>
      <c r="AC11" s="315"/>
      <c r="AD11" s="176"/>
      <c r="AE11" s="176"/>
      <c r="AF11" s="176"/>
      <c r="AG11" s="315"/>
      <c r="AH11" s="176"/>
      <c r="AI11" s="176"/>
      <c r="AJ11" s="176"/>
      <c r="AK11" s="315"/>
      <c r="AL11" s="176"/>
      <c r="AM11" s="176"/>
      <c r="AN11" s="176"/>
      <c r="AO11" s="315"/>
    </row>
    <row r="12" spans="1:48" ht="14.95" customHeight="1" thickBot="1" x14ac:dyDescent="0.3">
      <c r="A12" s="291" t="s">
        <v>136</v>
      </c>
      <c r="B12" s="160"/>
      <c r="C12" s="160"/>
      <c r="D12" s="160"/>
      <c r="E12" s="153"/>
      <c r="F12" s="153"/>
      <c r="G12" s="153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161"/>
      <c r="U12" s="154"/>
      <c r="V12" s="154"/>
      <c r="W12" s="154"/>
      <c r="X12" s="154"/>
      <c r="Y12" s="451"/>
      <c r="Z12" s="154"/>
      <c r="AA12" s="154"/>
      <c r="AB12" s="154"/>
      <c r="AC12" s="451"/>
      <c r="AD12" s="154"/>
      <c r="AE12" s="154"/>
      <c r="AF12" s="154"/>
      <c r="AG12" s="451"/>
      <c r="AH12" s="154"/>
      <c r="AI12" s="154"/>
      <c r="AJ12" s="154"/>
      <c r="AK12" s="451"/>
      <c r="AL12" s="154"/>
      <c r="AM12" s="154"/>
      <c r="AN12" s="154"/>
      <c r="AO12" s="451"/>
    </row>
    <row r="13" spans="1:48" ht="14.95" thickBot="1" x14ac:dyDescent="0.3">
      <c r="A13" s="191" t="s">
        <v>295</v>
      </c>
      <c r="B13" s="192"/>
      <c r="C13" s="192"/>
      <c r="D13" s="192"/>
      <c r="E13" s="130"/>
      <c r="F13" s="175"/>
      <c r="G13" s="175"/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562"/>
      <c r="T13" s="194"/>
      <c r="U13" s="176"/>
      <c r="V13" s="176"/>
      <c r="W13" s="176"/>
      <c r="X13" s="176"/>
      <c r="Y13" s="315"/>
      <c r="Z13" s="176"/>
      <c r="AA13" s="176"/>
      <c r="AB13" s="176"/>
      <c r="AC13" s="315"/>
      <c r="AD13" s="176"/>
      <c r="AE13" s="176"/>
      <c r="AF13" s="176"/>
      <c r="AG13" s="315"/>
      <c r="AH13" s="176"/>
      <c r="AI13" s="176"/>
      <c r="AJ13" s="176"/>
      <c r="AK13" s="315"/>
      <c r="AL13" s="176"/>
      <c r="AM13" s="176"/>
      <c r="AN13" s="176"/>
      <c r="AO13" s="315"/>
    </row>
    <row r="14" spans="1:48" ht="14.95" thickBot="1" x14ac:dyDescent="0.3">
      <c r="A14" s="100"/>
      <c r="B14" s="101"/>
      <c r="C14" s="870" t="s">
        <v>567</v>
      </c>
      <c r="D14" s="871"/>
      <c r="E14" s="872"/>
      <c r="F14" s="777">
        <f>SUM(F4:F6)</f>
        <v>12</v>
      </c>
      <c r="G14" s="777">
        <f t="shared" ref="G14:R14" si="0">SUM(G4:G6)</f>
        <v>57</v>
      </c>
      <c r="H14" s="777">
        <f t="shared" si="0"/>
        <v>0</v>
      </c>
      <c r="I14" s="777">
        <f t="shared" si="0"/>
        <v>0</v>
      </c>
      <c r="J14" s="777">
        <f t="shared" si="0"/>
        <v>2</v>
      </c>
      <c r="K14" s="777">
        <f t="shared" si="0"/>
        <v>1</v>
      </c>
      <c r="L14" s="777">
        <f t="shared" si="0"/>
        <v>0</v>
      </c>
      <c r="M14" s="777">
        <f t="shared" si="0"/>
        <v>0</v>
      </c>
      <c r="N14" s="777">
        <f t="shared" si="0"/>
        <v>3</v>
      </c>
      <c r="O14" s="777">
        <f t="shared" si="0"/>
        <v>0</v>
      </c>
      <c r="P14" s="777">
        <f t="shared" si="0"/>
        <v>2</v>
      </c>
      <c r="Q14" s="777">
        <f t="shared" si="0"/>
        <v>0</v>
      </c>
      <c r="R14" s="777">
        <f t="shared" si="0"/>
        <v>9</v>
      </c>
      <c r="S14" s="778"/>
      <c r="T14" s="738"/>
      <c r="U14" s="738"/>
      <c r="V14" s="738"/>
      <c r="W14" s="738"/>
      <c r="X14" s="739"/>
      <c r="Y14" s="740" t="s">
        <v>567</v>
      </c>
      <c r="Z14" s="777">
        <f t="shared" ref="Z14:AO14" si="1">SUM(Z4:Z6)</f>
        <v>2</v>
      </c>
      <c r="AA14" s="777">
        <f t="shared" si="1"/>
        <v>0</v>
      </c>
      <c r="AB14" s="777">
        <f t="shared" si="1"/>
        <v>0</v>
      </c>
      <c r="AC14" s="777">
        <f t="shared" si="1"/>
        <v>2</v>
      </c>
      <c r="AD14" s="779">
        <f t="shared" si="1"/>
        <v>0</v>
      </c>
      <c r="AE14" s="779">
        <f t="shared" si="1"/>
        <v>0</v>
      </c>
      <c r="AF14" s="779">
        <f t="shared" si="1"/>
        <v>0</v>
      </c>
      <c r="AG14" s="779">
        <f t="shared" si="1"/>
        <v>0</v>
      </c>
      <c r="AH14" s="780">
        <f t="shared" si="1"/>
        <v>1</v>
      </c>
      <c r="AI14" s="780">
        <f t="shared" si="1"/>
        <v>0</v>
      </c>
      <c r="AJ14" s="780">
        <f t="shared" si="1"/>
        <v>0</v>
      </c>
      <c r="AK14" s="780">
        <f t="shared" si="1"/>
        <v>1</v>
      </c>
      <c r="AL14" s="777">
        <f t="shared" si="1"/>
        <v>1</v>
      </c>
      <c r="AM14" s="777">
        <f t="shared" si="1"/>
        <v>0</v>
      </c>
      <c r="AN14" s="777">
        <f t="shared" si="1"/>
        <v>0</v>
      </c>
      <c r="AO14" s="777">
        <f t="shared" si="1"/>
        <v>1</v>
      </c>
    </row>
    <row r="15" spans="1:48" ht="14.95" thickBot="1" x14ac:dyDescent="0.3">
      <c r="A15" s="100"/>
      <c r="B15" s="101"/>
      <c r="C15" s="808" t="s">
        <v>500</v>
      </c>
      <c r="D15" s="809"/>
      <c r="E15" s="810"/>
      <c r="F15" s="393">
        <f>SUM(F10:F13)</f>
        <v>0</v>
      </c>
      <c r="G15" s="393">
        <f t="shared" ref="G15:R15" si="2">SUM(G10:G13)</f>
        <v>0</v>
      </c>
      <c r="H15" s="393">
        <f t="shared" si="2"/>
        <v>0</v>
      </c>
      <c r="I15" s="393">
        <f t="shared" si="2"/>
        <v>0</v>
      </c>
      <c r="J15" s="393">
        <f t="shared" si="2"/>
        <v>0</v>
      </c>
      <c r="K15" s="393">
        <f t="shared" si="2"/>
        <v>0</v>
      </c>
      <c r="L15" s="393">
        <f t="shared" si="2"/>
        <v>0</v>
      </c>
      <c r="M15" s="393">
        <f t="shared" si="2"/>
        <v>0</v>
      </c>
      <c r="N15" s="393">
        <f t="shared" si="2"/>
        <v>0</v>
      </c>
      <c r="O15" s="393">
        <f t="shared" si="2"/>
        <v>0</v>
      </c>
      <c r="P15" s="393">
        <f t="shared" si="2"/>
        <v>0</v>
      </c>
      <c r="Q15" s="393">
        <f t="shared" si="2"/>
        <v>0</v>
      </c>
      <c r="R15" s="393">
        <f t="shared" si="2"/>
        <v>0</v>
      </c>
      <c r="S15" s="571"/>
      <c r="T15" s="394"/>
      <c r="U15" s="394"/>
      <c r="V15" s="394"/>
      <c r="W15" s="394"/>
      <c r="X15" s="395"/>
      <c r="Y15" s="808" t="s">
        <v>500</v>
      </c>
      <c r="Z15" s="809"/>
      <c r="AA15" s="810"/>
      <c r="AB15" s="393">
        <f t="shared" ref="AB15:AO15" si="3">SUM(AB10:AB13)</f>
        <v>0</v>
      </c>
      <c r="AC15" s="393">
        <f t="shared" si="3"/>
        <v>0</v>
      </c>
      <c r="AD15" s="397">
        <f t="shared" si="3"/>
        <v>0</v>
      </c>
      <c r="AE15" s="397">
        <f t="shared" si="3"/>
        <v>0</v>
      </c>
      <c r="AF15" s="397">
        <f t="shared" si="3"/>
        <v>0</v>
      </c>
      <c r="AG15" s="397">
        <f t="shared" si="3"/>
        <v>0</v>
      </c>
      <c r="AH15" s="398">
        <f t="shared" si="3"/>
        <v>0</v>
      </c>
      <c r="AI15" s="398">
        <f t="shared" si="3"/>
        <v>0</v>
      </c>
      <c r="AJ15" s="398">
        <f t="shared" si="3"/>
        <v>0</v>
      </c>
      <c r="AK15" s="398">
        <f t="shared" si="3"/>
        <v>0</v>
      </c>
      <c r="AL15" s="393">
        <f t="shared" si="3"/>
        <v>0</v>
      </c>
      <c r="AM15" s="393">
        <f t="shared" si="3"/>
        <v>0</v>
      </c>
      <c r="AN15" s="393">
        <f t="shared" si="3"/>
        <v>0</v>
      </c>
      <c r="AO15" s="393">
        <f t="shared" si="3"/>
        <v>0</v>
      </c>
    </row>
    <row r="16" spans="1:48" ht="14.95" thickBot="1" x14ac:dyDescent="0.3">
      <c r="A16" s="100"/>
      <c r="B16" s="101"/>
      <c r="C16" s="800" t="s">
        <v>70</v>
      </c>
      <c r="D16" s="801"/>
      <c r="E16" s="802"/>
      <c r="F16" s="124">
        <f>SUM(F3:F13)</f>
        <v>45</v>
      </c>
      <c r="G16" s="124">
        <f t="shared" ref="G16:R16" si="4">SUM(G3:G13)</f>
        <v>72</v>
      </c>
      <c r="H16" s="124">
        <f t="shared" si="4"/>
        <v>0</v>
      </c>
      <c r="I16" s="124">
        <f t="shared" si="4"/>
        <v>0</v>
      </c>
      <c r="J16" s="124">
        <f t="shared" si="4"/>
        <v>7</v>
      </c>
      <c r="K16" s="124">
        <f t="shared" si="4"/>
        <v>5</v>
      </c>
      <c r="L16" s="124">
        <f t="shared" si="4"/>
        <v>0</v>
      </c>
      <c r="M16" s="124">
        <f t="shared" si="4"/>
        <v>0</v>
      </c>
      <c r="N16" s="124">
        <f t="shared" si="4"/>
        <v>4</v>
      </c>
      <c r="O16" s="124">
        <f t="shared" si="4"/>
        <v>0</v>
      </c>
      <c r="P16" s="124">
        <f t="shared" si="4"/>
        <v>2</v>
      </c>
      <c r="Q16" s="124">
        <f t="shared" si="4"/>
        <v>0</v>
      </c>
      <c r="R16" s="124">
        <f t="shared" si="4"/>
        <v>11</v>
      </c>
      <c r="S16" s="572"/>
      <c r="T16" s="187"/>
      <c r="U16" s="187"/>
      <c r="V16" s="187"/>
      <c r="W16" s="187"/>
      <c r="X16" s="12"/>
      <c r="Y16" s="129" t="s">
        <v>70</v>
      </c>
      <c r="Z16" s="124">
        <f t="shared" ref="Z16:AO16" si="5">SUM(Z3:Z13)</f>
        <v>3</v>
      </c>
      <c r="AA16" s="124">
        <f t="shared" si="5"/>
        <v>1</v>
      </c>
      <c r="AB16" s="124">
        <f t="shared" si="5"/>
        <v>0</v>
      </c>
      <c r="AC16" s="124">
        <f t="shared" si="5"/>
        <v>2</v>
      </c>
      <c r="AD16" s="122">
        <f t="shared" si="5"/>
        <v>1</v>
      </c>
      <c r="AE16" s="122">
        <f t="shared" si="5"/>
        <v>1</v>
      </c>
      <c r="AF16" s="122">
        <f t="shared" si="5"/>
        <v>0</v>
      </c>
      <c r="AG16" s="122">
        <f t="shared" si="5"/>
        <v>0</v>
      </c>
      <c r="AH16" s="123">
        <f t="shared" si="5"/>
        <v>1</v>
      </c>
      <c r="AI16" s="123">
        <f t="shared" si="5"/>
        <v>0</v>
      </c>
      <c r="AJ16" s="123">
        <f t="shared" si="5"/>
        <v>0</v>
      </c>
      <c r="AK16" s="123">
        <f t="shared" si="5"/>
        <v>1</v>
      </c>
      <c r="AL16" s="124">
        <f t="shared" si="5"/>
        <v>1</v>
      </c>
      <c r="AM16" s="124">
        <f t="shared" si="5"/>
        <v>0</v>
      </c>
      <c r="AN16" s="124">
        <f t="shared" si="5"/>
        <v>0</v>
      </c>
      <c r="AO16" s="124">
        <f t="shared" si="5"/>
        <v>1</v>
      </c>
    </row>
    <row r="17" spans="1:41" x14ac:dyDescent="0.25">
      <c r="A17" s="789"/>
      <c r="B17" s="790"/>
      <c r="C17" s="790"/>
      <c r="D17" s="790"/>
      <c r="E17" s="790"/>
      <c r="F17" s="790"/>
      <c r="G17" s="790"/>
      <c r="H17" s="790"/>
      <c r="I17" s="790"/>
      <c r="J17" s="790"/>
      <c r="K17" s="790"/>
      <c r="L17" s="790"/>
      <c r="M17" s="790"/>
      <c r="N17" s="790"/>
      <c r="O17" s="790"/>
      <c r="P17" s="790"/>
      <c r="Q17" s="790"/>
      <c r="R17" s="790"/>
      <c r="S17" s="790"/>
      <c r="T17" s="790"/>
      <c r="U17" s="790"/>
      <c r="V17" s="790"/>
      <c r="W17" s="790"/>
      <c r="X17" s="790"/>
      <c r="Y17" s="790"/>
      <c r="Z17" s="790"/>
      <c r="AA17" s="790"/>
      <c r="AB17" s="790"/>
      <c r="AC17" s="790"/>
      <c r="AD17" s="790"/>
      <c r="AE17" s="790"/>
      <c r="AF17" s="790"/>
      <c r="AG17" s="790"/>
      <c r="AH17" s="790"/>
      <c r="AI17" s="790"/>
      <c r="AJ17" s="790"/>
      <c r="AK17" s="790"/>
      <c r="AL17" s="790"/>
      <c r="AM17" s="790"/>
      <c r="AN17" s="790"/>
      <c r="AO17" s="790"/>
    </row>
    <row r="18" spans="1:41" x14ac:dyDescent="0.25">
      <c r="A18" s="1050" t="s">
        <v>631</v>
      </c>
    </row>
    <row r="21" spans="1:41" x14ac:dyDescent="0.25">
      <c r="A21" s="564"/>
    </row>
    <row r="22" spans="1:41" x14ac:dyDescent="0.25">
      <c r="A22" s="789" t="s">
        <v>584</v>
      </c>
      <c r="B22" s="790"/>
      <c r="C22" s="790"/>
      <c r="D22" s="790"/>
      <c r="E22" s="790"/>
      <c r="F22" s="790"/>
      <c r="G22" s="790"/>
      <c r="H22" s="790"/>
      <c r="I22" s="790"/>
      <c r="J22" s="790"/>
      <c r="K22" s="790"/>
      <c r="L22" s="790"/>
      <c r="M22" s="790"/>
      <c r="N22" s="790"/>
      <c r="O22" s="790"/>
      <c r="P22" s="790"/>
      <c r="Q22" s="790"/>
      <c r="R22" s="790"/>
      <c r="S22" s="790"/>
      <c r="T22" s="790"/>
      <c r="U22" s="790"/>
      <c r="V22" s="790"/>
      <c r="W22" s="790"/>
      <c r="X22" s="790"/>
      <c r="Y22" s="790"/>
      <c r="Z22" s="790"/>
      <c r="AA22" s="790"/>
      <c r="AB22" s="790"/>
      <c r="AC22" s="790"/>
      <c r="AD22" s="790"/>
      <c r="AE22" s="790"/>
      <c r="AF22" s="790"/>
      <c r="AG22" s="790"/>
      <c r="AH22" s="790"/>
      <c r="AI22" s="790"/>
      <c r="AJ22" s="790"/>
      <c r="AK22" s="790"/>
      <c r="AL22" s="790"/>
      <c r="AM22" s="790"/>
      <c r="AN22" s="790"/>
      <c r="AO22" s="790"/>
    </row>
    <row r="23" spans="1:41" x14ac:dyDescent="0.25">
      <c r="A23" s="789"/>
      <c r="B23" s="790"/>
      <c r="C23" s="790"/>
      <c r="D23" s="790"/>
      <c r="E23" s="790"/>
      <c r="F23" s="790"/>
      <c r="G23" s="790"/>
      <c r="H23" s="790"/>
      <c r="I23" s="790"/>
      <c r="J23" s="790"/>
      <c r="K23" s="790"/>
      <c r="L23" s="790"/>
      <c r="M23" s="790"/>
      <c r="N23" s="790"/>
      <c r="O23" s="790"/>
      <c r="P23" s="790"/>
      <c r="Q23" s="790"/>
      <c r="R23" s="790"/>
      <c r="S23" s="790"/>
    </row>
    <row r="24" spans="1:41" x14ac:dyDescent="0.25">
      <c r="A24" t="s">
        <v>74</v>
      </c>
    </row>
    <row r="25" spans="1:41" x14ac:dyDescent="0.25">
      <c r="A25" s="292"/>
      <c r="B25" s="69" t="s">
        <v>40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 x14ac:dyDescent="0.25">
      <c r="A26" s="293"/>
      <c r="B26" s="69" t="s">
        <v>38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  <row r="27" spans="1:41" x14ac:dyDescent="0.25">
      <c r="A27" s="294"/>
      <c r="B27" s="69" t="s">
        <v>39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</row>
    <row r="28" spans="1:41" ht="16.3" x14ac:dyDescent="0.3">
      <c r="A28" s="579" t="s">
        <v>28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</row>
  </sheetData>
  <mergeCells count="17">
    <mergeCell ref="Z1:AC1"/>
    <mergeCell ref="AD1:AG1"/>
    <mergeCell ref="AH1:AK1"/>
    <mergeCell ref="AL1:AO1"/>
    <mergeCell ref="C14:E14"/>
    <mergeCell ref="A1:C1"/>
    <mergeCell ref="E1:G1"/>
    <mergeCell ref="H1:I1"/>
    <mergeCell ref="J1:M1"/>
    <mergeCell ref="N1:O1"/>
    <mergeCell ref="P1:R1"/>
    <mergeCell ref="A22:AO22"/>
    <mergeCell ref="A23:S23"/>
    <mergeCell ref="C16:E16"/>
    <mergeCell ref="A17:AO17"/>
    <mergeCell ref="C15:E15"/>
    <mergeCell ref="Y15:AA15"/>
  </mergeCells>
  <pageMargins left="0.7" right="0.7" top="0.75" bottom="0.75" header="0.3" footer="0.3"/>
  <pageSetup paperSize="9" orientation="portrait" r:id="rId1"/>
  <ignoredErrors>
    <ignoredError sqref="T14:X14 F14:R14 T15:X15 F15:S15 AB15:AO15 Z14:AO14" formulaRange="1"/>
    <ignoredError sqref="T5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BD4D-CA3A-4FF2-B229-B36F1858B7E1}">
  <dimension ref="A1:AV23"/>
  <sheetViews>
    <sheetView workbookViewId="0">
      <selection activeCell="A23" sqref="A23"/>
    </sheetView>
  </sheetViews>
  <sheetFormatPr defaultRowHeight="14.3" x14ac:dyDescent="0.25"/>
  <cols>
    <col min="1" max="1" width="7.5" customWidth="1"/>
    <col min="2" max="2" width="5.5" customWidth="1"/>
    <col min="3" max="3" width="11.375" bestFit="1" customWidth="1"/>
    <col min="4" max="4" width="4.125" customWidth="1"/>
    <col min="5" max="13" width="3.75" customWidth="1"/>
    <col min="14" max="14" width="4" customWidth="1"/>
    <col min="15" max="18" width="3.75" customWidth="1"/>
    <col min="19" max="19" width="7.125" customWidth="1"/>
    <col min="20" max="20" width="6.25" customWidth="1"/>
    <col min="21" max="21" width="22.125" bestFit="1" customWidth="1"/>
    <col min="22" max="22" width="17.375" bestFit="1" customWidth="1"/>
    <col min="23" max="23" width="21.625" bestFit="1" customWidth="1"/>
    <col min="24" max="24" width="19.375" bestFit="1" customWidth="1"/>
    <col min="25" max="25" width="24.3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887" t="s">
        <v>555</v>
      </c>
      <c r="B1" s="888"/>
      <c r="C1" s="888"/>
      <c r="D1" s="411"/>
      <c r="E1" s="889" t="s">
        <v>24</v>
      </c>
      <c r="F1" s="890"/>
      <c r="G1" s="891"/>
      <c r="H1" s="889" t="s">
        <v>73</v>
      </c>
      <c r="I1" s="891"/>
      <c r="J1" s="892" t="s">
        <v>6</v>
      </c>
      <c r="K1" s="893"/>
      <c r="L1" s="893"/>
      <c r="M1" s="894"/>
      <c r="N1" s="892" t="s">
        <v>7</v>
      </c>
      <c r="O1" s="894"/>
      <c r="P1" s="892" t="s">
        <v>25</v>
      </c>
      <c r="Q1" s="893"/>
      <c r="R1" s="894"/>
      <c r="S1" s="531" t="s">
        <v>8</v>
      </c>
      <c r="T1" s="412" t="s">
        <v>9</v>
      </c>
      <c r="U1" s="413" t="s">
        <v>10</v>
      </c>
      <c r="V1" s="413" t="s">
        <v>11</v>
      </c>
      <c r="W1" s="413" t="s">
        <v>95</v>
      </c>
      <c r="X1" s="413" t="s">
        <v>26</v>
      </c>
      <c r="Y1" s="413" t="s">
        <v>27</v>
      </c>
      <c r="Z1" s="881" t="s">
        <v>20</v>
      </c>
      <c r="AA1" s="882"/>
      <c r="AB1" s="882"/>
      <c r="AC1" s="883"/>
      <c r="AD1" s="881" t="s">
        <v>56</v>
      </c>
      <c r="AE1" s="882"/>
      <c r="AF1" s="882"/>
      <c r="AG1" s="883"/>
      <c r="AH1" s="881" t="s">
        <v>57</v>
      </c>
      <c r="AI1" s="882"/>
      <c r="AJ1" s="882"/>
      <c r="AK1" s="883"/>
      <c r="AL1" s="881" t="s">
        <v>58</v>
      </c>
      <c r="AM1" s="882"/>
      <c r="AN1" s="882"/>
      <c r="AO1" s="883"/>
    </row>
    <row r="2" spans="1:48" ht="14.95" customHeight="1" thickBot="1" x14ac:dyDescent="0.3">
      <c r="A2" s="414" t="s">
        <v>19</v>
      </c>
      <c r="B2" s="410" t="s">
        <v>18</v>
      </c>
      <c r="C2" s="415" t="s">
        <v>17</v>
      </c>
      <c r="D2" s="415" t="s">
        <v>37</v>
      </c>
      <c r="E2" s="416" t="s">
        <v>16</v>
      </c>
      <c r="F2" s="416" t="s">
        <v>4</v>
      </c>
      <c r="G2" s="416" t="s">
        <v>5</v>
      </c>
      <c r="H2" s="417" t="s">
        <v>12</v>
      </c>
      <c r="I2" s="417" t="s">
        <v>3</v>
      </c>
      <c r="J2" s="417" t="s">
        <v>12</v>
      </c>
      <c r="K2" s="417" t="s">
        <v>13</v>
      </c>
      <c r="L2" s="417" t="s">
        <v>2</v>
      </c>
      <c r="M2" s="417" t="s">
        <v>14</v>
      </c>
      <c r="N2" s="417" t="s">
        <v>15</v>
      </c>
      <c r="O2" s="417" t="s">
        <v>16</v>
      </c>
      <c r="P2" s="417" t="s">
        <v>21</v>
      </c>
      <c r="Q2" s="417" t="s">
        <v>22</v>
      </c>
      <c r="R2" s="417" t="s">
        <v>12</v>
      </c>
      <c r="S2" s="416"/>
      <c r="T2" s="418"/>
      <c r="U2" s="419"/>
      <c r="V2" s="420"/>
      <c r="W2" s="420"/>
      <c r="X2" s="413"/>
      <c r="Y2" s="421"/>
      <c r="Z2" s="422" t="s">
        <v>0</v>
      </c>
      <c r="AA2" s="422" t="s">
        <v>1</v>
      </c>
      <c r="AB2" s="422" t="s">
        <v>2</v>
      </c>
      <c r="AC2" s="422" t="s">
        <v>3</v>
      </c>
      <c r="AD2" s="422" t="s">
        <v>0</v>
      </c>
      <c r="AE2" s="422" t="s">
        <v>1</v>
      </c>
      <c r="AF2" s="422" t="s">
        <v>2</v>
      </c>
      <c r="AG2" s="422" t="s">
        <v>3</v>
      </c>
      <c r="AH2" s="422" t="s">
        <v>0</v>
      </c>
      <c r="AI2" s="422" t="s">
        <v>1</v>
      </c>
      <c r="AJ2" s="422" t="s">
        <v>2</v>
      </c>
      <c r="AK2" s="422" t="s">
        <v>3</v>
      </c>
      <c r="AL2" s="422" t="s">
        <v>0</v>
      </c>
      <c r="AM2" s="422" t="s">
        <v>1</v>
      </c>
      <c r="AN2" s="422" t="s">
        <v>2</v>
      </c>
      <c r="AO2" s="422" t="s">
        <v>3</v>
      </c>
      <c r="AU2" s="69" t="s">
        <v>258</v>
      </c>
    </row>
    <row r="3" spans="1:48" ht="14.95" customHeight="1" thickBot="1" x14ac:dyDescent="0.3">
      <c r="A3" s="151" t="s">
        <v>216</v>
      </c>
      <c r="B3" s="152" t="s">
        <v>128</v>
      </c>
      <c r="C3" s="152" t="s">
        <v>168</v>
      </c>
      <c r="D3" s="152" t="s">
        <v>278</v>
      </c>
      <c r="E3" s="153" t="s">
        <v>1</v>
      </c>
      <c r="F3" s="153">
        <v>19</v>
      </c>
      <c r="G3" s="153">
        <v>12</v>
      </c>
      <c r="H3" s="345" t="s">
        <v>69</v>
      </c>
      <c r="I3" s="345" t="s">
        <v>69</v>
      </c>
      <c r="J3" s="345">
        <v>3</v>
      </c>
      <c r="K3" s="345">
        <v>2</v>
      </c>
      <c r="L3" s="345">
        <v>0</v>
      </c>
      <c r="M3" s="345">
        <v>0</v>
      </c>
      <c r="N3" s="345">
        <v>1</v>
      </c>
      <c r="O3" s="345">
        <v>0</v>
      </c>
      <c r="P3" s="345" t="s">
        <v>69</v>
      </c>
      <c r="Q3" s="345" t="s">
        <v>69</v>
      </c>
      <c r="R3" s="345">
        <v>2</v>
      </c>
      <c r="S3" s="535"/>
      <c r="T3" s="457" t="s">
        <v>279</v>
      </c>
      <c r="U3" s="157" t="s">
        <v>102</v>
      </c>
      <c r="V3" s="155" t="s">
        <v>92</v>
      </c>
      <c r="W3" s="155" t="s">
        <v>92</v>
      </c>
      <c r="X3" s="154" t="s">
        <v>98</v>
      </c>
      <c r="Y3" s="348" t="s">
        <v>110</v>
      </c>
      <c r="Z3" s="154">
        <v>1</v>
      </c>
      <c r="AA3" s="154">
        <v>1</v>
      </c>
      <c r="AB3" s="154">
        <v>0</v>
      </c>
      <c r="AC3" s="451">
        <v>0</v>
      </c>
      <c r="AD3" s="154">
        <v>0</v>
      </c>
      <c r="AE3" s="154">
        <v>0</v>
      </c>
      <c r="AF3" s="154">
        <v>0</v>
      </c>
      <c r="AG3" s="451">
        <v>0</v>
      </c>
      <c r="AH3" s="154">
        <v>1</v>
      </c>
      <c r="AI3" s="154">
        <v>1</v>
      </c>
      <c r="AJ3" s="154">
        <v>0</v>
      </c>
      <c r="AK3" s="451">
        <v>0</v>
      </c>
      <c r="AL3" s="154">
        <v>0</v>
      </c>
      <c r="AM3" s="154">
        <v>0</v>
      </c>
      <c r="AN3" s="154">
        <v>0</v>
      </c>
      <c r="AO3" s="451">
        <v>0</v>
      </c>
      <c r="AU3" s="443" t="s">
        <v>253</v>
      </c>
      <c r="AV3" s="444">
        <v>3</v>
      </c>
    </row>
    <row r="4" spans="1:48" ht="14.95" customHeight="1" thickBot="1" x14ac:dyDescent="0.3">
      <c r="A4" s="151" t="s">
        <v>147</v>
      </c>
      <c r="B4" s="152" t="s">
        <v>128</v>
      </c>
      <c r="C4" s="152" t="s">
        <v>112</v>
      </c>
      <c r="D4" s="152" t="s">
        <v>280</v>
      </c>
      <c r="E4" s="153" t="s">
        <v>3</v>
      </c>
      <c r="F4" s="153">
        <v>12</v>
      </c>
      <c r="G4" s="153">
        <v>41</v>
      </c>
      <c r="H4" s="345" t="s">
        <v>69</v>
      </c>
      <c r="I4" s="345" t="s">
        <v>69</v>
      </c>
      <c r="J4" s="345">
        <v>2</v>
      </c>
      <c r="K4" s="345">
        <v>1</v>
      </c>
      <c r="L4" s="345">
        <v>0</v>
      </c>
      <c r="M4" s="345">
        <v>0</v>
      </c>
      <c r="N4" s="345">
        <v>0</v>
      </c>
      <c r="O4" s="345">
        <v>0</v>
      </c>
      <c r="P4" s="345" t="s">
        <v>69</v>
      </c>
      <c r="Q4" s="345" t="s">
        <v>69</v>
      </c>
      <c r="R4" s="345">
        <v>6</v>
      </c>
      <c r="S4" s="535"/>
      <c r="T4" s="159" t="s">
        <v>282</v>
      </c>
      <c r="U4" s="157" t="s">
        <v>127</v>
      </c>
      <c r="V4" s="155" t="s">
        <v>92</v>
      </c>
      <c r="W4" s="157" t="s">
        <v>92</v>
      </c>
      <c r="X4" s="157" t="s">
        <v>110</v>
      </c>
      <c r="Y4" s="348" t="s">
        <v>111</v>
      </c>
      <c r="Z4" s="154">
        <v>1</v>
      </c>
      <c r="AA4" s="154">
        <v>0</v>
      </c>
      <c r="AB4" s="154">
        <v>0</v>
      </c>
      <c r="AC4" s="451">
        <v>1</v>
      </c>
      <c r="AD4" s="154">
        <v>0</v>
      </c>
      <c r="AE4" s="154">
        <v>0</v>
      </c>
      <c r="AF4" s="154">
        <v>0</v>
      </c>
      <c r="AG4" s="451">
        <v>0</v>
      </c>
      <c r="AH4" s="154">
        <v>1</v>
      </c>
      <c r="AI4" s="154">
        <v>0</v>
      </c>
      <c r="AJ4" s="154">
        <v>0</v>
      </c>
      <c r="AK4" s="451">
        <v>1</v>
      </c>
      <c r="AL4" s="154">
        <v>0</v>
      </c>
      <c r="AM4" s="154">
        <v>0</v>
      </c>
      <c r="AN4" s="154">
        <v>0</v>
      </c>
      <c r="AO4" s="451">
        <v>0</v>
      </c>
      <c r="AU4" s="445" t="s">
        <v>254</v>
      </c>
      <c r="AV4" s="446">
        <v>0</v>
      </c>
    </row>
    <row r="5" spans="1:48" ht="14.95" customHeight="1" thickBot="1" x14ac:dyDescent="0.35">
      <c r="A5" s="163" t="s">
        <v>217</v>
      </c>
      <c r="B5" s="164" t="s">
        <v>128</v>
      </c>
      <c r="C5" s="164" t="s">
        <v>218</v>
      </c>
      <c r="D5" s="164" t="s">
        <v>219</v>
      </c>
      <c r="E5" s="165" t="s">
        <v>1</v>
      </c>
      <c r="F5" s="165">
        <v>58</v>
      </c>
      <c r="G5" s="165">
        <v>7</v>
      </c>
      <c r="H5" s="344" t="s">
        <v>69</v>
      </c>
      <c r="I5" s="344" t="s">
        <v>69</v>
      </c>
      <c r="J5" s="344">
        <v>10</v>
      </c>
      <c r="K5" s="344">
        <v>4</v>
      </c>
      <c r="L5" s="344">
        <v>0</v>
      </c>
      <c r="M5" s="344">
        <v>0</v>
      </c>
      <c r="N5" s="344">
        <v>0</v>
      </c>
      <c r="O5" s="344">
        <v>0</v>
      </c>
      <c r="P5" s="344" t="s">
        <v>69</v>
      </c>
      <c r="Q5" s="344" t="s">
        <v>69</v>
      </c>
      <c r="R5" s="344">
        <v>1</v>
      </c>
      <c r="S5" s="549"/>
      <c r="T5" s="172" t="s">
        <v>220</v>
      </c>
      <c r="U5" s="168" t="s">
        <v>221</v>
      </c>
      <c r="V5" s="166" t="s">
        <v>92</v>
      </c>
      <c r="W5" s="168" t="s">
        <v>92</v>
      </c>
      <c r="X5" s="168" t="s">
        <v>222</v>
      </c>
      <c r="Y5" s="168" t="s">
        <v>223</v>
      </c>
      <c r="Z5" s="169">
        <v>1</v>
      </c>
      <c r="AA5" s="169">
        <v>1</v>
      </c>
      <c r="AB5" s="169">
        <v>0</v>
      </c>
      <c r="AC5" s="316">
        <v>0</v>
      </c>
      <c r="AD5" s="169">
        <v>1</v>
      </c>
      <c r="AE5" s="169">
        <v>1</v>
      </c>
      <c r="AF5" s="169">
        <v>0</v>
      </c>
      <c r="AG5" s="316">
        <v>0</v>
      </c>
      <c r="AH5" s="169">
        <v>0</v>
      </c>
      <c r="AI5" s="169">
        <v>0</v>
      </c>
      <c r="AJ5" s="169">
        <v>0</v>
      </c>
      <c r="AK5" s="316">
        <v>0</v>
      </c>
      <c r="AL5" s="169">
        <v>0</v>
      </c>
      <c r="AM5" s="169">
        <v>0</v>
      </c>
      <c r="AN5" s="169">
        <v>0</v>
      </c>
      <c r="AO5" s="316">
        <v>0</v>
      </c>
      <c r="AU5" s="445" t="s">
        <v>255</v>
      </c>
      <c r="AV5" s="446">
        <v>0</v>
      </c>
    </row>
    <row r="6" spans="1:48" ht="14.95" customHeight="1" thickBot="1" x14ac:dyDescent="0.3">
      <c r="A6" s="163" t="s">
        <v>244</v>
      </c>
      <c r="B6" s="164" t="s">
        <v>128</v>
      </c>
      <c r="C6" s="164" t="s">
        <v>108</v>
      </c>
      <c r="D6" s="164" t="s">
        <v>249</v>
      </c>
      <c r="E6" s="165" t="s">
        <v>3</v>
      </c>
      <c r="F6" s="165">
        <v>5</v>
      </c>
      <c r="G6" s="165">
        <v>33</v>
      </c>
      <c r="H6" s="344" t="s">
        <v>69</v>
      </c>
      <c r="I6" s="344" t="s">
        <v>69</v>
      </c>
      <c r="J6" s="344">
        <v>1</v>
      </c>
      <c r="K6" s="344">
        <v>0</v>
      </c>
      <c r="L6" s="344">
        <v>0</v>
      </c>
      <c r="M6" s="344">
        <v>0</v>
      </c>
      <c r="N6" s="344">
        <v>0</v>
      </c>
      <c r="O6" s="344">
        <v>0</v>
      </c>
      <c r="P6" s="344" t="s">
        <v>69</v>
      </c>
      <c r="Q6" s="344" t="s">
        <v>69</v>
      </c>
      <c r="R6" s="344">
        <v>5</v>
      </c>
      <c r="S6" s="549"/>
      <c r="T6" s="167" t="s">
        <v>251</v>
      </c>
      <c r="U6" s="168" t="s">
        <v>142</v>
      </c>
      <c r="V6" s="166" t="s">
        <v>92</v>
      </c>
      <c r="W6" s="166" t="s">
        <v>92</v>
      </c>
      <c r="X6" s="168" t="s">
        <v>144</v>
      </c>
      <c r="Y6" s="349" t="s">
        <v>252</v>
      </c>
      <c r="Z6" s="169">
        <v>1</v>
      </c>
      <c r="AA6" s="169">
        <v>0</v>
      </c>
      <c r="AB6" s="169">
        <v>0</v>
      </c>
      <c r="AC6" s="316">
        <v>1</v>
      </c>
      <c r="AD6" s="169">
        <v>1</v>
      </c>
      <c r="AE6" s="169">
        <v>0</v>
      </c>
      <c r="AF6" s="169">
        <v>0</v>
      </c>
      <c r="AG6" s="316">
        <v>1</v>
      </c>
      <c r="AH6" s="169">
        <v>0</v>
      </c>
      <c r="AI6" s="169">
        <v>0</v>
      </c>
      <c r="AJ6" s="169">
        <v>0</v>
      </c>
      <c r="AK6" s="316">
        <v>0</v>
      </c>
      <c r="AL6" s="169">
        <v>0</v>
      </c>
      <c r="AM6" s="169">
        <v>0</v>
      </c>
      <c r="AN6" s="169">
        <v>0</v>
      </c>
      <c r="AO6" s="316">
        <v>0</v>
      </c>
      <c r="AU6" s="445" t="s">
        <v>256</v>
      </c>
      <c r="AV6" s="446">
        <v>3</v>
      </c>
    </row>
    <row r="7" spans="1:48" ht="14.95" customHeight="1" thickBot="1" x14ac:dyDescent="0.35">
      <c r="A7" s="163" t="s">
        <v>259</v>
      </c>
      <c r="B7" s="164" t="s">
        <v>128</v>
      </c>
      <c r="C7" s="164" t="s">
        <v>108</v>
      </c>
      <c r="D7" s="164" t="s">
        <v>219</v>
      </c>
      <c r="E7" s="165" t="s">
        <v>1</v>
      </c>
      <c r="F7" s="165">
        <v>22</v>
      </c>
      <c r="G7" s="165">
        <v>0</v>
      </c>
      <c r="H7" s="344" t="s">
        <v>69</v>
      </c>
      <c r="I7" s="344" t="s">
        <v>69</v>
      </c>
      <c r="J7" s="344">
        <v>4</v>
      </c>
      <c r="K7" s="344">
        <v>1</v>
      </c>
      <c r="L7" s="344">
        <v>0</v>
      </c>
      <c r="M7" s="344">
        <v>0</v>
      </c>
      <c r="N7" s="344">
        <v>0</v>
      </c>
      <c r="O7" s="344">
        <v>0</v>
      </c>
      <c r="P7" s="344" t="s">
        <v>69</v>
      </c>
      <c r="Q7" s="344" t="s">
        <v>69</v>
      </c>
      <c r="R7" s="344">
        <v>0</v>
      </c>
      <c r="S7" s="549"/>
      <c r="T7" s="172" t="s">
        <v>264</v>
      </c>
      <c r="U7" s="168" t="s">
        <v>144</v>
      </c>
      <c r="V7" s="166" t="s">
        <v>265</v>
      </c>
      <c r="W7" s="166" t="s">
        <v>92</v>
      </c>
      <c r="X7" s="168" t="s">
        <v>142</v>
      </c>
      <c r="Y7" s="349" t="s">
        <v>252</v>
      </c>
      <c r="Z7" s="169">
        <v>1</v>
      </c>
      <c r="AA7" s="169">
        <v>1</v>
      </c>
      <c r="AB7" s="169">
        <v>0</v>
      </c>
      <c r="AC7" s="316">
        <v>0</v>
      </c>
      <c r="AD7" s="169">
        <v>1</v>
      </c>
      <c r="AE7" s="169">
        <v>1</v>
      </c>
      <c r="AF7" s="169">
        <v>0</v>
      </c>
      <c r="AG7" s="316">
        <v>0</v>
      </c>
      <c r="AH7" s="169">
        <v>0</v>
      </c>
      <c r="AI7" s="169">
        <v>0</v>
      </c>
      <c r="AJ7" s="169">
        <v>0</v>
      </c>
      <c r="AK7" s="316">
        <v>0</v>
      </c>
      <c r="AL7" s="169">
        <v>0</v>
      </c>
      <c r="AM7" s="169">
        <v>0</v>
      </c>
      <c r="AN7" s="169">
        <v>0</v>
      </c>
      <c r="AO7" s="316">
        <v>0</v>
      </c>
      <c r="AU7" s="445" t="s">
        <v>257</v>
      </c>
      <c r="AV7" s="446">
        <v>14</v>
      </c>
    </row>
    <row r="8" spans="1:48" ht="14.95" customHeight="1" thickBot="1" x14ac:dyDescent="0.3">
      <c r="A8" s="177" t="s">
        <v>164</v>
      </c>
      <c r="B8" s="178" t="s">
        <v>155</v>
      </c>
      <c r="C8" s="178" t="s">
        <v>88</v>
      </c>
      <c r="D8" s="178" t="s">
        <v>158</v>
      </c>
      <c r="E8" s="175" t="s">
        <v>3</v>
      </c>
      <c r="F8" s="175">
        <v>6</v>
      </c>
      <c r="G8" s="175">
        <v>66</v>
      </c>
      <c r="H8" s="343">
        <v>0</v>
      </c>
      <c r="I8" s="343">
        <v>0</v>
      </c>
      <c r="J8" s="343">
        <v>0</v>
      </c>
      <c r="K8" s="343">
        <v>0</v>
      </c>
      <c r="L8" s="343">
        <v>0</v>
      </c>
      <c r="M8" s="343">
        <v>2</v>
      </c>
      <c r="N8" s="343">
        <v>0</v>
      </c>
      <c r="O8" s="343">
        <v>0</v>
      </c>
      <c r="P8" s="343">
        <v>1</v>
      </c>
      <c r="Q8" s="343">
        <v>0</v>
      </c>
      <c r="R8" s="343">
        <v>10</v>
      </c>
      <c r="S8" s="555">
        <v>13053</v>
      </c>
      <c r="T8" s="188" t="s">
        <v>241</v>
      </c>
      <c r="U8" s="180" t="s">
        <v>166</v>
      </c>
      <c r="V8" s="179" t="s">
        <v>96</v>
      </c>
      <c r="W8" s="179" t="s">
        <v>117</v>
      </c>
      <c r="X8" s="176" t="s">
        <v>102</v>
      </c>
      <c r="Y8" s="350" t="s">
        <v>130</v>
      </c>
      <c r="Z8" s="176">
        <v>1</v>
      </c>
      <c r="AA8" s="176">
        <v>0</v>
      </c>
      <c r="AB8" s="176">
        <v>0</v>
      </c>
      <c r="AC8" s="315">
        <v>1</v>
      </c>
      <c r="AD8" s="176">
        <v>0</v>
      </c>
      <c r="AE8" s="176">
        <v>0</v>
      </c>
      <c r="AF8" s="176">
        <v>0</v>
      </c>
      <c r="AG8" s="315">
        <v>0</v>
      </c>
      <c r="AH8" s="176">
        <v>0</v>
      </c>
      <c r="AI8" s="176">
        <v>0</v>
      </c>
      <c r="AJ8" s="176">
        <v>0</v>
      </c>
      <c r="AK8" s="315">
        <v>0</v>
      </c>
      <c r="AL8" s="176">
        <v>1</v>
      </c>
      <c r="AM8" s="176">
        <v>0</v>
      </c>
      <c r="AN8" s="176">
        <v>0</v>
      </c>
      <c r="AO8" s="315">
        <v>1</v>
      </c>
    </row>
    <row r="9" spans="1:48" ht="14.95" customHeight="1" thickBot="1" x14ac:dyDescent="0.3">
      <c r="A9" s="177" t="s">
        <v>162</v>
      </c>
      <c r="B9" s="178" t="s">
        <v>155</v>
      </c>
      <c r="C9" s="178" t="s">
        <v>33</v>
      </c>
      <c r="D9" s="178" t="s">
        <v>161</v>
      </c>
      <c r="E9" s="175" t="s">
        <v>3</v>
      </c>
      <c r="F9" s="175">
        <v>5</v>
      </c>
      <c r="G9" s="175">
        <v>82</v>
      </c>
      <c r="H9" s="343">
        <v>0</v>
      </c>
      <c r="I9" s="343">
        <v>0</v>
      </c>
      <c r="J9" s="343">
        <v>1</v>
      </c>
      <c r="K9" s="343">
        <v>0</v>
      </c>
      <c r="L9" s="343">
        <v>0</v>
      </c>
      <c r="M9" s="343">
        <v>0</v>
      </c>
      <c r="N9" s="343">
        <v>0</v>
      </c>
      <c r="O9" s="343">
        <v>0</v>
      </c>
      <c r="P9" s="343">
        <v>1</v>
      </c>
      <c r="Q9" s="343">
        <v>0</v>
      </c>
      <c r="R9" s="343">
        <v>14</v>
      </c>
      <c r="S9" s="555">
        <v>13902</v>
      </c>
      <c r="T9" s="194" t="s">
        <v>390</v>
      </c>
      <c r="U9" s="176" t="s">
        <v>120</v>
      </c>
      <c r="V9" s="176" t="s">
        <v>117</v>
      </c>
      <c r="W9" s="176" t="s">
        <v>97</v>
      </c>
      <c r="X9" s="176" t="s">
        <v>102</v>
      </c>
      <c r="Y9" s="181" t="s">
        <v>124</v>
      </c>
      <c r="Z9" s="176">
        <v>1</v>
      </c>
      <c r="AA9" s="176">
        <v>0</v>
      </c>
      <c r="AB9" s="176">
        <v>0</v>
      </c>
      <c r="AC9" s="315">
        <v>1</v>
      </c>
      <c r="AD9" s="176">
        <v>0</v>
      </c>
      <c r="AE9" s="176">
        <v>0</v>
      </c>
      <c r="AF9" s="176">
        <v>0</v>
      </c>
      <c r="AG9" s="315">
        <v>0</v>
      </c>
      <c r="AH9" s="176">
        <v>0</v>
      </c>
      <c r="AI9" s="176">
        <v>0</v>
      </c>
      <c r="AJ9" s="176">
        <v>0</v>
      </c>
      <c r="AK9" s="315">
        <v>0</v>
      </c>
      <c r="AL9" s="176">
        <v>1</v>
      </c>
      <c r="AM9" s="176">
        <v>0</v>
      </c>
      <c r="AN9" s="176">
        <v>0</v>
      </c>
      <c r="AO9" s="315">
        <v>1</v>
      </c>
    </row>
    <row r="10" spans="1:48" ht="14.95" customHeight="1" thickBot="1" x14ac:dyDescent="0.3">
      <c r="A10" s="191" t="s">
        <v>137</v>
      </c>
      <c r="B10" s="192" t="s">
        <v>155</v>
      </c>
      <c r="C10" s="192" t="s">
        <v>32</v>
      </c>
      <c r="D10" s="192" t="s">
        <v>158</v>
      </c>
      <c r="E10" s="130" t="s">
        <v>3</v>
      </c>
      <c r="F10" s="130">
        <v>3</v>
      </c>
      <c r="G10" s="130">
        <v>64</v>
      </c>
      <c r="H10" s="359">
        <v>0</v>
      </c>
      <c r="I10" s="359">
        <v>0</v>
      </c>
      <c r="J10" s="359">
        <v>0</v>
      </c>
      <c r="K10" s="343">
        <v>0</v>
      </c>
      <c r="L10" s="359">
        <v>0</v>
      </c>
      <c r="M10" s="359">
        <v>1</v>
      </c>
      <c r="N10" s="359">
        <v>1</v>
      </c>
      <c r="O10" s="359">
        <v>0</v>
      </c>
      <c r="P10" s="359">
        <v>1</v>
      </c>
      <c r="Q10" s="359">
        <v>0</v>
      </c>
      <c r="R10" s="359">
        <v>12</v>
      </c>
      <c r="S10" s="313">
        <v>13268</v>
      </c>
      <c r="T10" s="188" t="s">
        <v>404</v>
      </c>
      <c r="U10" s="180" t="s">
        <v>119</v>
      </c>
      <c r="V10" s="179" t="s">
        <v>116</v>
      </c>
      <c r="W10" s="179" t="s">
        <v>100</v>
      </c>
      <c r="X10" s="176" t="s">
        <v>127</v>
      </c>
      <c r="Y10" s="176" t="s">
        <v>110</v>
      </c>
      <c r="Z10" s="176">
        <v>1</v>
      </c>
      <c r="AA10" s="176">
        <v>0</v>
      </c>
      <c r="AB10" s="176">
        <v>0</v>
      </c>
      <c r="AC10" s="315">
        <v>1</v>
      </c>
      <c r="AD10" s="176">
        <v>0</v>
      </c>
      <c r="AE10" s="176">
        <v>0</v>
      </c>
      <c r="AF10" s="176">
        <v>0</v>
      </c>
      <c r="AG10" s="315">
        <v>0</v>
      </c>
      <c r="AH10" s="176">
        <v>0</v>
      </c>
      <c r="AI10" s="176">
        <v>0</v>
      </c>
      <c r="AJ10" s="176">
        <v>0</v>
      </c>
      <c r="AK10" s="315">
        <v>0</v>
      </c>
      <c r="AL10" s="176">
        <v>1</v>
      </c>
      <c r="AM10" s="176">
        <v>0</v>
      </c>
      <c r="AN10" s="176">
        <v>0</v>
      </c>
      <c r="AO10" s="315">
        <v>1</v>
      </c>
    </row>
    <row r="11" spans="1:48" ht="14.95" thickBot="1" x14ac:dyDescent="0.3">
      <c r="A11" s="100"/>
      <c r="B11" s="101"/>
      <c r="C11" s="884" t="s">
        <v>159</v>
      </c>
      <c r="D11" s="885"/>
      <c r="E11" s="886"/>
      <c r="F11" s="393">
        <f>SUM(F8:F10)</f>
        <v>14</v>
      </c>
      <c r="G11" s="393">
        <f t="shared" ref="G11:R11" si="0">SUM(G8:G10)</f>
        <v>212</v>
      </c>
      <c r="H11" s="393">
        <f t="shared" si="0"/>
        <v>0</v>
      </c>
      <c r="I11" s="393">
        <f t="shared" si="0"/>
        <v>0</v>
      </c>
      <c r="J11" s="393">
        <f t="shared" si="0"/>
        <v>1</v>
      </c>
      <c r="K11" s="393">
        <f t="shared" si="0"/>
        <v>0</v>
      </c>
      <c r="L11" s="393">
        <f t="shared" si="0"/>
        <v>0</v>
      </c>
      <c r="M11" s="393">
        <f t="shared" si="0"/>
        <v>3</v>
      </c>
      <c r="N11" s="393">
        <f t="shared" si="0"/>
        <v>1</v>
      </c>
      <c r="O11" s="393">
        <f t="shared" si="0"/>
        <v>0</v>
      </c>
      <c r="P11" s="393">
        <f t="shared" si="0"/>
        <v>3</v>
      </c>
      <c r="Q11" s="393">
        <f t="shared" si="0"/>
        <v>0</v>
      </c>
      <c r="R11" s="393">
        <f t="shared" si="0"/>
        <v>36</v>
      </c>
      <c r="S11" s="571"/>
      <c r="T11" s="394"/>
      <c r="U11" s="394"/>
      <c r="V11" s="394"/>
      <c r="W11" s="394"/>
      <c r="X11" s="395"/>
      <c r="Y11" s="396" t="s">
        <v>159</v>
      </c>
      <c r="Z11" s="393">
        <f t="shared" ref="Z11:AO11" si="1">SUM(Z8:Z10)</f>
        <v>3</v>
      </c>
      <c r="AA11" s="393">
        <f t="shared" si="1"/>
        <v>0</v>
      </c>
      <c r="AB11" s="393">
        <f t="shared" si="1"/>
        <v>0</v>
      </c>
      <c r="AC11" s="393">
        <f t="shared" si="1"/>
        <v>3</v>
      </c>
      <c r="AD11" s="397">
        <f t="shared" si="1"/>
        <v>0</v>
      </c>
      <c r="AE11" s="397">
        <f t="shared" si="1"/>
        <v>0</v>
      </c>
      <c r="AF11" s="397">
        <f t="shared" si="1"/>
        <v>0</v>
      </c>
      <c r="AG11" s="397">
        <f t="shared" si="1"/>
        <v>0</v>
      </c>
      <c r="AH11" s="398">
        <f t="shared" si="1"/>
        <v>0</v>
      </c>
      <c r="AI11" s="398">
        <f t="shared" si="1"/>
        <v>0</v>
      </c>
      <c r="AJ11" s="398">
        <f t="shared" si="1"/>
        <v>0</v>
      </c>
      <c r="AK11" s="398">
        <f t="shared" si="1"/>
        <v>0</v>
      </c>
      <c r="AL11" s="393">
        <f t="shared" si="1"/>
        <v>3</v>
      </c>
      <c r="AM11" s="393">
        <f t="shared" si="1"/>
        <v>0</v>
      </c>
      <c r="AN11" s="393">
        <f t="shared" si="1"/>
        <v>0</v>
      </c>
      <c r="AO11" s="393">
        <f t="shared" si="1"/>
        <v>3</v>
      </c>
    </row>
    <row r="12" spans="1:48" ht="14.95" thickBot="1" x14ac:dyDescent="0.3">
      <c r="A12" s="100"/>
      <c r="B12" s="101"/>
      <c r="C12" s="800" t="s">
        <v>70</v>
      </c>
      <c r="D12" s="801"/>
      <c r="E12" s="802"/>
      <c r="F12" s="124">
        <f t="shared" ref="F12:R12" si="2">SUM(F3:F10)</f>
        <v>130</v>
      </c>
      <c r="G12" s="124">
        <f t="shared" si="2"/>
        <v>305</v>
      </c>
      <c r="H12" s="124">
        <f t="shared" si="2"/>
        <v>0</v>
      </c>
      <c r="I12" s="124">
        <f t="shared" si="2"/>
        <v>0</v>
      </c>
      <c r="J12" s="124">
        <f t="shared" si="2"/>
        <v>21</v>
      </c>
      <c r="K12" s="124">
        <f t="shared" si="2"/>
        <v>8</v>
      </c>
      <c r="L12" s="124">
        <f t="shared" si="2"/>
        <v>0</v>
      </c>
      <c r="M12" s="124">
        <f t="shared" si="2"/>
        <v>3</v>
      </c>
      <c r="N12" s="124">
        <f t="shared" si="2"/>
        <v>2</v>
      </c>
      <c r="O12" s="124">
        <f t="shared" si="2"/>
        <v>0</v>
      </c>
      <c r="P12" s="124">
        <f t="shared" si="2"/>
        <v>3</v>
      </c>
      <c r="Q12" s="124">
        <f t="shared" si="2"/>
        <v>0</v>
      </c>
      <c r="R12" s="124">
        <f t="shared" si="2"/>
        <v>50</v>
      </c>
      <c r="S12" s="572"/>
      <c r="T12" s="187"/>
      <c r="U12" s="187"/>
      <c r="V12" s="187"/>
      <c r="W12" s="187"/>
      <c r="X12" s="12"/>
      <c r="Y12" s="129" t="s">
        <v>70</v>
      </c>
      <c r="Z12" s="124">
        <f t="shared" ref="Z12:AO12" si="3">SUM(Z3:Z10)</f>
        <v>8</v>
      </c>
      <c r="AA12" s="124">
        <f t="shared" si="3"/>
        <v>3</v>
      </c>
      <c r="AB12" s="124">
        <f t="shared" si="3"/>
        <v>0</v>
      </c>
      <c r="AC12" s="124">
        <f t="shared" si="3"/>
        <v>5</v>
      </c>
      <c r="AD12" s="122">
        <f t="shared" si="3"/>
        <v>3</v>
      </c>
      <c r="AE12" s="122">
        <f t="shared" si="3"/>
        <v>2</v>
      </c>
      <c r="AF12" s="122">
        <f t="shared" si="3"/>
        <v>0</v>
      </c>
      <c r="AG12" s="122">
        <f t="shared" si="3"/>
        <v>1</v>
      </c>
      <c r="AH12" s="123">
        <f t="shared" si="3"/>
        <v>2</v>
      </c>
      <c r="AI12" s="123">
        <f t="shared" si="3"/>
        <v>1</v>
      </c>
      <c r="AJ12" s="123">
        <f t="shared" si="3"/>
        <v>0</v>
      </c>
      <c r="AK12" s="123">
        <f t="shared" si="3"/>
        <v>1</v>
      </c>
      <c r="AL12" s="124">
        <f t="shared" si="3"/>
        <v>3</v>
      </c>
      <c r="AM12" s="124">
        <f t="shared" si="3"/>
        <v>0</v>
      </c>
      <c r="AN12" s="124">
        <f t="shared" si="3"/>
        <v>0</v>
      </c>
      <c r="AO12" s="124">
        <f t="shared" si="3"/>
        <v>3</v>
      </c>
    </row>
    <row r="13" spans="1:48" x14ac:dyDescent="0.25">
      <c r="A13" s="789" t="s">
        <v>53</v>
      </c>
      <c r="B13" s="790"/>
      <c r="C13" s="790"/>
      <c r="D13" s="790"/>
      <c r="E13" s="790"/>
      <c r="F13" s="790"/>
      <c r="G13" s="790"/>
      <c r="H13" s="790"/>
      <c r="I13" s="790"/>
      <c r="J13" s="790"/>
      <c r="K13" s="790"/>
      <c r="L13" s="790"/>
      <c r="M13" s="790"/>
      <c r="N13" s="790"/>
      <c r="O13" s="790"/>
      <c r="P13" s="790"/>
      <c r="Q13" s="790"/>
      <c r="R13" s="790"/>
      <c r="S13" s="790"/>
      <c r="T13" s="790"/>
      <c r="U13" s="790"/>
      <c r="V13" s="790"/>
      <c r="W13" s="790"/>
      <c r="X13" s="790"/>
      <c r="Y13" s="790"/>
      <c r="Z13" s="790"/>
      <c r="AA13" s="790"/>
      <c r="AB13" s="790"/>
      <c r="AC13" s="790"/>
      <c r="AD13" s="790"/>
      <c r="AE13" s="790"/>
      <c r="AF13" s="790"/>
      <c r="AG13" s="790"/>
      <c r="AH13" s="790"/>
      <c r="AI13" s="790"/>
      <c r="AJ13" s="790"/>
      <c r="AK13" s="790"/>
      <c r="AL13" s="790"/>
      <c r="AM13" s="790"/>
      <c r="AN13" s="790"/>
      <c r="AO13" s="790"/>
    </row>
    <row r="14" spans="1:48" x14ac:dyDescent="0.25">
      <c r="A14" s="450" t="s">
        <v>283</v>
      </c>
    </row>
    <row r="15" spans="1:48" x14ac:dyDescent="0.25">
      <c r="A15" s="450" t="s">
        <v>250</v>
      </c>
    </row>
    <row r="16" spans="1:48" x14ac:dyDescent="0.25">
      <c r="A16" t="s">
        <v>284</v>
      </c>
    </row>
    <row r="17" spans="1:41" x14ac:dyDescent="0.25">
      <c r="A17" s="789" t="s">
        <v>285</v>
      </c>
      <c r="B17" s="790"/>
      <c r="C17" s="790"/>
      <c r="D17" s="790"/>
      <c r="E17" s="790"/>
      <c r="F17" s="790"/>
      <c r="G17" s="790"/>
      <c r="H17" s="790"/>
      <c r="I17" s="790"/>
      <c r="J17" s="790"/>
      <c r="K17" s="790"/>
      <c r="L17" s="790"/>
      <c r="M17" s="790"/>
      <c r="N17" s="790"/>
      <c r="O17" s="790"/>
      <c r="P17" s="790"/>
      <c r="Q17" s="790"/>
      <c r="R17" s="790"/>
      <c r="S17" s="790"/>
      <c r="T17" s="790"/>
      <c r="U17" s="790"/>
      <c r="V17" s="790"/>
      <c r="W17" s="790"/>
      <c r="X17" s="790"/>
      <c r="Y17" s="790"/>
      <c r="Z17" s="790"/>
      <c r="AA17" s="790"/>
      <c r="AB17" s="790"/>
      <c r="AC17" s="790"/>
      <c r="AD17" s="790"/>
      <c r="AE17" s="790"/>
      <c r="AF17" s="790"/>
      <c r="AG17" s="790"/>
      <c r="AH17" s="790"/>
      <c r="AI17" s="790"/>
      <c r="AJ17" s="790"/>
      <c r="AK17" s="790"/>
      <c r="AL17" s="790"/>
      <c r="AM17" s="790"/>
      <c r="AN17" s="790"/>
      <c r="AO17" s="790"/>
    </row>
    <row r="18" spans="1:41" x14ac:dyDescent="0.25">
      <c r="A18" t="s">
        <v>224</v>
      </c>
    </row>
    <row r="19" spans="1:41" x14ac:dyDescent="0.25">
      <c r="A19" t="s">
        <v>74</v>
      </c>
    </row>
    <row r="20" spans="1:41" x14ac:dyDescent="0.25">
      <c r="A20" s="292"/>
      <c r="B20" s="69" t="s">
        <v>40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 x14ac:dyDescent="0.25">
      <c r="A21" s="293"/>
      <c r="B21" s="69" t="s">
        <v>38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</row>
    <row r="22" spans="1:41" x14ac:dyDescent="0.25">
      <c r="A22" s="294"/>
      <c r="B22" s="69" t="s">
        <v>39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 ht="16.3" x14ac:dyDescent="0.3">
      <c r="A23" s="579" t="s">
        <v>28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</sheetData>
  <mergeCells count="14">
    <mergeCell ref="A17:AO17"/>
    <mergeCell ref="C12:E12"/>
    <mergeCell ref="A13:AO13"/>
    <mergeCell ref="Z1:AC1"/>
    <mergeCell ref="AD1:AG1"/>
    <mergeCell ref="AH1:AK1"/>
    <mergeCell ref="AL1:AO1"/>
    <mergeCell ref="C11:E11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T4 T8 T10" twoDigitTextYear="1"/>
    <ignoredError sqref="T11:AO11 F11:R1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180</vt:i4>
      </vt:variant>
    </vt:vector>
  </HeadingPairs>
  <TitlesOfParts>
    <vt:vector size="203" baseType="lpstr">
      <vt:lpstr>Res</vt:lpstr>
      <vt:lpstr>6N Stats</vt:lpstr>
      <vt:lpstr>6N Cds</vt:lpstr>
      <vt:lpstr>P4 Stats</vt:lpstr>
      <vt:lpstr>P4 Cds</vt:lpstr>
      <vt:lpstr>WXV Stats</vt:lpstr>
      <vt:lpstr>WXV Cds</vt:lpstr>
      <vt:lpstr>AUS</vt:lpstr>
      <vt:lpstr>BRA</vt:lpstr>
      <vt:lpstr>CAN</vt:lpstr>
      <vt:lpstr>ENG</vt:lpstr>
      <vt:lpstr>FIJ</vt:lpstr>
      <vt:lpstr>FRA</vt:lpstr>
      <vt:lpstr>IRE</vt:lpstr>
      <vt:lpstr>ITA</vt:lpstr>
      <vt:lpstr>JPN</vt:lpstr>
      <vt:lpstr>NZL</vt:lpstr>
      <vt:lpstr>SAM</vt:lpstr>
      <vt:lpstr>SCO</vt:lpstr>
      <vt:lpstr>RSA</vt:lpstr>
      <vt:lpstr>ESP</vt:lpstr>
      <vt:lpstr>USA</vt:lpstr>
      <vt:lpstr>WAL</vt:lpstr>
      <vt:lpstr>ausp4drawn</vt:lpstr>
      <vt:lpstr>ausp4lb</vt:lpstr>
      <vt:lpstr>ausp4lost</vt:lpstr>
      <vt:lpstr>ausp4played</vt:lpstr>
      <vt:lpstr>ausp4ptsconc</vt:lpstr>
      <vt:lpstr>ausp4ptsscored</vt:lpstr>
      <vt:lpstr>ausp4rc</vt:lpstr>
      <vt:lpstr>ausp4tb</vt:lpstr>
      <vt:lpstr>ausp4triesconc</vt:lpstr>
      <vt:lpstr>ausp4triesscored</vt:lpstr>
      <vt:lpstr>ausp4won</vt:lpstr>
      <vt:lpstr>ausp4yc</vt:lpstr>
      <vt:lpstr>canp4drawn</vt:lpstr>
      <vt:lpstr>canp4lb</vt:lpstr>
      <vt:lpstr>canp4lost</vt:lpstr>
      <vt:lpstr>canp4played</vt:lpstr>
      <vt:lpstr>canp4ptsconc</vt:lpstr>
      <vt:lpstr>canp4ptsscored</vt:lpstr>
      <vt:lpstr>canp4rc</vt:lpstr>
      <vt:lpstr>canp4tb</vt:lpstr>
      <vt:lpstr>canp4triesconc</vt:lpstr>
      <vt:lpstr>canp4triesscored</vt:lpstr>
      <vt:lpstr>canp4won</vt:lpstr>
      <vt:lpstr>canp4yc</vt:lpstr>
      <vt:lpstr>Eng2019alltestsdrawn</vt:lpstr>
      <vt:lpstr>Eng2019alltestslost</vt:lpstr>
      <vt:lpstr>Eng2019alltestsplayed</vt:lpstr>
      <vt:lpstr>Eng2019alltestsptsagainst</vt:lpstr>
      <vt:lpstr>Eng2019alltestsptsscored</vt:lpstr>
      <vt:lpstr>Eng2019allteststriescon</vt:lpstr>
      <vt:lpstr>Eng2019allteststriesscored</vt:lpstr>
      <vt:lpstr>Eng2019alltestswon</vt:lpstr>
      <vt:lpstr>eng6nrc</vt:lpstr>
      <vt:lpstr>eng6nyc</vt:lpstr>
      <vt:lpstr>Englanddrawn</vt:lpstr>
      <vt:lpstr>Englandlosingbonus</vt:lpstr>
      <vt:lpstr>Englandlost</vt:lpstr>
      <vt:lpstr>Englandplayed</vt:lpstr>
      <vt:lpstr>Englandptsagainst</vt:lpstr>
      <vt:lpstr>Englandptsscored</vt:lpstr>
      <vt:lpstr>Englandred</vt:lpstr>
      <vt:lpstr>Englandtriesagainst</vt:lpstr>
      <vt:lpstr>Englandtriesscored</vt:lpstr>
      <vt:lpstr>Englandtrybonus</vt:lpstr>
      <vt:lpstr>Englandwon</vt:lpstr>
      <vt:lpstr>Englandyellow</vt:lpstr>
      <vt:lpstr>Fra2019alltestsdrawn</vt:lpstr>
      <vt:lpstr>Fra2019alltestslost</vt:lpstr>
      <vt:lpstr>Fra2019alltestsplayed</vt:lpstr>
      <vt:lpstr>Fra2019alltestsptsagainst</vt:lpstr>
      <vt:lpstr>Fra2019alltestsptsscored</vt:lpstr>
      <vt:lpstr>Fra2019allteststriescon</vt:lpstr>
      <vt:lpstr>Fra2019allteststriesscored</vt:lpstr>
      <vt:lpstr>Fra2019alltestswon</vt:lpstr>
      <vt:lpstr>fra6nrc</vt:lpstr>
      <vt:lpstr>fra6nyc</vt:lpstr>
      <vt:lpstr>Francedrawn</vt:lpstr>
      <vt:lpstr>Francelosingbonus</vt:lpstr>
      <vt:lpstr>Francelost</vt:lpstr>
      <vt:lpstr>Franceplayed</vt:lpstr>
      <vt:lpstr>Franceptsagainst</vt:lpstr>
      <vt:lpstr>Franceptsscored</vt:lpstr>
      <vt:lpstr>Francered</vt:lpstr>
      <vt:lpstr>Francetriesagainst</vt:lpstr>
      <vt:lpstr>Francetriesscored</vt:lpstr>
      <vt:lpstr>Francetrybonus</vt:lpstr>
      <vt:lpstr>Francewon</vt:lpstr>
      <vt:lpstr>FRanceyellow</vt:lpstr>
      <vt:lpstr>Ire2019alltestsdrawn</vt:lpstr>
      <vt:lpstr>Ire2019alltestslost</vt:lpstr>
      <vt:lpstr>Ire2019alltestsplayed</vt:lpstr>
      <vt:lpstr>Ire2019alltestsptscon</vt:lpstr>
      <vt:lpstr>Ire2019alltestsptsscored</vt:lpstr>
      <vt:lpstr>Ire2019allteststriescon</vt:lpstr>
      <vt:lpstr>Ire2019allteststriesscored</vt:lpstr>
      <vt:lpstr>Ire2019alltestswon</vt:lpstr>
      <vt:lpstr>ire6nrc</vt:lpstr>
      <vt:lpstr>ire6nyc</vt:lpstr>
      <vt:lpstr>Irelanddrawn</vt:lpstr>
      <vt:lpstr>Irelandlosingbonus</vt:lpstr>
      <vt:lpstr>Irelandlost</vt:lpstr>
      <vt:lpstr>Irelandplayed</vt:lpstr>
      <vt:lpstr>Irelandptsagainst</vt:lpstr>
      <vt:lpstr>Irelandptsscored</vt:lpstr>
      <vt:lpstr>Irelandred</vt:lpstr>
      <vt:lpstr>Irelandtriesagainst</vt:lpstr>
      <vt:lpstr>Irelandtriesscored</vt:lpstr>
      <vt:lpstr>Irelandtrybonus</vt:lpstr>
      <vt:lpstr>Irelandwon</vt:lpstr>
      <vt:lpstr>Irelandyellow</vt:lpstr>
      <vt:lpstr>ita2019alltestsdrawn</vt:lpstr>
      <vt:lpstr>ita2019alltestslost</vt:lpstr>
      <vt:lpstr>ita2019alltestsplayed</vt:lpstr>
      <vt:lpstr>ita2019alltestsptscon</vt:lpstr>
      <vt:lpstr>ita2019alltestsptsscored</vt:lpstr>
      <vt:lpstr>ita2019allteststriescon</vt:lpstr>
      <vt:lpstr>ita2019allteststriesscored</vt:lpstr>
      <vt:lpstr>ita2019alltestswon</vt:lpstr>
      <vt:lpstr>ita6nrc</vt:lpstr>
      <vt:lpstr>ita6nyc</vt:lpstr>
      <vt:lpstr>Italydrawn</vt:lpstr>
      <vt:lpstr>Italylosingbonus</vt:lpstr>
      <vt:lpstr>Italylost</vt:lpstr>
      <vt:lpstr>Italyplayed</vt:lpstr>
      <vt:lpstr>Italyptsagainst</vt:lpstr>
      <vt:lpstr>Italyptsscored</vt:lpstr>
      <vt:lpstr>Italyred</vt:lpstr>
      <vt:lpstr>Italytriesagainst</vt:lpstr>
      <vt:lpstr>Italytriesscored</vt:lpstr>
      <vt:lpstr>Italytrybonus</vt:lpstr>
      <vt:lpstr>Italywon</vt:lpstr>
      <vt:lpstr>Italyyellow</vt:lpstr>
      <vt:lpstr>nzlp4drawn</vt:lpstr>
      <vt:lpstr>nzlp4lb</vt:lpstr>
      <vt:lpstr>nzlp4lost</vt:lpstr>
      <vt:lpstr>nzlp4played</vt:lpstr>
      <vt:lpstr>nzlp4ptsconc</vt:lpstr>
      <vt:lpstr>nzlp4ptsscored</vt:lpstr>
      <vt:lpstr>nzlp4rc</vt:lpstr>
      <vt:lpstr>nzlp4tb</vt:lpstr>
      <vt:lpstr>nzlp4triesconc</vt:lpstr>
      <vt:lpstr>nzlp4triesscored</vt:lpstr>
      <vt:lpstr>nzlp4won</vt:lpstr>
      <vt:lpstr>nzlp4yc</vt:lpstr>
      <vt:lpstr>Sco2019alltestsdrawn</vt:lpstr>
      <vt:lpstr>Sco2019alltestslost</vt:lpstr>
      <vt:lpstr>Sco2019alltestsplayed</vt:lpstr>
      <vt:lpstr>Sco2019alltestsptsagainst</vt:lpstr>
      <vt:lpstr>Sco2019alltestsptsscored</vt:lpstr>
      <vt:lpstr>Sco2019allteststriescon</vt:lpstr>
      <vt:lpstr>Sco2019allteststriesscored</vt:lpstr>
      <vt:lpstr>Sco2019alltestswon</vt:lpstr>
      <vt:lpstr>sco6nrc</vt:lpstr>
      <vt:lpstr>sco6nyc</vt:lpstr>
      <vt:lpstr>Scotlanddrawn</vt:lpstr>
      <vt:lpstr>Scotlandlosingbonus</vt:lpstr>
      <vt:lpstr>Scotlandlost</vt:lpstr>
      <vt:lpstr>Scotlandplayed</vt:lpstr>
      <vt:lpstr>Scotlandptsagainst</vt:lpstr>
      <vt:lpstr>Scotlandptsscored</vt:lpstr>
      <vt:lpstr>Scotlandred</vt:lpstr>
      <vt:lpstr>Scotlandtriesagainst</vt:lpstr>
      <vt:lpstr>Scotlandtriesscored</vt:lpstr>
      <vt:lpstr>Scotlandtrybonus</vt:lpstr>
      <vt:lpstr>Scotlandwon</vt:lpstr>
      <vt:lpstr>Scotlandyellow</vt:lpstr>
      <vt:lpstr>usap4drawn</vt:lpstr>
      <vt:lpstr>usap4lb</vt:lpstr>
      <vt:lpstr>usap4lost</vt:lpstr>
      <vt:lpstr>usap4played</vt:lpstr>
      <vt:lpstr>usap4ptsconc</vt:lpstr>
      <vt:lpstr>usap4ptsscored</vt:lpstr>
      <vt:lpstr>usap4rc</vt:lpstr>
      <vt:lpstr>usap4tb</vt:lpstr>
      <vt:lpstr>usap4triesconc</vt:lpstr>
      <vt:lpstr>usap4triesscored</vt:lpstr>
      <vt:lpstr>usap4won</vt:lpstr>
      <vt:lpstr>usap4yc</vt:lpstr>
      <vt:lpstr>Wal2019alltestsdrawn</vt:lpstr>
      <vt:lpstr>Wal2019alltestslostcorrect</vt:lpstr>
      <vt:lpstr>Wal2019alltestsplayed</vt:lpstr>
      <vt:lpstr>Wal2019alltestsptscon</vt:lpstr>
      <vt:lpstr>Wal2019alltestsptsscored</vt:lpstr>
      <vt:lpstr>Wal2019allteststriescon</vt:lpstr>
      <vt:lpstr>Wal2019allteststriesscored</vt:lpstr>
      <vt:lpstr>Wal2019alltestswon</vt:lpstr>
      <vt:lpstr>wal6nrc</vt:lpstr>
      <vt:lpstr>wal6nyc</vt:lpstr>
      <vt:lpstr>Walesdrawn</vt:lpstr>
      <vt:lpstr>Waleslosingbonus</vt:lpstr>
      <vt:lpstr>Waleslost</vt:lpstr>
      <vt:lpstr>Walesplayed</vt:lpstr>
      <vt:lpstr>Walesptsagainst</vt:lpstr>
      <vt:lpstr>Walesptsscored</vt:lpstr>
      <vt:lpstr>Walesred</vt:lpstr>
      <vt:lpstr>Walestriesagainst</vt:lpstr>
      <vt:lpstr>Walestriesscored</vt:lpstr>
      <vt:lpstr>Walestrybonus</vt:lpstr>
      <vt:lpstr>Waleswon</vt:lpstr>
      <vt:lpstr>Walesyellow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2026-04-22T09:13:44Z</dcterms:modified>
</cp:coreProperties>
</file>