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7d62a7607d3ee9b/INTERNATIONAL WOMEN'S RUGBY/2023/"/>
    </mc:Choice>
  </mc:AlternateContent>
  <xr:revisionPtr revIDLastSave="7716" documentId="8_{B87B9735-3F26-4FF9-8699-C6053AFDF024}" xr6:coauthVersionLast="47" xr6:coauthVersionMax="47" xr10:uidLastSave="{5405A758-CAFE-4F03-A372-8924438B1F62}"/>
  <bookViews>
    <workbookView xWindow="-26192" yWindow="747" windowWidth="26301" windowHeight="14169" tabRatio="969" xr2:uid="{00000000-000D-0000-FFFF-FFFF00000000}"/>
  </bookViews>
  <sheets>
    <sheet name="Res" sheetId="34" r:id="rId1"/>
    <sheet name="6N Tab" sheetId="31" r:id="rId2"/>
    <sheet name="6N Res" sheetId="33" r:id="rId3"/>
    <sheet name="6N Cds" sheetId="32" r:id="rId4"/>
    <sheet name="P4 Tab" sheetId="45" r:id="rId5"/>
    <sheet name="P4 Res" sheetId="46" r:id="rId6"/>
    <sheet name="P4 Cds" sheetId="47" r:id="rId7"/>
    <sheet name="WXV Tabs" sheetId="48" r:id="rId8"/>
    <sheet name="WXV Res" sheetId="49" r:id="rId9"/>
    <sheet name="WXV Cds" sheetId="50" r:id="rId10"/>
    <sheet name="AUS" sheetId="35" r:id="rId11"/>
    <sheet name="CAN" sheetId="38" r:id="rId12"/>
    <sheet name="ENG" sheetId="11" r:id="rId13"/>
    <sheet name="FIJ" sheetId="36" r:id="rId14"/>
    <sheet name="FRA" sheetId="13" r:id="rId15"/>
    <sheet name="IRE" sheetId="16" r:id="rId16"/>
    <sheet name="ITA" sheetId="17" r:id="rId17"/>
    <sheet name="JPN" sheetId="37" r:id="rId18"/>
    <sheet name="NZL" sheetId="40" r:id="rId19"/>
    <sheet name="SCO" sheetId="25" r:id="rId20"/>
    <sheet name="RSA" sheetId="41" r:id="rId21"/>
    <sheet name="USA" sheetId="39" r:id="rId22"/>
    <sheet name="WAL" sheetId="30" r:id="rId23"/>
  </sheets>
  <externalReferences>
    <externalReference r:id="rId24"/>
    <externalReference r:id="rId25"/>
    <externalReference r:id="rId26"/>
  </externalReferences>
  <definedNames>
    <definedName name="alltestshistlost">#REF!</definedName>
    <definedName name="alltestshistwon">#REF!</definedName>
    <definedName name="arg2019dg">#REF!</definedName>
    <definedName name="arg2019drawn">#REF!</definedName>
    <definedName name="arg2019lost">#REF!</definedName>
    <definedName name="arg2019played">#REF!</definedName>
    <definedName name="arg2019ptsconc">#REF!</definedName>
    <definedName name="arg2019ptsscored">#REF!</definedName>
    <definedName name="arg2019rwcdrawn">#REF!</definedName>
    <definedName name="arg2019rwclost">#REF!</definedName>
    <definedName name="arg2019rwcplayed">#REF!</definedName>
    <definedName name="arg2019rwcptsconc">#REF!</definedName>
    <definedName name="arg2019rwcptsscored">#REF!</definedName>
    <definedName name="arg2019rwcrc">#REF!</definedName>
    <definedName name="arg2019rwctriesconc">#REF!</definedName>
    <definedName name="arg2019rwctriesscored">#REF!</definedName>
    <definedName name="arg2019rwcwon">#REF!</definedName>
    <definedName name="arg2019rwcyc">#REF!</definedName>
    <definedName name="arg2019triesconc">#REF!</definedName>
    <definedName name="arg2019triesscored">#REF!</definedName>
    <definedName name="arg2019won">#REF!</definedName>
    <definedName name="Argentinaalltestsdrawn">#REF!</definedName>
    <definedName name="Argentinaalltestslost">#REF!</definedName>
    <definedName name="Argentinaalltestsplayed">#REF!</definedName>
    <definedName name="Argentinaalltestsptsagainst">#REF!</definedName>
    <definedName name="Argentinaalltestsptsscored">#REF!</definedName>
    <definedName name="Argentinaallteststriesscored">#REF!</definedName>
    <definedName name="Argentinaalltestswon">#REF!</definedName>
    <definedName name="ArgentinaWChistdrawn">#REF!</definedName>
    <definedName name="ArgentinaWChistlost">#REF!</definedName>
    <definedName name="ArgentinaWChistplayed">#REF!</definedName>
    <definedName name="ArgentinaWChistptsagainst">#REF!</definedName>
    <definedName name="ArgentinaWChistptsscored">#REF!</definedName>
    <definedName name="ArgentinaWChisttriesscored">#REF!</definedName>
    <definedName name="ArgentinaWChistwon">#REF!</definedName>
    <definedName name="argoveralllb">#REF!</definedName>
    <definedName name="argoverallptsag">#REF!</definedName>
    <definedName name="argoverallptsfor">#REF!</definedName>
    <definedName name="argoverallreds">#REF!</definedName>
    <definedName name="argoveralltb">#REF!</definedName>
    <definedName name="argoveralltbcon">#REF!</definedName>
    <definedName name="argoveralltries">#REF!</definedName>
    <definedName name="argoveralltriescon">#REF!</definedName>
    <definedName name="argoverallyellows">#REF!</definedName>
    <definedName name="ArgPool2019drawn">#REF!</definedName>
    <definedName name="ArgPool2019lost">#REF!</definedName>
    <definedName name="ArgPool2019won">#REF!</definedName>
    <definedName name="ArgPoolagainst">#REF!</definedName>
    <definedName name="Argpooldrawn">#REF!</definedName>
    <definedName name="ArgPoolfor">#REF!</definedName>
    <definedName name="Argpoollb">#REF!</definedName>
    <definedName name="ArgPoollbfor">#REF!</definedName>
    <definedName name="argpoollbscored">#REF!</definedName>
    <definedName name="Argpoollost">#REF!</definedName>
    <definedName name="ArgPoolplayed">#REF!</definedName>
    <definedName name="Argpoolpld">#REF!</definedName>
    <definedName name="Argpoolptsag">#REF!</definedName>
    <definedName name="Argpoolreds">#REF!</definedName>
    <definedName name="Argpooltb">#REF!</definedName>
    <definedName name="ArgPooltbagainst">#REF!</definedName>
    <definedName name="Argpooltbcon">#REF!</definedName>
    <definedName name="ArgPooltbfor">#REF!</definedName>
    <definedName name="argpooltbscored">#REF!</definedName>
    <definedName name="ArgPooltriesagainst">#REF!</definedName>
    <definedName name="Argpooltriescon">#REF!</definedName>
    <definedName name="argpooltriesconcorrect">#REF!</definedName>
    <definedName name="Argpooltriesfor">#REF!</definedName>
    <definedName name="ArgPooltriesscored">#REF!</definedName>
    <definedName name="argpooltriesscoredcorrect">#REF!</definedName>
    <definedName name="Argpoolwon">#REF!</definedName>
    <definedName name="Argpoolyellows">#REF!</definedName>
    <definedName name="Argptsfor">#REF!</definedName>
    <definedName name="Aus2019pooldrawn">#REF!</definedName>
    <definedName name="Aus2019poollbcon">#REF!</definedName>
    <definedName name="Aus2019poollbscored">#REF!</definedName>
    <definedName name="Aus2019poollost">#REF!</definedName>
    <definedName name="Aus2019poolplayed">#REF!</definedName>
    <definedName name="Aus2019poolptsagainst">#REF!</definedName>
    <definedName name="Aus2019poolptsscored">#REF!</definedName>
    <definedName name="Aus2019pooltbcon">#REF!</definedName>
    <definedName name="Aus2019pooltbscored">#REF!</definedName>
    <definedName name="Aus2019pooltriesconc">#REF!</definedName>
    <definedName name="Aus2019pooltriesscored">#REF!</definedName>
    <definedName name="Aus2019poolwon">#REF!</definedName>
    <definedName name="Aus2019rwcdrawn">#REF!</definedName>
    <definedName name="Aus2019rwclost">#REF!</definedName>
    <definedName name="Aus2019rwclostcorrect">#REF!</definedName>
    <definedName name="Aus2019rwcplayed">#REF!</definedName>
    <definedName name="Aus2019rwcptsagainst">#REF!</definedName>
    <definedName name="Aus2019rwcptsscored">#REF!</definedName>
    <definedName name="Aus2019rwcrc">#REF!</definedName>
    <definedName name="Aus2019rwctriesconc">#REF!</definedName>
    <definedName name="Aus2019rwctriesscored">#REF!</definedName>
    <definedName name="Aus2019rwcwon">#REF!</definedName>
    <definedName name="Aus2019rwcyc">#REF!</definedName>
    <definedName name="aus2021wcpooldrawn">AUS!#REF!</definedName>
    <definedName name="aus2021wcpoollbscored">AUS!#REF!</definedName>
    <definedName name="aus2021wcpoollost">AUS!#REF!</definedName>
    <definedName name="aus2021wcpoolplayed">AUS!#REF!</definedName>
    <definedName name="aus2021wcpoolpointsagainst">AUS!#REF!</definedName>
    <definedName name="aus2021wcpoolpointsscored">AUS!#REF!</definedName>
    <definedName name="Aus2021wcpooltbscored">AUS!#REF!</definedName>
    <definedName name="aus2021wcpooltriesconceded">AUS!#REF!</definedName>
    <definedName name="aus2021wcpooltriesscored">AUS!#REF!</definedName>
    <definedName name="aus2021wcpoolwon">AUS!#REF!</definedName>
    <definedName name="aus2021wcrc">AUS!#REF!</definedName>
    <definedName name="aus2021wcrccorrect">AUS!#REF!</definedName>
    <definedName name="aus2021wctbcon">AUS!#REF!</definedName>
    <definedName name="aus2021wcyc">AUS!#REF!</definedName>
    <definedName name="ausbp">#REF!</definedName>
    <definedName name="ausd">#REF!</definedName>
    <definedName name="ausl">#REF!</definedName>
    <definedName name="auslb">#REF!</definedName>
    <definedName name="auslbcon">#REF!</definedName>
    <definedName name="ausoveralldrawn">#REF!</definedName>
    <definedName name="ausoveralllost">#REF!</definedName>
    <definedName name="ausoverallpld">#REF!</definedName>
    <definedName name="ausoverallptsaga">#REF!</definedName>
    <definedName name="ausoverallptsfor">#REF!</definedName>
    <definedName name="ausoveralltriescon">#REF!</definedName>
    <definedName name="ausoveralltriesscored">#REF!</definedName>
    <definedName name="ausoverallwon">#REF!</definedName>
    <definedName name="ausp4drawn">AUS!$AA$11</definedName>
    <definedName name="ausp4lb">AUS!$I$11</definedName>
    <definedName name="ausp4lost">AUS!$AB$11</definedName>
    <definedName name="ausp4played">AUS!$Y$11</definedName>
    <definedName name="ausp4ptsconc">AUS!$G$11</definedName>
    <definedName name="ausp4ptsscored">AUS!$F$11</definedName>
    <definedName name="ausp4rc">AUS!$O$11</definedName>
    <definedName name="ausp4tb">AUS!$H$11</definedName>
    <definedName name="ausp4triesconc">AUS!$R$11</definedName>
    <definedName name="ausp4triesscored">AUS!$J$11</definedName>
    <definedName name="ausp4won">AUS!$Z$11</definedName>
    <definedName name="ausp4yc">AUS!$N$11</definedName>
    <definedName name="auspl">#REF!</definedName>
    <definedName name="auspooldrawn">#REF!</definedName>
    <definedName name="auspoollb">#REF!</definedName>
    <definedName name="auspoollost">#REF!</definedName>
    <definedName name="auspoolpld">#REF!</definedName>
    <definedName name="auspoolptsag">#REF!</definedName>
    <definedName name="auspoolptsfor">#REF!</definedName>
    <definedName name="auspooltb">#REF!</definedName>
    <definedName name="auspooltriescon">#REF!</definedName>
    <definedName name="auspooltriesscored">#REF!</definedName>
    <definedName name="auspoolwon">#REF!</definedName>
    <definedName name="ausptsa">#REF!</definedName>
    <definedName name="ausptsf">#REF!</definedName>
    <definedName name="ausred">#REF!</definedName>
    <definedName name="austb">#REF!</definedName>
    <definedName name="austbcon">#REF!</definedName>
    <definedName name="austra">#REF!</definedName>
    <definedName name="australiaalltests2019drawn">#REF!</definedName>
    <definedName name="australiaalltests2019lost">#REF!</definedName>
    <definedName name="australiaalltests2019played">#REF!</definedName>
    <definedName name="australiaalltests2019playedcorrect">#REF!</definedName>
    <definedName name="australiaalltests2019ptsagainst">#REF!</definedName>
    <definedName name="australiaalltests2019ptsscored">#REF!</definedName>
    <definedName name="australiaalltests2019triesconc">#REF!</definedName>
    <definedName name="australiaalltests2019triesscored">#REF!</definedName>
    <definedName name="australiaalltests2019won">#REF!</definedName>
    <definedName name="Australiaalltestshistdrawn">#REF!</definedName>
    <definedName name="Australiaalltestshistlost">#REF!</definedName>
    <definedName name="Australiaalltestshistplayed">#REF!</definedName>
    <definedName name="Australiaalltestshistptsagainst">#REF!</definedName>
    <definedName name="Australiaalltestshistptsscored">#REF!</definedName>
    <definedName name="Australiaalltestshisttriesscored">#REF!</definedName>
    <definedName name="Australiaalltestshistwon">#REF!</definedName>
    <definedName name="AustraliaWChistdrawn">#REF!</definedName>
    <definedName name="AustraliaWChistlost">#REF!</definedName>
    <definedName name="AustraliaWChistplayed">#REF!</definedName>
    <definedName name="AustraliaWChistptsagainst">#REF!</definedName>
    <definedName name="AustraliaWChistptsscored">#REF!</definedName>
    <definedName name="AustraliaWChisttriesscored">#REF!</definedName>
    <definedName name="AustraliaWChistwon">#REF!</definedName>
    <definedName name="austrf">#REF!</definedName>
    <definedName name="auswon">#REF!</definedName>
    <definedName name="ausyellow">#REF!</definedName>
    <definedName name="bathbonus">#REF!</definedName>
    <definedName name="bathbonusccorrect">#REF!</definedName>
    <definedName name="bathconceded">#REF!</definedName>
    <definedName name="bathdrawn">#REF!</definedName>
    <definedName name="bathdropgoals">#REF!</definedName>
    <definedName name="bathlost">#REF!</definedName>
    <definedName name="bathpld">#REF!</definedName>
    <definedName name="bathpodrawn">#REF!</definedName>
    <definedName name="bathpolost">#REF!</definedName>
    <definedName name="bathpopld">#REF!</definedName>
    <definedName name="bathpoptsconceded">#REF!</definedName>
    <definedName name="bathpoptsscored">#REF!</definedName>
    <definedName name="bathpored">#REF!</definedName>
    <definedName name="bathpotriesconceded">#REF!</definedName>
    <definedName name="bathpotriesscored">#REF!</definedName>
    <definedName name="bathpowon">#REF!</definedName>
    <definedName name="bathpoyellow">#REF!</definedName>
    <definedName name="bathred">#REF!</definedName>
    <definedName name="bathscored">#REF!</definedName>
    <definedName name="bathtriesconceded">#REF!</definedName>
    <definedName name="bathtriesscored">#REF!</definedName>
    <definedName name="bathtrybonus">#REF!</definedName>
    <definedName name="bathtrybonusconceded">#REF!</definedName>
    <definedName name="bathwon">#REF!</definedName>
    <definedName name="bathyellow">#REF!</definedName>
    <definedName name="Bristolpremseasontotalsdgs">[1]BRI!$L$38</definedName>
    <definedName name="Bristolpremseasontotalsdrawn">[1]BRI!$AA$38</definedName>
    <definedName name="Bristolpremseasontotalslost">[1]BRI!$AB$38</definedName>
    <definedName name="Bristolpremseasontotalsplayed">[1]BRI!$Y$38</definedName>
    <definedName name="Bristolpremseasontotalsptsagainst">[1]BRI!$G$38</definedName>
    <definedName name="Bristolpremseasontotalsptsscored">[1]BRI!$F$38</definedName>
    <definedName name="BristolpremseasontotalsRC">[1]BRI!$O$38</definedName>
    <definedName name="Bristolpremseasontotalstriesconceded">[1]BRI!$R$38</definedName>
    <definedName name="Bristolpremseasontotalstriesscored">[1]BRI!$J$38</definedName>
    <definedName name="Bristolpremseasontotalswon">[1]BRI!$Z$38</definedName>
    <definedName name="BristolpremseasontotalsYC">[1]BRI!$N$38</definedName>
    <definedName name="bstred">[2]BRI!$O$35</definedName>
    <definedName name="bsttrybonusconceded">[1]BRI!$P$36</definedName>
    <definedName name="bsttrybonusscored">[1]BRI!$H$36</definedName>
    <definedName name="bstyellow">[2]BRI!$N$35</definedName>
    <definedName name="Bthhistagainst">[1]Sum!$H$3</definedName>
    <definedName name="Bthhistdrawn">[1]Sum!$E$3</definedName>
    <definedName name="Bthhistfor">[1]Sum!$G$3</definedName>
    <definedName name="Bthhistlost">[1]Sum!$D$3</definedName>
    <definedName name="Bthhistplayed">[1]Sum!$B$3</definedName>
    <definedName name="Bthhisttriesscored">[1]Sum!$J$3</definedName>
    <definedName name="Bthhistwon">[1]Sum!$C$3</definedName>
    <definedName name="bthpremseasontotalsdgs">[1]BTH!$L$37</definedName>
    <definedName name="bthpremseasontotalslost">[1]BTH!$AB$37</definedName>
    <definedName name="bthpremseasontotalsplayed">[1]BTH!$Y$37</definedName>
    <definedName name="bthpremseasontotalsptsagainst">[1]BTH!$G$37</definedName>
    <definedName name="bthpremseasontotalsptsscored">[1]BTH!$F$37</definedName>
    <definedName name="bthpremseasontotalsRC">[1]BTH!$O$37</definedName>
    <definedName name="bthpremseasontotalstriesconceded">[1]BTH!$R$37</definedName>
    <definedName name="bthpremseasontotalstriesscored">[1]BTH!$J$37</definedName>
    <definedName name="bthpremseasontotalswon">[1]BTH!$Y$37</definedName>
    <definedName name="bthpremseasontotalsYC">[1]BTH!$N$37</definedName>
    <definedName name="can2019alltestsdrawn">#REF!</definedName>
    <definedName name="can2019alltestslost">#REF!</definedName>
    <definedName name="can2019alltestsplayed">#REF!</definedName>
    <definedName name="can2019alltestsptsagainst">#REF!</definedName>
    <definedName name="can2019alltestsptsscored">#REF!</definedName>
    <definedName name="can2019allteststriescon">#REF!</definedName>
    <definedName name="can2019allteststriesscored">#REF!</definedName>
    <definedName name="can2019alltestswon">#REF!</definedName>
    <definedName name="can2019pooldrawn">#REF!</definedName>
    <definedName name="can2019poollbcon">#REF!</definedName>
    <definedName name="can2019poollbscored">#REF!</definedName>
    <definedName name="can2019poollost">#REF!</definedName>
    <definedName name="can2019poolplayed">#REF!</definedName>
    <definedName name="can2019poolptsagainst">#REF!</definedName>
    <definedName name="can2019poolptsscored">#REF!</definedName>
    <definedName name="can2019pooltbcon">#REF!</definedName>
    <definedName name="can2019pooltbscored">#REF!</definedName>
    <definedName name="can2019pooltriescon">#REF!</definedName>
    <definedName name="can2019pooltriesscored">#REF!</definedName>
    <definedName name="can2019pooltriesscoredcorrect">#REF!</definedName>
    <definedName name="can2019poolwon">#REF!</definedName>
    <definedName name="can2019rwcdrawn">#REF!</definedName>
    <definedName name="can2019rwclost">#REF!</definedName>
    <definedName name="can2019rwcplayed">#REF!</definedName>
    <definedName name="can2019rwcptsagainst">#REF!</definedName>
    <definedName name="can2019rwcptsscored">#REF!</definedName>
    <definedName name="can2019rwcrc">#REF!</definedName>
    <definedName name="can2019rwctriescon">#REF!</definedName>
    <definedName name="can2019rwctriesscored">#REF!</definedName>
    <definedName name="can2019rwcwon">#REF!</definedName>
    <definedName name="can2019rwcyc">#REF!</definedName>
    <definedName name="can2021wcpooldrawn">CAN!#REF!</definedName>
    <definedName name="can2021wcpoollbscored">CAN!#REF!</definedName>
    <definedName name="can2021wcpoollost">CAN!#REF!</definedName>
    <definedName name="can2021wcpoolplayed">CAN!#REF!</definedName>
    <definedName name="can2021wcpoolpointsagainst">CAN!#REF!</definedName>
    <definedName name="can2021wcpoolpointsscored">CAN!#REF!</definedName>
    <definedName name="can2021wcpooltbscored">CAN!#REF!</definedName>
    <definedName name="can2021wcpooltriesconceded">CAN!#REF!</definedName>
    <definedName name="can2021wcpooltriesscored">CAN!#REF!</definedName>
    <definedName name="can2021wcpoolwon">CAN!#REF!</definedName>
    <definedName name="can2021wcrc">CAN!#REF!</definedName>
    <definedName name="can2021wctbcon">CAN!#REF!</definedName>
    <definedName name="can2021wcyc">CAN!#REF!</definedName>
    <definedName name="Canadaalltestshistdrawn">#REF!</definedName>
    <definedName name="Canadaalltestshistlost">#REF!</definedName>
    <definedName name="Canadaalltestshistplayed">#REF!</definedName>
    <definedName name="Canadaalltestshistptsagainst">#REF!</definedName>
    <definedName name="Canadaalltestshistptsscored">#REF!</definedName>
    <definedName name="Canadaalltestshisttriesscored">#REF!</definedName>
    <definedName name="Canadaalltestshistwon">#REF!</definedName>
    <definedName name="CanadaRWChistdrawn">#REF!</definedName>
    <definedName name="CanadaRWChistlost">#REF!</definedName>
    <definedName name="CanadaRWChistplayed">#REF!</definedName>
    <definedName name="CanadaRWChistptsagainst">#REF!</definedName>
    <definedName name="CanadaRWChistptsscored">#REF!</definedName>
    <definedName name="CanadaRWChisttriesscored">#REF!</definedName>
    <definedName name="CanadaRWChistwon">#REF!</definedName>
    <definedName name="canlb">#REF!</definedName>
    <definedName name="canlbcon">#REF!</definedName>
    <definedName name="canoveralldrwn">#REF!</definedName>
    <definedName name="canoveralllost">#REF!</definedName>
    <definedName name="canoverallpld">#REF!</definedName>
    <definedName name="canoverallptsag">#REF!</definedName>
    <definedName name="canoverallptsscored">#REF!</definedName>
    <definedName name="canoveralltriescon">#REF!</definedName>
    <definedName name="canoveralltriesscored">#REF!</definedName>
    <definedName name="canoverallwon">#REF!</definedName>
    <definedName name="canp4drawn">CAN!$AA$12</definedName>
    <definedName name="canp4lb">CAN!$I$12</definedName>
    <definedName name="canp4lost">CAN!$AB$12</definedName>
    <definedName name="canp4played">CAN!$Y$12</definedName>
    <definedName name="canp4ptsconc">CAN!$G$12</definedName>
    <definedName name="canp4ptsscored">CAN!$F$12</definedName>
    <definedName name="canp4rc">CAN!$O$12</definedName>
    <definedName name="canp4tb">CAN!$H$12</definedName>
    <definedName name="canp4triesconc">CAN!$R$12</definedName>
    <definedName name="canp4triesscored">CAN!$J$12</definedName>
    <definedName name="canp4won">CAN!$Z$12</definedName>
    <definedName name="canp4yc">CAN!$N$12</definedName>
    <definedName name="canpooldrawn">#REF!</definedName>
    <definedName name="canpoollost">#REF!</definedName>
    <definedName name="canpoolpld">#REF!</definedName>
    <definedName name="canpoolptsag">#REF!</definedName>
    <definedName name="canpoolptsscored">#REF!</definedName>
    <definedName name="canpooltriescon">#REF!</definedName>
    <definedName name="canpooltriesscored">#REF!</definedName>
    <definedName name="canpoolwoin">#REF!</definedName>
    <definedName name="canred">#REF!</definedName>
    <definedName name="cantb">#REF!</definedName>
    <definedName name="cantbcon">#REF!</definedName>
    <definedName name="canyellow">#REF!</definedName>
    <definedName name="drawn">#REF!</definedName>
    <definedName name="Eng2019alltestsdrawn">ENG!$AA$16</definedName>
    <definedName name="Eng2019alltestslost">ENG!$AB$16</definedName>
    <definedName name="Eng2019alltestsplayed">ENG!$Y$16</definedName>
    <definedName name="Eng2019alltestsptsagainst">ENG!$G$16</definedName>
    <definedName name="Eng2019alltestsptsscored">ENG!$F$16</definedName>
    <definedName name="Eng2019allteststriescon">ENG!$R$16</definedName>
    <definedName name="Eng2019allteststriesscored">ENG!$J$16</definedName>
    <definedName name="Eng2019alltestswon">ENG!$Z$16</definedName>
    <definedName name="Eng2019pooldrawn">ENG!#REF!</definedName>
    <definedName name="Eng2019poollbcon">ENG!#REF!</definedName>
    <definedName name="Eng2019poollbscored">ENG!#REF!</definedName>
    <definedName name="Eng2019poollost">ENG!#REF!</definedName>
    <definedName name="Eng2019poolplayed">ENG!#REF!</definedName>
    <definedName name="Eng2019poolptsagainst">ENG!#REF!</definedName>
    <definedName name="Eng2019poolptsscored">ENG!#REF!</definedName>
    <definedName name="Eng2019pooltbcon">ENG!#REF!</definedName>
    <definedName name="Eng2019pooltbscored">ENG!#REF!</definedName>
    <definedName name="Eng2019pooltriescon">ENG!#REF!</definedName>
    <definedName name="Eng2019pooltriesscored">ENG!#REF!</definedName>
    <definedName name="Eng2019poolwon">ENG!#REF!</definedName>
    <definedName name="Eng2019RWCdrawn">ENG!#REF!</definedName>
    <definedName name="Eng2019RWClost">ENG!#REF!</definedName>
    <definedName name="Eng2019RWCplayed">ENG!#REF!</definedName>
    <definedName name="Eng2019RWCptsagainst">ENG!#REF!</definedName>
    <definedName name="Eng2019RWCptsscored">ENG!#REF!</definedName>
    <definedName name="Eng2019RWCrc">ENG!#REF!</definedName>
    <definedName name="Eng2019RWCtriescon">ENG!#REF!</definedName>
    <definedName name="Eng2019RWCtriesscored">ENG!#REF!</definedName>
    <definedName name="Eng2019RWCwon">ENG!#REF!</definedName>
    <definedName name="Eng2019RWCyc">ENG!#REF!</definedName>
    <definedName name="eng2021wcpooldrawn">ENG!#REF!</definedName>
    <definedName name="eng2021wcpoollbscored">ENG!#REF!</definedName>
    <definedName name="eng2021wcpoollost">ENG!#REF!</definedName>
    <definedName name="eng2021wcpoolplayed">ENG!#REF!</definedName>
    <definedName name="eng2021wcpoolpointsagainst">ENG!#REF!</definedName>
    <definedName name="eng2021wcpoolpointsscored">ENG!#REF!</definedName>
    <definedName name="eng2021wcpooltbscored">ENG!#REF!</definedName>
    <definedName name="eng2021wcpooltriesconceded">ENG!#REF!</definedName>
    <definedName name="eng2021wcpooltriesscored">ENG!#REF!</definedName>
    <definedName name="eng2021wcpoolwon">ENG!#REF!</definedName>
    <definedName name="eng2021wcrc">ENG!#REF!</definedName>
    <definedName name="eng2021wctbcon">ENG!#REF!</definedName>
    <definedName name="eng2021wcyc">ENG!#REF!</definedName>
    <definedName name="eng6nrc">ENG!$O$13</definedName>
    <definedName name="eng6nyc">ENG!$N$13</definedName>
    <definedName name="Englandalltestshistdrawn">#REF!</definedName>
    <definedName name="Englandalltestshistlost">#REF!</definedName>
    <definedName name="Englandalltestshistplayed">#REF!</definedName>
    <definedName name="Englandalltestshistptsagainst">#REF!</definedName>
    <definedName name="Englandalltestshistptsscored">#REF!</definedName>
    <definedName name="Englandalltestshisttriesscored">#REF!</definedName>
    <definedName name="Englandalltestshistwon">#REF!</definedName>
    <definedName name="Englanddrawn">ENG!$AA$13</definedName>
    <definedName name="Englandlosingbonus">ENG!$I$13</definedName>
    <definedName name="Englandlost">ENG!$AB$13</definedName>
    <definedName name="Englandplayed">ENG!$Y$13</definedName>
    <definedName name="Englandptsagainst">ENG!$G$13</definedName>
    <definedName name="Englandptsscored">ENG!$F$13</definedName>
    <definedName name="Englandred">ENG!$O$13</definedName>
    <definedName name="EnglandRWChistdrawn">#REF!</definedName>
    <definedName name="EnglandRWChistlost">#REF!</definedName>
    <definedName name="EnglandRWChistplayed">#REF!</definedName>
    <definedName name="EnglandRWChistptsagainst">#REF!</definedName>
    <definedName name="EnglandRWChistptsscored">#REF!</definedName>
    <definedName name="EnglandRWChisttriesscored">#REF!</definedName>
    <definedName name="EnglandRWChistwon">#REF!</definedName>
    <definedName name="Englandtriesagainst">ENG!$R$13</definedName>
    <definedName name="Englandtriesscored">ENG!$J$13</definedName>
    <definedName name="Englandtrybonus">ENG!$H$13</definedName>
    <definedName name="Englandwon">ENG!$Z$13</definedName>
    <definedName name="Englandyellow">ENG!$N$13</definedName>
    <definedName name="englb">ENG!#REF!</definedName>
    <definedName name="englbcon">ENG!#REF!</definedName>
    <definedName name="engoveralldrawn">ENG!#REF!</definedName>
    <definedName name="engoveralllost">ENG!#REF!</definedName>
    <definedName name="engoverallpld">ENG!#REF!</definedName>
    <definedName name="engoverallptsag">ENG!#REF!</definedName>
    <definedName name="engoverallptsscored">ENG!#REF!</definedName>
    <definedName name="engoveralltriescon">ENG!#REF!</definedName>
    <definedName name="engoveralltriesscored">ENG!#REF!</definedName>
    <definedName name="engoverallwon">ENG!#REF!</definedName>
    <definedName name="engpooldrawn">ENG!#REF!</definedName>
    <definedName name="engpoollost">ENG!#REF!</definedName>
    <definedName name="engpoolpld">ENG!#REF!</definedName>
    <definedName name="engpoolptsag">ENG!#REF!</definedName>
    <definedName name="engpoolptsscored">ENG!#REF!</definedName>
    <definedName name="engpooltriescon">ENG!#REF!</definedName>
    <definedName name="engpooltriesscored">ENG!#REF!</definedName>
    <definedName name="engpoolwon">ENG!#REF!</definedName>
    <definedName name="engred">ENG!#REF!</definedName>
    <definedName name="engtb">ENG!#REF!</definedName>
    <definedName name="engtbcon">ENG!#REF!</definedName>
    <definedName name="engtriescon">ENG!#REF!</definedName>
    <definedName name="engyellow">ENG!#REF!</definedName>
    <definedName name="Exepremtotalsdgs">[1]EXE!$L$39</definedName>
    <definedName name="Exepremtotalslost">[1]EXE!$AB$39</definedName>
    <definedName name="Exepremtotalsplayed">[1]EXE!$Y$39</definedName>
    <definedName name="Exepremtotalsptsagainst">[1]EXE!$G$39</definedName>
    <definedName name="Exepremtotalsptsscored">[1]EXE!$F$39</definedName>
    <definedName name="Exepremtotalsrc">[1]EXE!$O$39</definedName>
    <definedName name="Exepremtotalstriesconceded">[1]EXE!$R$39</definedName>
    <definedName name="Exepremtotalstriesscored">[1]EXE!$J$39</definedName>
    <definedName name="Exepremtotalswon">[1]EXE!$Z$39</definedName>
    <definedName name="Exepremtotalsyc">[1]EXE!$N$39</definedName>
    <definedName name="exeterbonus">#REF!</definedName>
    <definedName name="exeterconceded">#REF!</definedName>
    <definedName name="exeterdrawn">#REF!</definedName>
    <definedName name="exeterlosingbonus">#REF!</definedName>
    <definedName name="exeterlosingbonusconceded">#REF!</definedName>
    <definedName name="exeterlost">#REF!</definedName>
    <definedName name="exeterpld">#REF!</definedName>
    <definedName name="exeterpremdrawn">[1]EXE!$AA$37</definedName>
    <definedName name="exeterpremred">[2]EXE!$O$39</definedName>
    <definedName name="exeterpremtrybonusconc">[1]EXE!$P$37</definedName>
    <definedName name="exeterpremtrybonusscored">[1]EXE!$H$37</definedName>
    <definedName name="exeterpremyellow">[2]EXE!$N$39</definedName>
    <definedName name="exeterred">#REF!</definedName>
    <definedName name="exeterscored">#REF!</definedName>
    <definedName name="exetertriesconceded">#REF!</definedName>
    <definedName name="exetertriesscored">#REF!</definedName>
    <definedName name="exetertrybonusconceded">#REF!</definedName>
    <definedName name="exetertrybonusscored">#REF!</definedName>
    <definedName name="exeterwon">#REF!</definedName>
    <definedName name="exeteryellow">#REF!</definedName>
    <definedName name="feapoolptsag">FRA!#REF!</definedName>
    <definedName name="Fij2019alltestsdrawn">#REF!</definedName>
    <definedName name="Fij2019alltestslost">#REF!</definedName>
    <definedName name="Fij2019alltestsplayed">#REF!</definedName>
    <definedName name="Fij2019alltestsptsagainst">#REF!</definedName>
    <definedName name="Fij2019alltestsptsscored">#REF!</definedName>
    <definedName name="Fij2019allteststriescon">#REF!</definedName>
    <definedName name="Fij2019allteststriesscored">#REF!</definedName>
    <definedName name="Fij2019alltestswon">#REF!</definedName>
    <definedName name="Fij2019pooldrawn">#REF!</definedName>
    <definedName name="Fij2019poollbcon">#REF!</definedName>
    <definedName name="Fij2019poollbscored">#REF!</definedName>
    <definedName name="Fij2019poollost">#REF!</definedName>
    <definedName name="Fij2019poolplayed">#REF!</definedName>
    <definedName name="Fij2019poolptsagainst">#REF!</definedName>
    <definedName name="Fij2019poolptsscored">#REF!</definedName>
    <definedName name="Fij2019pooltbcon">#REF!</definedName>
    <definedName name="Fij2019pooltbscored">#REF!</definedName>
    <definedName name="Fij2019pooltriescon">#REF!</definedName>
    <definedName name="Fij2019pooltriesscored">#REF!</definedName>
    <definedName name="Fij2019poolwon">#REF!</definedName>
    <definedName name="Fij2019RWCdrawn">#REF!</definedName>
    <definedName name="Fij2019RWClost">#REF!</definedName>
    <definedName name="Fij2019RWCplayed">#REF!</definedName>
    <definedName name="Fij2019RWCptsagainst">#REF!</definedName>
    <definedName name="Fij2019RWCptsscored">#REF!</definedName>
    <definedName name="Fij2019RWCrc">#REF!</definedName>
    <definedName name="Fij2019RWCtriescon">#REF!</definedName>
    <definedName name="Fij2019RWCtriesscored">#REF!</definedName>
    <definedName name="Fij2019RWCwonj">#REF!</definedName>
    <definedName name="Fij2019RWCyc">#REF!</definedName>
    <definedName name="fij2021wcpooldrawn">FIJ!#REF!</definedName>
    <definedName name="fij2021wcpoollbscored">FIJ!#REF!</definedName>
    <definedName name="fij2021wcpoollost">FIJ!#REF!</definedName>
    <definedName name="fij2021wcpoolplayed">FIJ!#REF!</definedName>
    <definedName name="fij2021wcpoolpointsagainst">FIJ!#REF!</definedName>
    <definedName name="fij2021wcpoolpointsscored">FIJ!#REF!</definedName>
    <definedName name="fij2021wcpooltbscored">FIJ!#REF!</definedName>
    <definedName name="fij2021wcpooltriesconceded">FIJ!#REF!</definedName>
    <definedName name="fij2021wcpooltriesscored">FIJ!#REF!</definedName>
    <definedName name="fij2021wcpoolwon">FIJ!#REF!</definedName>
    <definedName name="fij2021wcrc">FIJ!#REF!</definedName>
    <definedName name="fij2021wctbcon">FIJ!#REF!</definedName>
    <definedName name="fij2021wcyc">FIJ!#REF!</definedName>
    <definedName name="fij2021wcyccorrect">FIJ!#REF!</definedName>
    <definedName name="Fijialltestshistdrawn">#REF!</definedName>
    <definedName name="Fijialltestshistlost">#REF!</definedName>
    <definedName name="Fijialltestshistplayed">#REF!</definedName>
    <definedName name="Fijialltestshistptsagainst">#REF!</definedName>
    <definedName name="Fijialltestshistptsscored">#REF!</definedName>
    <definedName name="Fijialltestshisttriesscored">#REF!</definedName>
    <definedName name="Fijialltestshistwon">#REF!</definedName>
    <definedName name="FijiRWChistdrawn">#REF!</definedName>
    <definedName name="FijiRWChistlost">#REF!</definedName>
    <definedName name="FijiRWChistplayed">#REF!</definedName>
    <definedName name="FijiRWChistptsagainst">#REF!</definedName>
    <definedName name="FijiRWChistptsscored">#REF!</definedName>
    <definedName name="FijiRWChisttriesscored">#REF!</definedName>
    <definedName name="FijiRWChistwon">#REF!</definedName>
    <definedName name="fijlb">#REF!</definedName>
    <definedName name="fijlbcon">#REF!</definedName>
    <definedName name="fijoveralldrawn">#REF!</definedName>
    <definedName name="fijoveralllost">#REF!</definedName>
    <definedName name="fijoverallpld">#REF!</definedName>
    <definedName name="fijoverallptsaga">#REF!</definedName>
    <definedName name="fijoverallptsscored">#REF!</definedName>
    <definedName name="fijoveralltriescon">#REF!</definedName>
    <definedName name="fijoveralltriesscored">#REF!</definedName>
    <definedName name="fijoverallwon">#REF!</definedName>
    <definedName name="Fijpooldrawn">#REF!</definedName>
    <definedName name="Fijpoollost">#REF!</definedName>
    <definedName name="Fijpoolpld">#REF!</definedName>
    <definedName name="Fijpoolptsag">#REF!</definedName>
    <definedName name="Fijpoolptsscored">#REF!</definedName>
    <definedName name="Fijpooltriescon">#REF!</definedName>
    <definedName name="Fijpooltriesscored">#REF!</definedName>
    <definedName name="Fijpoolwon">#REF!</definedName>
    <definedName name="fijred">#REF!</definedName>
    <definedName name="fijtb">#REF!</definedName>
    <definedName name="fijtbcon">#REF!</definedName>
    <definedName name="fijyellow">#REF!</definedName>
    <definedName name="Fra2019alltestsdrawn">FRA!$AA$13</definedName>
    <definedName name="Fra2019alltestslost">FRA!$AB$13</definedName>
    <definedName name="Fra2019alltestsplayed">FRA!$Y$13</definedName>
    <definedName name="Fra2019alltestsptsagainst">FRA!$G$13</definedName>
    <definedName name="Fra2019alltestsptsscored">FRA!$F$13</definedName>
    <definedName name="Fra2019allteststriescon">FRA!$R$13</definedName>
    <definedName name="Fra2019allteststriesscored">FRA!$J$13</definedName>
    <definedName name="Fra2019alltestswon">FRA!$Z$13</definedName>
    <definedName name="Fra2019pooldrawn">FRA!#REF!</definedName>
    <definedName name="Fra2019poollbcon">FRA!#REF!</definedName>
    <definedName name="Fra2019poollbscored">FRA!#REF!</definedName>
    <definedName name="Fra2019poollost">FRA!#REF!</definedName>
    <definedName name="Fra2019poolplayed">FRA!#REF!</definedName>
    <definedName name="Fra2019poolptsagainst">FRA!#REF!</definedName>
    <definedName name="Fra2019poolptsagaints">FRA!#REF!</definedName>
    <definedName name="Fra2019poolptsscored">FRA!#REF!</definedName>
    <definedName name="Fra2019pooltbcon">FRA!#REF!</definedName>
    <definedName name="Fra2019pooltbscored">FRA!#REF!</definedName>
    <definedName name="Fra2019pooltriescon">FRA!#REF!</definedName>
    <definedName name="Fra2019pooltriesscored">FRA!#REF!</definedName>
    <definedName name="Fra2019pooltriesscoredcorrect">FRA!#REF!</definedName>
    <definedName name="Fra2019poolwon">FRA!#REF!</definedName>
    <definedName name="Fra2019RWCdrawn">FRA!#REF!</definedName>
    <definedName name="Fra2019RWClost">FRA!#REF!</definedName>
    <definedName name="Fra2019RWCplayed">FRA!#REF!</definedName>
    <definedName name="Fra2019RWCptsagainst">FRA!#REF!</definedName>
    <definedName name="Fra2019RWCptsscored">FRA!#REF!</definedName>
    <definedName name="Fra2019RWCrc">FRA!#REF!</definedName>
    <definedName name="Fra2019RWCtriescon">FRA!#REF!</definedName>
    <definedName name="Fra2019RWCtriesscored">FRA!#REF!</definedName>
    <definedName name="Fra2019RWCwon">FRA!#REF!</definedName>
    <definedName name="Fra2019RWCyc">FRA!#REF!</definedName>
    <definedName name="fra2021wcpooldrawn">FRA!#REF!</definedName>
    <definedName name="fra2021wcpoollbscored">FRA!#REF!</definedName>
    <definedName name="fra2021wcpoollost">FRA!#REF!</definedName>
    <definedName name="fra2021wcpoolplayed">FRA!#REF!</definedName>
    <definedName name="fra2021wcpoolpointsagainst">FRA!#REF!</definedName>
    <definedName name="fra2021wcpoolpointsscored">FRA!#REF!</definedName>
    <definedName name="fra2021wcpooltbscored">FRA!#REF!</definedName>
    <definedName name="fra2021wcpooltriesconceded">FRA!#REF!</definedName>
    <definedName name="fra2021wcpooltriesscored">FRA!#REF!</definedName>
    <definedName name="fra2021wcpoolwon">FRA!#REF!</definedName>
    <definedName name="fra2021wcrc">FRA!#REF!</definedName>
    <definedName name="fra2021wctbcon">FRA!#REF!</definedName>
    <definedName name="fra2021wcyc">FRA!#REF!</definedName>
    <definedName name="fra6nrc">FRA!$O$11</definedName>
    <definedName name="fra6nyc">FRA!$N$11</definedName>
    <definedName name="fralb">FRA!#REF!</definedName>
    <definedName name="fralbcon">FRA!#REF!</definedName>
    <definedName name="Francealltestshistdrawn">#REF!</definedName>
    <definedName name="Francealltestshistlost">#REF!</definedName>
    <definedName name="Francealltestshistplayed">#REF!</definedName>
    <definedName name="Francealltestshistptscon">#REF!</definedName>
    <definedName name="Francealltestshistptsscored">#REF!</definedName>
    <definedName name="Francealltestshisttriesscored">#REF!</definedName>
    <definedName name="Francealltestshistwon">#REF!</definedName>
    <definedName name="Francedrawn">FRA!$AA$11</definedName>
    <definedName name="Francelosingbonus">FRA!$I$11</definedName>
    <definedName name="Francelost">FRA!$AB$11</definedName>
    <definedName name="Franceplayed">FRA!$Y$11</definedName>
    <definedName name="Franceptsagainst">FRA!$G$11</definedName>
    <definedName name="Franceptsscored">FRA!$F$11</definedName>
    <definedName name="Francered">FRA!$O$11</definedName>
    <definedName name="FranceRWChistdrawn">#REF!</definedName>
    <definedName name="FranceRWChistlost">#REF!</definedName>
    <definedName name="FranceRWChistplayed">#REF!</definedName>
    <definedName name="FranceRWChistptsagainst">#REF!</definedName>
    <definedName name="FranceRWChistptsscored">#REF!</definedName>
    <definedName name="FranceRWChisttriesscored">#REF!</definedName>
    <definedName name="FranceRWChistwon">#REF!</definedName>
    <definedName name="Francetriesagainst">FRA!$R$11</definedName>
    <definedName name="Francetriesscored">FRA!$J$11</definedName>
    <definedName name="Francetrybonus">FRA!$H$11</definedName>
    <definedName name="Francewon">FRA!$Z$11</definedName>
    <definedName name="FRanceyellow">FRA!$N$11</definedName>
    <definedName name="fraoveralldrawn">FRA!#REF!</definedName>
    <definedName name="fraoveralllost">FRA!#REF!</definedName>
    <definedName name="fraoverallpld">FRA!#REF!</definedName>
    <definedName name="fraoverallptsag">FRA!#REF!</definedName>
    <definedName name="fraoverallptsscored">FRA!#REF!</definedName>
    <definedName name="fraoveralltriescon">FRA!#REF!</definedName>
    <definedName name="fraoveralltriesscored">FRA!#REF!</definedName>
    <definedName name="fraoverallwon">FRA!#REF!</definedName>
    <definedName name="frapooldrawn">FRA!#REF!</definedName>
    <definedName name="frapoollost">FRA!#REF!</definedName>
    <definedName name="frapoolpld">FRA!#REF!</definedName>
    <definedName name="frapoolptsscored">FRA!#REF!</definedName>
    <definedName name="frapooltriescon">FRA!#REF!</definedName>
    <definedName name="frapooltriesscored">FRA!#REF!</definedName>
    <definedName name="frapoolwon">FRA!#REF!</definedName>
    <definedName name="frared">FRA!#REF!</definedName>
    <definedName name="fratb">FRA!#REF!</definedName>
    <definedName name="fratbcon">FRA!#REF!</definedName>
    <definedName name="frayellow">FRA!#REF!</definedName>
    <definedName name="g">[3]SAR!$AB$36</definedName>
    <definedName name="Geo2019alltestsdrawn">#REF!</definedName>
    <definedName name="Geo2019alltestslost">#REF!</definedName>
    <definedName name="Geo2019alltestsplayed">#REF!</definedName>
    <definedName name="Geo2019alltestsptsagainst">#REF!</definedName>
    <definedName name="Geo2019alltestsptsscored">#REF!</definedName>
    <definedName name="Geo2019allteststriesconceded">#REF!</definedName>
    <definedName name="Geo2019allteststriesscored">#REF!</definedName>
    <definedName name="Geo2019alltestswon">#REF!</definedName>
    <definedName name="Geo2019pooldrawn">#REF!</definedName>
    <definedName name="Geo2019poollbcon">#REF!</definedName>
    <definedName name="Geo2019poollbscored">#REF!</definedName>
    <definedName name="Geo2019poollost">#REF!</definedName>
    <definedName name="Geo2019poolplayed">#REF!</definedName>
    <definedName name="Geo2019poolptsagainst">#REF!</definedName>
    <definedName name="Geo2019poolptsscored">#REF!</definedName>
    <definedName name="Geo2019pooltbcon">#REF!</definedName>
    <definedName name="Geo2019pooltbscored">#REF!</definedName>
    <definedName name="Geo2019pooltriescon">#REF!</definedName>
    <definedName name="Geo2019pooltriesscored">#REF!</definedName>
    <definedName name="Geo2019poolwon">#REF!</definedName>
    <definedName name="Geo2019RWCdrawn">#REF!</definedName>
    <definedName name="Geo2019RWClost">#REF!</definedName>
    <definedName name="Geo2019RWCplayed">#REF!</definedName>
    <definedName name="Geo2019RWCptsagainst">#REF!</definedName>
    <definedName name="Geo2019RWCptsscored">#REF!</definedName>
    <definedName name="Geo2019RWCrc">#REF!</definedName>
    <definedName name="Geo2019RWCtriescon">#REF!</definedName>
    <definedName name="Geo2019RWCtriesscored">#REF!</definedName>
    <definedName name="Geo2019RWCwon">#REF!</definedName>
    <definedName name="Geo2019RWCyc">#REF!</definedName>
    <definedName name="geolb">#REF!</definedName>
    <definedName name="geolbcon">#REF!</definedName>
    <definedName name="geooveralldrawn">#REF!</definedName>
    <definedName name="geooveralllost">#REF!</definedName>
    <definedName name="geooverallpld">#REF!</definedName>
    <definedName name="geooverallptsag">#REF!</definedName>
    <definedName name="geooverallptsscored">#REF!</definedName>
    <definedName name="geooveralltriescon">#REF!</definedName>
    <definedName name="geooveralltriesscored">#REF!</definedName>
    <definedName name="geooverallwon">#REF!</definedName>
    <definedName name="geopooldrawn">#REF!</definedName>
    <definedName name="geopoollost">#REF!</definedName>
    <definedName name="geopoolpld">#REF!</definedName>
    <definedName name="geopoolptsag">#REF!</definedName>
    <definedName name="geopoolptsscored">#REF!</definedName>
    <definedName name="geopooltriescon">#REF!</definedName>
    <definedName name="geopooltriesscored">#REF!</definedName>
    <definedName name="geopoolwon">#REF!</definedName>
    <definedName name="geored">#REF!</definedName>
    <definedName name="Georgiaalltestshistdrawn">#REF!</definedName>
    <definedName name="Georgiaalltestshistlost">#REF!</definedName>
    <definedName name="Georgiaalltestshistplayed">#REF!</definedName>
    <definedName name="Georgiaalltestshistptsagainst">#REF!</definedName>
    <definedName name="Georgiaalltestshistptsscored">#REF!</definedName>
    <definedName name="Georgiaalltestshisttriesscored">#REF!</definedName>
    <definedName name="Georgiaalltestshistwon">#REF!</definedName>
    <definedName name="GeorgiaRWChistdrawn">#REF!</definedName>
    <definedName name="GeorgiaRWChistlost">#REF!</definedName>
    <definedName name="GeorgiaRWChistplayed">#REF!</definedName>
    <definedName name="GeorgiaRWChistptsagainst">#REF!</definedName>
    <definedName name="GeorgiaRWChistptsscored">#REF!</definedName>
    <definedName name="GeorgiaRWChisttriesscored">#REF!</definedName>
    <definedName name="GeorgiaRWChistwon">#REF!</definedName>
    <definedName name="geotb">#REF!</definedName>
    <definedName name="geotbcon">#REF!</definedName>
    <definedName name="geoyellow">#REF!</definedName>
    <definedName name="glosbonus">ENG!#REF!</definedName>
    <definedName name="glosconceded">ENG!#REF!</definedName>
    <definedName name="glosdrawn">ENG!#REF!</definedName>
    <definedName name="gloslosingbonus">ENG!#REF!</definedName>
    <definedName name="gloslosingbonusconceded">ENG!#REF!</definedName>
    <definedName name="gloslost">ENG!#REF!</definedName>
    <definedName name="glosplayed">ENG!#REF!</definedName>
    <definedName name="glosred">ENG!#REF!</definedName>
    <definedName name="glosscored">ENG!#REF!</definedName>
    <definedName name="glostries">ENG!#REF!</definedName>
    <definedName name="glostriesconceded">ENG!#REF!</definedName>
    <definedName name="glostrybonus">ENG!#REF!</definedName>
    <definedName name="glostrybonusconceded">ENG!#REF!</definedName>
    <definedName name="gloswon">ENG!#REF!</definedName>
    <definedName name="glosyellow">ENG!#REF!</definedName>
    <definedName name="gloucesterpremred">[2]GLO!$O$40</definedName>
    <definedName name="gloucesterpremseasontotalsdgs">[1]GLO!$L$38</definedName>
    <definedName name="gloucesterpremseasontotalsdrawn">[1]GLO!$AA$38</definedName>
    <definedName name="gloucesterpremseasontotalslost">[1]GLO!$AB$38</definedName>
    <definedName name="gloucesterpremseasontotalsplayed">[1]GLO!$Y$38</definedName>
    <definedName name="gloucesterpremseasontotalsptsagainst">[1]GLO!$G$38</definedName>
    <definedName name="gloucesterpremseasontotalsptsscored">[1]GLO!$F$38</definedName>
    <definedName name="gloucesterpremseasontotalsRC">[1]GLO!$O$38</definedName>
    <definedName name="gloucesterpremseasontotalstriesconceded">[1]GLO!$R$38</definedName>
    <definedName name="gloucesterpremseasontotalstriesscored">[1]GLO!$J$38</definedName>
    <definedName name="gloucesterpremseasontotalswon">[1]GLO!$Z$38</definedName>
    <definedName name="gloucesterpremseasontotalsYC">[1]GLO!$N$38</definedName>
    <definedName name="gloucesterpremtrybonusconc">[1]GLO!$P$36</definedName>
    <definedName name="gloucesterpremtrybonusscored">[1]GLO!$H$36</definedName>
    <definedName name="gloucesterpremyellow">[2]GLO!$N$40</definedName>
    <definedName name="harbonus">#REF!</definedName>
    <definedName name="harconceded">#REF!</definedName>
    <definedName name="hardrawn">#REF!</definedName>
    <definedName name="harlequinspremred">[2]HAR!$O$39</definedName>
    <definedName name="harlequinspremseasontotalsdgs">[1]HAR!$L$39</definedName>
    <definedName name="harlequinspremseasontotalsdrawn">[1]HAR!$AA$39</definedName>
    <definedName name="harlequinspremseasontotalslost">[1]HAR!$AB$39</definedName>
    <definedName name="harlequinspremseasontotalsplayed">[1]HAR!$Y$39</definedName>
    <definedName name="harlequinspremseasontotalsptsagainst">[1]HAR!$G$39</definedName>
    <definedName name="harlequinspremseasontotalsptsscored">[1]HAR!$F$39</definedName>
    <definedName name="harlequinspremseasontotalsRC">[1]HAR!$O$39</definedName>
    <definedName name="harlequinspremseasontotalstriesconceded">[1]HAR!$R$39</definedName>
    <definedName name="harlequinspremseasontotalstriesscored">[1]HAR!$J$39</definedName>
    <definedName name="harlequinspremseasontotalswon">[1]HAR!$Z$39</definedName>
    <definedName name="harlequinspremseasontotalsYC">[1]HAR!$N$39</definedName>
    <definedName name="harlequinspremtrybonuscon">[1]HAR!$P$37</definedName>
    <definedName name="harlequinspremtrybonusscored">[1]HAR!$H$37</definedName>
    <definedName name="harlequinspremyellow">[2]HAR!$N$39</definedName>
    <definedName name="harlosingbonus">#REF!</definedName>
    <definedName name="harlosingbonusconceded">#REF!</definedName>
    <definedName name="harlost">#REF!</definedName>
    <definedName name="harplayed">#REF!</definedName>
    <definedName name="harred">#REF!</definedName>
    <definedName name="harscored">#REF!</definedName>
    <definedName name="hartriesconceded">#REF!</definedName>
    <definedName name="hartriesscored">#REF!</definedName>
    <definedName name="hartrybonus">#REF!</definedName>
    <definedName name="hartrybonusconceded">#REF!</definedName>
    <definedName name="harwon">#REF!</definedName>
    <definedName name="haryellow">#REF!</definedName>
    <definedName name="Ire2019alltestsdrawn">IRE!$AA$13</definedName>
    <definedName name="Ire2019alltestslost">IRE!$AB$13</definedName>
    <definedName name="Ire2019alltestsplayed">IRE!$Y$13</definedName>
    <definedName name="Ire2019alltestsptscon">IRE!$G$13</definedName>
    <definedName name="Ire2019alltestsptsscored">IRE!$F$13</definedName>
    <definedName name="Ire2019allteststriescon">IRE!$R$13</definedName>
    <definedName name="Ire2019allteststriesscored">IRE!$J$13</definedName>
    <definedName name="Ire2019alltestswon">IRE!$Z$13</definedName>
    <definedName name="Ire2019pooldrawn">IRE!#REF!</definedName>
    <definedName name="Ire2019poollbcon">IRE!#REF!</definedName>
    <definedName name="Ire2019poollbscored">IRE!#REF!</definedName>
    <definedName name="Ire2019poollost">IRE!#REF!</definedName>
    <definedName name="Ire2019poolplayed">IRE!#REF!</definedName>
    <definedName name="Ire2019poolptscon">IRE!#REF!</definedName>
    <definedName name="Ire2019poolptsscored">IRE!#REF!</definedName>
    <definedName name="Ire2019pooltbcon">IRE!#REF!</definedName>
    <definedName name="Ire2019pooltbscored">IRE!#REF!</definedName>
    <definedName name="Ire2019pooltriescon">IRE!#REF!</definedName>
    <definedName name="Ire2019pooltriesscored">IRE!#REF!</definedName>
    <definedName name="Ire2019poolwon">IRE!#REF!</definedName>
    <definedName name="Ire2019RWCdrawn">IRE!#REF!</definedName>
    <definedName name="Ire2019RWClost">IRE!#REF!</definedName>
    <definedName name="Ire2019RWCplayed">IRE!#REF!</definedName>
    <definedName name="Ire2019RWCptsagainst">IRE!#REF!</definedName>
    <definedName name="Ire2019RWCptsscored">IRE!#REF!</definedName>
    <definedName name="Ire2019RWCrc">IRE!#REF!</definedName>
    <definedName name="Ire2019RWCtriescon">IRE!#REF!</definedName>
    <definedName name="Ire2019RWCtriesscored">IRE!#REF!</definedName>
    <definedName name="Ire2019RWCwon">IRE!#REF!</definedName>
    <definedName name="Ire2019RWCyc">IRE!#REF!</definedName>
    <definedName name="ire6nrc">IRE!$O$11</definedName>
    <definedName name="ire6nyc">IRE!$N$11</definedName>
    <definedName name="Irelandalltestshistdrawn">#REF!</definedName>
    <definedName name="Irelandalltestshistlost">#REF!</definedName>
    <definedName name="Irelandalltestshistplayed">#REF!</definedName>
    <definedName name="Irelandalltestshistptsagainst">#REF!</definedName>
    <definedName name="Irelandalltestshistptsscored">#REF!</definedName>
    <definedName name="Irelandalltestshisttriesscored">#REF!</definedName>
    <definedName name="Irelandalltestshistwon">#REF!</definedName>
    <definedName name="Irelanddrawn">IRE!$AA$11</definedName>
    <definedName name="Irelandlosingbonus">IRE!$I$11</definedName>
    <definedName name="Irelandlost">IRE!$AB$11</definedName>
    <definedName name="Irelandplayed">IRE!$Y$11</definedName>
    <definedName name="Irelandptsagainst">IRE!$G$11</definedName>
    <definedName name="Irelandptsscored">IRE!$F$11</definedName>
    <definedName name="Irelandred">IRE!$O$11</definedName>
    <definedName name="IrelandRWChistdrawn">#REF!</definedName>
    <definedName name="IrelandRWChistlost">#REF!</definedName>
    <definedName name="IrelandRWChistplayed">#REF!</definedName>
    <definedName name="IrelandRWChistptsagainst">#REF!</definedName>
    <definedName name="IrelandRWChistptsscored">#REF!</definedName>
    <definedName name="IrelandRWChisttriesscored">#REF!</definedName>
    <definedName name="IrelandRWChistwon">#REF!</definedName>
    <definedName name="Irelandtriesagainst">IRE!$R$11</definedName>
    <definedName name="Irelandtriesscored">IRE!$J$11</definedName>
    <definedName name="Irelandtrybonus">IRE!$H$11</definedName>
    <definedName name="Irelandwon">IRE!$Z$11</definedName>
    <definedName name="Irelandyellow">IRE!$N$11</definedName>
    <definedName name="irelb">IRE!#REF!</definedName>
    <definedName name="irelbcon">IRE!#REF!</definedName>
    <definedName name="ireoveralldrawn">IRE!#REF!</definedName>
    <definedName name="ireoveralllost">IRE!#REF!</definedName>
    <definedName name="ireoverallpld">IRE!#REF!</definedName>
    <definedName name="ireoverallptsag">IRE!#REF!</definedName>
    <definedName name="ireoverallptsscored">IRE!#REF!</definedName>
    <definedName name="ireoveralltriescon">IRE!#REF!</definedName>
    <definedName name="ireoveralltriesscored">IRE!#REF!</definedName>
    <definedName name="ireoverallwon">IRE!#REF!</definedName>
    <definedName name="irepooldrawn">IRE!#REF!</definedName>
    <definedName name="irepoollost">IRE!#REF!</definedName>
    <definedName name="irepoolpld">IRE!#REF!</definedName>
    <definedName name="irepoolptsag">IRE!#REF!</definedName>
    <definedName name="irepoolptsscored">IRE!#REF!</definedName>
    <definedName name="irepooltriescon">IRE!#REF!</definedName>
    <definedName name="irepooltriesscored">IRE!#REF!</definedName>
    <definedName name="irepoolwon">IRE!#REF!</definedName>
    <definedName name="irered">IRE!#REF!</definedName>
    <definedName name="iretb">IRE!#REF!</definedName>
    <definedName name="iretbcon">IRE!#REF!</definedName>
    <definedName name="ireyellow">IRE!#REF!</definedName>
    <definedName name="ita2019alltestsdrawn">ITA!$AA$16</definedName>
    <definedName name="ita2019alltestslost">ITA!$AB$16</definedName>
    <definedName name="ita2019alltestsplayed">ITA!$Y$16</definedName>
    <definedName name="ita2019alltestsptscon">ITA!$G$16</definedName>
    <definedName name="ita2019alltestsptsscored">ITA!$F$16</definedName>
    <definedName name="ita2019allteststriescon">ITA!$R$16</definedName>
    <definedName name="ita2019allteststriesscored">ITA!$J$16</definedName>
    <definedName name="ita2019alltestswon">ITA!$Z$16</definedName>
    <definedName name="ita2019pooldrawn">ITA!#REF!</definedName>
    <definedName name="ita2019poollbcon">ITA!#REF!</definedName>
    <definedName name="ita2019poollbscored">ITA!#REF!</definedName>
    <definedName name="ita2019poollost">ITA!#REF!</definedName>
    <definedName name="ita2019poolplayed">ITA!#REF!</definedName>
    <definedName name="ita2019poolptscon">ITA!#REF!</definedName>
    <definedName name="ita2019poolptsscored">ITA!#REF!</definedName>
    <definedName name="ita2019pooltbcon">ITA!#REF!</definedName>
    <definedName name="ita2019pooltbscored">ITA!#REF!</definedName>
    <definedName name="ita2019pooltriescon">ITA!#REF!</definedName>
    <definedName name="ita2019pooltriesscored">ITA!#REF!</definedName>
    <definedName name="ita2019poolwon">ITA!#REF!</definedName>
    <definedName name="ita2019RWCdrawn">ITA!#REF!</definedName>
    <definedName name="ita2019RWClost">ITA!#REF!</definedName>
    <definedName name="ita2019RWCplayed">ITA!#REF!</definedName>
    <definedName name="ita2019RWCptscon">ITA!#REF!</definedName>
    <definedName name="ita2019RWCptsscored">ITA!#REF!</definedName>
    <definedName name="ita2019RWCrc">ITA!#REF!</definedName>
    <definedName name="ita2019RWCtriescon">ITA!#REF!</definedName>
    <definedName name="ita2019RWCtriesscored">ITA!#REF!</definedName>
    <definedName name="ita2019RWCwon">ITA!#REF!</definedName>
    <definedName name="ita2019RWCyc">ITA!#REF!</definedName>
    <definedName name="ita2021wcpooldrawn">ITA!#REF!</definedName>
    <definedName name="ita2021wcpoollbscored">ITA!#REF!</definedName>
    <definedName name="ita2021wcpoollbscoredcorrect">ITA!#REF!</definedName>
    <definedName name="ita2021wcpoollost">ITA!#REF!</definedName>
    <definedName name="ita2021wcpoolplayed">ITA!#REF!</definedName>
    <definedName name="ita2021wcpoolpointsagainst">ITA!#REF!</definedName>
    <definedName name="ita2021wcpoolpointsscored">ITA!#REF!</definedName>
    <definedName name="ita2021wcpooltbscored">ITA!#REF!</definedName>
    <definedName name="ita2021wcpooltriesconceded">ITA!#REF!</definedName>
    <definedName name="ita2021wcpooltriesscored">ITA!#REF!</definedName>
    <definedName name="ita2021wcpoolwon">ITA!#REF!</definedName>
    <definedName name="ita2021wcrc">ITA!#REF!</definedName>
    <definedName name="ita2021wctbcon">ITA!#REF!</definedName>
    <definedName name="ita2021wcyc">ITA!#REF!</definedName>
    <definedName name="ita6nrc">ITA!$O$13</definedName>
    <definedName name="ita6nyc">ITA!$N$13</definedName>
    <definedName name="italb">ITA!#REF!</definedName>
    <definedName name="italbcon">ITA!#REF!</definedName>
    <definedName name="Italyalltestshistdrawn">#REF!</definedName>
    <definedName name="Italyalltestshistlost">#REF!</definedName>
    <definedName name="Italyalltestshistplayed">#REF!</definedName>
    <definedName name="Italyalltestshistptsagainst">#REF!</definedName>
    <definedName name="Italyalltestshistptsscored">#REF!</definedName>
    <definedName name="Italyalltestshisttriesscored">#REF!</definedName>
    <definedName name="Italyalltestshistwon">#REF!</definedName>
    <definedName name="Italydrawn">ITA!$AA$13</definedName>
    <definedName name="Italylosingbonus">ITA!$I$13</definedName>
    <definedName name="Italylost">ITA!$AB$13</definedName>
    <definedName name="Italyplayed">ITA!$Y$13</definedName>
    <definedName name="Italyptsagainst">ITA!$G$13</definedName>
    <definedName name="Italyptsscored">ITA!$F$13</definedName>
    <definedName name="Italyred">ITA!$O$13</definedName>
    <definedName name="ItalyRWChistdrawn">#REF!</definedName>
    <definedName name="ItalyRWChistlost">#REF!</definedName>
    <definedName name="ItalyRWChistplayed">#REF!</definedName>
    <definedName name="ItalyRWChistptsagainst">#REF!</definedName>
    <definedName name="ItalyRWChistptsscored">#REF!</definedName>
    <definedName name="ItalyRWChisttriesscored">#REF!</definedName>
    <definedName name="ItalyRWChistwon">#REF!</definedName>
    <definedName name="Italytriesagainst">ITA!$R$13</definedName>
    <definedName name="Italytriesscored">ITA!$J$13</definedName>
    <definedName name="Italytrybonus">ITA!$H$13</definedName>
    <definedName name="Italywon">ITA!$Z$13</definedName>
    <definedName name="Italyyellow">ITA!$N$13</definedName>
    <definedName name="itaoveralldrawn">ITA!#REF!</definedName>
    <definedName name="itaoveralllost">ITA!#REF!</definedName>
    <definedName name="itaoverallpld">ITA!#REF!</definedName>
    <definedName name="itaoverallptsag">ITA!#REF!</definedName>
    <definedName name="itaoverallptsscored">ITA!#REF!</definedName>
    <definedName name="itaoveralltriesscored">ITA!#REF!</definedName>
    <definedName name="itaoverallwon">ITA!#REF!</definedName>
    <definedName name="itapooldrawm">ITA!#REF!</definedName>
    <definedName name="itapoollost">ITA!#REF!</definedName>
    <definedName name="itapoolpld">ITA!#REF!</definedName>
    <definedName name="itapoolptsag">ITA!#REF!</definedName>
    <definedName name="itapoolptsscored">ITA!#REF!</definedName>
    <definedName name="itapooltriescon">ITA!#REF!</definedName>
    <definedName name="itapooltriesscored">ITA!#REF!</definedName>
    <definedName name="itapoolwon">ITA!#REF!</definedName>
    <definedName name="itared">ITA!#REF!</definedName>
    <definedName name="itatb">ITA!#REF!</definedName>
    <definedName name="itatbcon">ITA!#REF!</definedName>
    <definedName name="itatriescon">ITA!#REF!</definedName>
    <definedName name="itayellow">ITA!#REF!</definedName>
    <definedName name="Japanalltestshistdrawn">#REF!</definedName>
    <definedName name="Japanalltestshistlost">#REF!</definedName>
    <definedName name="Japanalltestshistplayed">#REF!</definedName>
    <definedName name="Japanalltestshistptscon">#REF!</definedName>
    <definedName name="Japanalltestshistptsscored">#REF!</definedName>
    <definedName name="Japanalltestshisttriesscored">#REF!</definedName>
    <definedName name="Japanalltestshisttriesscoredcorrect">#REF!</definedName>
    <definedName name="Japanalltestshistwon">#REF!</definedName>
    <definedName name="JapanRWChistdrawn">#REF!</definedName>
    <definedName name="JapanRWChistlost">#REF!</definedName>
    <definedName name="JapanRWChistplayed">#REF!</definedName>
    <definedName name="JapanRWChistptsagainst">#REF!</definedName>
    <definedName name="JapanRWChistptsscored">#REF!</definedName>
    <definedName name="JapanRWChisttriesscored">#REF!</definedName>
    <definedName name="JapanRWChistwon">#REF!</definedName>
    <definedName name="jpn2019alltestsdrawn">#REF!</definedName>
    <definedName name="jpn2019alltestslost">#REF!</definedName>
    <definedName name="jpn2019alltestsplayed">#REF!</definedName>
    <definedName name="jpn2019alltestsptsagainst">#REF!</definedName>
    <definedName name="jpn2019alltestsptsscored">#REF!</definedName>
    <definedName name="jpn2019allteststriescon">#REF!</definedName>
    <definedName name="jpn2019allteststriesscored">#REF!</definedName>
    <definedName name="jpn2019alltestswon">#REF!</definedName>
    <definedName name="jpn2019pooldrawn">#REF!</definedName>
    <definedName name="jpn2019poollbcon">#REF!</definedName>
    <definedName name="jpn2019poollbscored">#REF!</definedName>
    <definedName name="jpn2019poollost">#REF!</definedName>
    <definedName name="jpn2019poolplayed">#REF!</definedName>
    <definedName name="jpn2019poolptscon">#REF!</definedName>
    <definedName name="jpn2019poolptsscored">#REF!</definedName>
    <definedName name="jpn2019pooltbcon">#REF!</definedName>
    <definedName name="jpn2019pooltbscored">#REF!</definedName>
    <definedName name="jpn2019pooltriescon">#REF!</definedName>
    <definedName name="jpn2019pooltriesscored">#REF!</definedName>
    <definedName name="jpn2019poolwon">#REF!</definedName>
    <definedName name="jpn2019rwcdrawn">#REF!</definedName>
    <definedName name="jpn2019rwclost">#REF!</definedName>
    <definedName name="jpn2019rwcplayed">#REF!</definedName>
    <definedName name="jpn2019rwcptsagainst">#REF!</definedName>
    <definedName name="jpn2019rwcptsscored">#REF!</definedName>
    <definedName name="jpn2019rwcrc">#REF!</definedName>
    <definedName name="jpn2019rwctriescon">#REF!</definedName>
    <definedName name="jpn2019rwctriesscored">#REF!</definedName>
    <definedName name="jpn2019rwcwon">#REF!</definedName>
    <definedName name="jpn2019rwcyc">#REF!</definedName>
    <definedName name="jpn2021wcpooldrawn">JPN!#REF!</definedName>
    <definedName name="jpn2021wcpoollbscored">JPN!#REF!</definedName>
    <definedName name="jpn2021wcpoollost">JPN!#REF!</definedName>
    <definedName name="jpn2021wcpoolplayed">JPN!#REF!</definedName>
    <definedName name="jpn2021wcpoolpointsagainst">JPN!#REF!</definedName>
    <definedName name="jpn2021wcpoolpointsscored">JPN!#REF!</definedName>
    <definedName name="jpn2021wcpooltbscored">JPN!#REF!</definedName>
    <definedName name="jpn2021wcpooltriesconceded">JPN!#REF!</definedName>
    <definedName name="jpn2021wcpooltriesscored">JPN!#REF!</definedName>
    <definedName name="jpn2021wcpoolwon">JPN!#REF!</definedName>
    <definedName name="jpn2021wcrc">JPN!#REF!</definedName>
    <definedName name="jpn2021wctbcon">JPN!#REF!</definedName>
    <definedName name="jpn2021wcyc">JPN!#REF!</definedName>
    <definedName name="jpnlb">#REF!</definedName>
    <definedName name="jpnlbcon">#REF!</definedName>
    <definedName name="jpnoveralldrawn">#REF!</definedName>
    <definedName name="jpnoveralllost">#REF!</definedName>
    <definedName name="jpnoverallpld">#REF!</definedName>
    <definedName name="jpnoverallptsag">#REF!</definedName>
    <definedName name="jpnoverallptsscored">#REF!</definedName>
    <definedName name="jpnoveralltriescon">#REF!</definedName>
    <definedName name="jpnoveralltriesscored">#REF!</definedName>
    <definedName name="jpnoverallwon">#REF!</definedName>
    <definedName name="jpnpooldrawn">#REF!</definedName>
    <definedName name="jpnpoollost">#REF!</definedName>
    <definedName name="jpnpoolpld">#REF!</definedName>
    <definedName name="jpnpoolptsag">#REF!</definedName>
    <definedName name="jpnpoolptsscored">#REF!</definedName>
    <definedName name="jpnpooltriescon">#REF!</definedName>
    <definedName name="jpnpooltriesscored">#REF!</definedName>
    <definedName name="jpnpoolwon">#REF!</definedName>
    <definedName name="jpnred">#REF!</definedName>
    <definedName name="jpntb">#REF!</definedName>
    <definedName name="jpntbcon">#REF!</definedName>
    <definedName name="jpnyellow">#REF!</definedName>
    <definedName name="leicesterpoconceded">FRA!#REF!</definedName>
    <definedName name="leicesterpolost">FRA!#REF!</definedName>
    <definedName name="leicesterpoplayed">FRA!#REF!</definedName>
    <definedName name="leicesterpored">FRA!#REF!</definedName>
    <definedName name="leicesterposcored">FRA!#REF!</definedName>
    <definedName name="leicesterpotriesconceded">FRA!#REF!</definedName>
    <definedName name="leicesterpotriesscored">FRA!#REF!</definedName>
    <definedName name="leicesterpowon">FRA!#REF!</definedName>
    <definedName name="leicesterpoyellow">FRA!#REF!</definedName>
    <definedName name="leicesterpremred">[2]LEIC!$O$39</definedName>
    <definedName name="leicesterpremseasontotalsdgs">[1]LEIC!$L$37</definedName>
    <definedName name="leicesterpremseasontotalsdrawn">[1]LEIC!$AA$37</definedName>
    <definedName name="leicesterpremseasontotalslost">[1]LEIC!$AB$37</definedName>
    <definedName name="leicesterpremseasontotalsplayed">[1]LEIC!$Y$37</definedName>
    <definedName name="leicesterpremseasontotalsptsagainst">[1]LEIC!$G$37</definedName>
    <definedName name="leicesterpremseasontotalsptsscored">[1]LEIC!$F$37</definedName>
    <definedName name="leicesterpremseasontotalsRC">[1]LEIC!$O$37</definedName>
    <definedName name="leicesterpremseasontotalstriesconceded">[1]LEIC!$R$37</definedName>
    <definedName name="leicesterpremseasontotalstriesscored">[1]LEIC!$J$37</definedName>
    <definedName name="leicesterpremseasontotalswon">[1]LEIC!$Z$37</definedName>
    <definedName name="leicesterpremseasontotalsYC">[1]LEIC!$N$37</definedName>
    <definedName name="leicesterpremtrybonusconccorrect">[1]LEIC!$P$35</definedName>
    <definedName name="leicesterpremtrybonusscored">[1]LEIC!$H$35</definedName>
    <definedName name="leicesterpremyellow">[2]LEIC!$N$39</definedName>
    <definedName name="leicsbonus">FRA!#REF!</definedName>
    <definedName name="leicsconceded">FRA!#REF!</definedName>
    <definedName name="leicsdrawn">FRA!#REF!</definedName>
    <definedName name="leicslosingbonus">FRA!#REF!</definedName>
    <definedName name="leicslosingbonusconceded">FRA!#REF!</definedName>
    <definedName name="leicslost">FRA!#REF!</definedName>
    <definedName name="leicsplayed">FRA!#REF!</definedName>
    <definedName name="leicsred">FRA!#REF!</definedName>
    <definedName name="leicsscored">FRA!#REF!</definedName>
    <definedName name="leicstries">FRA!#REF!</definedName>
    <definedName name="leicstriesconceded">FRA!#REF!</definedName>
    <definedName name="leicstrybonus">FRA!#REF!</definedName>
    <definedName name="leicstrybonusconceded">FRA!#REF!</definedName>
    <definedName name="leicswon">FRA!#REF!</definedName>
    <definedName name="leicsyellow">FRA!#REF!</definedName>
    <definedName name="libonus">#REF!</definedName>
    <definedName name="liconceded">#REF!</definedName>
    <definedName name="lidrawn">#REF!</definedName>
    <definedName name="lilosingbonus">#REF!</definedName>
    <definedName name="lilosingbonusconceded">#REF!</definedName>
    <definedName name="lilost">#REF!</definedName>
    <definedName name="liplayed">#REF!</definedName>
    <definedName name="lirdgsscored">[1]BRI!$L$36</definedName>
    <definedName name="lired">#REF!</definedName>
    <definedName name="liscored">#REF!</definedName>
    <definedName name="litries">#REF!</definedName>
    <definedName name="litriesconceded">#REF!</definedName>
    <definedName name="litrybonus">#REF!</definedName>
    <definedName name="litrybonusconceded">#REF!</definedName>
    <definedName name="liwon">#REF!</definedName>
    <definedName name="liyellow">#REF!</definedName>
    <definedName name="lweagainst">#REF!</definedName>
    <definedName name="lwedrawn">#REF!</definedName>
    <definedName name="lwelosingbonus">#REF!</definedName>
    <definedName name="lwelosingbonusonceded">#REF!</definedName>
    <definedName name="lwelost">#REF!</definedName>
    <definedName name="lweplayed">#REF!</definedName>
    <definedName name="lwered">#REF!</definedName>
    <definedName name="lwescored">#REF!</definedName>
    <definedName name="lwetriesconceded">#REF!</definedName>
    <definedName name="lwetriesscored">#REF!</definedName>
    <definedName name="lwetrybonus">#REF!</definedName>
    <definedName name="lwetrybonusconceded">#REF!</definedName>
    <definedName name="lwewon">#REF!</definedName>
    <definedName name="lweyellow">#REF!</definedName>
    <definedName name="Nam2019alltestsdrawn">#REF!</definedName>
    <definedName name="Nam2019alltestslost">#REF!</definedName>
    <definedName name="Nam2019alltestsplayed">#REF!</definedName>
    <definedName name="Nam2019alltestsptscon">#REF!</definedName>
    <definedName name="Nam2019alltestsptsscored">#REF!</definedName>
    <definedName name="Nam2019allteststriescon">#REF!</definedName>
    <definedName name="Nam2019allteststriesscored">#REF!</definedName>
    <definedName name="Nam2019alltestswon">#REF!</definedName>
    <definedName name="Nam2019pooldrawn">#REF!</definedName>
    <definedName name="Nam2019poollbcon">#REF!</definedName>
    <definedName name="Nam2019poollbscored">#REF!</definedName>
    <definedName name="Nam2019poollost">#REF!</definedName>
    <definedName name="Nam2019poolplayed">#REF!</definedName>
    <definedName name="Nam2019poolptscon">#REF!</definedName>
    <definedName name="Nam2019poolptsscored">#REF!</definedName>
    <definedName name="Nam2019pooltbcon">#REF!</definedName>
    <definedName name="Nam2019pooltbscored">#REF!</definedName>
    <definedName name="Nam2019pooltriescon">#REF!</definedName>
    <definedName name="Nam2019pooltriesscored">#REF!</definedName>
    <definedName name="Nam2019poolwon">#REF!</definedName>
    <definedName name="Nam2019RWCdrawn">#REF!</definedName>
    <definedName name="Nam2019RWClost">#REF!</definedName>
    <definedName name="Nam2019RWCplayed">#REF!</definedName>
    <definedName name="Nam2019RWCptsagainst">#REF!</definedName>
    <definedName name="Nam2019RWCptsscored">#REF!</definedName>
    <definedName name="Nam2019RWCrc">#REF!</definedName>
    <definedName name="Nam2019RWCtriescon">#REF!</definedName>
    <definedName name="Nam2019RWCtriesscored">#REF!</definedName>
    <definedName name="Nam2019RWCwon">#REF!</definedName>
    <definedName name="Nam2019RWCyc">#REF!</definedName>
    <definedName name="Namibiaalltestshistdrawn">#REF!</definedName>
    <definedName name="Namibiaalltestshistlost">#REF!</definedName>
    <definedName name="Namibiaalltestshistplayed">#REF!</definedName>
    <definedName name="Namibiaalltestshistptscon">#REF!</definedName>
    <definedName name="Namibiaalltestshistptsscored">#REF!</definedName>
    <definedName name="Namibiaalltestshisttriesscored">#REF!</definedName>
    <definedName name="Namibiaalltestshistwon">#REF!</definedName>
    <definedName name="NamibiaRWChistdrawn">#REF!</definedName>
    <definedName name="NamibiaRWChistlost">#REF!</definedName>
    <definedName name="NamibiaRWChistplayed">#REF!</definedName>
    <definedName name="NamibiaRWChistptsagainst">#REF!</definedName>
    <definedName name="NamibiaRWChistptsscored">#REF!</definedName>
    <definedName name="NamibiaRWChisttriesscored">#REF!</definedName>
    <definedName name="NamibiaRWChistwon">#REF!</definedName>
    <definedName name="namlb">#REF!</definedName>
    <definedName name="namlbcon">#REF!</definedName>
    <definedName name="namoveralldrawn">#REF!</definedName>
    <definedName name="namoveralllost">#REF!</definedName>
    <definedName name="namoverallpld">#REF!</definedName>
    <definedName name="namoverallptsag">#REF!</definedName>
    <definedName name="namoverallptsscored">#REF!</definedName>
    <definedName name="namoveralltriescon">#REF!</definedName>
    <definedName name="namoveralltriesscored">#REF!</definedName>
    <definedName name="namoverallwon">#REF!</definedName>
    <definedName name="nampooldrawn">#REF!</definedName>
    <definedName name="nampoollost">#REF!</definedName>
    <definedName name="nampoolpld">#REF!</definedName>
    <definedName name="nampoolptsag">#REF!</definedName>
    <definedName name="nampoolptsscored">#REF!</definedName>
    <definedName name="nampooltriescon">#REF!</definedName>
    <definedName name="nampooltriesscored">#REF!</definedName>
    <definedName name="nampoolwon">#REF!</definedName>
    <definedName name="namred">#REF!</definedName>
    <definedName name="namtb">#REF!</definedName>
    <definedName name="namtbcon">#REF!</definedName>
    <definedName name="namyellow">#REF!</definedName>
    <definedName name="New_ZealandRWChistdrawn">#REF!</definedName>
    <definedName name="New_ZealandRWChistlost">#REF!</definedName>
    <definedName name="New_ZealandRWChistplayed">#REF!</definedName>
    <definedName name="New_ZealandRWChistptscon">#REF!</definedName>
    <definedName name="New_ZealandRWChistptsconcorrect">#REF!</definedName>
    <definedName name="New_ZealandRWChistptsscored">#REF!</definedName>
    <definedName name="New_ZealandRWChisttriesscored">#REF!</definedName>
    <definedName name="New_ZealandRWChistwon">#REF!</definedName>
    <definedName name="newcastlepremred">[2]NEW!$O$37</definedName>
    <definedName name="Newcastlepremtotalsdgs">[1]NEW!$L$38</definedName>
    <definedName name="newcastlepremtotalsdrawn">[1]NEW!$AA$36</definedName>
    <definedName name="Newcastlepremtotalslost">[1]NEW!$AB$38</definedName>
    <definedName name="Newcastlepremtotalsplayed">[1]NEW!$Y$38</definedName>
    <definedName name="Newcastlepremtotalsptsagainst">[1]NEW!$G$38</definedName>
    <definedName name="Newcastlepremtotalsptsscored">[1]NEW!$F$38</definedName>
    <definedName name="Newcastlepremtotalsrc">[1]NEW!$O$38</definedName>
    <definedName name="Newcastlepremtotalstriesconceded">[1]NEW!$R$38</definedName>
    <definedName name="Newcastlepremtotalstriesscored">[1]NEW!$J$38</definedName>
    <definedName name="Newcastlepremtotalswon">[1]NEW!$Z$38</definedName>
    <definedName name="Newcastlepremtotalsyc">[1]NEW!$N$38</definedName>
    <definedName name="newcastlepremtrybonuscocn">[1]NEW!$P$36</definedName>
    <definedName name="newcastlepremtrybonusscored">[1]NEW!$H$36</definedName>
    <definedName name="newcastlepremyellow">[2]NEW!$N$37</definedName>
    <definedName name="newcbonus">IRE!#REF!</definedName>
    <definedName name="newcconceded">IRE!#REF!</definedName>
    <definedName name="newcdrawn">IRE!#REF!</definedName>
    <definedName name="newclosingbonus">IRE!#REF!</definedName>
    <definedName name="newclosingbonusconceded">IRE!#REF!</definedName>
    <definedName name="newclost">IRE!#REF!</definedName>
    <definedName name="newcplayed">IRE!#REF!</definedName>
    <definedName name="newcred">IRE!#REF!</definedName>
    <definedName name="newcscored">IRE!#REF!</definedName>
    <definedName name="newctriesconceded">IRE!#REF!</definedName>
    <definedName name="newctriesscored">IRE!#REF!</definedName>
    <definedName name="newctrybonus">IRE!#REF!</definedName>
    <definedName name="newctrybonusconceded">IRE!#REF!</definedName>
    <definedName name="newcwon">IRE!#REF!</definedName>
    <definedName name="newcyellow">IRE!#REF!</definedName>
    <definedName name="northamptonpremred">[2]NOR!$O$37</definedName>
    <definedName name="northamptonpremseasontotalsdgs">[1]NOR!$L$42</definedName>
    <definedName name="northamptonpremseasontotalsdrawn">[1]NOR!$AA$42</definedName>
    <definedName name="northamptonpremseasontotalslost">[1]NOR!$AB$42</definedName>
    <definedName name="northamptonpremseasontotalsplayed">[1]NOR!$Y$42</definedName>
    <definedName name="northamptonpremseasontotalsptsagainst">[1]NOR!$G$42</definedName>
    <definedName name="northamptonpremseasontotalsptsscored">[1]NOR!$F$42</definedName>
    <definedName name="northamptonpremseasontotalstriesconceded">[1]NOR!$R$42</definedName>
    <definedName name="northamptonpremseasontotalstriesscored">[1]NOR!$J$42</definedName>
    <definedName name="northamptonpremseasontotalswon">[1]NOR!$Z$42</definedName>
    <definedName name="northamptonpremtrybonusconc">[1]NOR!$P$40</definedName>
    <definedName name="northamptonpremtrybonusscored">[1]NOR!$H$40</definedName>
    <definedName name="northamptonpremyellow">[2]NOR!$N$37</definedName>
    <definedName name="Nzl2019alltestsdrawn">#REF!</definedName>
    <definedName name="Nzl2019alltestshistdrawn">#REF!</definedName>
    <definedName name="Nzl2019alltestshistlost">#REF!</definedName>
    <definedName name="Nzl2019alltestshistplayed">#REF!</definedName>
    <definedName name="Nzl2019alltestshistptscon">#REF!</definedName>
    <definedName name="Nzl2019alltestshistptsscored">#REF!</definedName>
    <definedName name="Nzl2019alltestshisttriesscored">#REF!</definedName>
    <definedName name="Nzl2019alltestshistwon">#REF!</definedName>
    <definedName name="Nzl2019alltestslost">#REF!</definedName>
    <definedName name="Nzl2019alltestsplayed">#REF!</definedName>
    <definedName name="Nzl2019alltestsptscon">#REF!</definedName>
    <definedName name="Nzl2019alltestsptsscored">#REF!</definedName>
    <definedName name="Nzl2019allteststriescon">#REF!</definedName>
    <definedName name="Nzl2019allteststriesscored">#REF!</definedName>
    <definedName name="Nzl2019alltestswon">#REF!</definedName>
    <definedName name="Nzl2019pooldrawn">#REF!</definedName>
    <definedName name="Nzl2019poollbcon">#REF!</definedName>
    <definedName name="Nzl2019poollbscored">#REF!</definedName>
    <definedName name="Nzl2019poollost">#REF!</definedName>
    <definedName name="Nzl2019poolplayed">#REF!</definedName>
    <definedName name="Nzl2019poolptscon">#REF!</definedName>
    <definedName name="Nzl2019poolptsscored">#REF!</definedName>
    <definedName name="Nzl2019pooltbcon">#REF!</definedName>
    <definedName name="Nzl2019pooltbscored">#REF!</definedName>
    <definedName name="Nzl2019pooltriescon">#REF!</definedName>
    <definedName name="Nzl2019pooltriesscored">#REF!</definedName>
    <definedName name="Nzl2019poolwon">#REF!</definedName>
    <definedName name="Nzl2019RWCdrawn">#REF!</definedName>
    <definedName name="Nzl2019RWClost">#REF!</definedName>
    <definedName name="Nzl2019RWCplayed">#REF!</definedName>
    <definedName name="Nzl2019RWCptsscon">#REF!</definedName>
    <definedName name="Nzl2019RWCptsscored">#REF!</definedName>
    <definedName name="Nzl2019RWCrc">#REF!</definedName>
    <definedName name="Nzl2019RWCtriescon">#REF!</definedName>
    <definedName name="Nzl2019RWCtriesscored">#REF!</definedName>
    <definedName name="Nzl2019RWCwon">#REF!</definedName>
    <definedName name="Nzl2019RWCyc">#REF!</definedName>
    <definedName name="nzl2021wcpooldrawn">NZL!#REF!</definedName>
    <definedName name="nzl2021wcpoollbscored">NZL!#REF!</definedName>
    <definedName name="nzl2021wcpoollost">NZL!#REF!</definedName>
    <definedName name="nzl2021wcpoolplayed">NZL!#REF!</definedName>
    <definedName name="nzl2021wcpoolpointsagainst">NZL!#REF!</definedName>
    <definedName name="nzl2021wcpoolpointsscored">NZL!#REF!</definedName>
    <definedName name="nzl2021wcpooltbscored">NZL!#REF!</definedName>
    <definedName name="nzl2021wcpooltriesconceded">NZL!#REF!</definedName>
    <definedName name="nzl2021wcpooltriesscored">NZL!#REF!</definedName>
    <definedName name="nzl2021wcpoolwon">NZL!#REF!</definedName>
    <definedName name="nzl2021wcrc">NZL!#REF!</definedName>
    <definedName name="nzl2021wctbcon">NZL!#REF!</definedName>
    <definedName name="nzl2021wcyc">NZL!#REF!</definedName>
    <definedName name="nzllb">#REF!</definedName>
    <definedName name="nzllbcon">#REF!</definedName>
    <definedName name="nzloveralldrawn">#REF!</definedName>
    <definedName name="nzloveralllost">#REF!</definedName>
    <definedName name="nzloverallpld">#REF!</definedName>
    <definedName name="nzloverallptsag">#REF!</definedName>
    <definedName name="nzloverallptsscored">#REF!</definedName>
    <definedName name="nzloveralltriescon">#REF!</definedName>
    <definedName name="nzloveralltriesscored">#REF!</definedName>
    <definedName name="nzloverallwon">#REF!</definedName>
    <definedName name="nzlp4drawn">NZL!$AA$10</definedName>
    <definedName name="nzlp4lb">NZL!$I$10</definedName>
    <definedName name="nzlp4lost">NZL!$AB$10</definedName>
    <definedName name="nzlp4played">NZL!$Y$10</definedName>
    <definedName name="nzlp4ptsconc">NZL!$G$10</definedName>
    <definedName name="nzlp4ptsscored">NZL!$F$10</definedName>
    <definedName name="nzlp4rc">NZL!$O$10</definedName>
    <definedName name="nzlp4tb">NZL!$H$10</definedName>
    <definedName name="nzlp4triesconc">NZL!$R$10</definedName>
    <definedName name="nzlp4triesscored">NZL!$J$10</definedName>
    <definedName name="nzlp4won">NZL!$Z$10</definedName>
    <definedName name="nzlp4yc">NZL!$N$10</definedName>
    <definedName name="nzlpooldrawn">#REF!</definedName>
    <definedName name="nzlpoollost">#REF!</definedName>
    <definedName name="nzlpoolpld">#REF!</definedName>
    <definedName name="nzlpoolptsag">#REF!</definedName>
    <definedName name="nzlpoolptsscored">#REF!</definedName>
    <definedName name="nzlpooltriescon">#REF!</definedName>
    <definedName name="nzlpooltriesscored">#REF!</definedName>
    <definedName name="nzlpoolwon">#REF!</definedName>
    <definedName name="nzlred">#REF!</definedName>
    <definedName name="nzltb">#REF!</definedName>
    <definedName name="nzltbcon">#REF!</definedName>
    <definedName name="nzlyellow">#REF!</definedName>
    <definedName name="quinspoconceded">#REF!</definedName>
    <definedName name="quinspolost">#REF!</definedName>
    <definedName name="quinspoplayed">#REF!</definedName>
    <definedName name="quinspored">#REF!</definedName>
    <definedName name="quinsposcored">#REF!</definedName>
    <definedName name="quinspotriesconceded">#REF!</definedName>
    <definedName name="quinspotriesscored">#REF!</definedName>
    <definedName name="quinspowon">#REF!</definedName>
    <definedName name="quinspoyellow">#REF!</definedName>
    <definedName name="romaniaalltestsdrawn">#REF!</definedName>
    <definedName name="romaniaalltestslost">#REF!</definedName>
    <definedName name="romaniaalltestsplayed">#REF!</definedName>
    <definedName name="romaniaalltestsptsagainst">#REF!</definedName>
    <definedName name="romaniaalltestsptsscored">#REF!</definedName>
    <definedName name="romaniaallteststriesagaiant">#REF!</definedName>
    <definedName name="romaniaallteststriesscored">#REF!</definedName>
    <definedName name="romaniaalltestswon">#REF!</definedName>
    <definedName name="romlb">#REF!</definedName>
    <definedName name="romlbcon">#REF!</definedName>
    <definedName name="romoveralldrawn">#REF!</definedName>
    <definedName name="romoveralllost">#REF!</definedName>
    <definedName name="romoverallpld">#REF!</definedName>
    <definedName name="romoverallptsag">#REF!</definedName>
    <definedName name="romoverallptsscored">#REF!</definedName>
    <definedName name="romoveralltriescon">#REF!</definedName>
    <definedName name="romoveralltriesscored">#REF!</definedName>
    <definedName name="romoverallwon">#REF!</definedName>
    <definedName name="rompooldrawn">#REF!</definedName>
    <definedName name="rompoollost">#REF!</definedName>
    <definedName name="rompoolpld">#REF!</definedName>
    <definedName name="rompoolptsag">#REF!</definedName>
    <definedName name="rompoolptsscored">#REF!</definedName>
    <definedName name="rompooltriescon">#REF!</definedName>
    <definedName name="rompooltriesscored">#REF!</definedName>
    <definedName name="rompoolwon">#REF!</definedName>
    <definedName name="romred">#REF!</definedName>
    <definedName name="romtb">#REF!</definedName>
    <definedName name="romtbcon">#REF!</definedName>
    <definedName name="romyellow">#REF!</definedName>
    <definedName name="Rsa2019alltestsdrawn">#REF!</definedName>
    <definedName name="Rsa2019alltestslost">#REF!</definedName>
    <definedName name="Rsa2019alltestsplayed">#REF!</definedName>
    <definedName name="Rsa2019alltestsptscon">#REF!</definedName>
    <definedName name="Rsa2019alltestsptsscored">#REF!</definedName>
    <definedName name="Rsa2019allteststriescon">#REF!</definedName>
    <definedName name="Rsa2019allteststriesscored">#REF!</definedName>
    <definedName name="Rsa2019alltestswon">#REF!</definedName>
    <definedName name="Rsa2019pooldrawn">#REF!</definedName>
    <definedName name="Rsa2019poollbcon">#REF!</definedName>
    <definedName name="Rsa2019poollbscored">#REF!</definedName>
    <definedName name="Rsa2019poollost">#REF!</definedName>
    <definedName name="Rsa2019poolplayed">#REF!</definedName>
    <definedName name="Rsa2019poolptscon">#REF!</definedName>
    <definedName name="Rsa2019poolptsscored">#REF!</definedName>
    <definedName name="Rsa2019pooltbcon">#REF!</definedName>
    <definedName name="Rsa2019pooltbscored">#REF!</definedName>
    <definedName name="Rsa2019pooltriescon">#REF!</definedName>
    <definedName name="Rsa2019pooltriesscored">#REF!</definedName>
    <definedName name="Rsa2019poolwon">#REF!</definedName>
    <definedName name="Rsa2019RWCdrawn">#REF!</definedName>
    <definedName name="Rsa2019RWClost">#REF!</definedName>
    <definedName name="Rsa2019RWCplayed">#REF!</definedName>
    <definedName name="Rsa2019RWCptscon">#REF!</definedName>
    <definedName name="Rsa2019RWCptsscored">#REF!</definedName>
    <definedName name="Rsa2019RWCrc">#REF!</definedName>
    <definedName name="Rsa2019RWCtriescon">#REF!</definedName>
    <definedName name="Rsa2019RWCtriesscored">#REF!</definedName>
    <definedName name="Rsa2019RWCwon">#REF!</definedName>
    <definedName name="Rsa2019RWCyc">#REF!</definedName>
    <definedName name="rsa2021wcpooldrawn">RSA!#REF!</definedName>
    <definedName name="rsa2021wcpoollbscored">RSA!#REF!</definedName>
    <definedName name="rsa2021wcpoollost">RSA!#REF!</definedName>
    <definedName name="rsa2021wcpoolplayed">RSA!#REF!</definedName>
    <definedName name="rsa2021wcpoolpointsagainst">RSA!#REF!</definedName>
    <definedName name="rsa2021wcpoolpointsscored">RSA!#REF!</definedName>
    <definedName name="rsa2021wcpooltbscored">RSA!#REF!</definedName>
    <definedName name="rsa2021wcpooltriesconceded">RSA!#REF!</definedName>
    <definedName name="rsa2021wcpooltriesscored">RSA!#REF!</definedName>
    <definedName name="rsa2021wcpoolwon">RSA!#REF!</definedName>
    <definedName name="rsa2021wcrc">RSA!#REF!</definedName>
    <definedName name="rsa2021wctbcon">RSA!#REF!</definedName>
    <definedName name="rsa2021wcyc">RSA!#REF!</definedName>
    <definedName name="Rsaalltestshistdrawn">#REF!</definedName>
    <definedName name="Rsaalltestshistlost">#REF!</definedName>
    <definedName name="Rsaalltestshistplayed">#REF!</definedName>
    <definedName name="Rsaalltestshistptscon">#REF!</definedName>
    <definedName name="Rsaalltestshistptsscored">#REF!</definedName>
    <definedName name="Rsaalltestshisttriesscored">#REF!</definedName>
    <definedName name="Rsaalltestshistwon">#REF!</definedName>
    <definedName name="rsalb">#REF!</definedName>
    <definedName name="rsalbcon">#REF!</definedName>
    <definedName name="rsaoveralldrawn">#REF!</definedName>
    <definedName name="rsaoveralllost">#REF!</definedName>
    <definedName name="rsaoverallpld">#REF!</definedName>
    <definedName name="rsaoverallptsag">#REF!</definedName>
    <definedName name="rsaoverallptsscored">#REF!</definedName>
    <definedName name="rsaoveralltriescon">#REF!</definedName>
    <definedName name="rsaoveralltriesscored">#REF!</definedName>
    <definedName name="rsaoverallwon">#REF!</definedName>
    <definedName name="rsapooldrawn">#REF!</definedName>
    <definedName name="rsapoollost">#REF!</definedName>
    <definedName name="rsapoolpld">#REF!</definedName>
    <definedName name="rsapoolptsag">#REF!</definedName>
    <definedName name="rsapoolptsscored">#REF!</definedName>
    <definedName name="rsapooltriescon">#REF!</definedName>
    <definedName name="rsapooltriesscored">#REF!</definedName>
    <definedName name="rsapoolwon">#REF!</definedName>
    <definedName name="rsared">#REF!</definedName>
    <definedName name="RsaRWChistdrawn">#REF!</definedName>
    <definedName name="RsaRWChistlost">#REF!</definedName>
    <definedName name="RsaRWChistplayed">#REF!</definedName>
    <definedName name="RsaRWChistptscon">#REF!</definedName>
    <definedName name="RsaRWChistptsscored">#REF!</definedName>
    <definedName name="RsaRWChisttriesscored">#REF!</definedName>
    <definedName name="RsaRWChistwon">#REF!</definedName>
    <definedName name="rsatb">#REF!</definedName>
    <definedName name="rsatbcon">#REF!</definedName>
    <definedName name="rsayellow">#REF!</definedName>
    <definedName name="Rus2019alltestsdrawn">#REF!</definedName>
    <definedName name="Rus2019alltestslost">#REF!</definedName>
    <definedName name="Rus2019alltestsplayed">#REF!</definedName>
    <definedName name="Rus2019alltestsptscon">#REF!</definedName>
    <definedName name="Rus2019alltestsptsscored">#REF!</definedName>
    <definedName name="Rus2019allteststriescon">#REF!</definedName>
    <definedName name="Rus2019allteststriescored">#REF!</definedName>
    <definedName name="Rus2019alltestswon">#REF!</definedName>
    <definedName name="Rus2019pooldrawn">#REF!</definedName>
    <definedName name="Rus2019poollbcon">#REF!</definedName>
    <definedName name="Rus2019poollbscored">#REF!</definedName>
    <definedName name="Rus2019poollost">#REF!</definedName>
    <definedName name="Rus2019poolplayed">#REF!</definedName>
    <definedName name="Rus2019poolplayedcorrect">#REF!</definedName>
    <definedName name="Rus2019poolptscon">#REF!</definedName>
    <definedName name="Rus2019poolptsscored">#REF!</definedName>
    <definedName name="Rus2019pooltbcon">#REF!</definedName>
    <definedName name="Rus2019pooltbscored">#REF!</definedName>
    <definedName name="Rus2019pooltriescon">#REF!</definedName>
    <definedName name="Rus2019pooltriesscored">#REF!</definedName>
    <definedName name="Rus2019poolwon">#REF!</definedName>
    <definedName name="Rus2019poolwoncorrect">#REF!</definedName>
    <definedName name="Rus2019RWCdrawn">#REF!</definedName>
    <definedName name="Rus2019RWClost">#REF!</definedName>
    <definedName name="Rus2019RWCplayed">#REF!</definedName>
    <definedName name="Rus2019RWCptscon">#REF!</definedName>
    <definedName name="Rus2019RWCptsscored">#REF!</definedName>
    <definedName name="Rus2019RWCrc">#REF!</definedName>
    <definedName name="Rus2019RWCtriescon">#REF!</definedName>
    <definedName name="Rus2019RWCtriesscored">#REF!</definedName>
    <definedName name="Rus2019RWCwon">#REF!</definedName>
    <definedName name="Rus2019RWCyc">#REF!</definedName>
    <definedName name="Russiaalltestshistdrawn">#REF!</definedName>
    <definedName name="Russiaalltestshistlost">#REF!</definedName>
    <definedName name="Russiaalltestshistplayed">#REF!</definedName>
    <definedName name="Russiaalltestshistptsagainst">#REF!</definedName>
    <definedName name="Russiaalltestshistptsscored">#REF!</definedName>
    <definedName name="Russiaalltestshisttriesscored">#REF!</definedName>
    <definedName name="Russiaalltestshistwon">#REF!</definedName>
    <definedName name="RussiaRWChistdrawn">#REF!</definedName>
    <definedName name="RussiaRWChistlost">#REF!</definedName>
    <definedName name="RussiaRWChistplayed">#REF!</definedName>
    <definedName name="RussiaRWChistptscon">#REF!</definedName>
    <definedName name="RussiaRWChistptsscored">#REF!</definedName>
    <definedName name="RussiaRWChisttriesscored">#REF!</definedName>
    <definedName name="RussiaRWChistwon">#REF!</definedName>
    <definedName name="RWC2019startarg">#REF!</definedName>
    <definedName name="RWC2019startaus">#REF!</definedName>
    <definedName name="RWC2019startcan">#REF!</definedName>
    <definedName name="RWC2019starteng">ENG!#REF!</definedName>
    <definedName name="RWC2019startfij">#REF!</definedName>
    <definedName name="RWC2019startfra">FRA!#REF!</definedName>
    <definedName name="RWC2019startgeo">#REF!</definedName>
    <definedName name="RWC2019startire">IRE!#REF!</definedName>
    <definedName name="RWC2019startita">ITA!#REF!</definedName>
    <definedName name="RWC2019startjpn">#REF!</definedName>
    <definedName name="RWC2019startnam">#REF!</definedName>
    <definedName name="RWC2019startnzl">#REF!</definedName>
    <definedName name="RWC2019startrsa">#REF!</definedName>
    <definedName name="RWC2019startrus">#REF!</definedName>
    <definedName name="RWC2019startsam">#REF!</definedName>
    <definedName name="RWC2019startsco">SCO!#REF!</definedName>
    <definedName name="RWCstartton">#REF!</definedName>
    <definedName name="RWCstartUru">#REF!</definedName>
    <definedName name="RWCstartUSA">#REF!</definedName>
    <definedName name="RWCstartwal">WAL!#REF!</definedName>
    <definedName name="sainstpotriesconcededcorrect">ITA!#REF!</definedName>
    <definedName name="sainstpowon">ITA!#REF!</definedName>
    <definedName name="saintsbonus">ITA!#REF!</definedName>
    <definedName name="saintsconceded">ITA!#REF!</definedName>
    <definedName name="saintsdrawn">ITA!#REF!</definedName>
    <definedName name="saintslosingbonus">ITA!#REF!</definedName>
    <definedName name="saintslosingbonusconceded">ITA!#REF!</definedName>
    <definedName name="saintslost">ITA!#REF!</definedName>
    <definedName name="saintsplayed">ITA!#REF!</definedName>
    <definedName name="saintspoconceded">ITA!#REF!</definedName>
    <definedName name="saintspodrawn">ITA!#REF!</definedName>
    <definedName name="saintspolost">ITA!#REF!</definedName>
    <definedName name="saintspoplayed">ITA!#REF!</definedName>
    <definedName name="saintspored">ITA!#REF!</definedName>
    <definedName name="saintsposcored">ITA!#REF!</definedName>
    <definedName name="saintspotriesconceded">ITA!#REF!</definedName>
    <definedName name="saintspotriesscored">ITA!#REF!</definedName>
    <definedName name="Saintspoyellow">ITA!#REF!</definedName>
    <definedName name="saintsred">ITA!#REF!</definedName>
    <definedName name="saintsscored">ITA!#REF!</definedName>
    <definedName name="saintstriesconceded">ITA!#REF!</definedName>
    <definedName name="saintstriesscored">ITA!#REF!</definedName>
    <definedName name="saintstrybonus">ITA!#REF!</definedName>
    <definedName name="saintstrybonusconceded">ITA!#REF!</definedName>
    <definedName name="saintswon">ITA!#REF!</definedName>
    <definedName name="saintsyellow">ITA!#REF!</definedName>
    <definedName name="salebonus">#REF!</definedName>
    <definedName name="saleconceded">#REF!</definedName>
    <definedName name="saledrawn">#REF!</definedName>
    <definedName name="salelosingbonus">#REF!</definedName>
    <definedName name="salelosingbonusconceded">#REF!</definedName>
    <definedName name="salelost">#REF!</definedName>
    <definedName name="saleplayed">#REF!</definedName>
    <definedName name="salepremptsdagainst">[1]SAL!$G$37</definedName>
    <definedName name="salepremptsscored">[1]SAL!$F$37</definedName>
    <definedName name="salepremred">[2]SAL!$O$39</definedName>
    <definedName name="salepremseasontotalsdgs">[1]SAL!$L$39</definedName>
    <definedName name="salepremseasontotalsdrawn">[1]SAL!$AA$39</definedName>
    <definedName name="salepremseasontotalslost">[1]SAL!$AB$39</definedName>
    <definedName name="salepremseasontotalsplayed">[1]SAL!$Y$39</definedName>
    <definedName name="salepremseasontotalsRC">[1]SAL!$O$39</definedName>
    <definedName name="salepremseasontotalstriesconceded">[1]SAL!$R$39</definedName>
    <definedName name="salepremseasontotalstriesscored">[1]SAL!$J$39</definedName>
    <definedName name="salepremseasontotalswon">[1]SAL!$Z$39</definedName>
    <definedName name="salepremseasontotalsYC">[1]SAL!$N$39</definedName>
    <definedName name="salepremtrybonusconc">[1]SAL!$P$37</definedName>
    <definedName name="salepremtrybonusscored">[1]SAL!$H$37</definedName>
    <definedName name="salepremyellow">[2]SAL!$N$39</definedName>
    <definedName name="salered">#REF!</definedName>
    <definedName name="salescored">#REF!</definedName>
    <definedName name="saletriesconceded">#REF!</definedName>
    <definedName name="saletriesscored">#REF!</definedName>
    <definedName name="saletrybonus">#REF!</definedName>
    <definedName name="saletrybonusconceded">#REF!</definedName>
    <definedName name="salewon">#REF!</definedName>
    <definedName name="saleyellow">#REF!</definedName>
    <definedName name="Sam2019alltestsdrawn">#REF!</definedName>
    <definedName name="Sam2019alltestslost">#REF!</definedName>
    <definedName name="Sam2019alltestsplayed">#REF!</definedName>
    <definedName name="Sam2019alltestsptscon">#REF!</definedName>
    <definedName name="Sam2019alltestsptsscored">#REF!</definedName>
    <definedName name="Sam2019allteststriescon">#REF!</definedName>
    <definedName name="Sam2019allteststriescored">#REF!</definedName>
    <definedName name="Sam2019alltestswon">#REF!</definedName>
    <definedName name="Sam2019pooldrawn">#REF!</definedName>
    <definedName name="Sam2019poollbcon">#REF!</definedName>
    <definedName name="Sam2019poollbscored">#REF!</definedName>
    <definedName name="Sam2019poollost">#REF!</definedName>
    <definedName name="Sam2019poolplayed">#REF!</definedName>
    <definedName name="Sam2019poolptscon">#REF!</definedName>
    <definedName name="Sam2019poolptsscored">#REF!</definedName>
    <definedName name="Sam2019pooltbcon">#REF!</definedName>
    <definedName name="Sam2019pooltbscored">#REF!</definedName>
    <definedName name="Sam2019pooltriescon">#REF!</definedName>
    <definedName name="Sam2019pooltriesscored">#REF!</definedName>
    <definedName name="Sam2019poolwon">#REF!</definedName>
    <definedName name="Sam2019RWCdrawn">#REF!</definedName>
    <definedName name="Sam2019RWClost">#REF!</definedName>
    <definedName name="Sam2019RWCplayed">#REF!</definedName>
    <definedName name="Sam2019RWCptscon">#REF!</definedName>
    <definedName name="Sam2019RWCptsscored">#REF!</definedName>
    <definedName name="SAM2019rwcRC">#REF!</definedName>
    <definedName name="Sam2019RWCtriescon">#REF!</definedName>
    <definedName name="Sam2019RWCtriescored">#REF!</definedName>
    <definedName name="Sam2019RWCwon">#REF!</definedName>
    <definedName name="Sam2019RWCyc">#REF!</definedName>
    <definedName name="Samalltestshistdrawn">#REF!</definedName>
    <definedName name="Samalltestshistlost">#REF!</definedName>
    <definedName name="Samalltestshistplayed">#REF!</definedName>
    <definedName name="Samalltestshistptscon">#REF!</definedName>
    <definedName name="Samalltestshistptsscored">#REF!</definedName>
    <definedName name="SamalltestshistTRIESSCORED">#REF!</definedName>
    <definedName name="Samalltestshistwon">#REF!</definedName>
    <definedName name="samlb">#REF!</definedName>
    <definedName name="samlbcon">#REF!</definedName>
    <definedName name="samoveralldrawn">#REF!</definedName>
    <definedName name="samoveralllost">#REF!</definedName>
    <definedName name="samoverallpld">#REF!</definedName>
    <definedName name="samoverallptsag">#REF!</definedName>
    <definedName name="samoverallptsscored">#REF!</definedName>
    <definedName name="samoveralltriescon">#REF!</definedName>
    <definedName name="samoveralltriesscored">#REF!</definedName>
    <definedName name="samoverallwon">#REF!</definedName>
    <definedName name="sampooldrawn">#REF!</definedName>
    <definedName name="sampoollost">#REF!</definedName>
    <definedName name="sampoolpld">#REF!</definedName>
    <definedName name="sampoolptsag">#REF!</definedName>
    <definedName name="sampoolptsscored">#REF!</definedName>
    <definedName name="sampooltriescon">#REF!</definedName>
    <definedName name="sampooltriesscored">#REF!</definedName>
    <definedName name="sampoolwon">#REF!</definedName>
    <definedName name="samred">#REF!</definedName>
    <definedName name="SamRWChistdrawn">#REF!</definedName>
    <definedName name="SamRWChistlost">#REF!</definedName>
    <definedName name="SamRWChistplayed">#REF!</definedName>
    <definedName name="SamRWChistptscon">#REF!</definedName>
    <definedName name="SamRWChistptsscored">#REF!</definedName>
    <definedName name="SamRWChisttriesscored">#REF!</definedName>
    <definedName name="SamRWChistwon">#REF!</definedName>
    <definedName name="samtb">#REF!</definedName>
    <definedName name="samtbcon">#REF!</definedName>
    <definedName name="samyellow">#REF!</definedName>
    <definedName name="saracenspoconceded">#REF!</definedName>
    <definedName name="saracenspolost">#REF!</definedName>
    <definedName name="saracenspoplayed">#REF!</definedName>
    <definedName name="saracenspored">#REF!</definedName>
    <definedName name="saracensposcored">#REF!</definedName>
    <definedName name="saracenspotriesconceded">#REF!</definedName>
    <definedName name="saracenspotriesscored">#REF!</definedName>
    <definedName name="saracenspowon">#REF!</definedName>
    <definedName name="saracenspoyellow">#REF!</definedName>
    <definedName name="saracenspremred">[2]SAR!$O$42</definedName>
    <definedName name="saracenspremtotalsdrawn">[1]SAR!$AA$44</definedName>
    <definedName name="saracenspremtrybonusconc">[1]SAR!$P$42</definedName>
    <definedName name="saracenspremtrybonusscored">[1]SAR!$H$42</definedName>
    <definedName name="saracenspremyellow">[2]SAR!$N$42</definedName>
    <definedName name="Sarpremtotalsdgs">[1]SAR!$L$44</definedName>
    <definedName name="Sarpremtotalslost">[1]SAR!$AB$44</definedName>
    <definedName name="Sarpremtotalsplayed">[1]SAR!$Y$44</definedName>
    <definedName name="Sarpremtotalsptsagainst">[1]SAR!$G$44</definedName>
    <definedName name="Sarpremtotalsptsscored">[1]SAR!$F$44</definedName>
    <definedName name="Sarpremtotalsrc">[1]SAR!$O$44</definedName>
    <definedName name="Sarpremtotalstriesconceded">[1]SAR!$R$44</definedName>
    <definedName name="Sarpremtotalstriesscored">[1]SAR!$J$44</definedName>
    <definedName name="Sarpremtotalswon">[1]SAR!$Z$44</definedName>
    <definedName name="Sarpremtotalsyc">[1]SAR!$N$44</definedName>
    <definedName name="sarriesbonus">#REF!</definedName>
    <definedName name="sarriesconceded">#REF!</definedName>
    <definedName name="sarriesdrawn">#REF!</definedName>
    <definedName name="sarrieslosingbonus">#REF!</definedName>
    <definedName name="sarrieslosingbonusconceded">#REF!</definedName>
    <definedName name="sarrieslost">#REF!</definedName>
    <definedName name="sarriesplayed">#REF!</definedName>
    <definedName name="sarriesred">#REF!</definedName>
    <definedName name="sarriesscored">#REF!</definedName>
    <definedName name="sarriestriesconceded">#REF!</definedName>
    <definedName name="sarriestriesscored">#REF!</definedName>
    <definedName name="sarriestrybonus">#REF!</definedName>
    <definedName name="sarriestrybonusconceded">#REF!</definedName>
    <definedName name="sarrieswon">#REF!</definedName>
    <definedName name="sarriesyellow">#REF!</definedName>
    <definedName name="Sco2019alltestsdrawn">SCO!$AA$15</definedName>
    <definedName name="Sco2019alltestslost">SCO!$AB$15</definedName>
    <definedName name="Sco2019alltestsplayed">SCO!$Y$15</definedName>
    <definedName name="Sco2019alltestsptsagainst">SCO!$G$15</definedName>
    <definedName name="Sco2019alltestsptsscored">SCO!$F$15</definedName>
    <definedName name="Sco2019allteststriescon">SCO!$R$15</definedName>
    <definedName name="Sco2019allteststriesscored">SCO!$J$15</definedName>
    <definedName name="Sco2019alltestswon">SCO!$Z$15</definedName>
    <definedName name="Sco2019pooldrawn">SCO!#REF!</definedName>
    <definedName name="Sco2019poollbcon">SCO!#REF!</definedName>
    <definedName name="Sco2019poollbscored">SCO!#REF!</definedName>
    <definedName name="sco2019poollost">SCO!#REF!</definedName>
    <definedName name="Sco2019poolplayed">SCO!#REF!</definedName>
    <definedName name="Sco2019poolptsagainst">SCO!#REF!</definedName>
    <definedName name="Sco2019poolptsscored">SCO!#REF!</definedName>
    <definedName name="Sco2019pooltbcon">SCO!#REF!</definedName>
    <definedName name="Sco2019pooltbscored">SCO!#REF!</definedName>
    <definedName name="Sco2019pooltriescon">SCO!#REF!</definedName>
    <definedName name="Sco2019pooltriesscored">SCO!#REF!</definedName>
    <definedName name="Sco2019poolwon">SCO!#REF!</definedName>
    <definedName name="Sco2019RWCdrawn">SCO!#REF!</definedName>
    <definedName name="Sco2019RWClost">SCO!#REF!</definedName>
    <definedName name="Sco2019RWCplayed">SCO!#REF!</definedName>
    <definedName name="Sco2019RWCptscon">SCO!#REF!</definedName>
    <definedName name="Sco2019RWCptsscored">SCO!#REF!</definedName>
    <definedName name="Sco2019RWCrc">SCO!#REF!</definedName>
    <definedName name="Sco2019RWCtriescon">SCO!#REF!</definedName>
    <definedName name="Sco2019RWCtriesscored">SCO!#REF!</definedName>
    <definedName name="Sco2019RWCwon">SCO!#REF!</definedName>
    <definedName name="Sco2019RWCyc">SCO!#REF!</definedName>
    <definedName name="sco2021wcpooldrawn">SCO!#REF!</definedName>
    <definedName name="sco2021wcpoollbscored">SCO!#REF!</definedName>
    <definedName name="sco2021wcpoollost">SCO!#REF!</definedName>
    <definedName name="sco2021wcpoolplayed">SCO!#REF!</definedName>
    <definedName name="sco2021wcpoolpointsagainst">SCO!#REF!</definedName>
    <definedName name="sco2021wcpoolpointsscored">SCO!#REF!</definedName>
    <definedName name="sco2021wcpooltbscored">SCO!#REF!</definedName>
    <definedName name="sco2021wcpooltriesconceded">SCO!#REF!</definedName>
    <definedName name="sco2021wcpooltriesscored">SCO!#REF!</definedName>
    <definedName name="sco2021wcpoolwon">SCO!#REF!</definedName>
    <definedName name="sco2021wcrc">SCO!#REF!</definedName>
    <definedName name="sco2021wctbcon">SCO!#REF!</definedName>
    <definedName name="sco2021wcyc">SCO!#REF!</definedName>
    <definedName name="sco6nrc">SCO!$O$12</definedName>
    <definedName name="sco6nyc">SCO!$N$12</definedName>
    <definedName name="scolb">SCO!#REF!</definedName>
    <definedName name="scolbcon">SCO!#REF!</definedName>
    <definedName name="scooveralldrawn">SCO!#REF!</definedName>
    <definedName name="scooveralllost">SCO!#REF!</definedName>
    <definedName name="scooverallpld">SCO!#REF!</definedName>
    <definedName name="scooverallptsag">SCO!#REF!</definedName>
    <definedName name="scooverallptsscored">SCO!#REF!</definedName>
    <definedName name="scooveralltriescon">SCO!#REF!</definedName>
    <definedName name="scooveralltriesscored">SCO!#REF!</definedName>
    <definedName name="scooverallwon">SCO!#REF!</definedName>
    <definedName name="scopooldrawn">SCO!#REF!</definedName>
    <definedName name="scopoollost">SCO!#REF!</definedName>
    <definedName name="scopoolpld">SCO!#REF!</definedName>
    <definedName name="scopoolptsag">SCO!#REF!</definedName>
    <definedName name="scopoolptsscored">SCO!#REF!</definedName>
    <definedName name="scopooltriescon">SCO!#REF!</definedName>
    <definedName name="scopooltriesscored">SCO!#REF!</definedName>
    <definedName name="scopoolwon">SCO!#REF!</definedName>
    <definedName name="scored">SCO!#REF!</definedName>
    <definedName name="scotb">SCO!#REF!</definedName>
    <definedName name="scotbcon">SCO!#REF!</definedName>
    <definedName name="Scotlandalltestshistdrawn">#REF!</definedName>
    <definedName name="Scotlandalltestshistlost">#REF!</definedName>
    <definedName name="Scotlandalltestshistplayed">#REF!</definedName>
    <definedName name="Scotlandalltestshistptscon">#REF!</definedName>
    <definedName name="Scotlandalltestshistptsscored">#REF!</definedName>
    <definedName name="Scotlandalltestshisttriesscored">#REF!</definedName>
    <definedName name="Scotlandalltestshistwon">#REF!</definedName>
    <definedName name="Scotlanddrawn">SCO!$AA$12</definedName>
    <definedName name="Scotlandlosingbonus">SCO!$I$12</definedName>
    <definedName name="Scotlandlost">SCO!$AB$12</definedName>
    <definedName name="Scotlandplayed">SCO!$Y$12</definedName>
    <definedName name="Scotlandptsagainst">SCO!$G$12</definedName>
    <definedName name="Scotlandptsscored">SCO!$F$12</definedName>
    <definedName name="Scotlandred">SCO!$O$12</definedName>
    <definedName name="ScotlandRWChistdrawn">#REF!</definedName>
    <definedName name="ScotlandRWChistlost">#REF!</definedName>
    <definedName name="ScotlandRWChistplayed">#REF!</definedName>
    <definedName name="ScotlandRWChistptscon">#REF!</definedName>
    <definedName name="ScotlandRWChistptsscored">#REF!</definedName>
    <definedName name="ScotlandRWChisttriesscored">#REF!</definedName>
    <definedName name="ScotlandRWChistwon">#REF!</definedName>
    <definedName name="Scotlandtriesagainst">SCO!$R$12</definedName>
    <definedName name="Scotlandtriesscored">SCO!$J$12</definedName>
    <definedName name="Scotlandtrybonus">SCO!$H$12</definedName>
    <definedName name="Scotlandwon">SCO!$Z$12</definedName>
    <definedName name="Scotlandyellow">SCO!$N$12</definedName>
    <definedName name="scoyellow">SCO!#REF!</definedName>
    <definedName name="tgalb">#REF!</definedName>
    <definedName name="tgalbcon">#REF!</definedName>
    <definedName name="tgaoveralldrawn">#REF!</definedName>
    <definedName name="tgaoveralllost">#REF!</definedName>
    <definedName name="tgaoverallpld">#REF!</definedName>
    <definedName name="tgaoverallptsag">#REF!</definedName>
    <definedName name="tgaoverallptsscored">#REF!</definedName>
    <definedName name="tgaoveralltriescon">#REF!</definedName>
    <definedName name="tgaoveralltriesscored">#REF!</definedName>
    <definedName name="tgaoveralltriesscoredcorr">#REF!</definedName>
    <definedName name="tgaoverallwon">#REF!</definedName>
    <definedName name="tgaovralltriesscoredcorrect">#REF!</definedName>
    <definedName name="tgapooldrawn">#REF!</definedName>
    <definedName name="tgapoollost">#REF!</definedName>
    <definedName name="tgapoolpld">#REF!</definedName>
    <definedName name="tgapoolptsag">#REF!</definedName>
    <definedName name="tgapoolptsscored">#REF!</definedName>
    <definedName name="tgapooltriescon">#REF!</definedName>
    <definedName name="tgapooltriesscored">#REF!</definedName>
    <definedName name="tgapoolwon">#REF!</definedName>
    <definedName name="tgared">#REF!</definedName>
    <definedName name="tgatb">#REF!</definedName>
    <definedName name="tgatbcon">#REF!</definedName>
    <definedName name="tgayellow">#REF!</definedName>
    <definedName name="Ton2019alltestsdrawn">#REF!</definedName>
    <definedName name="Ton2019alltestslost">#REF!</definedName>
    <definedName name="Ton2019alltestsplayed">#REF!</definedName>
    <definedName name="Ton2019alltestsptscon">#REF!</definedName>
    <definedName name="Ton2019alltestsptsscored">#REF!</definedName>
    <definedName name="Ton2019allteststriescon">#REF!</definedName>
    <definedName name="Ton2019allteststriesscored">#REF!</definedName>
    <definedName name="Ton2019alltestswon">#REF!</definedName>
    <definedName name="Ton2019pooldrawn">#REF!</definedName>
    <definedName name="Ton2019poollbcon">#REF!</definedName>
    <definedName name="Ton2019poollbscored">#REF!</definedName>
    <definedName name="Ton2019poollost">#REF!</definedName>
    <definedName name="Ton2019poolplayed">#REF!</definedName>
    <definedName name="Ton2019poolplayedcorrect">#REF!</definedName>
    <definedName name="Ton2019poolptscon">#REF!</definedName>
    <definedName name="Ton2019poolptsscored">#REF!</definedName>
    <definedName name="Ton2019poolrtbcon">#REF!</definedName>
    <definedName name="Ton2019pooltbscored">#REF!</definedName>
    <definedName name="Ton2019pooltriescon">#REF!</definedName>
    <definedName name="Ton2019pooltriesscored">#REF!</definedName>
    <definedName name="Ton2019poolwon">#REF!</definedName>
    <definedName name="Ton2019RWCdrawn">#REF!</definedName>
    <definedName name="Ton2019RWClost">#REF!</definedName>
    <definedName name="Ton2019RWCplayed">#REF!</definedName>
    <definedName name="Ton2019RWCptscon">#REF!</definedName>
    <definedName name="Ton2019RWCptsscored">#REF!</definedName>
    <definedName name="Ton2019RWCrc">#REF!</definedName>
    <definedName name="Ton2019RWCtriescon">#REF!</definedName>
    <definedName name="Ton2019RWCtriesscored">#REF!</definedName>
    <definedName name="Ton2019RWCwon">#REF!</definedName>
    <definedName name="Ton2019RWCyc">#REF!</definedName>
    <definedName name="Tongaalltestshistdrawn">#REF!</definedName>
    <definedName name="Tongaalltestshistlost">#REF!</definedName>
    <definedName name="Tongaalltestshistplayed">#REF!</definedName>
    <definedName name="Tongaalltestshistptsagainst">#REF!</definedName>
    <definedName name="Tongaalltestshistptsscored">#REF!</definedName>
    <definedName name="Tongaalltestshisttriesscored">#REF!</definedName>
    <definedName name="Tongaalltestshistwon">#REF!</definedName>
    <definedName name="TongaRWChistdrawn">#REF!</definedName>
    <definedName name="TongaRWChistlost">#REF!</definedName>
    <definedName name="TongaRWChistplayed">#REF!</definedName>
    <definedName name="TongaRWChistptscon">#REF!</definedName>
    <definedName name="TongaRWChistptsscored">#REF!</definedName>
    <definedName name="TongaRWChisttriesscored">#REF!</definedName>
    <definedName name="TongaRWChistwon">#REF!</definedName>
    <definedName name="triesscored">ENG!#REF!</definedName>
    <definedName name="United_Statesalltestshistdrawn">#REF!</definedName>
    <definedName name="United_Statesalltestshistlost">#REF!</definedName>
    <definedName name="United_Statesalltestshistplayed">#REF!</definedName>
    <definedName name="United_Statesalltestshistptscon">#REF!</definedName>
    <definedName name="United_Statesalltestshistptsscored">#REF!</definedName>
    <definedName name="United_Statesalltestshisttriesscored">#REF!</definedName>
    <definedName name="United_Statesalltestshistwon">#REF!</definedName>
    <definedName name="United_StatesRWChistdrawn">#REF!</definedName>
    <definedName name="United_StatesRWChistlost">#REF!</definedName>
    <definedName name="United_StatesRWChistplayed">#REF!</definedName>
    <definedName name="United_StatesRWChistptscon">#REF!</definedName>
    <definedName name="United_StatesRWChistptsscored">#REF!</definedName>
    <definedName name="United_StatesRWChisttriesscored">#REF!</definedName>
    <definedName name="United_StatesRWChistwon">#REF!</definedName>
    <definedName name="Uru2019alltestsdrawn">#REF!</definedName>
    <definedName name="Uru2019alltestslost">#REF!</definedName>
    <definedName name="Uru2019alltestsplayed">#REF!</definedName>
    <definedName name="Uru2019alltestsplayedcorrect">#REF!</definedName>
    <definedName name="Uru2019alltestsptscon">#REF!</definedName>
    <definedName name="Uru2019alltestsptsscored">#REF!</definedName>
    <definedName name="Uru2019allteststriescon">#REF!</definedName>
    <definedName name="Uru2019allteststriesconcorrect">#REF!</definedName>
    <definedName name="Uru2019allteststriesscored">#REF!</definedName>
    <definedName name="Uru2019alltestswon">#REF!</definedName>
    <definedName name="Uru2019pooldrawn">#REF!</definedName>
    <definedName name="Uru2019poollbcon">#REF!</definedName>
    <definedName name="Uru2019poollbscored">#REF!</definedName>
    <definedName name="Uru2019poollost">#REF!</definedName>
    <definedName name="Uru2019poolplayed">#REF!</definedName>
    <definedName name="Uru2019poolptsagainst">#REF!</definedName>
    <definedName name="Uru2019poolptscon">#REF!</definedName>
    <definedName name="Uru2019poolptsconcorrect">#REF!</definedName>
    <definedName name="Uru2019poolptsscored">#REF!</definedName>
    <definedName name="Uru2019pooltbcon">#REF!</definedName>
    <definedName name="Uru2019pooltbscored">#REF!</definedName>
    <definedName name="Uru2019pooltriescon">#REF!</definedName>
    <definedName name="Uru2019pooltriesscored">#REF!</definedName>
    <definedName name="uru2019poolwon">#REF!</definedName>
    <definedName name="Uru2019RWCdrawn">#REF!</definedName>
    <definedName name="Uru2019RWClostcorrect">#REF!</definedName>
    <definedName name="Uru2019RWCplayed">#REF!</definedName>
    <definedName name="Uru2019RWCptscon">#REF!</definedName>
    <definedName name="Uru2019RWCptsscored">#REF!</definedName>
    <definedName name="Uru2019RWCrc">#REF!</definedName>
    <definedName name="Uru2019RWCtriescon">#REF!</definedName>
    <definedName name="Uru2019RWCtriesscored">#REF!</definedName>
    <definedName name="Uru2019RWCwon">#REF!</definedName>
    <definedName name="Uru2019RWCyc">#REF!</definedName>
    <definedName name="Urualltestshistdrawn">#REF!</definedName>
    <definedName name="Urualltestshistlost">#REF!</definedName>
    <definedName name="Urualltestshistplayed">#REF!</definedName>
    <definedName name="Urualltestshistptscon">#REF!</definedName>
    <definedName name="Urualltestshistptsscored">#REF!</definedName>
    <definedName name="Urualltestshisttriesscored">#REF!</definedName>
    <definedName name="Urualltestshistwon">#REF!</definedName>
    <definedName name="urulb">#REF!</definedName>
    <definedName name="urulbcon">#REF!</definedName>
    <definedName name="uruoveralldrawn">#REF!</definedName>
    <definedName name="uruoveralllost">#REF!</definedName>
    <definedName name="uruoverallpld">#REF!</definedName>
    <definedName name="uruoverallptsag">#REF!</definedName>
    <definedName name="uruoverallptsscored">#REF!</definedName>
    <definedName name="uruoveralltriescon">#REF!</definedName>
    <definedName name="uruoveralltriesscored">#REF!</definedName>
    <definedName name="uruoverallwon">#REF!</definedName>
    <definedName name="urupooldrawn">#REF!</definedName>
    <definedName name="urupoollost">#REF!</definedName>
    <definedName name="urupoolpld">#REF!</definedName>
    <definedName name="urupoolptsag">#REF!</definedName>
    <definedName name="urupoolptsscored">#REF!</definedName>
    <definedName name="urupooltriesscored">#REF!</definedName>
    <definedName name="urupoolwon">#REF!</definedName>
    <definedName name="urured">#REF!</definedName>
    <definedName name="UruRWChistdrawn">#REF!</definedName>
    <definedName name="UruRWChistlost">#REF!</definedName>
    <definedName name="UruRWChistplayed">#REF!</definedName>
    <definedName name="UruRWChistptscon">#REF!</definedName>
    <definedName name="UruRWChistptsscored">#REF!</definedName>
    <definedName name="UruRWChisttriesscored">#REF!</definedName>
    <definedName name="UruRWChistwon">#REF!</definedName>
    <definedName name="urutb">#REF!</definedName>
    <definedName name="urutbcon">#REF!</definedName>
    <definedName name="urutriescon">#REF!</definedName>
    <definedName name="uruyellow">#REF!</definedName>
    <definedName name="USA2019alltestsdrawn">#REF!</definedName>
    <definedName name="USA2019alltestslost">#REF!</definedName>
    <definedName name="USA2019alltestsplayed">#REF!</definedName>
    <definedName name="USA2019alltestsptscon">#REF!</definedName>
    <definedName name="USA2019alltestsptsscored">#REF!</definedName>
    <definedName name="USA2019allteststriescon">#REF!</definedName>
    <definedName name="USA2019allteststriesscored">#REF!</definedName>
    <definedName name="USA2019alltestswon">#REF!</definedName>
    <definedName name="USA2019pooldrawn">#REF!</definedName>
    <definedName name="USA2019poollbcon">#REF!</definedName>
    <definedName name="USA2019poollbscored">#REF!</definedName>
    <definedName name="USA2019poollost">#REF!</definedName>
    <definedName name="USA2019poolplayed">#REF!</definedName>
    <definedName name="USA2019poolptscon">#REF!</definedName>
    <definedName name="USA2019poolptsscored">#REF!</definedName>
    <definedName name="USA2019pooltbcon">#REF!</definedName>
    <definedName name="USA2019pooltbscored">#REF!</definedName>
    <definedName name="USA2019pooltriescon">#REF!</definedName>
    <definedName name="USA2019pooltriesscored">#REF!</definedName>
    <definedName name="USA2019poolwon">#REF!</definedName>
    <definedName name="USA2019RWCdrawn">#REF!</definedName>
    <definedName name="USA2019RWClost">#REF!</definedName>
    <definedName name="USA2019RWCplayed">#REF!</definedName>
    <definedName name="USA2019RWCptscon">#REF!</definedName>
    <definedName name="USA2019RWCptsscored">#REF!</definedName>
    <definedName name="USA2019RWCrc">#REF!</definedName>
    <definedName name="USA2019RWCtriescon">#REF!</definedName>
    <definedName name="USA2019RWCtriesscored">#REF!</definedName>
    <definedName name="USA2019RWCwon">#REF!</definedName>
    <definedName name="USA2019RWCyc">#REF!</definedName>
    <definedName name="usa2021wcpooldrawn">USA!#REF!</definedName>
    <definedName name="usa2021wcpoollbscored">USA!#REF!</definedName>
    <definedName name="usa2021wcpoollost">USA!#REF!</definedName>
    <definedName name="usa2021wcpoolplayed">USA!#REF!</definedName>
    <definedName name="usa2021wcpoolpointsagainst">USA!#REF!</definedName>
    <definedName name="usa2021wcpoolpointsscored">USA!#REF!</definedName>
    <definedName name="usa2021wcpooltbscored">USA!#REF!</definedName>
    <definedName name="usa2021wcpooltriesconceded">USA!#REF!</definedName>
    <definedName name="usa2021wcpooltriesscored">USA!#REF!</definedName>
    <definedName name="usa2021wcpoolwon">USA!#REF!</definedName>
    <definedName name="usa2021wcrc">USA!#REF!</definedName>
    <definedName name="usa2021wctbcon">USA!#REF!</definedName>
    <definedName name="usa2021wcyc">USA!#REF!</definedName>
    <definedName name="usalb">#REF!</definedName>
    <definedName name="usalbcon">#REF!</definedName>
    <definedName name="usaoveralldrawn">#REF!</definedName>
    <definedName name="usaoveralllost">#REF!</definedName>
    <definedName name="usaoverallpld">#REF!</definedName>
    <definedName name="usaoverallptsag">#REF!</definedName>
    <definedName name="usaoverallptsscored">#REF!</definedName>
    <definedName name="usaoveralltriescon">#REF!</definedName>
    <definedName name="usaoveralltriesscored">#REF!</definedName>
    <definedName name="usaoverallwon">#REF!</definedName>
    <definedName name="usap4drawn">USA!$Z$11</definedName>
    <definedName name="usap4lb">USA!$I$11</definedName>
    <definedName name="usap4lost">USA!$AA$11</definedName>
    <definedName name="usap4played">USA!$X$11</definedName>
    <definedName name="usap4ptsconc">USA!$G$11</definedName>
    <definedName name="usap4ptsscored">USA!$F$11</definedName>
    <definedName name="usap4rc">USA!$O$11</definedName>
    <definedName name="usap4tb">USA!$H$11</definedName>
    <definedName name="usap4triesconc">USA!$R$11</definedName>
    <definedName name="usap4triesscored">USA!$J$11</definedName>
    <definedName name="usap4won">USA!$Y$11</definedName>
    <definedName name="usap4yc">USA!$N$11</definedName>
    <definedName name="usapooldrawn">#REF!</definedName>
    <definedName name="usapoollost">#REF!</definedName>
    <definedName name="usapoolpld">#REF!</definedName>
    <definedName name="usapoolptsag">#REF!</definedName>
    <definedName name="usapoolptsscored">#REF!</definedName>
    <definedName name="usapooltriescon">#REF!</definedName>
    <definedName name="usapooltriesscored">#REF!</definedName>
    <definedName name="usapoolwon">#REF!</definedName>
    <definedName name="usared">#REF!</definedName>
    <definedName name="usatb">#REF!</definedName>
    <definedName name="usatbcon">#REF!</definedName>
    <definedName name="usayellow">#REF!</definedName>
    <definedName name="vdrawn">#REF!</definedName>
    <definedName name="vlost">SCO!#REF!</definedName>
    <definedName name="vrc">#REF!</definedName>
    <definedName name="vtriesscored">#REF!</definedName>
    <definedName name="vwon">#REF!</definedName>
    <definedName name="Wal2019alltestsdrawn">WAL!$AA$15</definedName>
    <definedName name="Wal2019alltestslostcorrect">WAL!$AB$15</definedName>
    <definedName name="Wal2019alltestsplayed">WAL!$Y$15</definedName>
    <definedName name="Wal2019alltestsptscon">WAL!$G$15</definedName>
    <definedName name="Wal2019alltestsptsscored">WAL!$F$15</definedName>
    <definedName name="Wal2019allteststriescon">WAL!$R$15</definedName>
    <definedName name="Wal2019allteststriesscored">WAL!$J$15</definedName>
    <definedName name="Wal2019alltestswon">WAL!$Z$15</definedName>
    <definedName name="Wal2019pooldrawn">WAL!#REF!</definedName>
    <definedName name="Wal2019poollbcon">WAL!#REF!</definedName>
    <definedName name="Wal2019poollbscored">WAL!#REF!</definedName>
    <definedName name="Wal2019poollostcorrect">WAL!#REF!</definedName>
    <definedName name="Wal2019poolplayed">WAL!#REF!</definedName>
    <definedName name="Wal2019poolptscon">WAL!#REF!</definedName>
    <definedName name="Wal2019poolptsscored">WAL!#REF!</definedName>
    <definedName name="Wal2019pooltbcon">WAL!#REF!</definedName>
    <definedName name="Wal2019pooltbscored">WAL!#REF!</definedName>
    <definedName name="Wal2019pooltriescon">WAL!#REF!</definedName>
    <definedName name="Wal2019pooltriesscored">WAL!#REF!</definedName>
    <definedName name="Wal2019poolwon">WAL!#REF!</definedName>
    <definedName name="Wal2019RWCdrawn">WAL!#REF!</definedName>
    <definedName name="Wal2019RWClost">WAL!#REF!</definedName>
    <definedName name="Wal2019RWCplayed">WAL!#REF!</definedName>
    <definedName name="Wal2019RWCptscon">WAL!#REF!</definedName>
    <definedName name="Wal2019RWCptsscored">WAL!#REF!</definedName>
    <definedName name="Wal2019RWCrc">WAL!#REF!</definedName>
    <definedName name="Wal2019RWCtriescon">WAL!#REF!</definedName>
    <definedName name="Wal2019RWCtriesscored">WAL!#REF!</definedName>
    <definedName name="Wal2019RWCwon">WAL!#REF!</definedName>
    <definedName name="Wal2019RWCyc">WAL!#REF!</definedName>
    <definedName name="wal2021wcpooldrawn">WAL!#REF!</definedName>
    <definedName name="wal2021wcpoollbscored">WAL!#REF!</definedName>
    <definedName name="wal2021wcpoollost">WAL!#REF!</definedName>
    <definedName name="wal2021wcpoolplayed">WAL!#REF!</definedName>
    <definedName name="wal2021wcpoolpointsagainst">WAL!#REF!</definedName>
    <definedName name="wal2021wcpoolpointsscored">WAL!#REF!</definedName>
    <definedName name="wal2021wcpooltbscored">WAL!#REF!</definedName>
    <definedName name="wal2021wcpooltriesconceded">WAL!#REF!</definedName>
    <definedName name="wal2021wcpooltriesscored">WAL!#REF!</definedName>
    <definedName name="wal2021wcpoolwon">WAL!#REF!</definedName>
    <definedName name="wal2021wcrc">WAL!#REF!</definedName>
    <definedName name="wal2021wctbcon">WAL!#REF!</definedName>
    <definedName name="wal2021wcyc">WAL!#REF!</definedName>
    <definedName name="wal6nrc">WAL!$O$12</definedName>
    <definedName name="wal6nyc">WAL!$N$12</definedName>
    <definedName name="Walesalltestshistdrawn">#REF!</definedName>
    <definedName name="Walesalltestshistlost">#REF!</definedName>
    <definedName name="Walesalltestshistplayed">#REF!</definedName>
    <definedName name="Walesalltestshistptscon">#REF!</definedName>
    <definedName name="Walesalltestshistptsscored">#REF!</definedName>
    <definedName name="Walesalltestshisttriesscored">#REF!</definedName>
    <definedName name="Walesalltestshistwon">#REF!</definedName>
    <definedName name="Walesdrawn">WAL!$AA$12</definedName>
    <definedName name="Waleslosingbonus">WAL!$I$12</definedName>
    <definedName name="Waleslost">WAL!$AB$12</definedName>
    <definedName name="Walesplayed">WAL!$Y$12</definedName>
    <definedName name="Walesptsagainst">WAL!$G$12</definedName>
    <definedName name="Walesptsscored">WAL!$F$12</definedName>
    <definedName name="Walesred">WAL!$O$12</definedName>
    <definedName name="WalesRWChistdrawn">#REF!</definedName>
    <definedName name="WalesRWChistlost">#REF!</definedName>
    <definedName name="WalesRWChistplayed">#REF!</definedName>
    <definedName name="WalesRWChistptscon">#REF!</definedName>
    <definedName name="WalesRWChistptsscored">#REF!</definedName>
    <definedName name="WalesRWChisttriesscored">#REF!</definedName>
    <definedName name="WalesRWChistwon">#REF!</definedName>
    <definedName name="Walestriesagainst">WAL!$R$12</definedName>
    <definedName name="Walestriesscored">WAL!$J$12</definedName>
    <definedName name="Walestrybonus">WAL!$H$12</definedName>
    <definedName name="Waleswon">WAL!$Z$12</definedName>
    <definedName name="Walesyellow">WAL!$N$12</definedName>
    <definedName name="wallb">WAL!#REF!</definedName>
    <definedName name="wallbcon">WAL!#REF!</definedName>
    <definedName name="waloveralldrawn">WAL!#REF!</definedName>
    <definedName name="waloveralllost">WAL!#REF!</definedName>
    <definedName name="waloverallpld">WAL!#REF!</definedName>
    <definedName name="waloverallptsscored">WAL!#REF!</definedName>
    <definedName name="waloveralltriescon">WAL!#REF!</definedName>
    <definedName name="waloveralltriesconcorr">WAL!#REF!</definedName>
    <definedName name="waloveralltriesscored">WAL!#REF!</definedName>
    <definedName name="waloverallwon">WAL!#REF!</definedName>
    <definedName name="walpooldrawn">WAL!#REF!</definedName>
    <definedName name="walpoollost">WAL!#REF!</definedName>
    <definedName name="walpoolpld">WAL!#REF!</definedName>
    <definedName name="walpoolptsag">WAL!#REF!</definedName>
    <definedName name="walpoolptsscored">WAL!#REF!</definedName>
    <definedName name="walpooltriescon">WAL!#REF!</definedName>
    <definedName name="walpooltriesscored">WAL!#REF!</definedName>
    <definedName name="walpoolwon">WAL!#REF!</definedName>
    <definedName name="walred">WAL!#REF!</definedName>
    <definedName name="walredcorr">WAL!#REF!</definedName>
    <definedName name="waltb">WAL!#REF!</definedName>
    <definedName name="waltbcon">WAL!#REF!</definedName>
    <definedName name="walyellow">WAL!#REF!</definedName>
    <definedName name="walyellowcorr">WAL!#REF!</definedName>
    <definedName name="waspsbonus">#REF!</definedName>
    <definedName name="waspsconceded">#REF!</definedName>
    <definedName name="waspsdrawn">#REF!</definedName>
    <definedName name="waspsdrawncorrect">#REF!</definedName>
    <definedName name="waspslosingbonus">#REF!</definedName>
    <definedName name="waspslosingbonusconceded">#REF!</definedName>
    <definedName name="waspslost">#REF!</definedName>
    <definedName name="waspsplayed">#REF!</definedName>
    <definedName name="waspspremred">[2]WAS!$O$40</definedName>
    <definedName name="Waspspremtotalsdgs">[1]WAS!$L$37</definedName>
    <definedName name="waspspremtotalsdrawn">[1]WAS!$AA$37</definedName>
    <definedName name="Waspspremtotalslost">[1]WAS!$AB$37</definedName>
    <definedName name="Waspspremtotalsplayed">[1]WAS!$Y$37</definedName>
    <definedName name="Waspspremtotalsptsagainst">[1]WAS!$G$37</definedName>
    <definedName name="Waspspremtotalsptsscored">[1]WAS!$F$37</definedName>
    <definedName name="Waspspremtotalsrc">[1]WAS!$O$37</definedName>
    <definedName name="Waspspremtotalstriesconceded">[1]WAS!$R$37</definedName>
    <definedName name="Waspspremtotalstriesscored">[1]WAS!$J$37</definedName>
    <definedName name="Waspspremtotalswon">[1]WAS!$Z$37</definedName>
    <definedName name="Waspspremtotalsyc">[1]WAS!$N$37</definedName>
    <definedName name="waspspremtrybonusconc">[1]WAS!$P$35</definedName>
    <definedName name="waspspremtrybonusscored">[1]WAS!$H$35</definedName>
    <definedName name="waspspremyellow">[2]WAS!$N$40</definedName>
    <definedName name="waspsred">#REF!</definedName>
    <definedName name="waspsscored">#REF!</definedName>
    <definedName name="waspstriesconceded">#REF!</definedName>
    <definedName name="waspstriesscored">#REF!</definedName>
    <definedName name="waspstrybonus">#REF!</definedName>
    <definedName name="waspstrybonusconceded">#REF!</definedName>
    <definedName name="waspswon">#REF!</definedName>
    <definedName name="waspsyellow">#REF!</definedName>
    <definedName name="welshlosingbonus">#REF!</definedName>
    <definedName name="welshtrybonus">#REF!</definedName>
    <definedName name="worbonus">#REF!</definedName>
    <definedName name="worcester201314triesagainst">#REF!</definedName>
    <definedName name="worcesterpremred">[2]WOR!$O$35</definedName>
    <definedName name="worcesterpremseasontotalsdgs">[1]WOR!$L$39</definedName>
    <definedName name="worcesterpremseasontotalsdrawn">[1]WOR!$AA$39</definedName>
    <definedName name="worcesterpremseasontotalslost">[1]WOR!$AB$39</definedName>
    <definedName name="worcesterpremseasontotalsplayed">[1]WOR!$Y$39</definedName>
    <definedName name="worcesterpremseasontotalsptsagainst">[1]WOR!$G$39</definedName>
    <definedName name="worcesterpremseasontotalsptsscored">[1]WOR!$F$39</definedName>
    <definedName name="worcesterpremseasontotalsRC">[1]WOR!$O$39</definedName>
    <definedName name="worcesterpremseasontotalstriesconceded">[1]WOR!$R$39</definedName>
    <definedName name="worcesterpremseasontotalstriesscoredcorrect">[1]WOR!$J$39</definedName>
    <definedName name="worcesterpremseasontotalswon">[1]WOR!$Z$39</definedName>
    <definedName name="worcesterpremseasontotalsYC">[1]WOR!$N$39</definedName>
    <definedName name="worcesterpremtrybonusconc">[1]WOR!$P$37</definedName>
    <definedName name="worcesterpremtrybonusscored">[1]WOR!$H$37</definedName>
    <definedName name="worcesterpremyellow">[2]WOR!$N$35</definedName>
    <definedName name="worcestertriesscored">#REF!</definedName>
    <definedName name="worconceded">#REF!</definedName>
    <definedName name="wordrawn">#REF!</definedName>
    <definedName name="worlosingbonus">#REF!</definedName>
    <definedName name="worlosingbonusconceded">#REF!</definedName>
    <definedName name="worlost">#REF!</definedName>
    <definedName name="worplayed">#REF!</definedName>
    <definedName name="worred">#REF!</definedName>
    <definedName name="worscored">#REF!</definedName>
    <definedName name="wortriesconceded">#REF!</definedName>
    <definedName name="wortriesscored">#REF!</definedName>
    <definedName name="wortrybonus">#REF!</definedName>
    <definedName name="wortrybonusconceded">#REF!</definedName>
    <definedName name="worwon">#REF!</definedName>
    <definedName name="woryellow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12" i="35" l="1"/>
  <c r="AM12" i="35"/>
  <c r="AL12" i="35"/>
  <c r="AK12" i="35"/>
  <c r="AJ12" i="35"/>
  <c r="AI12" i="35"/>
  <c r="AH12" i="35"/>
  <c r="AG12" i="35"/>
  <c r="AF12" i="35"/>
  <c r="AE12" i="35"/>
  <c r="AD12" i="35"/>
  <c r="AC12" i="35"/>
  <c r="AB12" i="35"/>
  <c r="AA12" i="35"/>
  <c r="Z12" i="35"/>
  <c r="Y12" i="35"/>
  <c r="R12" i="35"/>
  <c r="O12" i="35"/>
  <c r="N12" i="35"/>
  <c r="M12" i="35"/>
  <c r="L12" i="35"/>
  <c r="K12" i="35"/>
  <c r="J12" i="35"/>
  <c r="G12" i="35"/>
  <c r="F12" i="35"/>
  <c r="AN11" i="40"/>
  <c r="AM11" i="40"/>
  <c r="AL11" i="40"/>
  <c r="AK11" i="40"/>
  <c r="AJ11" i="40"/>
  <c r="AI11" i="40"/>
  <c r="AH11" i="40"/>
  <c r="AG11" i="40"/>
  <c r="AF11" i="40"/>
  <c r="AE11" i="40"/>
  <c r="AD11" i="40"/>
  <c r="AC11" i="40"/>
  <c r="AB11" i="40"/>
  <c r="AA11" i="40"/>
  <c r="Z11" i="40"/>
  <c r="Y11" i="40"/>
  <c r="R11" i="40"/>
  <c r="O11" i="40"/>
  <c r="N11" i="40"/>
  <c r="M11" i="40"/>
  <c r="L11" i="40"/>
  <c r="K11" i="40"/>
  <c r="J11" i="40"/>
  <c r="G11" i="40"/>
  <c r="F11" i="40"/>
  <c r="AM13" i="39"/>
  <c r="AL13" i="39"/>
  <c r="AK13" i="39"/>
  <c r="AJ13" i="39"/>
  <c r="AI13" i="39"/>
  <c r="AH13" i="39"/>
  <c r="AG13" i="39"/>
  <c r="AF13" i="39"/>
  <c r="AE13" i="39"/>
  <c r="AD13" i="39"/>
  <c r="AC13" i="39"/>
  <c r="AB13" i="39"/>
  <c r="AA13" i="39"/>
  <c r="Z13" i="39"/>
  <c r="Y13" i="39"/>
  <c r="X13" i="39"/>
  <c r="R13" i="39"/>
  <c r="Q13" i="39"/>
  <c r="P13" i="39"/>
  <c r="O13" i="39"/>
  <c r="N13" i="39"/>
  <c r="M13" i="39"/>
  <c r="L13" i="39"/>
  <c r="K13" i="39"/>
  <c r="J13" i="39"/>
  <c r="I13" i="39"/>
  <c r="H13" i="39"/>
  <c r="G13" i="39"/>
  <c r="F13" i="39"/>
  <c r="AM15" i="41"/>
  <c r="AL15" i="41"/>
  <c r="AK15" i="41"/>
  <c r="AJ15" i="41"/>
  <c r="AI15" i="41"/>
  <c r="AH15" i="41"/>
  <c r="AG15" i="41"/>
  <c r="AF15" i="41"/>
  <c r="AE15" i="41"/>
  <c r="AD15" i="41"/>
  <c r="AC15" i="41"/>
  <c r="AB15" i="41"/>
  <c r="AA15" i="41"/>
  <c r="Z15" i="41"/>
  <c r="Y15" i="41"/>
  <c r="X15" i="41"/>
  <c r="R15" i="41"/>
  <c r="Q15" i="41"/>
  <c r="P15" i="41"/>
  <c r="O15" i="41"/>
  <c r="N15" i="41"/>
  <c r="M15" i="41"/>
  <c r="L15" i="41"/>
  <c r="K15" i="41"/>
  <c r="J15" i="41"/>
  <c r="I15" i="41"/>
  <c r="H15" i="41"/>
  <c r="G15" i="41"/>
  <c r="F15" i="41"/>
  <c r="AM13" i="37"/>
  <c r="AL13" i="37"/>
  <c r="AK13" i="37"/>
  <c r="AJ13" i="37"/>
  <c r="AI13" i="37"/>
  <c r="AH13" i="37"/>
  <c r="AG13" i="37"/>
  <c r="AF13" i="37"/>
  <c r="AE13" i="37"/>
  <c r="AD13" i="37"/>
  <c r="AC13" i="37"/>
  <c r="AB13" i="37"/>
  <c r="AA13" i="37"/>
  <c r="Z13" i="37"/>
  <c r="Y13" i="37"/>
  <c r="X13" i="37"/>
  <c r="R13" i="37"/>
  <c r="Q13" i="37"/>
  <c r="P13" i="37"/>
  <c r="O13" i="37"/>
  <c r="N13" i="37"/>
  <c r="M13" i="37"/>
  <c r="L13" i="37"/>
  <c r="K13" i="37"/>
  <c r="J13" i="37"/>
  <c r="I13" i="37"/>
  <c r="H13" i="37"/>
  <c r="G13" i="37"/>
  <c r="F13" i="37"/>
  <c r="AM14" i="37"/>
  <c r="AL14" i="37"/>
  <c r="AK14" i="37"/>
  <c r="AJ14" i="37"/>
  <c r="AI14" i="37"/>
  <c r="AH14" i="37"/>
  <c r="AG14" i="37"/>
  <c r="AF14" i="37"/>
  <c r="AE14" i="37"/>
  <c r="AD14" i="37"/>
  <c r="AC14" i="37"/>
  <c r="AB14" i="37"/>
  <c r="AA14" i="37"/>
  <c r="Z14" i="37"/>
  <c r="Y14" i="37"/>
  <c r="X14" i="37"/>
  <c r="R14" i="37"/>
  <c r="Q14" i="37"/>
  <c r="P14" i="37"/>
  <c r="O14" i="37"/>
  <c r="N14" i="37"/>
  <c r="M14" i="37"/>
  <c r="L14" i="37"/>
  <c r="K14" i="37"/>
  <c r="J14" i="37"/>
  <c r="I14" i="37"/>
  <c r="H14" i="37"/>
  <c r="G14" i="37"/>
  <c r="F14" i="37"/>
  <c r="AN14" i="38"/>
  <c r="AM14" i="38"/>
  <c r="AL14" i="38"/>
  <c r="AK14" i="38"/>
  <c r="AJ14" i="38"/>
  <c r="AI14" i="38"/>
  <c r="AH14" i="38"/>
  <c r="AG14" i="38"/>
  <c r="AF14" i="38"/>
  <c r="AE14" i="38"/>
  <c r="AD14" i="38"/>
  <c r="AC14" i="38"/>
  <c r="AB14" i="38"/>
  <c r="AA14" i="38"/>
  <c r="Z14" i="38"/>
  <c r="Y14" i="38"/>
  <c r="R14" i="38"/>
  <c r="Q14" i="38"/>
  <c r="P14" i="38"/>
  <c r="O14" i="38"/>
  <c r="N14" i="38"/>
  <c r="M14" i="38"/>
  <c r="L14" i="38"/>
  <c r="K14" i="38"/>
  <c r="J14" i="38"/>
  <c r="I14" i="38"/>
  <c r="H14" i="38"/>
  <c r="G14" i="38"/>
  <c r="F14" i="38"/>
  <c r="AN13" i="35"/>
  <c r="AM13" i="35"/>
  <c r="AL13" i="35"/>
  <c r="AK13" i="35"/>
  <c r="AJ13" i="35"/>
  <c r="AI13" i="35"/>
  <c r="AH13" i="35"/>
  <c r="AG13" i="35"/>
  <c r="AF13" i="35"/>
  <c r="AE13" i="35"/>
  <c r="AD13" i="35"/>
  <c r="AC13" i="35"/>
  <c r="AB13" i="35"/>
  <c r="AA13" i="35"/>
  <c r="Z13" i="35"/>
  <c r="Y13" i="35"/>
  <c r="R13" i="35"/>
  <c r="Q13" i="35"/>
  <c r="P13" i="35"/>
  <c r="O13" i="35"/>
  <c r="N13" i="35"/>
  <c r="M13" i="35"/>
  <c r="L13" i="35"/>
  <c r="K13" i="35"/>
  <c r="J13" i="35"/>
  <c r="I13" i="35"/>
  <c r="H13" i="35"/>
  <c r="G13" i="35"/>
  <c r="F13" i="35"/>
  <c r="M30" i="48"/>
  <c r="L30" i="48"/>
  <c r="H30" i="48"/>
  <c r="G30" i="48"/>
  <c r="N29" i="48"/>
  <c r="I29" i="48"/>
  <c r="N28" i="48"/>
  <c r="I28" i="48"/>
  <c r="N27" i="48"/>
  <c r="I27" i="48"/>
  <c r="N26" i="48"/>
  <c r="I26" i="48"/>
  <c r="N25" i="48"/>
  <c r="I25" i="48"/>
  <c r="N24" i="48"/>
  <c r="I24" i="48"/>
  <c r="AM14" i="36"/>
  <c r="AL14" i="36"/>
  <c r="AK14" i="36"/>
  <c r="AJ14" i="36"/>
  <c r="AI14" i="36"/>
  <c r="AH14" i="36"/>
  <c r="AG14" i="36"/>
  <c r="AF14" i="36"/>
  <c r="AE14" i="36"/>
  <c r="AD14" i="36"/>
  <c r="AC14" i="36"/>
  <c r="AB14" i="36"/>
  <c r="AA14" i="36"/>
  <c r="Z14" i="36"/>
  <c r="Y14" i="36"/>
  <c r="X14" i="36"/>
  <c r="R14" i="36"/>
  <c r="Q14" i="36"/>
  <c r="P14" i="36"/>
  <c r="O14" i="36"/>
  <c r="N14" i="36"/>
  <c r="M14" i="36"/>
  <c r="L14" i="36"/>
  <c r="K14" i="36"/>
  <c r="J14" i="36"/>
  <c r="I14" i="36"/>
  <c r="H14" i="36"/>
  <c r="G14" i="36"/>
  <c r="F14" i="36"/>
  <c r="AM12" i="36"/>
  <c r="AL12" i="36"/>
  <c r="AK12" i="36"/>
  <c r="AJ12" i="36"/>
  <c r="AI12" i="36"/>
  <c r="AH12" i="36"/>
  <c r="AG12" i="36"/>
  <c r="AF12" i="36"/>
  <c r="AE12" i="36"/>
  <c r="AD12" i="36"/>
  <c r="AC12" i="36"/>
  <c r="AB12" i="36"/>
  <c r="AA12" i="36"/>
  <c r="Z12" i="36"/>
  <c r="Y12" i="36"/>
  <c r="X12" i="36"/>
  <c r="R12" i="36"/>
  <c r="O12" i="36"/>
  <c r="N12" i="36"/>
  <c r="M12" i="36"/>
  <c r="L12" i="36"/>
  <c r="K12" i="36"/>
  <c r="J12" i="36"/>
  <c r="G12" i="36"/>
  <c r="F12" i="36"/>
  <c r="F12" i="50" l="1"/>
  <c r="F11" i="50"/>
  <c r="B21" i="50"/>
  <c r="AN11" i="16" l="1"/>
  <c r="AM11" i="16"/>
  <c r="AL11" i="16"/>
  <c r="AK11" i="16"/>
  <c r="AJ11" i="16"/>
  <c r="AI11" i="16"/>
  <c r="AH11" i="16"/>
  <c r="AG11" i="16"/>
  <c r="AF11" i="16"/>
  <c r="AE11" i="16"/>
  <c r="AD11" i="16"/>
  <c r="AC11" i="16"/>
  <c r="AB11" i="16"/>
  <c r="AA11" i="16"/>
  <c r="Z11" i="16"/>
  <c r="Y11" i="16"/>
  <c r="R11" i="16"/>
  <c r="Q11" i="16"/>
  <c r="P11" i="16"/>
  <c r="O11" i="16"/>
  <c r="N11" i="16"/>
  <c r="M11" i="16"/>
  <c r="L11" i="16"/>
  <c r="K11" i="16"/>
  <c r="J11" i="16"/>
  <c r="I11" i="16"/>
  <c r="H11" i="16"/>
  <c r="AN12" i="16"/>
  <c r="AM12" i="16"/>
  <c r="AL12" i="16"/>
  <c r="AK12" i="16"/>
  <c r="AJ12" i="16"/>
  <c r="AI12" i="16"/>
  <c r="AH12" i="16"/>
  <c r="AG12" i="16"/>
  <c r="AF12" i="16"/>
  <c r="AE12" i="16"/>
  <c r="AD12" i="16"/>
  <c r="AC12" i="16"/>
  <c r="AB12" i="16"/>
  <c r="AA12" i="16"/>
  <c r="Z12" i="16"/>
  <c r="Y12" i="16"/>
  <c r="R12" i="16"/>
  <c r="Q12" i="16"/>
  <c r="P12" i="16"/>
  <c r="O12" i="16"/>
  <c r="N12" i="16"/>
  <c r="M12" i="16"/>
  <c r="L12" i="16"/>
  <c r="K12" i="16"/>
  <c r="J12" i="16"/>
  <c r="I12" i="16"/>
  <c r="H12" i="16"/>
  <c r="G12" i="16"/>
  <c r="F12" i="16"/>
  <c r="G11" i="16"/>
  <c r="F11" i="16"/>
  <c r="F15" i="50"/>
  <c r="F14" i="50"/>
  <c r="F10" i="50" l="1"/>
  <c r="O39" i="50"/>
  <c r="Q39" i="50" s="1"/>
  <c r="O38" i="50"/>
  <c r="Q38" i="50" s="1"/>
  <c r="O37" i="50"/>
  <c r="Q37" i="50" s="1"/>
  <c r="O36" i="50"/>
  <c r="Q36" i="50" s="1"/>
  <c r="P35" i="50"/>
  <c r="O35" i="50"/>
  <c r="Q35" i="50" s="1"/>
  <c r="O34" i="50"/>
  <c r="Q34" i="50" s="1"/>
  <c r="O15" i="50"/>
  <c r="Q15" i="50" s="1"/>
  <c r="O14" i="50"/>
  <c r="Q14" i="50" s="1"/>
  <c r="O13" i="50"/>
  <c r="Q13" i="50" s="1"/>
  <c r="O12" i="50"/>
  <c r="Q12" i="50" s="1"/>
  <c r="O11" i="50"/>
  <c r="Q11" i="50" s="1"/>
  <c r="O10" i="50"/>
  <c r="P10" i="50" s="1"/>
  <c r="F17" i="50"/>
  <c r="N16" i="48"/>
  <c r="N15" i="48"/>
  <c r="I16" i="48"/>
  <c r="I15" i="48"/>
  <c r="N6" i="48"/>
  <c r="N5" i="48"/>
  <c r="I6" i="48"/>
  <c r="I5" i="48"/>
  <c r="M19" i="48"/>
  <c r="L19" i="48"/>
  <c r="H19" i="48"/>
  <c r="G19" i="48"/>
  <c r="N18" i="48"/>
  <c r="I18" i="48"/>
  <c r="N17" i="48"/>
  <c r="I17" i="48"/>
  <c r="N14" i="48"/>
  <c r="I14" i="48"/>
  <c r="N13" i="48"/>
  <c r="I13" i="48"/>
  <c r="AN15" i="17"/>
  <c r="AM15" i="17"/>
  <c r="AL15" i="17"/>
  <c r="AK15" i="17"/>
  <c r="AJ15" i="17"/>
  <c r="AI15" i="17"/>
  <c r="AH15" i="17"/>
  <c r="AG15" i="17"/>
  <c r="AF15" i="17"/>
  <c r="AE15" i="17"/>
  <c r="AD15" i="17"/>
  <c r="AC15" i="17"/>
  <c r="AB15" i="17"/>
  <c r="AA15" i="17"/>
  <c r="Z15" i="17"/>
  <c r="Y15" i="17"/>
  <c r="R15" i="17"/>
  <c r="Q15" i="17"/>
  <c r="P15" i="17"/>
  <c r="O15" i="17"/>
  <c r="N15" i="17"/>
  <c r="M15" i="17"/>
  <c r="L15" i="17"/>
  <c r="K15" i="17"/>
  <c r="J15" i="17"/>
  <c r="I15" i="17"/>
  <c r="H15" i="17"/>
  <c r="G15" i="17"/>
  <c r="F15" i="17"/>
  <c r="AN14" i="17"/>
  <c r="AM14" i="17"/>
  <c r="AL14" i="17"/>
  <c r="AK14" i="17"/>
  <c r="AJ14" i="17"/>
  <c r="AI14" i="17"/>
  <c r="AH14" i="17"/>
  <c r="AG14" i="17"/>
  <c r="AF14" i="17"/>
  <c r="AE14" i="17"/>
  <c r="AD14" i="17"/>
  <c r="AC14" i="17"/>
  <c r="AB14" i="17"/>
  <c r="AA14" i="17"/>
  <c r="Z14" i="17"/>
  <c r="Y14" i="17"/>
  <c r="R14" i="17"/>
  <c r="O14" i="17"/>
  <c r="N14" i="17"/>
  <c r="M14" i="17"/>
  <c r="L14" i="17"/>
  <c r="K14" i="17"/>
  <c r="J14" i="17"/>
  <c r="G14" i="17"/>
  <c r="F14" i="17"/>
  <c r="AM14" i="41"/>
  <c r="AL14" i="41"/>
  <c r="AK14" i="41"/>
  <c r="AJ14" i="41"/>
  <c r="AI14" i="41"/>
  <c r="AH14" i="41"/>
  <c r="AG14" i="41"/>
  <c r="AF14" i="41"/>
  <c r="AE14" i="41"/>
  <c r="AD14" i="41"/>
  <c r="AC14" i="41"/>
  <c r="AB14" i="41"/>
  <c r="AA14" i="41"/>
  <c r="Z14" i="41"/>
  <c r="Y14" i="41"/>
  <c r="X14" i="41"/>
  <c r="R14" i="41"/>
  <c r="Q14" i="41"/>
  <c r="P14" i="41"/>
  <c r="O14" i="41"/>
  <c r="N14" i="41"/>
  <c r="M14" i="41"/>
  <c r="L14" i="41"/>
  <c r="K14" i="41"/>
  <c r="J14" i="41"/>
  <c r="I14" i="41"/>
  <c r="H14" i="41"/>
  <c r="G14" i="41"/>
  <c r="F14" i="41"/>
  <c r="AM13" i="41"/>
  <c r="AL13" i="41"/>
  <c r="AK13" i="41"/>
  <c r="AJ13" i="41"/>
  <c r="AI13" i="41"/>
  <c r="AH13" i="41"/>
  <c r="AG13" i="41"/>
  <c r="AF13" i="41"/>
  <c r="AE13" i="41"/>
  <c r="AD13" i="41"/>
  <c r="AC13" i="41"/>
  <c r="AB13" i="41"/>
  <c r="AA13" i="41"/>
  <c r="Z13" i="41"/>
  <c r="Y13" i="41"/>
  <c r="X13" i="41"/>
  <c r="R13" i="41"/>
  <c r="O13" i="41"/>
  <c r="N13" i="41"/>
  <c r="M13" i="41"/>
  <c r="L13" i="41"/>
  <c r="K13" i="41"/>
  <c r="J13" i="41"/>
  <c r="G13" i="41"/>
  <c r="F13" i="41"/>
  <c r="O40" i="50"/>
  <c r="Q40" i="50" s="1"/>
  <c r="AN14" i="25"/>
  <c r="AM14" i="25"/>
  <c r="AL14" i="25"/>
  <c r="AK14" i="25"/>
  <c r="AJ14" i="25"/>
  <c r="AI14" i="25"/>
  <c r="AH14" i="25"/>
  <c r="AG14" i="25"/>
  <c r="AF14" i="25"/>
  <c r="AE14" i="25"/>
  <c r="AD14" i="25"/>
  <c r="AC14" i="25"/>
  <c r="AB14" i="25"/>
  <c r="AA14" i="25"/>
  <c r="Z14" i="25"/>
  <c r="Y14" i="25"/>
  <c r="R14" i="25"/>
  <c r="Q14" i="25"/>
  <c r="P14" i="25"/>
  <c r="O14" i="25"/>
  <c r="N14" i="25"/>
  <c r="M14" i="25"/>
  <c r="L14" i="25"/>
  <c r="K14" i="25"/>
  <c r="J14" i="25"/>
  <c r="I14" i="25"/>
  <c r="H14" i="25"/>
  <c r="G14" i="25"/>
  <c r="F14" i="25"/>
  <c r="AN13" i="25"/>
  <c r="AM13" i="25"/>
  <c r="AL13" i="25"/>
  <c r="AK13" i="25"/>
  <c r="AJ13" i="25"/>
  <c r="AI13" i="25"/>
  <c r="AH13" i="25"/>
  <c r="AG13" i="25"/>
  <c r="AF13" i="25"/>
  <c r="AE13" i="25"/>
  <c r="AD13" i="25"/>
  <c r="AC13" i="25"/>
  <c r="AB13" i="25"/>
  <c r="AA13" i="25"/>
  <c r="Z13" i="25"/>
  <c r="Y13" i="25"/>
  <c r="R13" i="25"/>
  <c r="O13" i="25"/>
  <c r="N13" i="25"/>
  <c r="M13" i="25"/>
  <c r="L13" i="25"/>
  <c r="K13" i="25"/>
  <c r="J13" i="25"/>
  <c r="G13" i="25"/>
  <c r="F13" i="25"/>
  <c r="AN12" i="25"/>
  <c r="AM12" i="25"/>
  <c r="AL12" i="25"/>
  <c r="AK12" i="25"/>
  <c r="AJ12" i="25"/>
  <c r="AI12" i="25"/>
  <c r="AH12" i="25"/>
  <c r="AG12" i="25"/>
  <c r="AF12" i="25"/>
  <c r="AE12" i="25"/>
  <c r="AD12" i="25"/>
  <c r="AC12" i="25"/>
  <c r="AB12" i="25"/>
  <c r="AA12" i="25"/>
  <c r="Z12" i="25"/>
  <c r="Y12" i="25"/>
  <c r="R12" i="25"/>
  <c r="Q12" i="25"/>
  <c r="P12" i="25"/>
  <c r="O12" i="25"/>
  <c r="N12" i="25"/>
  <c r="M12" i="25"/>
  <c r="L12" i="25"/>
  <c r="K12" i="25"/>
  <c r="J12" i="25"/>
  <c r="I12" i="25"/>
  <c r="H12" i="25"/>
  <c r="G12" i="25"/>
  <c r="F12" i="25"/>
  <c r="AM12" i="37"/>
  <c r="AL12" i="37"/>
  <c r="AK12" i="37"/>
  <c r="AJ12" i="37"/>
  <c r="AI12" i="37"/>
  <c r="AH12" i="37"/>
  <c r="AG12" i="37"/>
  <c r="AF12" i="37"/>
  <c r="AE12" i="37"/>
  <c r="AD12" i="37"/>
  <c r="AC12" i="37"/>
  <c r="AB12" i="37"/>
  <c r="AA12" i="37"/>
  <c r="Z12" i="37"/>
  <c r="Y12" i="37"/>
  <c r="X12" i="37"/>
  <c r="R12" i="37"/>
  <c r="Q12" i="37"/>
  <c r="P12" i="37"/>
  <c r="O12" i="37"/>
  <c r="N12" i="37"/>
  <c r="M12" i="37"/>
  <c r="L12" i="37"/>
  <c r="K12" i="37"/>
  <c r="J12" i="37"/>
  <c r="I12" i="37"/>
  <c r="H12" i="37"/>
  <c r="G12" i="37"/>
  <c r="F12" i="37"/>
  <c r="O32" i="50"/>
  <c r="P32" i="50" s="1"/>
  <c r="O6" i="50"/>
  <c r="Q6" i="50" s="1"/>
  <c r="O29" i="50"/>
  <c r="Q29" i="50" s="1"/>
  <c r="O7" i="50"/>
  <c r="Q7" i="50" s="1"/>
  <c r="P34" i="50" l="1"/>
  <c r="P36" i="50"/>
  <c r="P37" i="50"/>
  <c r="P13" i="50"/>
  <c r="P38" i="50"/>
  <c r="P39" i="50"/>
  <c r="Q10" i="50"/>
  <c r="P11" i="50"/>
  <c r="P14" i="50"/>
  <c r="P12" i="50"/>
  <c r="P15" i="50"/>
  <c r="Q32" i="50"/>
  <c r="P40" i="50"/>
  <c r="P7" i="50"/>
  <c r="P6" i="50"/>
  <c r="P29" i="50"/>
  <c r="O31" i="50" l="1"/>
  <c r="P31" i="50" s="1"/>
  <c r="O16" i="50"/>
  <c r="Q16" i="50" s="1"/>
  <c r="P16" i="50" l="1"/>
  <c r="Q31" i="50"/>
  <c r="O30" i="50"/>
  <c r="Q30" i="50" s="1"/>
  <c r="O5" i="50"/>
  <c r="Q5" i="50" s="1"/>
  <c r="AN15" i="11"/>
  <c r="AM15" i="11"/>
  <c r="AL15" i="11"/>
  <c r="AK15" i="11"/>
  <c r="AJ15" i="11"/>
  <c r="AI15" i="11"/>
  <c r="AH15" i="11"/>
  <c r="AG15" i="11"/>
  <c r="AF15" i="11"/>
  <c r="AE15" i="11"/>
  <c r="AD15" i="11"/>
  <c r="AC15" i="11"/>
  <c r="AB15" i="11"/>
  <c r="AA15" i="11"/>
  <c r="Z15" i="11"/>
  <c r="Y15" i="11"/>
  <c r="R15" i="11"/>
  <c r="Q15" i="11"/>
  <c r="P15" i="11"/>
  <c r="O15" i="11"/>
  <c r="N15" i="11"/>
  <c r="M15" i="11"/>
  <c r="L15" i="11"/>
  <c r="K15" i="11"/>
  <c r="J15" i="11"/>
  <c r="I15" i="11"/>
  <c r="H15" i="11"/>
  <c r="G15" i="11"/>
  <c r="F15" i="11"/>
  <c r="AN13" i="11"/>
  <c r="AM13" i="11"/>
  <c r="AL13" i="11"/>
  <c r="AK13" i="11"/>
  <c r="AJ13" i="11"/>
  <c r="AI13" i="11"/>
  <c r="AH13" i="11"/>
  <c r="AG13" i="11"/>
  <c r="AF13" i="11"/>
  <c r="AE13" i="11"/>
  <c r="AD13" i="11"/>
  <c r="AC13" i="11"/>
  <c r="AB13" i="11"/>
  <c r="AA13" i="11"/>
  <c r="Z13" i="11"/>
  <c r="Y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AN13" i="38"/>
  <c r="AM13" i="38"/>
  <c r="AL13" i="38"/>
  <c r="AK13" i="38"/>
  <c r="AJ13" i="38"/>
  <c r="AI13" i="38"/>
  <c r="AH13" i="38"/>
  <c r="AG13" i="38"/>
  <c r="AF13" i="38"/>
  <c r="AE13" i="38"/>
  <c r="AD13" i="38"/>
  <c r="AC13" i="38"/>
  <c r="AB13" i="38"/>
  <c r="AA13" i="38"/>
  <c r="Z13" i="38"/>
  <c r="Y13" i="38"/>
  <c r="R13" i="38"/>
  <c r="O13" i="38"/>
  <c r="N13" i="38"/>
  <c r="M13" i="38"/>
  <c r="L13" i="38"/>
  <c r="K13" i="38"/>
  <c r="J13" i="38"/>
  <c r="G13" i="38"/>
  <c r="F13" i="38"/>
  <c r="AN12" i="13"/>
  <c r="AM12" i="13"/>
  <c r="AL12" i="13"/>
  <c r="AK12" i="13"/>
  <c r="AJ12" i="13"/>
  <c r="AI12" i="13"/>
  <c r="AH12" i="13"/>
  <c r="AG12" i="13"/>
  <c r="AF12" i="13"/>
  <c r="AE12" i="13"/>
  <c r="AD12" i="13"/>
  <c r="AC12" i="13"/>
  <c r="AB12" i="13"/>
  <c r="AA12" i="13"/>
  <c r="Z12" i="13"/>
  <c r="Y12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F12" i="13"/>
  <c r="AN11" i="13"/>
  <c r="AM11" i="13"/>
  <c r="AL11" i="13"/>
  <c r="AK11" i="13"/>
  <c r="AJ11" i="13"/>
  <c r="AI11" i="13"/>
  <c r="AH11" i="13"/>
  <c r="AG11" i="13"/>
  <c r="AF11" i="13"/>
  <c r="AE11" i="13"/>
  <c r="AD11" i="13"/>
  <c r="AC11" i="13"/>
  <c r="AB11" i="13"/>
  <c r="AA11" i="13"/>
  <c r="Z11" i="13"/>
  <c r="Y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F11" i="13"/>
  <c r="AN12" i="30"/>
  <c r="AM12" i="30"/>
  <c r="AL12" i="30"/>
  <c r="AK12" i="30"/>
  <c r="AJ12" i="30"/>
  <c r="AI12" i="30"/>
  <c r="AH12" i="30"/>
  <c r="AG12" i="30"/>
  <c r="AF12" i="30"/>
  <c r="AE12" i="30"/>
  <c r="AD12" i="30"/>
  <c r="AC12" i="30"/>
  <c r="AB12" i="30"/>
  <c r="AA12" i="30"/>
  <c r="Z12" i="30"/>
  <c r="Y12" i="30"/>
  <c r="R12" i="30"/>
  <c r="Q12" i="30"/>
  <c r="P12" i="30"/>
  <c r="O12" i="30"/>
  <c r="N12" i="30"/>
  <c r="M12" i="30"/>
  <c r="L12" i="30"/>
  <c r="K12" i="30"/>
  <c r="J12" i="30"/>
  <c r="I12" i="30"/>
  <c r="H12" i="30"/>
  <c r="G12" i="30"/>
  <c r="F12" i="30"/>
  <c r="AN14" i="30"/>
  <c r="AM14" i="30"/>
  <c r="AL14" i="30"/>
  <c r="AK14" i="30"/>
  <c r="AJ14" i="30"/>
  <c r="AI14" i="30"/>
  <c r="AH14" i="30"/>
  <c r="AG14" i="30"/>
  <c r="AF14" i="30"/>
  <c r="AE14" i="30"/>
  <c r="AD14" i="30"/>
  <c r="AC14" i="30"/>
  <c r="AB14" i="30"/>
  <c r="AA14" i="30"/>
  <c r="Z14" i="30"/>
  <c r="Y14" i="30"/>
  <c r="R14" i="30"/>
  <c r="Q14" i="30"/>
  <c r="P14" i="30"/>
  <c r="O14" i="30"/>
  <c r="N14" i="30"/>
  <c r="M14" i="30"/>
  <c r="L14" i="30"/>
  <c r="K14" i="30"/>
  <c r="J14" i="30"/>
  <c r="I14" i="30"/>
  <c r="H14" i="30"/>
  <c r="G14" i="30"/>
  <c r="F14" i="30"/>
  <c r="AN13" i="30"/>
  <c r="AM13" i="30"/>
  <c r="AL13" i="30"/>
  <c r="AK13" i="30"/>
  <c r="AJ13" i="30"/>
  <c r="AI13" i="30"/>
  <c r="AH13" i="30"/>
  <c r="AG13" i="30"/>
  <c r="AF13" i="30"/>
  <c r="AE13" i="30"/>
  <c r="AD13" i="30"/>
  <c r="AC13" i="30"/>
  <c r="AB13" i="30"/>
  <c r="AA13" i="30"/>
  <c r="Z13" i="30"/>
  <c r="Y13" i="30"/>
  <c r="R13" i="30"/>
  <c r="O13" i="30"/>
  <c r="N13" i="30"/>
  <c r="M13" i="30"/>
  <c r="L13" i="30"/>
  <c r="K13" i="30"/>
  <c r="J13" i="30"/>
  <c r="G13" i="30"/>
  <c r="F13" i="30"/>
  <c r="O18" i="50"/>
  <c r="P18" i="50" s="1"/>
  <c r="O45" i="50"/>
  <c r="Q45" i="50" s="1"/>
  <c r="K46" i="50"/>
  <c r="J46" i="50"/>
  <c r="I46" i="50"/>
  <c r="O44" i="50"/>
  <c r="Q44" i="50" s="1"/>
  <c r="O21" i="50"/>
  <c r="Q21" i="50" s="1"/>
  <c r="K22" i="50"/>
  <c r="J22" i="50"/>
  <c r="I22" i="50"/>
  <c r="P5" i="50" l="1"/>
  <c r="Q18" i="50"/>
  <c r="P30" i="50"/>
  <c r="P45" i="50"/>
  <c r="P44" i="50"/>
  <c r="P21" i="50"/>
  <c r="F19" i="50" l="1"/>
  <c r="F4" i="50"/>
  <c r="F18" i="50"/>
  <c r="F3" i="50"/>
  <c r="F7" i="50"/>
  <c r="F6" i="50"/>
  <c r="F5" i="50"/>
  <c r="F13" i="50"/>
  <c r="M9" i="48"/>
  <c r="N46" i="50"/>
  <c r="M46" i="50"/>
  <c r="L46" i="50"/>
  <c r="O43" i="50"/>
  <c r="Q43" i="50" s="1"/>
  <c r="O42" i="50"/>
  <c r="P42" i="50" s="1"/>
  <c r="O41" i="50"/>
  <c r="P41" i="50" s="1"/>
  <c r="O28" i="50"/>
  <c r="N22" i="50"/>
  <c r="M22" i="50"/>
  <c r="L22" i="50"/>
  <c r="O20" i="50"/>
  <c r="Q20" i="50" s="1"/>
  <c r="O19" i="50"/>
  <c r="Q19" i="50" s="1"/>
  <c r="F16" i="50"/>
  <c r="O17" i="50"/>
  <c r="Q17" i="50" s="1"/>
  <c r="O4" i="50"/>
  <c r="Q4" i="50" s="1"/>
  <c r="AN13" i="17"/>
  <c r="AM13" i="17"/>
  <c r="AL13" i="17"/>
  <c r="AK13" i="17"/>
  <c r="AJ13" i="17"/>
  <c r="AI13" i="17"/>
  <c r="AH13" i="17"/>
  <c r="AG13" i="17"/>
  <c r="AF13" i="17"/>
  <c r="AE13" i="17"/>
  <c r="AD13" i="17"/>
  <c r="AC13" i="17"/>
  <c r="AB13" i="17"/>
  <c r="AA13" i="17"/>
  <c r="Z13" i="17"/>
  <c r="Y13" i="17"/>
  <c r="R13" i="17"/>
  <c r="Q13" i="17"/>
  <c r="P13" i="17"/>
  <c r="O13" i="17"/>
  <c r="N13" i="17"/>
  <c r="M13" i="17"/>
  <c r="L13" i="17"/>
  <c r="K13" i="17"/>
  <c r="J13" i="17"/>
  <c r="I13" i="17"/>
  <c r="H13" i="17"/>
  <c r="G13" i="17"/>
  <c r="F13" i="17"/>
  <c r="AM12" i="39"/>
  <c r="AL12" i="39"/>
  <c r="AK12" i="39"/>
  <c r="AJ12" i="39"/>
  <c r="AI12" i="39"/>
  <c r="AH12" i="39"/>
  <c r="AG12" i="39"/>
  <c r="AF12" i="39"/>
  <c r="AE12" i="39"/>
  <c r="AD12" i="39"/>
  <c r="AC12" i="39"/>
  <c r="AB12" i="39"/>
  <c r="AA12" i="39"/>
  <c r="Z12" i="39"/>
  <c r="Y12" i="39"/>
  <c r="X12" i="39"/>
  <c r="R12" i="39"/>
  <c r="O12" i="39"/>
  <c r="N12" i="39"/>
  <c r="M12" i="39"/>
  <c r="L12" i="39"/>
  <c r="K12" i="39"/>
  <c r="J12" i="39"/>
  <c r="G12" i="39"/>
  <c r="F12" i="39"/>
  <c r="AN15" i="38"/>
  <c r="AM15" i="38"/>
  <c r="AL15" i="38"/>
  <c r="AK15" i="38"/>
  <c r="AJ15" i="38"/>
  <c r="AI15" i="38"/>
  <c r="AH15" i="38"/>
  <c r="AG15" i="38"/>
  <c r="AF15" i="38"/>
  <c r="AE15" i="38"/>
  <c r="AD15" i="38"/>
  <c r="AC15" i="38"/>
  <c r="AB15" i="38"/>
  <c r="AA15" i="38"/>
  <c r="Z15" i="38"/>
  <c r="Y15" i="38"/>
  <c r="R15" i="38"/>
  <c r="Q15" i="38"/>
  <c r="P15" i="38"/>
  <c r="O15" i="38"/>
  <c r="N15" i="38"/>
  <c r="M15" i="38"/>
  <c r="L15" i="38"/>
  <c r="K15" i="38"/>
  <c r="J15" i="38"/>
  <c r="I15" i="38"/>
  <c r="H15" i="38"/>
  <c r="G15" i="38"/>
  <c r="F15" i="38"/>
  <c r="Q42" i="50" l="1"/>
  <c r="N3" i="48"/>
  <c r="N7" i="48"/>
  <c r="I8" i="48"/>
  <c r="I4" i="48"/>
  <c r="G9" i="48"/>
  <c r="H9" i="48"/>
  <c r="N8" i="48"/>
  <c r="L9" i="48"/>
  <c r="N4" i="48"/>
  <c r="I7" i="48"/>
  <c r="I3" i="48"/>
  <c r="P43" i="50"/>
  <c r="O46" i="50"/>
  <c r="P46" i="50" s="1"/>
  <c r="P20" i="50"/>
  <c r="O22" i="50"/>
  <c r="P22" i="50" s="1"/>
  <c r="P4" i="50"/>
  <c r="Q41" i="50"/>
  <c r="F20" i="50"/>
  <c r="P19" i="50"/>
  <c r="P17" i="50"/>
  <c r="R4" i="47"/>
  <c r="Q4" i="47"/>
  <c r="AN11" i="35"/>
  <c r="AM11" i="35"/>
  <c r="AL11" i="35"/>
  <c r="AK11" i="35"/>
  <c r="AJ11" i="35"/>
  <c r="AI11" i="35"/>
  <c r="AH11" i="35"/>
  <c r="AG11" i="35"/>
  <c r="AF11" i="35"/>
  <c r="AE11" i="35"/>
  <c r="AD11" i="35"/>
  <c r="AC11" i="35"/>
  <c r="AB11" i="35"/>
  <c r="AA11" i="35"/>
  <c r="Z11" i="35"/>
  <c r="Y11" i="35"/>
  <c r="R11" i="35"/>
  <c r="Q11" i="35"/>
  <c r="P11" i="35"/>
  <c r="O11" i="35"/>
  <c r="N11" i="35"/>
  <c r="M11" i="35"/>
  <c r="L11" i="35"/>
  <c r="K11" i="35"/>
  <c r="J11" i="35"/>
  <c r="I11" i="35"/>
  <c r="G11" i="35"/>
  <c r="F11" i="35"/>
  <c r="Q22" i="50" l="1"/>
  <c r="Q46" i="50"/>
  <c r="AM13" i="36"/>
  <c r="AL13" i="36"/>
  <c r="AK13" i="36"/>
  <c r="AJ13" i="36"/>
  <c r="AI13" i="36"/>
  <c r="AH13" i="36"/>
  <c r="AG13" i="36"/>
  <c r="AF13" i="36"/>
  <c r="AE13" i="36"/>
  <c r="AD13" i="36"/>
  <c r="AC13" i="36"/>
  <c r="AB13" i="36"/>
  <c r="AA13" i="36"/>
  <c r="Z13" i="36"/>
  <c r="Y13" i="36"/>
  <c r="X13" i="36"/>
  <c r="R13" i="36"/>
  <c r="Q13" i="36"/>
  <c r="P13" i="36"/>
  <c r="O13" i="36"/>
  <c r="N13" i="36"/>
  <c r="M13" i="36"/>
  <c r="L13" i="36"/>
  <c r="K13" i="36"/>
  <c r="J13" i="36"/>
  <c r="I13" i="36"/>
  <c r="H13" i="36"/>
  <c r="G13" i="36"/>
  <c r="F13" i="36"/>
  <c r="Q16" i="32"/>
  <c r="P16" i="32"/>
  <c r="R7" i="32" l="1"/>
  <c r="Q7" i="32"/>
  <c r="Q17" i="32"/>
  <c r="P17" i="32"/>
  <c r="AN12" i="38" l="1"/>
  <c r="AM12" i="38"/>
  <c r="AL12" i="38"/>
  <c r="AK12" i="38"/>
  <c r="AJ12" i="38"/>
  <c r="AI12" i="38"/>
  <c r="AH12" i="38"/>
  <c r="AG12" i="38"/>
  <c r="AF12" i="38"/>
  <c r="AE12" i="38"/>
  <c r="AD12" i="38"/>
  <c r="AC12" i="38"/>
  <c r="AB12" i="38"/>
  <c r="AA12" i="38"/>
  <c r="Z12" i="38"/>
  <c r="Y12" i="38"/>
  <c r="R12" i="38"/>
  <c r="Q12" i="38"/>
  <c r="P12" i="38"/>
  <c r="O12" i="38"/>
  <c r="D8" i="50" s="1"/>
  <c r="N12" i="38"/>
  <c r="M12" i="38"/>
  <c r="L12" i="38"/>
  <c r="K12" i="38"/>
  <c r="J12" i="38"/>
  <c r="I12" i="38"/>
  <c r="H12" i="38"/>
  <c r="G12" i="38"/>
  <c r="F12" i="38"/>
  <c r="AM14" i="39"/>
  <c r="AL14" i="39"/>
  <c r="AK14" i="39"/>
  <c r="AJ14" i="39"/>
  <c r="AI14" i="39"/>
  <c r="AH14" i="39"/>
  <c r="AG14" i="39"/>
  <c r="AF14" i="39"/>
  <c r="AE14" i="39"/>
  <c r="AD14" i="39"/>
  <c r="AC14" i="39"/>
  <c r="AB14" i="39"/>
  <c r="AA14" i="39"/>
  <c r="Z14" i="39"/>
  <c r="Y14" i="39"/>
  <c r="X14" i="39"/>
  <c r="R14" i="39"/>
  <c r="Q14" i="39"/>
  <c r="P14" i="39"/>
  <c r="O14" i="39"/>
  <c r="N14" i="39"/>
  <c r="M14" i="39"/>
  <c r="L14" i="39"/>
  <c r="K14" i="39"/>
  <c r="J14" i="39"/>
  <c r="I14" i="39"/>
  <c r="H14" i="39"/>
  <c r="G14" i="39"/>
  <c r="F14" i="39"/>
  <c r="F8" i="50" l="1"/>
  <c r="D3" i="32"/>
  <c r="B3" i="32"/>
  <c r="AM11" i="39"/>
  <c r="AL11" i="39"/>
  <c r="AK11" i="39"/>
  <c r="AJ11" i="39"/>
  <c r="AI11" i="39"/>
  <c r="AH11" i="39"/>
  <c r="AG11" i="39"/>
  <c r="AF11" i="39"/>
  <c r="AE11" i="39"/>
  <c r="AD11" i="39"/>
  <c r="AC11" i="39"/>
  <c r="AB11" i="39"/>
  <c r="AA11" i="39"/>
  <c r="G5" i="45" s="1"/>
  <c r="Z11" i="39"/>
  <c r="F5" i="45" s="1"/>
  <c r="Y11" i="39"/>
  <c r="X11" i="39"/>
  <c r="R11" i="39"/>
  <c r="N5" i="45" s="1"/>
  <c r="Q11" i="39"/>
  <c r="P11" i="39"/>
  <c r="O11" i="39"/>
  <c r="N11" i="39"/>
  <c r="B5" i="47" s="1"/>
  <c r="M11" i="39"/>
  <c r="L11" i="39"/>
  <c r="K11" i="39"/>
  <c r="J11" i="39"/>
  <c r="M5" i="45" s="1"/>
  <c r="I11" i="39"/>
  <c r="L5" i="45" s="1"/>
  <c r="H11" i="39"/>
  <c r="K5" i="45" s="1"/>
  <c r="G11" i="39"/>
  <c r="I5" i="45" s="1"/>
  <c r="F11" i="39"/>
  <c r="H5" i="45" s="1"/>
  <c r="AN10" i="40"/>
  <c r="AM10" i="40"/>
  <c r="AL10" i="40"/>
  <c r="AK10" i="40"/>
  <c r="AJ10" i="40"/>
  <c r="AI10" i="40"/>
  <c r="AH10" i="40"/>
  <c r="AG10" i="40"/>
  <c r="AF10" i="40"/>
  <c r="AE10" i="40"/>
  <c r="AD10" i="40"/>
  <c r="AC10" i="40"/>
  <c r="AB10" i="40"/>
  <c r="G2" i="45" s="1"/>
  <c r="AA10" i="40"/>
  <c r="F2" i="45" s="1"/>
  <c r="Z10" i="40"/>
  <c r="E2" i="45" s="1"/>
  <c r="Y10" i="40"/>
  <c r="D2" i="45" s="1"/>
  <c r="R10" i="40"/>
  <c r="N2" i="45" s="1"/>
  <c r="Q10" i="40"/>
  <c r="P10" i="40"/>
  <c r="O10" i="40"/>
  <c r="N10" i="40"/>
  <c r="B6" i="47" s="1"/>
  <c r="M10" i="40"/>
  <c r="L10" i="40"/>
  <c r="K10" i="40"/>
  <c r="J10" i="40"/>
  <c r="I10" i="40"/>
  <c r="L2" i="45" s="1"/>
  <c r="H10" i="40"/>
  <c r="K2" i="45" s="1"/>
  <c r="G10" i="40"/>
  <c r="I2" i="45" s="1"/>
  <c r="F10" i="40"/>
  <c r="H2" i="45" s="1"/>
  <c r="H3" i="45"/>
  <c r="N4" i="45"/>
  <c r="L4" i="45"/>
  <c r="I4" i="45"/>
  <c r="H4" i="45"/>
  <c r="M4" i="45"/>
  <c r="K4" i="45"/>
  <c r="G4" i="45"/>
  <c r="F4" i="45"/>
  <c r="E4" i="45"/>
  <c r="D4" i="45"/>
  <c r="M2" i="45"/>
  <c r="E5" i="45"/>
  <c r="D5" i="45"/>
  <c r="D3" i="47"/>
  <c r="B3" i="47"/>
  <c r="N18" i="47"/>
  <c r="M18" i="47"/>
  <c r="L18" i="47"/>
  <c r="K18" i="47"/>
  <c r="J18" i="47"/>
  <c r="I18" i="47"/>
  <c r="O17" i="47"/>
  <c r="P17" i="47" s="1"/>
  <c r="O16" i="47"/>
  <c r="Q16" i="47" s="1"/>
  <c r="O15" i="47"/>
  <c r="Q15" i="47" s="1"/>
  <c r="O14" i="47"/>
  <c r="P8" i="47"/>
  <c r="N8" i="47"/>
  <c r="M8" i="47"/>
  <c r="L8" i="47"/>
  <c r="K8" i="47"/>
  <c r="J8" i="47"/>
  <c r="I8" i="47"/>
  <c r="O7" i="47"/>
  <c r="R7" i="47" s="1"/>
  <c r="O6" i="47"/>
  <c r="O5" i="47"/>
  <c r="R5" i="47" s="1"/>
  <c r="O4" i="47"/>
  <c r="D5" i="47" l="1"/>
  <c r="F5" i="47" s="1"/>
  <c r="D9" i="50"/>
  <c r="D21" i="50" s="1"/>
  <c r="H6" i="45"/>
  <c r="D6" i="47"/>
  <c r="F6" i="47" s="1"/>
  <c r="J4" i="45"/>
  <c r="O5" i="45"/>
  <c r="O4" i="45"/>
  <c r="J2" i="45"/>
  <c r="O2" i="45"/>
  <c r="J5" i="45"/>
  <c r="O18" i="47"/>
  <c r="P18" i="47" s="1"/>
  <c r="P16" i="47"/>
  <c r="O8" i="47"/>
  <c r="R8" i="47" s="1"/>
  <c r="Q17" i="47"/>
  <c r="Q6" i="47"/>
  <c r="R6" i="47"/>
  <c r="F3" i="47"/>
  <c r="Q7" i="47"/>
  <c r="P15" i="47"/>
  <c r="Q5" i="47"/>
  <c r="F9" i="50" l="1"/>
  <c r="Q18" i="47"/>
  <c r="Q8" i="47"/>
  <c r="D5" i="32" l="1"/>
  <c r="B5" i="32"/>
  <c r="D6" i="32"/>
  <c r="B6" i="32"/>
  <c r="AN12" i="40" l="1"/>
  <c r="AM12" i="40"/>
  <c r="AL12" i="40"/>
  <c r="AK12" i="40"/>
  <c r="AJ12" i="40"/>
  <c r="AI12" i="40"/>
  <c r="AH12" i="40"/>
  <c r="AG12" i="40"/>
  <c r="AF12" i="40"/>
  <c r="AE12" i="40"/>
  <c r="AD12" i="40"/>
  <c r="AC12" i="40"/>
  <c r="AB12" i="40"/>
  <c r="AA12" i="40"/>
  <c r="Z12" i="40"/>
  <c r="Y12" i="40"/>
  <c r="R12" i="40"/>
  <c r="O12" i="40"/>
  <c r="N12" i="40"/>
  <c r="M12" i="40"/>
  <c r="L12" i="40"/>
  <c r="K12" i="40"/>
  <c r="J12" i="40"/>
  <c r="G12" i="40"/>
  <c r="F12" i="40"/>
  <c r="AN16" i="17" l="1"/>
  <c r="AM16" i="17"/>
  <c r="AL16" i="17"/>
  <c r="AK16" i="17"/>
  <c r="AJ16" i="17"/>
  <c r="AI16" i="17"/>
  <c r="AH16" i="17"/>
  <c r="AG16" i="17"/>
  <c r="AF16" i="17"/>
  <c r="AE16" i="17"/>
  <c r="AD16" i="17"/>
  <c r="AC16" i="17"/>
  <c r="AB16" i="17"/>
  <c r="AA16" i="17"/>
  <c r="Z16" i="17"/>
  <c r="Y16" i="17"/>
  <c r="R16" i="17"/>
  <c r="Q16" i="17"/>
  <c r="P16" i="17"/>
  <c r="O16" i="17"/>
  <c r="N16" i="17"/>
  <c r="M16" i="17"/>
  <c r="L16" i="17"/>
  <c r="K16" i="17"/>
  <c r="J16" i="17"/>
  <c r="I16" i="17"/>
  <c r="H16" i="17"/>
  <c r="G16" i="17"/>
  <c r="F16" i="17"/>
  <c r="D7" i="32"/>
  <c r="B7" i="32"/>
  <c r="D8" i="32"/>
  <c r="B8" i="32"/>
  <c r="D4" i="32" l="1"/>
  <c r="B4" i="32"/>
  <c r="AN14" i="11"/>
  <c r="AM14" i="11"/>
  <c r="AL14" i="11"/>
  <c r="AK14" i="11"/>
  <c r="AJ14" i="11"/>
  <c r="AI14" i="11"/>
  <c r="AH14" i="11"/>
  <c r="AG14" i="11"/>
  <c r="AF14" i="11"/>
  <c r="AE14" i="11"/>
  <c r="AD14" i="11"/>
  <c r="AC14" i="11"/>
  <c r="AB14" i="11"/>
  <c r="AA14" i="11"/>
  <c r="Z14" i="11"/>
  <c r="Y14" i="11"/>
  <c r="R14" i="11"/>
  <c r="O14" i="11"/>
  <c r="N14" i="11"/>
  <c r="M14" i="11"/>
  <c r="L14" i="11"/>
  <c r="K14" i="11"/>
  <c r="J14" i="11"/>
  <c r="G14" i="11"/>
  <c r="F14" i="11"/>
  <c r="AM16" i="41" l="1"/>
  <c r="AL16" i="41"/>
  <c r="AK16" i="41"/>
  <c r="AJ16" i="41"/>
  <c r="AI16" i="41"/>
  <c r="AH16" i="41"/>
  <c r="AG16" i="41"/>
  <c r="AF16" i="41"/>
  <c r="AE16" i="41"/>
  <c r="AD16" i="41"/>
  <c r="AC16" i="41"/>
  <c r="AB16" i="41"/>
  <c r="AA16" i="41"/>
  <c r="Z16" i="41"/>
  <c r="Y16" i="41"/>
  <c r="X16" i="41"/>
  <c r="R16" i="41"/>
  <c r="Q16" i="41"/>
  <c r="P16" i="41"/>
  <c r="O16" i="41"/>
  <c r="N16" i="41"/>
  <c r="M16" i="41"/>
  <c r="L16" i="41"/>
  <c r="K16" i="41"/>
  <c r="J16" i="41"/>
  <c r="I16" i="41"/>
  <c r="H16" i="41"/>
  <c r="G16" i="41"/>
  <c r="F16" i="41"/>
  <c r="AN13" i="40" l="1"/>
  <c r="AM13" i="40"/>
  <c r="AL13" i="40"/>
  <c r="AK13" i="40"/>
  <c r="AJ13" i="40"/>
  <c r="AI13" i="40"/>
  <c r="AH13" i="40"/>
  <c r="AG13" i="40"/>
  <c r="AF13" i="40"/>
  <c r="AE13" i="40"/>
  <c r="AD13" i="40"/>
  <c r="AC13" i="40"/>
  <c r="AB13" i="40"/>
  <c r="AA13" i="40"/>
  <c r="Z13" i="40"/>
  <c r="Y13" i="40"/>
  <c r="R13" i="40"/>
  <c r="Q13" i="40"/>
  <c r="P13" i="40"/>
  <c r="O13" i="40"/>
  <c r="N13" i="40"/>
  <c r="M13" i="40"/>
  <c r="L13" i="40"/>
  <c r="K13" i="40"/>
  <c r="J13" i="40"/>
  <c r="I13" i="40"/>
  <c r="H13" i="40"/>
  <c r="G13" i="40"/>
  <c r="F13" i="40"/>
  <c r="G3" i="45"/>
  <c r="F3" i="45"/>
  <c r="E3" i="45"/>
  <c r="D3" i="45"/>
  <c r="N3" i="45"/>
  <c r="N6" i="45" s="1"/>
  <c r="D4" i="47"/>
  <c r="D7" i="47" s="1"/>
  <c r="B4" i="47"/>
  <c r="M3" i="45"/>
  <c r="M6" i="45" s="1"/>
  <c r="L3" i="45"/>
  <c r="K3" i="45"/>
  <c r="I3" i="45"/>
  <c r="AM15" i="37"/>
  <c r="AL15" i="37"/>
  <c r="AK15" i="37"/>
  <c r="AJ15" i="37"/>
  <c r="AI15" i="37"/>
  <c r="AH15" i="37"/>
  <c r="AG15" i="37"/>
  <c r="AF15" i="37"/>
  <c r="AE15" i="37"/>
  <c r="AD15" i="37"/>
  <c r="AC15" i="37"/>
  <c r="AB15" i="37"/>
  <c r="AA15" i="37"/>
  <c r="Z15" i="37"/>
  <c r="Y15" i="37"/>
  <c r="X15" i="37"/>
  <c r="R15" i="37"/>
  <c r="Q15" i="37"/>
  <c r="P15" i="37"/>
  <c r="O15" i="37"/>
  <c r="N15" i="37"/>
  <c r="M15" i="37"/>
  <c r="L15" i="37"/>
  <c r="K15" i="37"/>
  <c r="J15" i="37"/>
  <c r="I15" i="37"/>
  <c r="H15" i="37"/>
  <c r="G15" i="37"/>
  <c r="F15" i="37"/>
  <c r="AM15" i="36"/>
  <c r="AL15" i="36"/>
  <c r="AK15" i="36"/>
  <c r="AJ15" i="36"/>
  <c r="AI15" i="36"/>
  <c r="AH15" i="36"/>
  <c r="AG15" i="36"/>
  <c r="AF15" i="36"/>
  <c r="AE15" i="36"/>
  <c r="AD15" i="36"/>
  <c r="AC15" i="36"/>
  <c r="AB15" i="36"/>
  <c r="AA15" i="36"/>
  <c r="Z15" i="36"/>
  <c r="Y15" i="36"/>
  <c r="X15" i="36"/>
  <c r="R15" i="36"/>
  <c r="Q15" i="36"/>
  <c r="P15" i="36"/>
  <c r="O15" i="36"/>
  <c r="N15" i="36"/>
  <c r="M15" i="36"/>
  <c r="L15" i="36"/>
  <c r="K15" i="36"/>
  <c r="J15" i="36"/>
  <c r="I15" i="36"/>
  <c r="H15" i="36"/>
  <c r="G15" i="36"/>
  <c r="F15" i="36"/>
  <c r="AN14" i="35"/>
  <c r="AM14" i="35"/>
  <c r="AL14" i="35"/>
  <c r="AK14" i="35"/>
  <c r="AJ14" i="35"/>
  <c r="AI14" i="35"/>
  <c r="AH14" i="35"/>
  <c r="AG14" i="35"/>
  <c r="AF14" i="35"/>
  <c r="AE14" i="35"/>
  <c r="AD14" i="35"/>
  <c r="AC14" i="35"/>
  <c r="AB14" i="35"/>
  <c r="AA14" i="35"/>
  <c r="Z14" i="35"/>
  <c r="Y14" i="35"/>
  <c r="R14" i="35"/>
  <c r="Q14" i="35"/>
  <c r="P14" i="35"/>
  <c r="O14" i="35"/>
  <c r="N14" i="35"/>
  <c r="M14" i="35"/>
  <c r="L14" i="35"/>
  <c r="K14" i="35"/>
  <c r="J14" i="35"/>
  <c r="I14" i="35"/>
  <c r="H14" i="35"/>
  <c r="G14" i="35"/>
  <c r="F14" i="35"/>
  <c r="J3" i="45" l="1"/>
  <c r="I6" i="45"/>
  <c r="F4" i="47"/>
  <c r="B7" i="47"/>
  <c r="O3" i="45"/>
  <c r="AN15" i="25"/>
  <c r="AM15" i="25"/>
  <c r="AL15" i="25"/>
  <c r="AK15" i="25"/>
  <c r="AJ15" i="25"/>
  <c r="AI15" i="25"/>
  <c r="AH15" i="25"/>
  <c r="AG15" i="25"/>
  <c r="AF15" i="25"/>
  <c r="AE15" i="25"/>
  <c r="AD15" i="25"/>
  <c r="AC15" i="25"/>
  <c r="AB15" i="25"/>
  <c r="AA15" i="25"/>
  <c r="Z15" i="25"/>
  <c r="Y15" i="25"/>
  <c r="R15" i="25"/>
  <c r="Q15" i="25"/>
  <c r="P15" i="25"/>
  <c r="O15" i="25"/>
  <c r="N15" i="25"/>
  <c r="M15" i="25"/>
  <c r="L15" i="25"/>
  <c r="K15" i="25"/>
  <c r="J15" i="25"/>
  <c r="I15" i="25"/>
  <c r="H15" i="25"/>
  <c r="G15" i="25"/>
  <c r="F15" i="25"/>
  <c r="G5" i="31" l="1"/>
  <c r="L5" i="31"/>
  <c r="K5" i="31"/>
  <c r="O7" i="32"/>
  <c r="O16" i="32"/>
  <c r="O21" i="32"/>
  <c r="Q21" i="32" s="1"/>
  <c r="O8" i="32"/>
  <c r="O20" i="32"/>
  <c r="O4" i="32"/>
  <c r="G15" i="30"/>
  <c r="Z15" i="30"/>
  <c r="G6" i="31"/>
  <c r="F6" i="31"/>
  <c r="E6" i="31"/>
  <c r="D6" i="31"/>
  <c r="O6" i="31"/>
  <c r="F7" i="32"/>
  <c r="N6" i="31"/>
  <c r="I6" i="31"/>
  <c r="H6" i="31"/>
  <c r="AN13" i="16"/>
  <c r="AM13" i="16"/>
  <c r="AL13" i="16"/>
  <c r="AK13" i="16"/>
  <c r="AJ13" i="16"/>
  <c r="AI13" i="16"/>
  <c r="AH13" i="16"/>
  <c r="AG13" i="16"/>
  <c r="AF13" i="16"/>
  <c r="AE13" i="16"/>
  <c r="AD13" i="16"/>
  <c r="AC13" i="16"/>
  <c r="AB13" i="16"/>
  <c r="AA13" i="16"/>
  <c r="Z13" i="16"/>
  <c r="Y13" i="16"/>
  <c r="R13" i="16"/>
  <c r="Q13" i="16"/>
  <c r="P13" i="16"/>
  <c r="O13" i="16"/>
  <c r="N13" i="16"/>
  <c r="M13" i="16"/>
  <c r="L13" i="16"/>
  <c r="K13" i="16"/>
  <c r="J13" i="16"/>
  <c r="I13" i="16"/>
  <c r="H13" i="16"/>
  <c r="G13" i="16"/>
  <c r="F13" i="16"/>
  <c r="AN13" i="13"/>
  <c r="AM13" i="13"/>
  <c r="AL13" i="13"/>
  <c r="AK13" i="13"/>
  <c r="AJ13" i="13"/>
  <c r="AI13" i="13"/>
  <c r="AH13" i="13"/>
  <c r="AG13" i="13"/>
  <c r="AF13" i="13"/>
  <c r="AE13" i="13"/>
  <c r="AD13" i="13"/>
  <c r="AC13" i="13"/>
  <c r="AB13" i="13"/>
  <c r="AA13" i="13"/>
  <c r="Z13" i="13"/>
  <c r="Y13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F13" i="13"/>
  <c r="G2" i="31"/>
  <c r="F2" i="31"/>
  <c r="E2" i="31"/>
  <c r="D2" i="31"/>
  <c r="O2" i="31"/>
  <c r="N2" i="31"/>
  <c r="L2" i="31"/>
  <c r="K2" i="31"/>
  <c r="I2" i="31"/>
  <c r="H2" i="31"/>
  <c r="G3" i="31"/>
  <c r="F3" i="31"/>
  <c r="E3" i="31"/>
  <c r="D3" i="31"/>
  <c r="O3" i="31"/>
  <c r="N3" i="31"/>
  <c r="L3" i="31"/>
  <c r="K3" i="31"/>
  <c r="I3" i="31"/>
  <c r="H3" i="31"/>
  <c r="G7" i="31"/>
  <c r="F7" i="31"/>
  <c r="D7" i="31"/>
  <c r="O7" i="31"/>
  <c r="F5" i="32"/>
  <c r="N7" i="31"/>
  <c r="L7" i="31"/>
  <c r="K7" i="31"/>
  <c r="I7" i="31"/>
  <c r="H7" i="31"/>
  <c r="G4" i="31"/>
  <c r="F4" i="31"/>
  <c r="E4" i="31"/>
  <c r="D4" i="31"/>
  <c r="O4" i="31"/>
  <c r="F6" i="32"/>
  <c r="N4" i="31"/>
  <c r="L4" i="31"/>
  <c r="K4" i="31"/>
  <c r="I4" i="31"/>
  <c r="H4" i="31"/>
  <c r="AN15" i="30"/>
  <c r="AM15" i="30"/>
  <c r="AL15" i="30"/>
  <c r="AK15" i="30"/>
  <c r="AJ15" i="30"/>
  <c r="AI15" i="30"/>
  <c r="AH15" i="30"/>
  <c r="AG15" i="30"/>
  <c r="AF15" i="30"/>
  <c r="AE15" i="30"/>
  <c r="AD15" i="30"/>
  <c r="AC15" i="30"/>
  <c r="AB15" i="30"/>
  <c r="AA15" i="30"/>
  <c r="Y15" i="30"/>
  <c r="R15" i="30"/>
  <c r="Q15" i="30"/>
  <c r="P15" i="30"/>
  <c r="O15" i="30"/>
  <c r="N15" i="30"/>
  <c r="M15" i="30"/>
  <c r="L15" i="30"/>
  <c r="K15" i="30"/>
  <c r="J15" i="30"/>
  <c r="I15" i="30"/>
  <c r="H15" i="30"/>
  <c r="F15" i="30"/>
  <c r="O9" i="32"/>
  <c r="L6" i="31"/>
  <c r="K6" i="31"/>
  <c r="F4" i="32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Y16" i="11"/>
  <c r="Z16" i="11"/>
  <c r="AA16" i="11"/>
  <c r="AB16" i="11"/>
  <c r="AC16" i="11"/>
  <c r="AD16" i="11"/>
  <c r="AE16" i="11"/>
  <c r="AF16" i="11"/>
  <c r="AG16" i="11"/>
  <c r="AH16" i="11"/>
  <c r="AI16" i="11"/>
  <c r="AJ16" i="11"/>
  <c r="AK16" i="11"/>
  <c r="AL16" i="11"/>
  <c r="AM16" i="11"/>
  <c r="AN16" i="11"/>
  <c r="O19" i="32"/>
  <c r="Q19" i="32" s="1"/>
  <c r="O6" i="32"/>
  <c r="Q6" i="32" s="1"/>
  <c r="O17" i="32"/>
  <c r="P10" i="32"/>
  <c r="O5" i="32"/>
  <c r="R5" i="32" s="1"/>
  <c r="N10" i="32"/>
  <c r="M10" i="32"/>
  <c r="L10" i="32"/>
  <c r="K10" i="32"/>
  <c r="J10" i="32"/>
  <c r="I10" i="32"/>
  <c r="J22" i="32"/>
  <c r="O18" i="32"/>
  <c r="I22" i="32"/>
  <c r="N22" i="32"/>
  <c r="M22" i="32"/>
  <c r="L22" i="32"/>
  <c r="K22" i="32"/>
  <c r="E7" i="31"/>
  <c r="F8" i="32"/>
  <c r="B9" i="32"/>
  <c r="R9" i="32" l="1"/>
  <c r="Q9" i="32"/>
  <c r="Q20" i="32"/>
  <c r="P20" i="32"/>
  <c r="R4" i="32"/>
  <c r="Q4" i="32"/>
  <c r="D5" i="31"/>
  <c r="P21" i="32"/>
  <c r="R6" i="32"/>
  <c r="E5" i="31"/>
  <c r="F5" i="31"/>
  <c r="H5" i="31"/>
  <c r="H8" i="31" s="1"/>
  <c r="N5" i="31"/>
  <c r="N8" i="31" s="1"/>
  <c r="O5" i="31"/>
  <c r="O8" i="31" s="1"/>
  <c r="I5" i="31"/>
  <c r="I8" i="31" s="1"/>
  <c r="F3" i="32"/>
  <c r="O10" i="32"/>
  <c r="Q10" i="32" s="1"/>
  <c r="P19" i="32"/>
  <c r="O22" i="32"/>
  <c r="Q22" i="32" s="1"/>
  <c r="J3" i="31"/>
  <c r="J6" i="31"/>
  <c r="P6" i="31"/>
  <c r="P7" i="31"/>
  <c r="J7" i="31"/>
  <c r="Q5" i="32"/>
  <c r="P3" i="31"/>
  <c r="P4" i="31"/>
  <c r="J4" i="31"/>
  <c r="P2" i="31"/>
  <c r="J2" i="31"/>
  <c r="P22" i="32" l="1"/>
  <c r="R10" i="32"/>
  <c r="P5" i="31"/>
  <c r="J5" i="31"/>
  <c r="D9" i="32"/>
</calcChain>
</file>

<file path=xl/sharedStrings.xml><?xml version="1.0" encoding="utf-8"?>
<sst xmlns="http://schemas.openxmlformats.org/spreadsheetml/2006/main" count="3272" uniqueCount="551">
  <si>
    <t>PL</t>
  </si>
  <si>
    <t>W</t>
  </si>
  <si>
    <t>D</t>
  </si>
  <si>
    <t>L</t>
  </si>
  <si>
    <t>F</t>
  </si>
  <si>
    <t>A</t>
  </si>
  <si>
    <t>Scores</t>
  </si>
  <si>
    <t>Cards</t>
  </si>
  <si>
    <t>Att</t>
  </si>
  <si>
    <t>HT</t>
  </si>
  <si>
    <t>Referee</t>
  </si>
  <si>
    <t>TMO</t>
  </si>
  <si>
    <t>T</t>
  </si>
  <si>
    <t>C</t>
  </si>
  <si>
    <t>P</t>
  </si>
  <si>
    <t>Y</t>
  </si>
  <si>
    <t>R</t>
  </si>
  <si>
    <t>Opponents</t>
  </si>
  <si>
    <t>Cmp</t>
  </si>
  <si>
    <t>Date</t>
  </si>
  <si>
    <t>OVERALL</t>
  </si>
  <si>
    <t>TB</t>
  </si>
  <si>
    <t>LB</t>
  </si>
  <si>
    <t>Bonus</t>
  </si>
  <si>
    <t>Result</t>
  </si>
  <si>
    <t>Conceded</t>
  </si>
  <si>
    <t>AR1</t>
  </si>
  <si>
    <t>AR2</t>
  </si>
  <si>
    <t>© Hillsport Media Ltd</t>
  </si>
  <si>
    <t>Australia</t>
  </si>
  <si>
    <t>England</t>
  </si>
  <si>
    <t>Wales</t>
  </si>
  <si>
    <t>Italy</t>
  </si>
  <si>
    <t>France</t>
  </si>
  <si>
    <t>Scotland</t>
  </si>
  <si>
    <t>Ireland</t>
  </si>
  <si>
    <t>Canada</t>
  </si>
  <si>
    <t>Gd</t>
  </si>
  <si>
    <t>Away</t>
  </si>
  <si>
    <t>Neutral Ground</t>
  </si>
  <si>
    <t>Home</t>
  </si>
  <si>
    <t>6N</t>
  </si>
  <si>
    <t>Pos</t>
  </si>
  <si>
    <t>Chg</t>
  </si>
  <si>
    <t>DIFF</t>
  </si>
  <si>
    <t>PTS</t>
  </si>
  <si>
    <t>→</t>
  </si>
  <si>
    <t>TF</t>
  </si>
  <si>
    <t>TA</t>
  </si>
  <si>
    <t>Yellows</t>
  </si>
  <si>
    <t>Reds</t>
  </si>
  <si>
    <t>Pts</t>
  </si>
  <si>
    <t>TOTALS</t>
  </si>
  <si>
    <t xml:space="preserve"> </t>
  </si>
  <si>
    <t>Teams ordered on unofficial “points” ratio of “2” for a Red, “1” for a Yellow</t>
  </si>
  <si>
    <t>USA</t>
  </si>
  <si>
    <t>HOME</t>
  </si>
  <si>
    <t>AWAY</t>
  </si>
  <si>
    <t>NEUTRAL</t>
  </si>
  <si>
    <t>GSB</t>
  </si>
  <si>
    <t>TB = Try Bonus Points; LB = Losing Bonus Points; GSB = Grand Slam Bonus Points</t>
  </si>
  <si>
    <t>Points Scored</t>
  </si>
  <si>
    <t>Minutes S/handed</t>
  </si>
  <si>
    <t>Opponent</t>
  </si>
  <si>
    <t>Ave per 10 mins</t>
  </si>
  <si>
    <t>Total</t>
  </si>
  <si>
    <t>Also S/H</t>
  </si>
  <si>
    <t>15 v 14</t>
  </si>
  <si>
    <t>15 v 13</t>
  </si>
  <si>
    <t>na</t>
  </si>
  <si>
    <t>ALL TESTS</t>
  </si>
  <si>
    <t>SIX NATIONS</t>
  </si>
  <si>
    <t>Car</t>
  </si>
  <si>
    <t>N Zealand</t>
  </si>
  <si>
    <t>Spain</t>
  </si>
  <si>
    <t>Tries Scored</t>
  </si>
  <si>
    <t>BPs</t>
  </si>
  <si>
    <t xml:space="preserve">Penalty Tries: </t>
  </si>
  <si>
    <t>INTERNATIONALS</t>
  </si>
  <si>
    <t xml:space="preserve">    HT</t>
  </si>
  <si>
    <t>6N = Six Nations; INT = International</t>
  </si>
  <si>
    <t>Tie-breakers:</t>
  </si>
  <si>
    <t>Points Difference</t>
  </si>
  <si>
    <t>If still cannot split, placed equally</t>
  </si>
  <si>
    <t>Netherlands</t>
  </si>
  <si>
    <t>Penalty Tries:</t>
  </si>
  <si>
    <r>
      <t xml:space="preserve">POWERPLAYS </t>
    </r>
    <r>
      <rPr>
        <b/>
        <sz val="11"/>
        <color rgb="FFFF0000"/>
        <rFont val="Calibri"/>
        <family val="2"/>
        <scheme val="minor"/>
      </rPr>
      <t xml:space="preserve">(periods when teams are playing </t>
    </r>
    <r>
      <rPr>
        <b/>
        <u/>
        <sz val="11"/>
        <color rgb="FFFF0000"/>
        <rFont val="Calibri"/>
        <family val="2"/>
        <scheme val="minor"/>
      </rPr>
      <t>against short-handed opposition only</t>
    </r>
    <r>
      <rPr>
        <b/>
        <sz val="11"/>
        <color rgb="FFFF0000"/>
        <rFont val="Calibri"/>
        <family val="2"/>
        <scheme val="minor"/>
      </rPr>
      <t>)</t>
    </r>
  </si>
  <si>
    <t>National Rugby Centre Stadium, Amsterdam</t>
  </si>
  <si>
    <t>15 v 12</t>
  </si>
  <si>
    <t>10+ Points scored in any 10-minute Powerplay period:</t>
  </si>
  <si>
    <t>Edi</t>
  </si>
  <si>
    <t>Pm</t>
  </si>
  <si>
    <t>Crk</t>
  </si>
  <si>
    <t>:</t>
  </si>
  <si>
    <t>UK TIME</t>
  </si>
  <si>
    <t>10+ Points scored with fewer than 15 players:</t>
  </si>
  <si>
    <t>14 pl</t>
  </si>
  <si>
    <t>13 pl</t>
  </si>
  <si>
    <t>12 pl</t>
  </si>
  <si>
    <t>11 pl</t>
  </si>
  <si>
    <t>PACIFIC FOUR</t>
  </si>
  <si>
    <t>Finland</t>
  </si>
  <si>
    <t>PAC</t>
  </si>
  <si>
    <t>OCEANIA CHAMPS</t>
  </si>
  <si>
    <t>RUGBY AFRICA CUP</t>
  </si>
  <si>
    <t>Portugal</t>
  </si>
  <si>
    <t>Rugby Europe Women's Trophy</t>
  </si>
  <si>
    <t>Rugby do Jamor, Lisbon</t>
  </si>
  <si>
    <t>Sweden</t>
  </si>
  <si>
    <t>Rugby Europe Women's Championship</t>
  </si>
  <si>
    <t>Campo de El Pantano, Villajoyosa</t>
  </si>
  <si>
    <t>Czech Republic</t>
  </si>
  <si>
    <t>Belgium</t>
  </si>
  <si>
    <t>Germany</t>
  </si>
  <si>
    <t>Stade Nelson Mandela, Brussels</t>
  </si>
  <si>
    <t>Rugby Club Bystrc, Brno</t>
  </si>
  <si>
    <t>PAC = Pacific Four; INT = International</t>
  </si>
  <si>
    <t>AUSTRALIA IN 2023</t>
  </si>
  <si>
    <t>CANADA IN 2023</t>
  </si>
  <si>
    <t>ENGLAND IN 2023</t>
  </si>
  <si>
    <t>FIJI IN 2023</t>
  </si>
  <si>
    <t>FRANCE IN 2023</t>
  </si>
  <si>
    <t>IRELAND IN 2023</t>
  </si>
  <si>
    <t>ITALY IN 2023</t>
  </si>
  <si>
    <t>JAPAN IN 2023</t>
  </si>
  <si>
    <t>NEW ZEALAND IN 2023</t>
  </si>
  <si>
    <t>SCOTLAND IN 2023</t>
  </si>
  <si>
    <t>SOUTH AFRICA IN 2023</t>
  </si>
  <si>
    <t>USA IN 2023</t>
  </si>
  <si>
    <t>WALES IN 2023</t>
  </si>
  <si>
    <t>INT = International; RAC = Rugby Africa Cup</t>
  </si>
  <si>
    <t>1 Ap</t>
  </si>
  <si>
    <t>Md</t>
  </si>
  <si>
    <t>Md = Estadio Nacional Complutense, Madrid</t>
  </si>
  <si>
    <t>25 Mr</t>
  </si>
  <si>
    <t>Nw</t>
  </si>
  <si>
    <t>26 Mr</t>
  </si>
  <si>
    <t>Pm = Stadio Sergio Lanfranchi, Parma; Crk = Musgrave Park, Cork</t>
  </si>
  <si>
    <t>2 Ap</t>
  </si>
  <si>
    <t>Nh</t>
  </si>
  <si>
    <t>Nw = Kingston Park, Newcastle; Nh = cinch Stadium at Franklin's Gardens, Northampton</t>
  </si>
  <si>
    <t>Pm = Stadio Sergio Lanfranchi, Parma; Nh = cinch Stadium at Franklin's Gardens, Northampton</t>
  </si>
  <si>
    <t>15 Ap</t>
  </si>
  <si>
    <t>Car = Cardiff Arms Park; Crk = Musgrave Park, Cork; Pm = Stadio Sergio Lanfranchi, Parma</t>
  </si>
  <si>
    <t>16 Ap</t>
  </si>
  <si>
    <t>Van</t>
  </si>
  <si>
    <t>22 Ap</t>
  </si>
  <si>
    <t>23 Ap</t>
  </si>
  <si>
    <t>Grn</t>
  </si>
  <si>
    <t>Van = Stade de la Rabine, Vannes; Grn = Stade des Alpes, Grenoble</t>
  </si>
  <si>
    <t>Car = Cardiff Arms Park; Edi = DAM Health Stadium, Edinburgh; Grn = Stade des Alpes, Grenoble</t>
  </si>
  <si>
    <t>29 Ap</t>
  </si>
  <si>
    <t>Tw</t>
  </si>
  <si>
    <t>Car = Cardiff Arms Park; Crk = Musgrave Park, Cork; Tw = Twickenham Stadium, London</t>
  </si>
  <si>
    <t>31-0</t>
  </si>
  <si>
    <t>Aimee Barrett-Theron (RSA)</t>
  </si>
  <si>
    <t>Olly Hodges (Ire)</t>
  </si>
  <si>
    <t>Precious Pazani (Zim)</t>
  </si>
  <si>
    <t>Adele Roberts (Bel)</t>
  </si>
  <si>
    <t>Kingston Park, Newcastle</t>
  </si>
  <si>
    <t>Women's Six Nations</t>
  </si>
  <si>
    <t>0-31</t>
  </si>
  <si>
    <t>26-0</t>
  </si>
  <si>
    <t>Ian Tempest (Eng)</t>
  </si>
  <si>
    <t>Doriane Domenjo (Fra)</t>
  </si>
  <si>
    <t>Maria Latos (Ger)</t>
  </si>
  <si>
    <t>0-26</t>
  </si>
  <si>
    <t>Cardiff Arms Park, Cardiff</t>
  </si>
  <si>
    <t>Stadio Sergio Lanfranchi, Parma</t>
  </si>
  <si>
    <t>16:45</t>
  </si>
  <si>
    <t>14:15</t>
  </si>
  <si>
    <t>15:00</t>
  </si>
  <si>
    <t>7-15</t>
  </si>
  <si>
    <t>Maggie Cogger-Orr (Nzl)</t>
  </si>
  <si>
    <t>Ben Blain (Sco)</t>
  </si>
  <si>
    <t>Hollie Davidson (Sco)</t>
  </si>
  <si>
    <t>Katherine Ritchie (Eng)</t>
  </si>
  <si>
    <t>15-7</t>
  </si>
  <si>
    <t>Estadio Nacional Universidad Complutense, Madrid</t>
  </si>
  <si>
    <t>Test</t>
  </si>
  <si>
    <t>INT</t>
  </si>
  <si>
    <t>8-6</t>
  </si>
  <si>
    <t>Clara Munarini (Ita)</t>
  </si>
  <si>
    <t>Felix Villegas (Esp)</t>
  </si>
  <si>
    <t>Maria Pacifico (Ita)</t>
  </si>
  <si>
    <t>South Africa</t>
  </si>
  <si>
    <t>S Africa</t>
  </si>
  <si>
    <t>35-0</t>
  </si>
  <si>
    <t>Kat Roche (USA)</t>
  </si>
  <si>
    <t>Lorena Martinez (Esp)</t>
  </si>
  <si>
    <t>Jen Lee (Esp)</t>
  </si>
  <si>
    <t>0-35</t>
  </si>
  <si>
    <t>Pacific Four Series</t>
  </si>
  <si>
    <t>26-3</t>
  </si>
  <si>
    <t>Amber McLachlan (Aus)</t>
  </si>
  <si>
    <t>Stefano Roscini (Ita)</t>
  </si>
  <si>
    <t>Aurelie Groizeleau (Fra)</t>
  </si>
  <si>
    <t>3-26</t>
  </si>
  <si>
    <t>14 v 13</t>
  </si>
  <si>
    <t>22-10</t>
  </si>
  <si>
    <t>Adele Robert (Bel)</t>
  </si>
  <si>
    <t>15:15</t>
  </si>
  <si>
    <t>17:30</t>
  </si>
  <si>
    <t>Musgrave Park, Cork</t>
  </si>
  <si>
    <t>3-27</t>
  </si>
  <si>
    <t>Amber Mclachlan (Aus)</t>
  </si>
  <si>
    <t>Ben Whitehouse (Wal)</t>
  </si>
  <si>
    <t>Sara Cox (Eng)</t>
  </si>
  <si>
    <t>Maria Heitor (Por)</t>
  </si>
  <si>
    <t>27-3</t>
  </si>
  <si>
    <t>Deely, Nic A Bhaird</t>
  </si>
  <si>
    <t>Deshaye</t>
  </si>
  <si>
    <r>
      <rPr>
        <sz val="11"/>
        <color rgb="FFFF0000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 xml:space="preserve"> Fra v Ire (Ap 1, 14 v 14)</t>
    </r>
  </si>
  <si>
    <t>10+ Points scored with fewer than 15 players (any 10-minute spell):</t>
  </si>
  <si>
    <r>
      <rPr>
        <sz val="11"/>
        <color rgb="FFFF0000"/>
        <rFont val="Calibri"/>
        <family val="2"/>
        <scheme val="minor"/>
      </rPr>
      <t>17</t>
    </r>
    <r>
      <rPr>
        <sz val="11"/>
        <color theme="1"/>
        <rFont val="Calibri"/>
        <family val="2"/>
        <scheme val="minor"/>
      </rPr>
      <t xml:space="preserve"> Fra v Ire (Ap 1)</t>
    </r>
  </si>
  <si>
    <r>
      <rPr>
        <sz val="11"/>
        <color rgb="FFFF0000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 xml:space="preserve"> Fra v Ire (Ap 1)</t>
    </r>
  </si>
  <si>
    <t>DAM Health Stadium, Edinburgh</t>
  </si>
  <si>
    <t>10-12</t>
  </si>
  <si>
    <t>Leo Colgan (Ire)</t>
  </si>
  <si>
    <t>Beatrice Benvenuti (Ita)</t>
  </si>
  <si>
    <t>Maria Padifico (Ita)</t>
  </si>
  <si>
    <t>12-10</t>
  </si>
  <si>
    <t>cinch Stadium@Franklin's Gardens, Northampton</t>
  </si>
  <si>
    <t>27-5</t>
  </si>
  <si>
    <t>Andrew McMenemy (Sco)</t>
  </si>
  <si>
    <t>Doirane Domenjo (Fra)</t>
  </si>
  <si>
    <t>Mary Pringle (Sco)</t>
  </si>
  <si>
    <t>5-27</t>
  </si>
  <si>
    <t>After Round 2</t>
  </si>
  <si>
    <t>Rugby Center, Hurth</t>
  </si>
  <si>
    <t>3-19</t>
  </si>
  <si>
    <t>Joy Neville (Ire)</t>
  </si>
  <si>
    <t>19-3</t>
  </si>
  <si>
    <t>Campbell, Packer M</t>
  </si>
  <si>
    <t>15:45</t>
  </si>
  <si>
    <t>cinch Stadium at Franklin's Gardens, Northampton</t>
  </si>
  <si>
    <t>7-0</t>
  </si>
  <si>
    <t>0-7</t>
  </si>
  <si>
    <t>Stade de la Rabine, Vannes</t>
  </si>
  <si>
    <t>17-0</t>
  </si>
  <si>
    <t>Lauren Jenner (Nzl)</t>
  </si>
  <si>
    <t>Ciara Munarini (Ita)</t>
  </si>
  <si>
    <t>0-17</t>
  </si>
  <si>
    <t>↑1</t>
  </si>
  <si>
    <t>↓1</t>
  </si>
  <si>
    <t>↓2</t>
  </si>
  <si>
    <t>After Round 3</t>
  </si>
  <si>
    <t>0-27</t>
  </si>
  <si>
    <t>27-0</t>
  </si>
  <si>
    <t>10-7</t>
  </si>
  <si>
    <t>7-10</t>
  </si>
  <si>
    <t>Duca</t>
  </si>
  <si>
    <t>Seye</t>
  </si>
  <si>
    <t>Stade des Alpes, Grenoble</t>
  </si>
  <si>
    <t>29-0</t>
  </si>
  <si>
    <t>Matteo Liperini (Ita)</t>
  </si>
  <si>
    <t>0-29</t>
  </si>
  <si>
    <t>Harries, Lake</t>
  </si>
  <si>
    <t>↑2</t>
  </si>
  <si>
    <t>After Round 4</t>
  </si>
  <si>
    <t>19:30</t>
  </si>
  <si>
    <t>5-3</t>
  </si>
  <si>
    <t>3-5</t>
  </si>
  <si>
    <t>Twickenham Stadium, London</t>
  </si>
  <si>
    <t>13:00</t>
  </si>
  <si>
    <t>33-0</t>
  </si>
  <si>
    <t>Penalty Tries: v Fra (29 Ap)</t>
  </si>
  <si>
    <t>The attendance for the France match was a new world record for a women's rugby match</t>
  </si>
  <si>
    <t>Maria Heitor (Prt)</t>
  </si>
  <si>
    <t>0-33</t>
  </si>
  <si>
    <t>Bernadou, Boujard, Tremouliere</t>
  </si>
  <si>
    <r>
      <rPr>
        <sz val="11"/>
        <color rgb="FFFF0000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 xml:space="preserve">  Eng v Fra (Ap 29)</t>
    </r>
  </si>
  <si>
    <t>at end of tournament</t>
  </si>
  <si>
    <t>10-17</t>
  </si>
  <si>
    <t>Mary Pringle (Scp)</t>
  </si>
  <si>
    <t>17-10</t>
  </si>
  <si>
    <t>Hong Kong China</t>
  </si>
  <si>
    <t>Fiji</t>
  </si>
  <si>
    <t>Allianz Stadium, Sydney</t>
  </si>
  <si>
    <t>20 My</t>
  </si>
  <si>
    <t>Syd</t>
  </si>
  <si>
    <t>10-0</t>
  </si>
  <si>
    <t>Rachel Horton (Aus)</t>
  </si>
  <si>
    <t>Natasha Ganley (Nzl)</t>
  </si>
  <si>
    <t>Jess Ling (Aus)</t>
  </si>
  <si>
    <t>0-10</t>
  </si>
  <si>
    <t>Cameroon</t>
  </si>
  <si>
    <t>Women's Africa Cup</t>
  </si>
  <si>
    <t>Stade Makis, Antananarivo</t>
  </si>
  <si>
    <t>AC</t>
  </si>
  <si>
    <t>Ant</t>
  </si>
  <si>
    <t>Ant = Stade Makis, Antananarivo</t>
  </si>
  <si>
    <t>41-0</t>
  </si>
  <si>
    <t>Julie Randriarimanana (Mdg)</t>
  </si>
  <si>
    <t>RAC</t>
  </si>
  <si>
    <t>Kenya</t>
  </si>
  <si>
    <t>Madagascar</t>
  </si>
  <si>
    <t>Kazakhstan</t>
  </si>
  <si>
    <t>Women's Asia Championship</t>
  </si>
  <si>
    <t>Almaty Sports Training Complex, Almaty</t>
  </si>
  <si>
    <t>34-0</t>
  </si>
  <si>
    <t>Papua New Guinea</t>
  </si>
  <si>
    <t>Women's Oceania Championship</t>
  </si>
  <si>
    <t>Bond University, Robina</t>
  </si>
  <si>
    <t>26 My</t>
  </si>
  <si>
    <t>OC</t>
  </si>
  <si>
    <t>PNG</t>
  </si>
  <si>
    <t>Ella Goldsmith (Aus)</t>
  </si>
  <si>
    <t>Samoa</t>
  </si>
  <si>
    <t>Tonga</t>
  </si>
  <si>
    <t>Japan</t>
  </si>
  <si>
    <t>Am</t>
  </si>
  <si>
    <t>46-0</t>
  </si>
  <si>
    <t>Christabelle Lim (Sin)</t>
  </si>
  <si>
    <t>33-8</t>
  </si>
  <si>
    <t>30 My</t>
  </si>
  <si>
    <t>Rb</t>
  </si>
  <si>
    <t>21-7</t>
  </si>
  <si>
    <t>8-3</t>
  </si>
  <si>
    <t>TD Place Stadium, Ottawa</t>
  </si>
  <si>
    <t>Ott</t>
  </si>
  <si>
    <t>New Zealand</t>
  </si>
  <si>
    <t>Kayo Stadium, Brisbane</t>
  </si>
  <si>
    <t>Bb</t>
  </si>
  <si>
    <t>Cholm Jackson (Aus)</t>
  </si>
  <si>
    <t>Natarsha Ganley (Nzl)</t>
  </si>
  <si>
    <t>29 Jn</t>
  </si>
  <si>
    <t>After Round 1 (Jun 30 morning - Jul 8 morning)</t>
  </si>
  <si>
    <t>Andrew Hosie (Can)</t>
  </si>
  <si>
    <t>Shanda Assmus (Can)</t>
  </si>
  <si>
    <t>Kristine Lovatt (Can)</t>
  </si>
  <si>
    <t>Julianne Zussman (Can)</t>
  </si>
  <si>
    <t>8 Jl</t>
  </si>
  <si>
    <t>14-21</t>
  </si>
  <si>
    <t>Amelia Luciano (USA)</t>
  </si>
  <si>
    <t>Jenny Lui (USA)</t>
  </si>
  <si>
    <t>21-14</t>
  </si>
  <si>
    <t>de Goede, Forteza, Svoboda</t>
  </si>
  <si>
    <t>Colombia</t>
  </si>
  <si>
    <t>Brazil</t>
  </si>
  <si>
    <t>Estadio Cincuentenario, Medellin</t>
  </si>
  <si>
    <t>After Round 2 (Jul 9 morning - Jul 15 morning)</t>
  </si>
  <si>
    <t>0-0</t>
  </si>
  <si>
    <t>14 Jl</t>
  </si>
  <si>
    <t>Md = Estadio Nacional Complutense, Madrid; Ott = TD Place Stadium, Ottawa</t>
  </si>
  <si>
    <t>5-17</t>
  </si>
  <si>
    <t>Chris Assmus (Can)</t>
  </si>
  <si>
    <t>17-5</t>
  </si>
  <si>
    <t>Hohaia</t>
  </si>
  <si>
    <t>Mikaele-Tu'u</t>
  </si>
  <si>
    <t>Czaplicki, Perris-Redding, Zackary</t>
  </si>
  <si>
    <t>15 Jl</t>
  </si>
  <si>
    <t>Gu</t>
  </si>
  <si>
    <t>Am = Almaty Sports Training Complex, Almaty; Md =  Campo de Las Terrazas, Madrid;</t>
  </si>
  <si>
    <t>12-14</t>
  </si>
  <si>
    <t>26-7</t>
  </si>
  <si>
    <t>7-26</t>
  </si>
  <si>
    <t>Syd = Allianz Stadium, Sydney; Bb = Kayo Stadium, Brisbane; TD Place Stadium, Ottawa</t>
  </si>
  <si>
    <t>Cheatham, Karpani</t>
  </si>
  <si>
    <t>n/a</t>
  </si>
  <si>
    <t>0 Powerplays</t>
  </si>
  <si>
    <t xml:space="preserve"> at end of tournament</t>
  </si>
  <si>
    <t>Estadio Pedro Escartín, Guadalajara</t>
  </si>
  <si>
    <t>Stadio Walter Beltrametti, Piacenza</t>
  </si>
  <si>
    <t>Campo de Las Terrazas, Madrid</t>
  </si>
  <si>
    <t>22 Jl</t>
  </si>
  <si>
    <t>Pia</t>
  </si>
  <si>
    <t>Edi = DAM Health Stadium, Edinburgh; Pia = Stadio Walter Beltrametti, Piacenza</t>
  </si>
  <si>
    <t>13-0</t>
  </si>
  <si>
    <t>Japan Base, Fukuoka</t>
  </si>
  <si>
    <t>10 Sp</t>
  </si>
  <si>
    <t>Gu = Estadio Pedro Escartín, Guadalajara; Fuk = Japan Base, Fukuoka</t>
  </si>
  <si>
    <t>Fuk</t>
  </si>
  <si>
    <t>19-0</t>
  </si>
  <si>
    <t>Glenn Newman (Nzl)</t>
  </si>
  <si>
    <t>Ano Kuwai (Jpn)</t>
  </si>
  <si>
    <t>Hibiki Ikeda (Jpn)</t>
  </si>
  <si>
    <t>Melissa Leboeuf (Fra)</t>
  </si>
  <si>
    <t>9 Jl</t>
  </si>
  <si>
    <t>Luis Fernandez (Esp)</t>
  </si>
  <si>
    <t>Inaki Munoz (Esp)</t>
  </si>
  <si>
    <t>Syd = Allianz Stadium, Sydney, Rb = Bond University, Robina; Fuk = Japan Base, Fukuoka</t>
  </si>
  <si>
    <t>16 Sp</t>
  </si>
  <si>
    <t>Tok</t>
  </si>
  <si>
    <t>24-19</t>
  </si>
  <si>
    <t>Eri Kamimura (Jpn)</t>
  </si>
  <si>
    <t>19-24</t>
  </si>
  <si>
    <t>28 My</t>
  </si>
  <si>
    <t>23 My</t>
  </si>
  <si>
    <t>Cpt</t>
  </si>
  <si>
    <t>24-12</t>
  </si>
  <si>
    <t>Quinton Immelman (RSA)</t>
  </si>
  <si>
    <t>Giana Viljoen (RSA)</t>
  </si>
  <si>
    <t>Zoe Naude (RSA)</t>
  </si>
  <si>
    <t>1st Test</t>
  </si>
  <si>
    <t>2nd Test</t>
  </si>
  <si>
    <t>Prince Chichibu Memorial Stadium, Tokyo</t>
  </si>
  <si>
    <t>University of Western Cape Stadium, Cape Town</t>
  </si>
  <si>
    <t>23 Sp</t>
  </si>
  <si>
    <t>Exe</t>
  </si>
  <si>
    <t>31-12</t>
  </si>
  <si>
    <t>Clotilde Benvenuti (Ita)</t>
  </si>
  <si>
    <t>12-31</t>
  </si>
  <si>
    <t>Sandy Park, Exeter</t>
  </si>
  <si>
    <t>StoneX Stadium, London</t>
  </si>
  <si>
    <t>30 Sp</t>
  </si>
  <si>
    <t>Hdn</t>
  </si>
  <si>
    <t>Exe = Sandy Park, Exeter; Hdn = StoneX Stadium, London</t>
  </si>
  <si>
    <t>Stadiwm CSM, Colwyn Bay</t>
  </si>
  <si>
    <t>Cb</t>
  </si>
  <si>
    <t>Pm = Stadio Sergio Lanfranchi, Parma; Cb = Stadiwm CSM, Colwyn Bay</t>
  </si>
  <si>
    <t>Hive Stadium, Edinburgh</t>
  </si>
  <si>
    <t>Nw = Kingston Park, Newcastle; Edi = DAM Health/Hive Stadium, Edinburgh</t>
  </si>
  <si>
    <t>15-5</t>
  </si>
  <si>
    <t>Holly Wood (Eng)</t>
  </si>
  <si>
    <t>7-22</t>
  </si>
  <si>
    <t>22-7</t>
  </si>
  <si>
    <t>Tok = Prince Chichibu Memorial Stadium; Pm = Stadio Sergio Lanfranchi, Parma</t>
  </si>
  <si>
    <t>Boland Stadium, Wellington</t>
  </si>
  <si>
    <t>7 Oc</t>
  </si>
  <si>
    <t>Wel</t>
  </si>
  <si>
    <t>Cpt = University of Western Cape Stadium, Cape Town; Wel = Boland Stadium, Wellington</t>
  </si>
  <si>
    <t>10-10</t>
  </si>
  <si>
    <t>WXV 1</t>
  </si>
  <si>
    <t>WXV 2</t>
  </si>
  <si>
    <t>Danie Craven Stadium, Stellenbosch</t>
  </si>
  <si>
    <t>13 Oc</t>
  </si>
  <si>
    <t>WXV</t>
  </si>
  <si>
    <t>Ste</t>
  </si>
  <si>
    <t>SESI Guarulhos, Sao Paulo</t>
  </si>
  <si>
    <t>Tunisia</t>
  </si>
  <si>
    <t>Uganda</t>
  </si>
  <si>
    <t>Stade El Menzah, Tunis</t>
  </si>
  <si>
    <t>SKY Stadium, Wellington (Nzl)</t>
  </si>
  <si>
    <t>Danie Craven Stadium, Stellenbosch (RSA)</t>
  </si>
  <si>
    <t>20 Oc</t>
  </si>
  <si>
    <t>Wl</t>
  </si>
  <si>
    <t>28-0</t>
  </si>
  <si>
    <t>Taneika Uerata (Nzl)</t>
  </si>
  <si>
    <t>0-28</t>
  </si>
  <si>
    <t>21 Oc</t>
  </si>
  <si>
    <t>Exe = Sandy Park, Exeter; Wl = SKY Stadium, Wellington (Nzl)</t>
  </si>
  <si>
    <t>21-17</t>
  </si>
  <si>
    <t>17-21</t>
  </si>
  <si>
    <t>Viliko</t>
  </si>
  <si>
    <t>Forsyth Barr Stadium, Dunedin (Nzl)</t>
  </si>
  <si>
    <t>Aitchison, Beckett</t>
  </si>
  <si>
    <t>Schell</t>
  </si>
  <si>
    <t>27 Oc</t>
  </si>
  <si>
    <t>Dn</t>
  </si>
  <si>
    <t>Wl = SKY Stadium, Wellington (Nzl), Dn = Forsyth Barr Stadium, Dunedin</t>
  </si>
  <si>
    <t>21-5</t>
  </si>
  <si>
    <t>Cassie Watt (Nzl)</t>
  </si>
  <si>
    <t>5-21</t>
  </si>
  <si>
    <t>Forsyth Barr Stadium, Dunedin</t>
  </si>
  <si>
    <t>SKY Stadium, Wellington</t>
  </si>
  <si>
    <t>Metcalfe</t>
  </si>
  <si>
    <r>
      <rPr>
        <b/>
        <sz val="11"/>
        <color rgb="FFFF0000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 xml:space="preserve"> Nzl v Wal </t>
    </r>
  </si>
  <si>
    <t>28 Oc</t>
  </si>
  <si>
    <t>Wl = SKY Stadium, Wellington, Dn = Forsyth Barr Stadium, Dunedin</t>
  </si>
  <si>
    <t>Tw = Twickenham Stadium, London; Wl = SKY Stadium, Wellington (Nzl)</t>
  </si>
  <si>
    <t>Codey, Naiqama</t>
  </si>
  <si>
    <t>Codey, Palu</t>
  </si>
  <si>
    <r>
      <rPr>
        <b/>
        <sz val="11"/>
        <color rgb="FFFF0000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 xml:space="preserve"> Aus v Wal </t>
    </r>
  </si>
  <si>
    <t>3 Nv</t>
  </si>
  <si>
    <t>20 Oct</t>
  </si>
  <si>
    <t>21 Oct</t>
  </si>
  <si>
    <t>27 Oct</t>
  </si>
  <si>
    <t>28 Oct</t>
  </si>
  <si>
    <t>3 Nov</t>
  </si>
  <si>
    <t>Al</t>
  </si>
  <si>
    <t>8-7</t>
  </si>
  <si>
    <t>Tiana Anderson (Nzl)</t>
  </si>
  <si>
    <t>7-8</t>
  </si>
  <si>
    <t>Al = Go Media Mount Smart Stadium, Auckland (Nzl)</t>
  </si>
  <si>
    <t>Go Media Mount Smart Stadium, Auckland (Nzl)</t>
  </si>
  <si>
    <t>Penalty Tries: v Aus (3 Nv)</t>
  </si>
  <si>
    <t>4 Nov</t>
  </si>
  <si>
    <t>4 Nv</t>
  </si>
  <si>
    <t>Dn = Forsyth Barr Stadium, Dunedin (Nzl); Al = Go Media Mount Smart Stadium, Auckland (Nzl)</t>
  </si>
  <si>
    <t>Dn = Forsyth Barr Stadium, Dunedin (Nzl), Al = Go Media Mount Smart Stadium, Auckland (Nzl)</t>
  </si>
  <si>
    <t>Konde</t>
  </si>
  <si>
    <t>6N = Six Nations</t>
  </si>
  <si>
    <t>Go Media Mount Smart Stadium, Auckland</t>
  </si>
  <si>
    <t>Al = Go Media Mount Smart Stadium, Auckland</t>
  </si>
  <si>
    <t>19-7</t>
  </si>
  <si>
    <t>7-19</t>
  </si>
  <si>
    <t>Sillari</t>
  </si>
  <si>
    <t>14-5</t>
  </si>
  <si>
    <t>5-14</t>
  </si>
  <si>
    <t>13 Oct</t>
  </si>
  <si>
    <t>14 Oct</t>
  </si>
  <si>
    <t>14 Oc</t>
  </si>
  <si>
    <t>Cb = Stadiwm CSM, Colwyn Bay; Ste = Danie Craven Stadium, Stellenbosch (RSA)</t>
  </si>
  <si>
    <t>Van = Stade de la Rabine, Vannes; Ste = Danie Craven Stadium, Stellenbosch (RSA)</t>
  </si>
  <si>
    <t>Athlone Stadium, Cape Town (RSA)</t>
  </si>
  <si>
    <t>Ct</t>
  </si>
  <si>
    <t>Ct = Athlone Stadium, Cape Town (RSA)</t>
  </si>
  <si>
    <t>7-17</t>
  </si>
  <si>
    <t>17-7</t>
  </si>
  <si>
    <t>Athlone Stadium, Cape Town</t>
  </si>
  <si>
    <t>Ste = Danie Craven Stadium, Stellenbosch (RSA), Ct = Athlone Stadium, Cape Town (RSA)</t>
  </si>
  <si>
    <t>10-22</t>
  </si>
  <si>
    <t>Ste = Danie Craven Stadium, Stellenbosch; Ct = Athlone Stadium, Cape Town</t>
  </si>
  <si>
    <t>Grain</t>
  </si>
  <si>
    <t>Hele</t>
  </si>
  <si>
    <t>Ste = Danie Craven Stadium, Stellenbosch (RSA); Ct = Athlone Stadium, Cape Town (RSA)</t>
  </si>
  <si>
    <t>13-10</t>
  </si>
  <si>
    <t>Kato</t>
  </si>
  <si>
    <t>Penalty Tries: v Jpn (27 Oc)</t>
  </si>
  <si>
    <t>7-7</t>
  </si>
  <si>
    <t>INT = International; AC = Asia Cup</t>
  </si>
  <si>
    <t xml:space="preserve"> Leuta (2), Fiafia, Wright-Akeli</t>
  </si>
  <si>
    <t>3-12</t>
  </si>
  <si>
    <t>12-3</t>
  </si>
  <si>
    <t>WXV 3</t>
  </si>
  <si>
    <t>The Sevens, Dubai (UAE)</t>
  </si>
  <si>
    <t>31-3</t>
  </si>
  <si>
    <t>Sunny Lee (Hkg)</t>
  </si>
  <si>
    <t>Chebotar, Sazontova</t>
  </si>
  <si>
    <r>
      <rPr>
        <b/>
        <sz val="11"/>
        <color rgb="FFFF0000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 xml:space="preserve"> Ire v Kaz</t>
    </r>
  </si>
  <si>
    <r>
      <rPr>
        <b/>
        <sz val="11"/>
        <color rgb="FFFF0000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 xml:space="preserve"> Ire v Kaz</t>
    </r>
  </si>
  <si>
    <t>50-0</t>
  </si>
  <si>
    <t>Dbi</t>
  </si>
  <si>
    <t>Edi = DAM Health Stadium, Edinburgh; Dbi = The Sevens, Dubai (UAE)</t>
  </si>
  <si>
    <t>Tok = Prince Chichibu Memorial Stadium; Dbi = The Sevens, Dubai (UAE)</t>
  </si>
  <si>
    <t xml:space="preserve"> at end of the tournaments</t>
  </si>
  <si>
    <t>Adhiambo Okulu</t>
  </si>
  <si>
    <t>Perez C</t>
  </si>
  <si>
    <t>38-0</t>
  </si>
  <si>
    <t>Mario Latos (Ger)</t>
  </si>
  <si>
    <t>Korovata, Ofakimalino, Tisolo</t>
  </si>
  <si>
    <t>61-0</t>
  </si>
  <si>
    <t>INT = International; OC = Oceania Championship</t>
  </si>
  <si>
    <t>Mestra</t>
  </si>
  <si>
    <t>Djougang, McMahon</t>
  </si>
  <si>
    <t>0 cards</t>
  </si>
  <si>
    <t>3-10</t>
  </si>
  <si>
    <t>Totals</t>
  </si>
  <si>
    <t>ASIA CUP</t>
  </si>
  <si>
    <t>LOC</t>
  </si>
  <si>
    <t>PAC = Pacific Four; INT = International; LOC = Laurie O'Reilly Cup</t>
  </si>
  <si>
    <t>Hm</t>
  </si>
  <si>
    <t>Bb = Kayo Stadium, Brisbane; Ott = TD Place Stadium, Ottawa; Hm = Waikato Stadium, Hamilton</t>
  </si>
  <si>
    <t>Aaron Paterson (Nzl)</t>
  </si>
  <si>
    <t>Tyler Miller (Aus)</t>
  </si>
  <si>
    <t>Hm = Waikato Stadium, Hamilton; Wl = SKY Stadium, Wellington (Nzl),</t>
  </si>
  <si>
    <t>Dn = Forsyth Barr Stadium, Dunedin; Al = Go Media Mount Smart Stadium, Auckland (Nzl)</t>
  </si>
  <si>
    <t>Laurie O'Reilly Cup</t>
  </si>
  <si>
    <t>Laurie O'Reilly Cup/Pacific Four Series</t>
  </si>
  <si>
    <t>Waikato Stadium, Hamilton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</si>
</sst>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</font>
    <font>
      <b/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000000"/>
      <name val="Calibri"/>
      <family val="2"/>
    </font>
    <font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7" tint="0.39997558519241921"/>
      <name val="Calibri"/>
      <family val="2"/>
      <scheme val="minor"/>
    </font>
    <font>
      <sz val="11"/>
      <color theme="7" tint="0.3999755851924192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b/>
      <sz val="11"/>
      <color theme="6" tint="0.3999755851924192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A6A6A6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FFFF00"/>
      <name val="Calibri"/>
      <family val="2"/>
      <scheme val="minor"/>
    </font>
    <font>
      <b/>
      <sz val="11"/>
      <color theme="4" tint="0.59999389629810485"/>
      <name val="Calibri"/>
      <family val="2"/>
      <scheme val="minor"/>
    </font>
    <font>
      <sz val="11"/>
      <color theme="4" tint="0.59999389629810485"/>
      <name val="Calibri"/>
      <family val="2"/>
      <scheme val="minor"/>
    </font>
    <font>
      <b/>
      <sz val="11"/>
      <color theme="4" tint="0.39997558519241921"/>
      <name val="Calibri"/>
      <family val="2"/>
      <scheme val="minor"/>
    </font>
    <font>
      <sz val="11"/>
      <color theme="4" tint="0.39997558519241921"/>
      <name val="Calibri"/>
      <family val="2"/>
      <scheme val="minor"/>
    </font>
    <font>
      <b/>
      <sz val="11"/>
      <color rgb="FF00B0F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4B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673">
    <xf numFmtId="0" fontId="0" fillId="0" borderId="0" xfId="0"/>
    <xf numFmtId="0" fontId="16" fillId="3" borderId="2" xfId="0" applyFont="1" applyFill="1" applyBorder="1"/>
    <xf numFmtId="0" fontId="17" fillId="3" borderId="7" xfId="0" applyFont="1" applyFill="1" applyBorder="1"/>
    <xf numFmtId="49" fontId="17" fillId="3" borderId="7" xfId="0" applyNumberFormat="1" applyFont="1" applyFill="1" applyBorder="1"/>
    <xf numFmtId="0" fontId="17" fillId="3" borderId="8" xfId="0" applyFont="1" applyFill="1" applyBorder="1"/>
    <xf numFmtId="0" fontId="17" fillId="3" borderId="9" xfId="0" applyFont="1" applyFill="1" applyBorder="1"/>
    <xf numFmtId="0" fontId="16" fillId="3" borderId="1" xfId="0" applyFont="1" applyFill="1" applyBorder="1"/>
    <xf numFmtId="0" fontId="16" fillId="3" borderId="10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2" borderId="0" xfId="0" applyFont="1" applyFill="1"/>
    <xf numFmtId="0" fontId="0" fillId="2" borderId="0" xfId="0" applyFill="1"/>
    <xf numFmtId="0" fontId="18" fillId="0" borderId="0" xfId="0" applyFont="1"/>
    <xf numFmtId="0" fontId="16" fillId="3" borderId="11" xfId="0" applyFont="1" applyFill="1" applyBorder="1"/>
    <xf numFmtId="0" fontId="17" fillId="3" borderId="12" xfId="0" applyFont="1" applyFill="1" applyBorder="1"/>
    <xf numFmtId="0" fontId="16" fillId="6" borderId="1" xfId="0" applyFont="1" applyFill="1" applyBorder="1"/>
    <xf numFmtId="0" fontId="16" fillId="6" borderId="2" xfId="0" applyFont="1" applyFill="1" applyBorder="1"/>
    <xf numFmtId="0" fontId="16" fillId="6" borderId="11" xfId="0" applyFont="1" applyFill="1" applyBorder="1"/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1" xfId="0" applyFont="1" applyFill="1" applyBorder="1" applyAlignment="1">
      <alignment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7" xfId="0" applyFont="1" applyFill="1" applyBorder="1"/>
    <xf numFmtId="49" fontId="17" fillId="6" borderId="7" xfId="0" applyNumberFormat="1" applyFont="1" applyFill="1" applyBorder="1"/>
    <xf numFmtId="0" fontId="17" fillId="6" borderId="8" xfId="0" applyFont="1" applyFill="1" applyBorder="1"/>
    <xf numFmtId="0" fontId="17" fillId="6" borderId="12" xfId="0" applyFont="1" applyFill="1" applyBorder="1"/>
    <xf numFmtId="0" fontId="17" fillId="6" borderId="9" xfId="0" applyFont="1" applyFill="1" applyBorder="1"/>
    <xf numFmtId="0" fontId="16" fillId="8" borderId="1" xfId="0" applyFont="1" applyFill="1" applyBorder="1"/>
    <xf numFmtId="0" fontId="16" fillId="8" borderId="2" xfId="0" applyFont="1" applyFill="1" applyBorder="1"/>
    <xf numFmtId="0" fontId="16" fillId="8" borderId="11" xfId="0" applyFont="1" applyFill="1" applyBorder="1"/>
    <xf numFmtId="0" fontId="16" fillId="8" borderId="10" xfId="0" applyFont="1" applyFill="1" applyBorder="1" applyAlignment="1">
      <alignment vertical="center" wrapText="1"/>
    </xf>
    <xf numFmtId="0" fontId="16" fillId="8" borderId="5" xfId="0" applyFont="1" applyFill="1" applyBorder="1" applyAlignment="1">
      <alignment vertical="center" wrapText="1"/>
    </xf>
    <xf numFmtId="0" fontId="16" fillId="8" borderId="1" xfId="0" applyFont="1" applyFill="1" applyBorder="1" applyAlignment="1">
      <alignment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center" vertical="center" wrapText="1"/>
    </xf>
    <xf numFmtId="0" fontId="17" fillId="8" borderId="7" xfId="0" applyFont="1" applyFill="1" applyBorder="1"/>
    <xf numFmtId="49" fontId="17" fillId="8" borderId="7" xfId="0" applyNumberFormat="1" applyFont="1" applyFill="1" applyBorder="1"/>
    <xf numFmtId="0" fontId="17" fillId="8" borderId="8" xfId="0" applyFont="1" applyFill="1" applyBorder="1"/>
    <xf numFmtId="0" fontId="17" fillId="8" borderId="12" xfId="0" applyFont="1" applyFill="1" applyBorder="1"/>
    <xf numFmtId="0" fontId="17" fillId="8" borderId="9" xfId="0" applyFont="1" applyFill="1" applyBorder="1"/>
    <xf numFmtId="0" fontId="16" fillId="6" borderId="3" xfId="0" applyFont="1" applyFill="1" applyBorder="1" applyAlignment="1">
      <alignment horizontal="left" wrapText="1"/>
    </xf>
    <xf numFmtId="0" fontId="16" fillId="8" borderId="3" xfId="0" applyFont="1" applyFill="1" applyBorder="1" applyAlignment="1">
      <alignment horizontal="left" wrapText="1"/>
    </xf>
    <xf numFmtId="0" fontId="16" fillId="3" borderId="3" xfId="0" applyFont="1" applyFill="1" applyBorder="1" applyAlignment="1">
      <alignment horizontal="left" wrapText="1"/>
    </xf>
    <xf numFmtId="0" fontId="16" fillId="3" borderId="3" xfId="0" applyFont="1" applyFill="1" applyBorder="1"/>
    <xf numFmtId="0" fontId="16" fillId="6" borderId="3" xfId="0" applyFont="1" applyFill="1" applyBorder="1"/>
    <xf numFmtId="0" fontId="0" fillId="2" borderId="1" xfId="0" applyFill="1" applyBorder="1"/>
    <xf numFmtId="0" fontId="0" fillId="0" borderId="4" xfId="0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right" vertical="center" wrapText="1"/>
    </xf>
    <xf numFmtId="0" fontId="12" fillId="2" borderId="6" xfId="0" applyFont="1" applyFill="1" applyBorder="1" applyAlignment="1">
      <alignment horizontal="right" vertical="center" wrapText="1"/>
    </xf>
    <xf numFmtId="0" fontId="14" fillId="2" borderId="6" xfId="0" applyFont="1" applyFill="1" applyBorder="1" applyAlignment="1">
      <alignment horizontal="right" vertical="center" wrapText="1"/>
    </xf>
    <xf numFmtId="0" fontId="15" fillId="2" borderId="6" xfId="0" applyFont="1" applyFill="1" applyBorder="1" applyAlignment="1">
      <alignment horizontal="right" vertical="center" wrapText="1"/>
    </xf>
    <xf numFmtId="1" fontId="14" fillId="2" borderId="0" xfId="0" applyNumberFormat="1" applyFont="1" applyFill="1" applyAlignment="1">
      <alignment horizontal="left" vertical="center" wrapText="1"/>
    </xf>
    <xf numFmtId="0" fontId="15" fillId="2" borderId="0" xfId="0" applyFont="1" applyFill="1" applyAlignment="1">
      <alignment vertical="center" wrapText="1"/>
    </xf>
    <xf numFmtId="0" fontId="15" fillId="2" borderId="0" xfId="0" applyFont="1" applyFill="1" applyAlignment="1">
      <alignment horizontal="right" vertical="center" wrapText="1"/>
    </xf>
    <xf numFmtId="0" fontId="16" fillId="3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vertical="center" wrapText="1"/>
    </xf>
    <xf numFmtId="0" fontId="16" fillId="2" borderId="0" xfId="0" applyFont="1" applyFill="1" applyAlignment="1">
      <alignment vertical="center" wrapText="1"/>
    </xf>
    <xf numFmtId="0" fontId="12" fillId="12" borderId="1" xfId="0" applyFont="1" applyFill="1" applyBorder="1" applyAlignment="1">
      <alignment horizontal="right"/>
    </xf>
    <xf numFmtId="0" fontId="14" fillId="11" borderId="6" xfId="0" applyFont="1" applyFill="1" applyBorder="1" applyAlignment="1">
      <alignment vertical="center" wrapText="1"/>
    </xf>
    <xf numFmtId="0" fontId="14" fillId="11" borderId="1" xfId="0" applyFont="1" applyFill="1" applyBorder="1" applyAlignment="1">
      <alignment vertical="center" wrapText="1"/>
    </xf>
    <xf numFmtId="0" fontId="12" fillId="12" borderId="1" xfId="0" applyFont="1" applyFill="1" applyBorder="1"/>
    <xf numFmtId="0" fontId="12" fillId="10" borderId="5" xfId="0" applyFont="1" applyFill="1" applyBorder="1" applyAlignment="1">
      <alignment horizontal="right" vertical="center" wrapText="1"/>
    </xf>
    <xf numFmtId="0" fontId="14" fillId="10" borderId="5" xfId="0" applyFont="1" applyFill="1" applyBorder="1" applyAlignment="1">
      <alignment horizontal="right" vertical="center" wrapText="1"/>
    </xf>
    <xf numFmtId="0" fontId="14" fillId="10" borderId="5" xfId="0" applyFont="1" applyFill="1" applyBorder="1" applyAlignment="1">
      <alignment horizontal="left" vertical="center" wrapText="1"/>
    </xf>
    <xf numFmtId="0" fontId="12" fillId="10" borderId="5" xfId="0" applyFont="1" applyFill="1" applyBorder="1" applyAlignment="1">
      <alignment horizontal="left" vertical="center" wrapText="1"/>
    </xf>
    <xf numFmtId="0" fontId="14" fillId="11" borderId="6" xfId="0" applyFont="1" applyFill="1" applyBorder="1" applyAlignment="1">
      <alignment horizontal="right" vertical="center" wrapText="1"/>
    </xf>
    <xf numFmtId="0" fontId="14" fillId="11" borderId="1" xfId="0" applyFont="1" applyFill="1" applyBorder="1" applyAlignment="1">
      <alignment horizontal="righ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0" fillId="0" borderId="9" xfId="0" applyBorder="1"/>
    <xf numFmtId="0" fontId="12" fillId="0" borderId="0" xfId="0" applyFont="1"/>
    <xf numFmtId="0" fontId="13" fillId="8" borderId="3" xfId="0" applyFont="1" applyFill="1" applyBorder="1" applyAlignment="1">
      <alignment horizontal="left" wrapText="1"/>
    </xf>
    <xf numFmtId="0" fontId="13" fillId="8" borderId="1" xfId="0" applyFont="1" applyFill="1" applyBorder="1"/>
    <xf numFmtId="0" fontId="13" fillId="8" borderId="2" xfId="0" applyFont="1" applyFill="1" applyBorder="1"/>
    <xf numFmtId="0" fontId="13" fillId="8" borderId="11" xfId="0" applyFont="1" applyFill="1" applyBorder="1"/>
    <xf numFmtId="0" fontId="13" fillId="8" borderId="3" xfId="0" applyFont="1" applyFill="1" applyBorder="1"/>
    <xf numFmtId="0" fontId="13" fillId="8" borderId="10" xfId="0" applyFont="1" applyFill="1" applyBorder="1" applyAlignment="1">
      <alignment vertical="center" wrapText="1"/>
    </xf>
    <xf numFmtId="0" fontId="13" fillId="8" borderId="5" xfId="0" applyFont="1" applyFill="1" applyBorder="1" applyAlignment="1">
      <alignment vertical="center" wrapText="1"/>
    </xf>
    <xf numFmtId="0" fontId="13" fillId="8" borderId="1" xfId="0" applyFont="1" applyFill="1" applyBorder="1" applyAlignment="1">
      <alignment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/>
    <xf numFmtId="49" fontId="11" fillId="8" borderId="7" xfId="0" applyNumberFormat="1" applyFont="1" applyFill="1" applyBorder="1"/>
    <xf numFmtId="0" fontId="11" fillId="8" borderId="8" xfId="0" applyFont="1" applyFill="1" applyBorder="1"/>
    <xf numFmtId="0" fontId="11" fillId="8" borderId="12" xfId="0" applyFont="1" applyFill="1" applyBorder="1"/>
    <xf numFmtId="0" fontId="11" fillId="8" borderId="9" xfId="0" applyFont="1" applyFill="1" applyBorder="1"/>
    <xf numFmtId="0" fontId="12" fillId="7" borderId="7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12" fillId="7" borderId="14" xfId="0" applyFont="1" applyFill="1" applyBorder="1" applyAlignment="1">
      <alignment horizontal="center"/>
    </xf>
    <xf numFmtId="0" fontId="12" fillId="7" borderId="15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/>
    </xf>
    <xf numFmtId="0" fontId="12" fillId="7" borderId="16" xfId="0" applyFont="1" applyFill="1" applyBorder="1" applyAlignment="1">
      <alignment horizontal="center"/>
    </xf>
    <xf numFmtId="0" fontId="0" fillId="0" borderId="17" xfId="0" applyBorder="1"/>
    <xf numFmtId="1" fontId="0" fillId="0" borderId="13" xfId="0" applyNumberFormat="1" applyBorder="1"/>
    <xf numFmtId="0" fontId="12" fillId="0" borderId="11" xfId="0" applyFont="1" applyBorder="1"/>
    <xf numFmtId="0" fontId="12" fillId="0" borderId="4" xfId="0" applyFont="1" applyBorder="1"/>
    <xf numFmtId="0" fontId="12" fillId="0" borderId="14" xfId="0" applyFont="1" applyBorder="1"/>
    <xf numFmtId="2" fontId="0" fillId="0" borderId="11" xfId="0" applyNumberFormat="1" applyBorder="1"/>
    <xf numFmtId="2" fontId="0" fillId="0" borderId="4" xfId="0" applyNumberFormat="1" applyBorder="1"/>
    <xf numFmtId="0" fontId="12" fillId="4" borderId="1" xfId="0" applyFont="1" applyFill="1" applyBorder="1"/>
    <xf numFmtId="0" fontId="19" fillId="9" borderId="6" xfId="0" applyFont="1" applyFill="1" applyBorder="1" applyAlignment="1">
      <alignment vertical="center" wrapText="1"/>
    </xf>
    <xf numFmtId="0" fontId="19" fillId="9" borderId="5" xfId="0" applyFont="1" applyFill="1" applyBorder="1" applyAlignment="1">
      <alignment vertical="center" wrapText="1"/>
    </xf>
    <xf numFmtId="0" fontId="13" fillId="8" borderId="6" xfId="0" applyFont="1" applyFill="1" applyBorder="1" applyAlignment="1">
      <alignment vertical="center" wrapText="1"/>
    </xf>
    <xf numFmtId="0" fontId="23" fillId="2" borderId="6" xfId="0" applyFont="1" applyFill="1" applyBorder="1" applyAlignment="1">
      <alignment vertical="center" wrapText="1"/>
    </xf>
    <xf numFmtId="0" fontId="23" fillId="2" borderId="5" xfId="0" applyFont="1" applyFill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2" fillId="0" borderId="4" xfId="0" applyFont="1" applyBorder="1" applyAlignment="1">
      <alignment horizontal="center" vertical="center" wrapText="1"/>
    </xf>
    <xf numFmtId="0" fontId="12" fillId="14" borderId="5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vertical="center" wrapText="1"/>
    </xf>
    <xf numFmtId="0" fontId="19" fillId="9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 wrapText="1"/>
    </xf>
    <xf numFmtId="15" fontId="0" fillId="0" borderId="0" xfId="0" applyNumberFormat="1"/>
    <xf numFmtId="0" fontId="24" fillId="2" borderId="0" xfId="0" applyFont="1" applyFill="1"/>
    <xf numFmtId="16" fontId="14" fillId="2" borderId="0" xfId="0" applyNumberFormat="1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26" fillId="0" borderId="0" xfId="0" applyFont="1"/>
    <xf numFmtId="0" fontId="25" fillId="2" borderId="0" xfId="0" applyFont="1" applyFill="1"/>
    <xf numFmtId="0" fontId="25" fillId="5" borderId="4" xfId="0" applyFont="1" applyFill="1" applyBorder="1" applyAlignment="1">
      <alignment horizontal="center" vertical="center" wrapText="1"/>
    </xf>
    <xf numFmtId="0" fontId="25" fillId="16" borderId="4" xfId="0" applyFont="1" applyFill="1" applyBorder="1" applyAlignment="1">
      <alignment horizontal="center" vertical="center" wrapText="1"/>
    </xf>
    <xf numFmtId="0" fontId="25" fillId="15" borderId="4" xfId="0" applyFont="1" applyFill="1" applyBorder="1" applyAlignment="1">
      <alignment horizontal="center" vertical="center" wrapText="1"/>
    </xf>
    <xf numFmtId="1" fontId="0" fillId="0" borderId="0" xfId="0" applyNumberFormat="1"/>
    <xf numFmtId="0" fontId="16" fillId="6" borderId="1" xfId="0" applyFont="1" applyFill="1" applyBorder="1" applyAlignment="1">
      <alignment horizontal="right"/>
    </xf>
    <xf numFmtId="0" fontId="0" fillId="0" borderId="0" xfId="0" applyAlignment="1">
      <alignment horizontal="left"/>
    </xf>
    <xf numFmtId="1" fontId="10" fillId="0" borderId="0" xfId="0" applyNumberFormat="1" applyFont="1"/>
    <xf numFmtId="0" fontId="13" fillId="8" borderId="1" xfId="0" applyFont="1" applyFill="1" applyBorder="1" applyAlignment="1">
      <alignment horizontal="right"/>
    </xf>
    <xf numFmtId="0" fontId="16" fillId="3" borderId="1" xfId="0" applyFont="1" applyFill="1" applyBorder="1" applyAlignment="1">
      <alignment horizontal="right"/>
    </xf>
    <xf numFmtId="0" fontId="16" fillId="8" borderId="1" xfId="0" applyFont="1" applyFill="1" applyBorder="1" applyAlignment="1">
      <alignment horizontal="right"/>
    </xf>
    <xf numFmtId="0" fontId="12" fillId="10" borderId="5" xfId="0" applyFont="1" applyFill="1" applyBorder="1"/>
    <xf numFmtId="0" fontId="22" fillId="14" borderId="6" xfId="0" applyFont="1" applyFill="1" applyBorder="1" applyAlignment="1">
      <alignment vertical="center" wrapText="1"/>
    </xf>
    <xf numFmtId="0" fontId="23" fillId="2" borderId="1" xfId="0" applyFont="1" applyFill="1" applyBorder="1"/>
    <xf numFmtId="0" fontId="23" fillId="2" borderId="10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right"/>
    </xf>
    <xf numFmtId="0" fontId="23" fillId="2" borderId="1" xfId="0" applyFont="1" applyFill="1" applyBorder="1" applyAlignment="1">
      <alignment horizontal="center"/>
    </xf>
    <xf numFmtId="0" fontId="17" fillId="0" borderId="0" xfId="0" applyFont="1"/>
    <xf numFmtId="0" fontId="16" fillId="5" borderId="4" xfId="0" applyFont="1" applyFill="1" applyBorder="1" applyAlignment="1">
      <alignment horizontal="center" vertical="center" wrapText="1"/>
    </xf>
    <xf numFmtId="0" fontId="16" fillId="16" borderId="4" xfId="0" applyFont="1" applyFill="1" applyBorder="1" applyAlignment="1">
      <alignment horizontal="center" vertical="center" wrapText="1"/>
    </xf>
    <xf numFmtId="0" fontId="16" fillId="15" borderId="4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/>
    </xf>
    <xf numFmtId="0" fontId="16" fillId="6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16" fillId="8" borderId="1" xfId="0" applyFont="1" applyFill="1" applyBorder="1" applyAlignment="1">
      <alignment horizontal="center"/>
    </xf>
    <xf numFmtId="0" fontId="16" fillId="15" borderId="1" xfId="0" applyFont="1" applyFill="1" applyBorder="1"/>
    <xf numFmtId="0" fontId="16" fillId="15" borderId="1" xfId="0" applyFont="1" applyFill="1" applyBorder="1" applyAlignment="1">
      <alignment horizontal="center" vertical="center" wrapText="1"/>
    </xf>
    <xf numFmtId="0" fontId="25" fillId="15" borderId="1" xfId="0" applyFont="1" applyFill="1" applyBorder="1"/>
    <xf numFmtId="0" fontId="24" fillId="15" borderId="1" xfId="0" applyFont="1" applyFill="1" applyBorder="1"/>
    <xf numFmtId="0" fontId="24" fillId="15" borderId="5" xfId="0" applyFont="1" applyFill="1" applyBorder="1"/>
    <xf numFmtId="0" fontId="9" fillId="0" borderId="0" xfId="0" applyFont="1"/>
    <xf numFmtId="0" fontId="12" fillId="14" borderId="5" xfId="0" applyFont="1" applyFill="1" applyBorder="1" applyAlignment="1">
      <alignment horizontal="right" vertical="center" wrapText="1"/>
    </xf>
    <xf numFmtId="0" fontId="16" fillId="9" borderId="3" xfId="0" applyFont="1" applyFill="1" applyBorder="1" applyAlignment="1">
      <alignment horizontal="left" wrapText="1"/>
    </xf>
    <xf numFmtId="0" fontId="16" fillId="9" borderId="1" xfId="0" applyFont="1" applyFill="1" applyBorder="1" applyAlignment="1">
      <alignment horizontal="center"/>
    </xf>
    <xf numFmtId="0" fontId="16" fillId="9" borderId="2" xfId="0" applyFont="1" applyFill="1" applyBorder="1"/>
    <xf numFmtId="0" fontId="16" fillId="9" borderId="1" xfId="0" applyFont="1" applyFill="1" applyBorder="1"/>
    <xf numFmtId="0" fontId="16" fillId="9" borderId="11" xfId="0" applyFont="1" applyFill="1" applyBorder="1"/>
    <xf numFmtId="0" fontId="16" fillId="9" borderId="3" xfId="0" applyFont="1" applyFill="1" applyBorder="1"/>
    <xf numFmtId="0" fontId="16" fillId="9" borderId="10" xfId="0" applyFont="1" applyFill="1" applyBorder="1" applyAlignment="1">
      <alignment vertical="center" wrapText="1"/>
    </xf>
    <xf numFmtId="0" fontId="16" fillId="9" borderId="5" xfId="0" applyFont="1" applyFill="1" applyBorder="1" applyAlignment="1">
      <alignment vertical="center" wrapText="1"/>
    </xf>
    <xf numFmtId="0" fontId="16" fillId="9" borderId="1" xfId="0" applyFont="1" applyFill="1" applyBorder="1" applyAlignment="1">
      <alignment vertical="center" wrapText="1"/>
    </xf>
    <xf numFmtId="0" fontId="16" fillId="9" borderId="1" xfId="0" applyFont="1" applyFill="1" applyBorder="1" applyAlignment="1">
      <alignment horizontal="center" vertical="center" wrapText="1"/>
    </xf>
    <xf numFmtId="0" fontId="16" fillId="9" borderId="6" xfId="0" applyFont="1" applyFill="1" applyBorder="1" applyAlignment="1">
      <alignment horizontal="center" vertical="center" wrapText="1"/>
    </xf>
    <xf numFmtId="0" fontId="17" fillId="9" borderId="7" xfId="0" applyFont="1" applyFill="1" applyBorder="1"/>
    <xf numFmtId="49" fontId="17" fillId="9" borderId="7" xfId="0" applyNumberFormat="1" applyFont="1" applyFill="1" applyBorder="1"/>
    <xf numFmtId="0" fontId="17" fillId="9" borderId="8" xfId="0" applyFont="1" applyFill="1" applyBorder="1"/>
    <xf numFmtId="0" fontId="17" fillId="9" borderId="12" xfId="0" applyFont="1" applyFill="1" applyBorder="1"/>
    <xf numFmtId="0" fontId="17" fillId="9" borderId="9" xfId="0" applyFont="1" applyFill="1" applyBorder="1"/>
    <xf numFmtId="0" fontId="16" fillId="9" borderId="1" xfId="0" applyFont="1" applyFill="1" applyBorder="1" applyAlignment="1">
      <alignment horizontal="right"/>
    </xf>
    <xf numFmtId="1" fontId="16" fillId="15" borderId="4" xfId="0" applyNumberFormat="1" applyFont="1" applyFill="1" applyBorder="1" applyAlignment="1">
      <alignment horizontal="center" vertical="center" wrapText="1"/>
    </xf>
    <xf numFmtId="2" fontId="0" fillId="0" borderId="19" xfId="0" applyNumberFormat="1" applyBorder="1"/>
    <xf numFmtId="2" fontId="0" fillId="0" borderId="18" xfId="0" applyNumberFormat="1" applyBorder="1"/>
    <xf numFmtId="0" fontId="27" fillId="14" borderId="6" xfId="0" applyFont="1" applyFill="1" applyBorder="1" applyAlignment="1">
      <alignment vertical="center" wrapText="1"/>
    </xf>
    <xf numFmtId="0" fontId="23" fillId="2" borderId="4" xfId="0" applyFont="1" applyFill="1" applyBorder="1" applyAlignment="1">
      <alignment horizontal="left" wrapText="1"/>
    </xf>
    <xf numFmtId="16" fontId="16" fillId="16" borderId="5" xfId="0" applyNumberFormat="1" applyFont="1" applyFill="1" applyBorder="1" applyAlignment="1">
      <alignment horizontal="left" vertical="center" wrapText="1"/>
    </xf>
    <xf numFmtId="0" fontId="16" fillId="16" borderId="6" xfId="0" applyFont="1" applyFill="1" applyBorder="1" applyAlignment="1">
      <alignment horizontal="left" vertical="center" wrapText="1"/>
    </xf>
    <xf numFmtId="0" fontId="16" fillId="16" borderId="6" xfId="0" applyFont="1" applyFill="1" applyBorder="1" applyAlignment="1">
      <alignment vertical="center" wrapText="1"/>
    </xf>
    <xf numFmtId="0" fontId="16" fillId="16" borderId="6" xfId="0" applyFont="1" applyFill="1" applyBorder="1" applyAlignment="1">
      <alignment horizontal="center" vertical="center" wrapText="1"/>
    </xf>
    <xf numFmtId="0" fontId="17" fillId="16" borderId="1" xfId="0" applyFont="1" applyFill="1" applyBorder="1"/>
    <xf numFmtId="0" fontId="16" fillId="16" borderId="1" xfId="0" applyFont="1" applyFill="1" applyBorder="1"/>
    <xf numFmtId="0" fontId="16" fillId="16" borderId="4" xfId="0" applyFont="1" applyFill="1" applyBorder="1"/>
    <xf numFmtId="0" fontId="17" fillId="16" borderId="7" xfId="0" applyFont="1" applyFill="1" applyBorder="1"/>
    <xf numFmtId="49" fontId="29" fillId="16" borderId="7" xfId="0" applyNumberFormat="1" applyFont="1" applyFill="1" applyBorder="1" applyAlignment="1">
      <alignment horizontal="center"/>
    </xf>
    <xf numFmtId="0" fontId="17" fillId="16" borderId="8" xfId="0" applyFont="1" applyFill="1" applyBorder="1"/>
    <xf numFmtId="0" fontId="17" fillId="16" borderId="9" xfId="0" applyFont="1" applyFill="1" applyBorder="1"/>
    <xf numFmtId="49" fontId="28" fillId="16" borderId="7" xfId="0" applyNumberFormat="1" applyFont="1" applyFill="1" applyBorder="1" applyAlignment="1">
      <alignment horizontal="center"/>
    </xf>
    <xf numFmtId="0" fontId="16" fillId="16" borderId="1" xfId="0" applyFont="1" applyFill="1" applyBorder="1" applyAlignment="1">
      <alignment vertical="center" wrapText="1"/>
    </xf>
    <xf numFmtId="49" fontId="28" fillId="16" borderId="1" xfId="0" applyNumberFormat="1" applyFont="1" applyFill="1" applyBorder="1" applyAlignment="1">
      <alignment horizontal="center"/>
    </xf>
    <xf numFmtId="49" fontId="31" fillId="16" borderId="7" xfId="0" applyNumberFormat="1" applyFont="1" applyFill="1" applyBorder="1" applyAlignment="1">
      <alignment horizontal="center"/>
    </xf>
    <xf numFmtId="16" fontId="16" fillId="5" borderId="5" xfId="0" applyNumberFormat="1" applyFont="1" applyFill="1" applyBorder="1" applyAlignment="1">
      <alignment horizontal="left" vertical="center" wrapText="1"/>
    </xf>
    <xf numFmtId="0" fontId="16" fillId="5" borderId="6" xfId="0" applyFont="1" applyFill="1" applyBorder="1" applyAlignment="1">
      <alignment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7" fillId="5" borderId="7" xfId="0" applyFont="1" applyFill="1" applyBorder="1"/>
    <xf numFmtId="49" fontId="28" fillId="5" borderId="7" xfId="0" applyNumberFormat="1" applyFont="1" applyFill="1" applyBorder="1" applyAlignment="1">
      <alignment horizontal="center"/>
    </xf>
    <xf numFmtId="0" fontId="17" fillId="5" borderId="8" xfId="0" applyFont="1" applyFill="1" applyBorder="1"/>
    <xf numFmtId="0" fontId="17" fillId="5" borderId="1" xfId="0" applyFont="1" applyFill="1" applyBorder="1"/>
    <xf numFmtId="0" fontId="17" fillId="5" borderId="9" xfId="0" applyFont="1" applyFill="1" applyBorder="1"/>
    <xf numFmtId="0" fontId="16" fillId="5" borderId="1" xfId="0" applyFont="1" applyFill="1" applyBorder="1"/>
    <xf numFmtId="0" fontId="16" fillId="5" borderId="4" xfId="0" applyFont="1" applyFill="1" applyBorder="1"/>
    <xf numFmtId="0" fontId="17" fillId="5" borderId="3" xfId="0" applyFont="1" applyFill="1" applyBorder="1"/>
    <xf numFmtId="0" fontId="16" fillId="5" borderId="6" xfId="0" applyFont="1" applyFill="1" applyBorder="1" applyAlignment="1">
      <alignment horizontal="left" vertical="center" wrapText="1"/>
    </xf>
    <xf numFmtId="49" fontId="29" fillId="5" borderId="7" xfId="0" applyNumberFormat="1" applyFont="1" applyFill="1" applyBorder="1" applyAlignment="1">
      <alignment horizontal="center"/>
    </xf>
    <xf numFmtId="0" fontId="16" fillId="5" borderId="1" xfId="0" applyFont="1" applyFill="1" applyBorder="1" applyAlignment="1">
      <alignment vertical="center" wrapText="1"/>
    </xf>
    <xf numFmtId="0" fontId="16" fillId="5" borderId="13" xfId="0" applyFont="1" applyFill="1" applyBorder="1"/>
    <xf numFmtId="0" fontId="15" fillId="2" borderId="0" xfId="0" applyFont="1" applyFill="1"/>
    <xf numFmtId="0" fontId="16" fillId="15" borderId="6" xfId="0" applyFont="1" applyFill="1" applyBorder="1" applyAlignment="1">
      <alignment horizontal="center" vertical="center" wrapText="1"/>
    </xf>
    <xf numFmtId="0" fontId="16" fillId="15" borderId="4" xfId="0" applyFont="1" applyFill="1" applyBorder="1"/>
    <xf numFmtId="0" fontId="17" fillId="15" borderId="1" xfId="0" applyFont="1" applyFill="1" applyBorder="1"/>
    <xf numFmtId="16" fontId="16" fillId="15" borderId="5" xfId="0" applyNumberFormat="1" applyFont="1" applyFill="1" applyBorder="1" applyAlignment="1">
      <alignment horizontal="left" vertical="center" wrapText="1"/>
    </xf>
    <xf numFmtId="0" fontId="16" fillId="15" borderId="6" xfId="0" applyFont="1" applyFill="1" applyBorder="1" applyAlignment="1">
      <alignment vertical="center" wrapText="1"/>
    </xf>
    <xf numFmtId="0" fontId="17" fillId="15" borderId="7" xfId="0" applyFont="1" applyFill="1" applyBorder="1"/>
    <xf numFmtId="0" fontId="17" fillId="15" borderId="8" xfId="0" applyFont="1" applyFill="1" applyBorder="1"/>
    <xf numFmtId="0" fontId="17" fillId="15" borderId="9" xfId="0" applyFont="1" applyFill="1" applyBorder="1"/>
    <xf numFmtId="49" fontId="29" fillId="15" borderId="7" xfId="0" applyNumberFormat="1" applyFont="1" applyFill="1" applyBorder="1" applyAlignment="1">
      <alignment horizontal="center"/>
    </xf>
    <xf numFmtId="0" fontId="23" fillId="2" borderId="7" xfId="0" applyFont="1" applyFill="1" applyBorder="1"/>
    <xf numFmtId="49" fontId="23" fillId="2" borderId="7" xfId="0" applyNumberFormat="1" applyFont="1" applyFill="1" applyBorder="1"/>
    <xf numFmtId="0" fontId="23" fillId="2" borderId="8" xfId="0" applyFont="1" applyFill="1" applyBorder="1"/>
    <xf numFmtId="0" fontId="23" fillId="2" borderId="9" xfId="0" applyFont="1" applyFill="1" applyBorder="1"/>
    <xf numFmtId="0" fontId="16" fillId="0" borderId="0" xfId="0" applyFont="1"/>
    <xf numFmtId="49" fontId="28" fillId="15" borderId="7" xfId="0" applyNumberFormat="1" applyFont="1" applyFill="1" applyBorder="1" applyAlignment="1">
      <alignment horizontal="center"/>
    </xf>
    <xf numFmtId="0" fontId="33" fillId="0" borderId="0" xfId="0" applyFont="1"/>
    <xf numFmtId="0" fontId="32" fillId="2" borderId="0" xfId="0" applyFont="1" applyFill="1"/>
    <xf numFmtId="0" fontId="32" fillId="15" borderId="5" xfId="0" applyFont="1" applyFill="1" applyBorder="1"/>
    <xf numFmtId="0" fontId="32" fillId="15" borderId="4" xfId="0" applyFont="1" applyFill="1" applyBorder="1" applyAlignment="1">
      <alignment horizontal="center" vertical="center" wrapText="1"/>
    </xf>
    <xf numFmtId="0" fontId="32" fillId="5" borderId="4" xfId="0" applyFont="1" applyFill="1" applyBorder="1" applyAlignment="1">
      <alignment horizontal="center" vertical="center" wrapText="1"/>
    </xf>
    <xf numFmtId="0" fontId="32" fillId="16" borderId="4" xfId="0" applyFont="1" applyFill="1" applyBorder="1" applyAlignment="1">
      <alignment horizontal="center" vertical="center" wrapText="1"/>
    </xf>
    <xf numFmtId="16" fontId="32" fillId="2" borderId="0" xfId="0" applyNumberFormat="1" applyFont="1" applyFill="1" applyAlignment="1">
      <alignment horizontal="left" vertical="center" wrapText="1"/>
    </xf>
    <xf numFmtId="0" fontId="32" fillId="2" borderId="0" xfId="0" applyFont="1" applyFill="1" applyAlignment="1">
      <alignment horizontal="left" vertical="center" wrapText="1"/>
    </xf>
    <xf numFmtId="0" fontId="32" fillId="15" borderId="1" xfId="0" applyFont="1" applyFill="1" applyBorder="1"/>
    <xf numFmtId="0" fontId="32" fillId="0" borderId="0" xfId="0" applyFont="1"/>
    <xf numFmtId="16" fontId="16" fillId="15" borderId="1" xfId="0" applyNumberFormat="1" applyFont="1" applyFill="1" applyBorder="1" applyAlignment="1">
      <alignment horizontal="left" vertical="center" wrapText="1"/>
    </xf>
    <xf numFmtId="0" fontId="16" fillId="15" borderId="1" xfId="0" applyFont="1" applyFill="1" applyBorder="1" applyAlignment="1">
      <alignment vertical="center" wrapText="1"/>
    </xf>
    <xf numFmtId="0" fontId="17" fillId="15" borderId="3" xfId="0" applyFont="1" applyFill="1" applyBorder="1"/>
    <xf numFmtId="49" fontId="29" fillId="15" borderId="1" xfId="0" applyNumberFormat="1" applyFont="1" applyFill="1" applyBorder="1" applyAlignment="1">
      <alignment horizontal="center"/>
    </xf>
    <xf numFmtId="49" fontId="28" fillId="15" borderId="1" xfId="0" applyNumberFormat="1" applyFont="1" applyFill="1" applyBorder="1" applyAlignment="1">
      <alignment horizontal="center"/>
    </xf>
    <xf numFmtId="0" fontId="8" fillId="0" borderId="0" xfId="0" applyFont="1"/>
    <xf numFmtId="49" fontId="31" fillId="15" borderId="7" xfId="0" applyNumberFormat="1" applyFont="1" applyFill="1" applyBorder="1" applyAlignment="1">
      <alignment horizontal="center"/>
    </xf>
    <xf numFmtId="0" fontId="16" fillId="5" borderId="2" xfId="0" applyFont="1" applyFill="1" applyBorder="1"/>
    <xf numFmtId="14" fontId="12" fillId="13" borderId="0" xfId="0" applyNumberFormat="1" applyFont="1" applyFill="1"/>
    <xf numFmtId="0" fontId="12" fillId="13" borderId="0" xfId="0" applyFont="1" applyFill="1"/>
    <xf numFmtId="0" fontId="12" fillId="13" borderId="0" xfId="0" applyFont="1" applyFill="1" applyAlignment="1">
      <alignment horizontal="center"/>
    </xf>
    <xf numFmtId="0" fontId="16" fillId="8" borderId="3" xfId="0" applyFont="1" applyFill="1" applyBorder="1"/>
    <xf numFmtId="0" fontId="12" fillId="13" borderId="0" xfId="0" applyFont="1" applyFill="1" applyAlignment="1">
      <alignment horizontal="left"/>
    </xf>
    <xf numFmtId="16" fontId="0" fillId="0" borderId="0" xfId="0" applyNumberFormat="1"/>
    <xf numFmtId="1" fontId="0" fillId="0" borderId="0" xfId="0" applyNumberFormat="1" applyAlignment="1">
      <alignment horizontal="right"/>
    </xf>
    <xf numFmtId="1" fontId="8" fillId="0" borderId="0" xfId="0" applyNumberFormat="1" applyFont="1" applyAlignment="1">
      <alignment horizontal="right"/>
    </xf>
    <xf numFmtId="0" fontId="14" fillId="10" borderId="1" xfId="0" applyFont="1" applyFill="1" applyBorder="1" applyAlignment="1">
      <alignment horizontal="left" vertical="center" wrapText="1"/>
    </xf>
    <xf numFmtId="0" fontId="16" fillId="15" borderId="6" xfId="0" applyFont="1" applyFill="1" applyBorder="1" applyAlignment="1">
      <alignment horizontal="left" vertical="center" wrapText="1"/>
    </xf>
    <xf numFmtId="16" fontId="16" fillId="15" borderId="2" xfId="0" applyNumberFormat="1" applyFont="1" applyFill="1" applyBorder="1" applyAlignment="1">
      <alignment horizontal="left" vertical="center" wrapText="1"/>
    </xf>
    <xf numFmtId="0" fontId="16" fillId="15" borderId="2" xfId="0" applyFont="1" applyFill="1" applyBorder="1" applyAlignment="1">
      <alignment vertical="center" wrapText="1"/>
    </xf>
    <xf numFmtId="2" fontId="12" fillId="13" borderId="0" xfId="0" applyNumberFormat="1" applyFont="1" applyFill="1"/>
    <xf numFmtId="0" fontId="14" fillId="10" borderId="1" xfId="0" applyFont="1" applyFill="1" applyBorder="1" applyAlignment="1">
      <alignment horizontal="right" vertical="center" wrapText="1"/>
    </xf>
    <xf numFmtId="0" fontId="16" fillId="8" borderId="6" xfId="0" applyFont="1" applyFill="1" applyBorder="1" applyAlignment="1">
      <alignment vertical="center" wrapText="1"/>
    </xf>
    <xf numFmtId="0" fontId="35" fillId="7" borderId="4" xfId="0" applyFont="1" applyFill="1" applyBorder="1" applyAlignment="1">
      <alignment horizontal="left" wrapText="1"/>
    </xf>
    <xf numFmtId="0" fontId="35" fillId="7" borderId="1" xfId="0" applyFont="1" applyFill="1" applyBorder="1" applyAlignment="1">
      <alignment horizontal="center"/>
    </xf>
    <xf numFmtId="0" fontId="35" fillId="7" borderId="1" xfId="0" applyFont="1" applyFill="1" applyBorder="1"/>
    <xf numFmtId="0" fontId="35" fillId="7" borderId="10" xfId="0" applyFont="1" applyFill="1" applyBorder="1" applyAlignment="1">
      <alignment vertical="center" wrapText="1"/>
    </xf>
    <xf numFmtId="0" fontId="35" fillId="7" borderId="5" xfId="0" applyFont="1" applyFill="1" applyBorder="1" applyAlignment="1">
      <alignment vertical="center" wrapText="1"/>
    </xf>
    <xf numFmtId="0" fontId="35" fillId="7" borderId="1" xfId="0" applyFont="1" applyFill="1" applyBorder="1" applyAlignment="1">
      <alignment vertical="center" wrapText="1"/>
    </xf>
    <xf numFmtId="0" fontId="35" fillId="7" borderId="1" xfId="0" applyFont="1" applyFill="1" applyBorder="1" applyAlignment="1">
      <alignment horizontal="center" vertical="center" wrapText="1"/>
    </xf>
    <xf numFmtId="0" fontId="35" fillId="7" borderId="6" xfId="0" applyFont="1" applyFill="1" applyBorder="1" applyAlignment="1">
      <alignment horizontal="center" vertical="center" wrapText="1"/>
    </xf>
    <xf numFmtId="0" fontId="35" fillId="7" borderId="7" xfId="0" applyFont="1" applyFill="1" applyBorder="1"/>
    <xf numFmtId="49" fontId="35" fillId="7" borderId="7" xfId="0" applyNumberFormat="1" applyFont="1" applyFill="1" applyBorder="1"/>
    <xf numFmtId="0" fontId="35" fillId="7" borderId="8" xfId="0" applyFont="1" applyFill="1" applyBorder="1"/>
    <xf numFmtId="0" fontId="35" fillId="7" borderId="9" xfId="0" applyFont="1" applyFill="1" applyBorder="1"/>
    <xf numFmtId="0" fontId="35" fillId="7" borderId="1" xfId="0" applyFont="1" applyFill="1" applyBorder="1" applyAlignment="1">
      <alignment horizontal="right"/>
    </xf>
    <xf numFmtId="0" fontId="14" fillId="2" borderId="4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4" fillId="2" borderId="10" xfId="0" applyFont="1" applyFill="1" applyBorder="1" applyAlignment="1">
      <alignment vertical="center" wrapText="1"/>
    </xf>
    <xf numFmtId="0" fontId="14" fillId="2" borderId="5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/>
    <xf numFmtId="49" fontId="14" fillId="2" borderId="7" xfId="0" applyNumberFormat="1" applyFont="1" applyFill="1" applyBorder="1"/>
    <xf numFmtId="0" fontId="14" fillId="2" borderId="8" xfId="0" applyFont="1" applyFill="1" applyBorder="1"/>
    <xf numFmtId="0" fontId="14" fillId="2" borderId="9" xfId="0" applyFont="1" applyFill="1" applyBorder="1"/>
    <xf numFmtId="0" fontId="14" fillId="2" borderId="1" xfId="0" applyFont="1" applyFill="1" applyBorder="1" applyAlignment="1">
      <alignment horizontal="right"/>
    </xf>
    <xf numFmtId="49" fontId="16" fillId="16" borderId="7" xfId="0" applyNumberFormat="1" applyFont="1" applyFill="1" applyBorder="1" applyAlignment="1">
      <alignment horizontal="center"/>
    </xf>
    <xf numFmtId="0" fontId="13" fillId="2" borderId="4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/>
    <xf numFmtId="0" fontId="13" fillId="2" borderId="10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/>
    <xf numFmtId="49" fontId="13" fillId="2" borderId="7" xfId="0" applyNumberFormat="1" applyFont="1" applyFill="1" applyBorder="1"/>
    <xf numFmtId="0" fontId="13" fillId="2" borderId="8" xfId="0" applyFont="1" applyFill="1" applyBorder="1"/>
    <xf numFmtId="0" fontId="13" fillId="2" borderId="9" xfId="0" applyFont="1" applyFill="1" applyBorder="1"/>
    <xf numFmtId="0" fontId="13" fillId="2" borderId="1" xfId="0" applyFont="1" applyFill="1" applyBorder="1" applyAlignment="1">
      <alignment horizontal="right"/>
    </xf>
    <xf numFmtId="0" fontId="14" fillId="3" borderId="4" xfId="0" applyFont="1" applyFill="1" applyBorder="1" applyAlignment="1">
      <alignment horizontal="left" wrapText="1"/>
    </xf>
    <xf numFmtId="0" fontId="14" fillId="3" borderId="1" xfId="0" applyFont="1" applyFill="1" applyBorder="1" applyAlignment="1">
      <alignment horizontal="center"/>
    </xf>
    <xf numFmtId="0" fontId="14" fillId="3" borderId="1" xfId="0" applyFont="1" applyFill="1" applyBorder="1"/>
    <xf numFmtId="0" fontId="14" fillId="3" borderId="10" xfId="0" applyFont="1" applyFill="1" applyBorder="1" applyAlignment="1">
      <alignment vertical="center" wrapText="1"/>
    </xf>
    <xf numFmtId="0" fontId="14" fillId="3" borderId="5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7" xfId="0" applyFont="1" applyFill="1" applyBorder="1"/>
    <xf numFmtId="49" fontId="14" fillId="3" borderId="7" xfId="0" applyNumberFormat="1" applyFont="1" applyFill="1" applyBorder="1"/>
    <xf numFmtId="0" fontId="14" fillId="3" borderId="8" xfId="0" applyFont="1" applyFill="1" applyBorder="1"/>
    <xf numFmtId="0" fontId="14" fillId="3" borderId="9" xfId="0" applyFont="1" applyFill="1" applyBorder="1"/>
    <xf numFmtId="0" fontId="14" fillId="3" borderId="1" xfId="0" applyFont="1" applyFill="1" applyBorder="1" applyAlignment="1">
      <alignment horizontal="right"/>
    </xf>
    <xf numFmtId="0" fontId="13" fillId="8" borderId="4" xfId="0" applyFont="1" applyFill="1" applyBorder="1" applyAlignment="1">
      <alignment horizontal="left" wrapText="1"/>
    </xf>
    <xf numFmtId="0" fontId="13" fillId="8" borderId="7" xfId="0" applyFont="1" applyFill="1" applyBorder="1"/>
    <xf numFmtId="49" fontId="13" fillId="8" borderId="7" xfId="0" applyNumberFormat="1" applyFont="1" applyFill="1" applyBorder="1"/>
    <xf numFmtId="0" fontId="13" fillId="8" borderId="8" xfId="0" applyFont="1" applyFill="1" applyBorder="1"/>
    <xf numFmtId="0" fontId="13" fillId="8" borderId="9" xfId="0" applyFont="1" applyFill="1" applyBorder="1"/>
    <xf numFmtId="0" fontId="36" fillId="5" borderId="4" xfId="0" applyFont="1" applyFill="1" applyBorder="1" applyAlignment="1">
      <alignment horizontal="left" wrapText="1"/>
    </xf>
    <xf numFmtId="0" fontId="36" fillId="5" borderId="1" xfId="0" applyFont="1" applyFill="1" applyBorder="1" applyAlignment="1">
      <alignment horizontal="center"/>
    </xf>
    <xf numFmtId="0" fontId="36" fillId="5" borderId="1" xfId="0" applyFont="1" applyFill="1" applyBorder="1"/>
    <xf numFmtId="0" fontId="36" fillId="5" borderId="10" xfId="0" applyFont="1" applyFill="1" applyBorder="1" applyAlignment="1">
      <alignment vertical="center" wrapText="1"/>
    </xf>
    <xf numFmtId="0" fontId="36" fillId="5" borderId="5" xfId="0" applyFont="1" applyFill="1" applyBorder="1" applyAlignment="1">
      <alignment vertical="center" wrapText="1"/>
    </xf>
    <xf numFmtId="0" fontId="36" fillId="5" borderId="1" xfId="0" applyFont="1" applyFill="1" applyBorder="1" applyAlignment="1">
      <alignment vertical="center" wrapText="1"/>
    </xf>
    <xf numFmtId="0" fontId="36" fillId="5" borderId="1" xfId="0" applyFont="1" applyFill="1" applyBorder="1" applyAlignment="1">
      <alignment horizontal="center" vertical="center" wrapText="1"/>
    </xf>
    <xf numFmtId="0" fontId="36" fillId="5" borderId="6" xfId="0" applyFont="1" applyFill="1" applyBorder="1" applyAlignment="1">
      <alignment horizontal="center" vertical="center" wrapText="1"/>
    </xf>
    <xf numFmtId="0" fontId="36" fillId="5" borderId="7" xfId="0" applyFont="1" applyFill="1" applyBorder="1"/>
    <xf numFmtId="49" fontId="36" fillId="5" borderId="7" xfId="0" applyNumberFormat="1" applyFont="1" applyFill="1" applyBorder="1"/>
    <xf numFmtId="0" fontId="36" fillId="5" borderId="8" xfId="0" applyFont="1" applyFill="1" applyBorder="1"/>
    <xf numFmtId="0" fontId="36" fillId="5" borderId="9" xfId="0" applyFont="1" applyFill="1" applyBorder="1"/>
    <xf numFmtId="0" fontId="36" fillId="5" borderId="1" xfId="0" applyFont="1" applyFill="1" applyBorder="1" applyAlignment="1">
      <alignment horizontal="right"/>
    </xf>
    <xf numFmtId="49" fontId="17" fillId="5" borderId="7" xfId="0" applyNumberFormat="1" applyFont="1" applyFill="1" applyBorder="1" applyAlignment="1">
      <alignment horizontal="center"/>
    </xf>
    <xf numFmtId="0" fontId="16" fillId="18" borderId="4" xfId="0" applyFont="1" applyFill="1" applyBorder="1" applyAlignment="1">
      <alignment horizontal="left" wrapText="1"/>
    </xf>
    <xf numFmtId="0" fontId="16" fillId="18" borderId="1" xfId="0" applyFont="1" applyFill="1" applyBorder="1" applyAlignment="1">
      <alignment horizontal="center"/>
    </xf>
    <xf numFmtId="0" fontId="16" fillId="18" borderId="1" xfId="0" applyFont="1" applyFill="1" applyBorder="1"/>
    <xf numFmtId="0" fontId="16" fillId="18" borderId="10" xfId="0" applyFont="1" applyFill="1" applyBorder="1" applyAlignment="1">
      <alignment vertical="center" wrapText="1"/>
    </xf>
    <xf numFmtId="0" fontId="16" fillId="18" borderId="5" xfId="0" applyFont="1" applyFill="1" applyBorder="1" applyAlignment="1">
      <alignment vertical="center" wrapText="1"/>
    </xf>
    <xf numFmtId="0" fontId="16" fillId="18" borderId="1" xfId="0" applyFont="1" applyFill="1" applyBorder="1" applyAlignment="1">
      <alignment vertical="center" wrapText="1"/>
    </xf>
    <xf numFmtId="0" fontId="16" fillId="18" borderId="1" xfId="0" applyFont="1" applyFill="1" applyBorder="1" applyAlignment="1">
      <alignment horizontal="center" vertical="center" wrapText="1"/>
    </xf>
    <xf numFmtId="0" fontId="16" fillId="18" borderId="6" xfId="0" applyFont="1" applyFill="1" applyBorder="1" applyAlignment="1">
      <alignment horizontal="center" vertical="center" wrapText="1"/>
    </xf>
    <xf numFmtId="0" fontId="16" fillId="18" borderId="7" xfId="0" applyFont="1" applyFill="1" applyBorder="1"/>
    <xf numFmtId="49" fontId="16" fillId="18" borderId="7" xfId="0" applyNumberFormat="1" applyFont="1" applyFill="1" applyBorder="1"/>
    <xf numFmtId="0" fontId="16" fillId="18" borderId="8" xfId="0" applyFont="1" applyFill="1" applyBorder="1"/>
    <xf numFmtId="0" fontId="16" fillId="18" borderId="9" xfId="0" applyFont="1" applyFill="1" applyBorder="1"/>
    <xf numFmtId="0" fontId="16" fillId="18" borderId="1" xfId="0" applyFont="1" applyFill="1" applyBorder="1" applyAlignment="1">
      <alignment horizontal="right"/>
    </xf>
    <xf numFmtId="49" fontId="30" fillId="15" borderId="7" xfId="0" applyNumberFormat="1" applyFont="1" applyFill="1" applyBorder="1" applyAlignment="1">
      <alignment horizontal="center"/>
    </xf>
    <xf numFmtId="49" fontId="17" fillId="15" borderId="7" xfId="0" applyNumberFormat="1" applyFont="1" applyFill="1" applyBorder="1" applyAlignment="1">
      <alignment horizontal="center"/>
    </xf>
    <xf numFmtId="0" fontId="25" fillId="0" borderId="0" xfId="0" applyFont="1"/>
    <xf numFmtId="0" fontId="37" fillId="15" borderId="4" xfId="0" applyFont="1" applyFill="1" applyBorder="1" applyAlignment="1">
      <alignment horizontal="center" vertical="center" wrapText="1"/>
    </xf>
    <xf numFmtId="0" fontId="37" fillId="0" borderId="0" xfId="0" applyFont="1"/>
    <xf numFmtId="0" fontId="37" fillId="2" borderId="0" xfId="0" applyFont="1" applyFill="1"/>
    <xf numFmtId="0" fontId="37" fillId="15" borderId="1" xfId="0" applyFont="1" applyFill="1" applyBorder="1"/>
    <xf numFmtId="0" fontId="37" fillId="5" borderId="4" xfId="0" applyFont="1" applyFill="1" applyBorder="1" applyAlignment="1">
      <alignment horizontal="center" vertical="center" wrapText="1"/>
    </xf>
    <xf numFmtId="0" fontId="37" fillId="16" borderId="4" xfId="0" applyFont="1" applyFill="1" applyBorder="1" applyAlignment="1">
      <alignment horizontal="center" vertical="center" wrapText="1"/>
    </xf>
    <xf numFmtId="49" fontId="29" fillId="16" borderId="1" xfId="0" applyNumberFormat="1" applyFont="1" applyFill="1" applyBorder="1" applyAlignment="1">
      <alignment horizontal="center"/>
    </xf>
    <xf numFmtId="0" fontId="28" fillId="15" borderId="7" xfId="0" applyFont="1" applyFill="1" applyBorder="1"/>
    <xf numFmtId="0" fontId="12" fillId="10" borderId="1" xfId="0" applyFont="1" applyFill="1" applyBorder="1"/>
    <xf numFmtId="0" fontId="38" fillId="5" borderId="6" xfId="0" applyFont="1" applyFill="1" applyBorder="1" applyAlignment="1">
      <alignment vertical="center" wrapText="1"/>
    </xf>
    <xf numFmtId="0" fontId="35" fillId="7" borderId="6" xfId="0" applyFont="1" applyFill="1" applyBorder="1" applyAlignment="1">
      <alignment vertical="center" wrapText="1"/>
    </xf>
    <xf numFmtId="0" fontId="38" fillId="5" borderId="5" xfId="0" applyFont="1" applyFill="1" applyBorder="1" applyAlignment="1">
      <alignment vertical="center" wrapText="1"/>
    </xf>
    <xf numFmtId="16" fontId="16" fillId="19" borderId="5" xfId="0" applyNumberFormat="1" applyFont="1" applyFill="1" applyBorder="1" applyAlignment="1">
      <alignment horizontal="left" vertical="center" wrapText="1"/>
    </xf>
    <xf numFmtId="0" fontId="16" fillId="19" borderId="6" xfId="0" applyFont="1" applyFill="1" applyBorder="1" applyAlignment="1">
      <alignment vertical="center" wrapText="1"/>
    </xf>
    <xf numFmtId="0" fontId="16" fillId="19" borderId="6" xfId="0" applyFont="1" applyFill="1" applyBorder="1" applyAlignment="1">
      <alignment horizontal="center" vertical="center" wrapText="1"/>
    </xf>
    <xf numFmtId="0" fontId="17" fillId="19" borderId="7" xfId="0" applyFont="1" applyFill="1" applyBorder="1"/>
    <xf numFmtId="0" fontId="17" fillId="19" borderId="8" xfId="0" applyFont="1" applyFill="1" applyBorder="1"/>
    <xf numFmtId="0" fontId="17" fillId="19" borderId="1" xfId="0" applyFont="1" applyFill="1" applyBorder="1"/>
    <xf numFmtId="0" fontId="16" fillId="19" borderId="1" xfId="0" applyFont="1" applyFill="1" applyBorder="1"/>
    <xf numFmtId="0" fontId="16" fillId="19" borderId="4" xfId="0" applyFont="1" applyFill="1" applyBorder="1"/>
    <xf numFmtId="0" fontId="17" fillId="19" borderId="9" xfId="0" applyFont="1" applyFill="1" applyBorder="1"/>
    <xf numFmtId="49" fontId="28" fillId="19" borderId="7" xfId="0" applyNumberFormat="1" applyFont="1" applyFill="1" applyBorder="1" applyAlignment="1">
      <alignment horizontal="center"/>
    </xf>
    <xf numFmtId="0" fontId="24" fillId="0" borderId="0" xfId="0" applyFont="1"/>
    <xf numFmtId="49" fontId="30" fillId="15" borderId="1" xfId="0" applyNumberFormat="1" applyFont="1" applyFill="1" applyBorder="1" applyAlignment="1">
      <alignment horizontal="center"/>
    </xf>
    <xf numFmtId="16" fontId="16" fillId="16" borderId="10" xfId="0" applyNumberFormat="1" applyFont="1" applyFill="1" applyBorder="1" applyAlignment="1">
      <alignment horizontal="left" vertical="center" wrapText="1"/>
    </xf>
    <xf numFmtId="0" fontId="16" fillId="16" borderId="1" xfId="0" applyFont="1" applyFill="1" applyBorder="1" applyAlignment="1">
      <alignment horizontal="right"/>
    </xf>
    <xf numFmtId="0" fontId="16" fillId="16" borderId="4" xfId="0" applyFont="1" applyFill="1" applyBorder="1" applyAlignment="1">
      <alignment horizontal="right"/>
    </xf>
    <xf numFmtId="0" fontId="16" fillId="16" borderId="13" xfId="0" applyFont="1" applyFill="1" applyBorder="1" applyAlignment="1">
      <alignment horizontal="right"/>
    </xf>
    <xf numFmtId="0" fontId="16" fillId="15" borderId="16" xfId="0" applyFont="1" applyFill="1" applyBorder="1" applyAlignment="1">
      <alignment vertical="center" wrapText="1"/>
    </xf>
    <xf numFmtId="0" fontId="17" fillId="15" borderId="0" xfId="0" applyFont="1" applyFill="1"/>
    <xf numFmtId="0" fontId="16" fillId="15" borderId="5" xfId="0" applyFont="1" applyFill="1" applyBorder="1"/>
    <xf numFmtId="0" fontId="16" fillId="15" borderId="6" xfId="0" applyFont="1" applyFill="1" applyBorder="1"/>
    <xf numFmtId="0" fontId="0" fillId="0" borderId="0" xfId="0" applyAlignment="1">
      <alignment horizontal="right"/>
    </xf>
    <xf numFmtId="2" fontId="12" fillId="0" borderId="18" xfId="0" applyNumberFormat="1" applyFont="1" applyBorder="1"/>
    <xf numFmtId="2" fontId="12" fillId="0" borderId="19" xfId="0" applyNumberFormat="1" applyFont="1" applyBorder="1"/>
    <xf numFmtId="49" fontId="12" fillId="13" borderId="0" xfId="0" applyNumberFormat="1" applyFont="1" applyFill="1"/>
    <xf numFmtId="0" fontId="16" fillId="16" borderId="7" xfId="0" applyFont="1" applyFill="1" applyBorder="1"/>
    <xf numFmtId="0" fontId="16" fillId="16" borderId="8" xfId="0" applyFont="1" applyFill="1" applyBorder="1"/>
    <xf numFmtId="0" fontId="16" fillId="16" borderId="9" xfId="0" applyFont="1" applyFill="1" applyBorder="1"/>
    <xf numFmtId="0" fontId="16" fillId="15" borderId="1" xfId="0" applyFont="1" applyFill="1" applyBorder="1" applyAlignment="1">
      <alignment horizontal="right"/>
    </xf>
    <xf numFmtId="0" fontId="16" fillId="15" borderId="4" xfId="0" applyFont="1" applyFill="1" applyBorder="1" applyAlignment="1">
      <alignment horizontal="right"/>
    </xf>
    <xf numFmtId="16" fontId="16" fillId="15" borderId="10" xfId="0" applyNumberFormat="1" applyFont="1" applyFill="1" applyBorder="1" applyAlignment="1">
      <alignment horizontal="left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14" borderId="5" xfId="0" applyFont="1" applyFill="1" applyBorder="1" applyAlignment="1">
      <alignment horizontal="right" vertical="center" wrapText="1"/>
    </xf>
    <xf numFmtId="0" fontId="23" fillId="14" borderId="6" xfId="0" applyFont="1" applyFill="1" applyBorder="1" applyAlignment="1">
      <alignment vertical="center" wrapText="1"/>
    </xf>
    <xf numFmtId="0" fontId="22" fillId="14" borderId="6" xfId="0" applyFont="1" applyFill="1" applyBorder="1" applyAlignment="1">
      <alignment horizontal="right" vertical="center" wrapText="1"/>
    </xf>
    <xf numFmtId="0" fontId="21" fillId="14" borderId="6" xfId="0" applyFont="1" applyFill="1" applyBorder="1" applyAlignment="1">
      <alignment horizontal="right" vertical="center" wrapText="1"/>
    </xf>
    <xf numFmtId="0" fontId="39" fillId="3" borderId="6" xfId="0" applyFont="1" applyFill="1" applyBorder="1" applyAlignment="1">
      <alignment vertical="center" wrapText="1"/>
    </xf>
    <xf numFmtId="0" fontId="39" fillId="8" borderId="6" xfId="0" applyFont="1" applyFill="1" applyBorder="1" applyAlignment="1">
      <alignment vertical="center" wrapText="1"/>
    </xf>
    <xf numFmtId="0" fontId="39" fillId="6" borderId="6" xfId="0" applyFont="1" applyFill="1" applyBorder="1" applyAlignment="1">
      <alignment vertical="center" wrapText="1"/>
    </xf>
    <xf numFmtId="0" fontId="40" fillId="20" borderId="6" xfId="0" applyFont="1" applyFill="1" applyBorder="1" applyAlignment="1">
      <alignment vertical="center" wrapText="1"/>
    </xf>
    <xf numFmtId="0" fontId="41" fillId="0" borderId="0" xfId="0" applyFont="1"/>
    <xf numFmtId="0" fontId="15" fillId="0" borderId="0" xfId="0" applyFont="1"/>
    <xf numFmtId="0" fontId="7" fillId="0" borderId="0" xfId="0" applyFont="1"/>
    <xf numFmtId="49" fontId="30" fillId="19" borderId="7" xfId="0" applyNumberFormat="1" applyFont="1" applyFill="1" applyBorder="1" applyAlignment="1">
      <alignment horizontal="center"/>
    </xf>
    <xf numFmtId="0" fontId="6" fillId="0" borderId="0" xfId="0" applyFont="1"/>
    <xf numFmtId="2" fontId="12" fillId="0" borderId="11" xfId="0" applyNumberFormat="1" applyFont="1" applyBorder="1"/>
    <xf numFmtId="2" fontId="12" fillId="0" borderId="4" xfId="0" applyNumberFormat="1" applyFont="1" applyBorder="1"/>
    <xf numFmtId="2" fontId="0" fillId="0" borderId="18" xfId="0" applyNumberFormat="1" applyBorder="1" applyAlignment="1">
      <alignment horizontal="right"/>
    </xf>
    <xf numFmtId="2" fontId="0" fillId="0" borderId="19" xfId="0" applyNumberFormat="1" applyBorder="1" applyAlignment="1">
      <alignment horizontal="right"/>
    </xf>
    <xf numFmtId="0" fontId="12" fillId="10" borderId="1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/>
    </xf>
    <xf numFmtId="0" fontId="5" fillId="0" borderId="0" xfId="0" applyFont="1"/>
    <xf numFmtId="0" fontId="12" fillId="13" borderId="0" xfId="0" applyFont="1" applyFill="1" applyAlignment="1">
      <alignment horizontal="right"/>
    </xf>
    <xf numFmtId="0" fontId="0" fillId="0" borderId="0" xfId="0" applyAlignment="1">
      <alignment horizontal="center"/>
    </xf>
    <xf numFmtId="0" fontId="21" fillId="17" borderId="0" xfId="0" applyFont="1" applyFill="1" applyAlignment="1">
      <alignment horizontal="left" vertical="center"/>
    </xf>
    <xf numFmtId="0" fontId="24" fillId="15" borderId="2" xfId="0" applyFont="1" applyFill="1" applyBorder="1" applyAlignment="1">
      <alignment horizontal="left" vertical="center" wrapText="1"/>
    </xf>
    <xf numFmtId="0" fontId="24" fillId="15" borderId="3" xfId="0" applyFont="1" applyFill="1" applyBorder="1" applyAlignment="1">
      <alignment horizontal="left" vertical="center" wrapText="1"/>
    </xf>
    <xf numFmtId="0" fontId="24" fillId="15" borderId="4" xfId="0" applyFont="1" applyFill="1" applyBorder="1" applyAlignment="1">
      <alignment horizontal="left" vertical="center" wrapText="1"/>
    </xf>
    <xf numFmtId="16" fontId="16" fillId="5" borderId="1" xfId="0" applyNumberFormat="1" applyFont="1" applyFill="1" applyBorder="1" applyAlignment="1">
      <alignment horizontal="left" vertical="center" wrapText="1"/>
    </xf>
    <xf numFmtId="0" fontId="16" fillId="5" borderId="16" xfId="0" applyFont="1" applyFill="1" applyBorder="1" applyAlignment="1">
      <alignment vertical="center" wrapText="1"/>
    </xf>
    <xf numFmtId="0" fontId="16" fillId="5" borderId="1" xfId="0" applyFont="1" applyFill="1" applyBorder="1" applyAlignment="1">
      <alignment horizontal="center" vertical="center" wrapText="1"/>
    </xf>
    <xf numFmtId="49" fontId="29" fillId="5" borderId="1" xfId="0" applyNumberFormat="1" applyFont="1" applyFill="1" applyBorder="1" applyAlignment="1">
      <alignment horizontal="center"/>
    </xf>
    <xf numFmtId="0" fontId="4" fillId="0" borderId="0" xfId="0" applyFont="1"/>
    <xf numFmtId="0" fontId="28" fillId="5" borderId="7" xfId="0" applyFont="1" applyFill="1" applyBorder="1"/>
    <xf numFmtId="0" fontId="13" fillId="2" borderId="6" xfId="0" applyFont="1" applyFill="1" applyBorder="1" applyAlignment="1">
      <alignment vertical="center" wrapText="1"/>
    </xf>
    <xf numFmtId="49" fontId="16" fillId="15" borderId="7" xfId="0" applyNumberFormat="1" applyFont="1" applyFill="1" applyBorder="1" applyAlignment="1">
      <alignment horizontal="center"/>
    </xf>
    <xf numFmtId="0" fontId="21" fillId="13" borderId="0" xfId="0" applyFont="1" applyFill="1" applyAlignment="1">
      <alignment horizontal="left" vertical="center"/>
    </xf>
    <xf numFmtId="0" fontId="14" fillId="21" borderId="0" xfId="0" applyFont="1" applyFill="1"/>
    <xf numFmtId="2" fontId="12" fillId="0" borderId="13" xfId="0" applyNumberFormat="1" applyFont="1" applyBorder="1"/>
    <xf numFmtId="0" fontId="0" fillId="0" borderId="20" xfId="0" applyBorder="1"/>
    <xf numFmtId="16" fontId="16" fillId="16" borderId="1" xfId="0" applyNumberFormat="1" applyFont="1" applyFill="1" applyBorder="1" applyAlignment="1">
      <alignment horizontal="left" vertical="center" wrapText="1"/>
    </xf>
    <xf numFmtId="0" fontId="16" fillId="16" borderId="3" xfId="0" applyFont="1" applyFill="1" applyBorder="1" applyAlignment="1">
      <alignment vertical="center" wrapText="1"/>
    </xf>
    <xf numFmtId="0" fontId="16" fillId="16" borderId="1" xfId="0" applyFont="1" applyFill="1" applyBorder="1" applyAlignment="1">
      <alignment horizontal="center" vertical="center" wrapText="1"/>
    </xf>
    <xf numFmtId="0" fontId="3" fillId="0" borderId="0" xfId="0" applyFont="1"/>
    <xf numFmtId="2" fontId="12" fillId="13" borderId="0" xfId="0" applyNumberFormat="1" applyFont="1" applyFill="1" applyAlignment="1">
      <alignment horizontal="center"/>
    </xf>
    <xf numFmtId="0" fontId="12" fillId="0" borderId="0" xfId="0" applyFont="1" applyAlignment="1">
      <alignment horizontal="center"/>
    </xf>
    <xf numFmtId="0" fontId="24" fillId="15" borderId="4" xfId="0" applyFont="1" applyFill="1" applyBorder="1" applyAlignment="1">
      <alignment horizontal="center" vertical="center" wrapText="1"/>
    </xf>
    <xf numFmtId="0" fontId="42" fillId="0" borderId="0" xfId="0" applyFont="1"/>
    <xf numFmtId="0" fontId="24" fillId="5" borderId="4" xfId="0" applyFont="1" applyFill="1" applyBorder="1" applyAlignment="1">
      <alignment horizontal="center" vertical="center" wrapText="1"/>
    </xf>
    <xf numFmtId="0" fontId="24" fillId="16" borderId="4" xfId="0" applyFont="1" applyFill="1" applyBorder="1" applyAlignment="1">
      <alignment horizontal="center" vertical="center" wrapText="1"/>
    </xf>
    <xf numFmtId="0" fontId="43" fillId="15" borderId="1" xfId="0" applyFont="1" applyFill="1" applyBorder="1" applyAlignment="1">
      <alignment horizontal="center" vertical="center" wrapText="1"/>
    </xf>
    <xf numFmtId="0" fontId="44" fillId="0" borderId="0" xfId="0" applyFont="1"/>
    <xf numFmtId="0" fontId="43" fillId="2" borderId="0" xfId="0" applyFont="1" applyFill="1"/>
    <xf numFmtId="0" fontId="43" fillId="15" borderId="1" xfId="0" applyFont="1" applyFill="1" applyBorder="1"/>
    <xf numFmtId="0" fontId="43" fillId="5" borderId="1" xfId="0" applyFont="1" applyFill="1" applyBorder="1" applyAlignment="1">
      <alignment horizontal="center" vertical="center" wrapText="1"/>
    </xf>
    <xf numFmtId="0" fontId="43" fillId="16" borderId="1" xfId="0" applyFont="1" applyFill="1" applyBorder="1" applyAlignment="1">
      <alignment horizontal="center" vertical="center" wrapText="1"/>
    </xf>
    <xf numFmtId="0" fontId="12" fillId="5" borderId="0" xfId="0" applyFont="1" applyFill="1"/>
    <xf numFmtId="0" fontId="12" fillId="16" borderId="0" xfId="0" applyFont="1" applyFill="1"/>
    <xf numFmtId="0" fontId="12" fillId="15" borderId="0" xfId="0" applyFont="1" applyFill="1"/>
    <xf numFmtId="2" fontId="12" fillId="0" borderId="18" xfId="0" applyNumberFormat="1" applyFont="1" applyBorder="1" applyAlignment="1">
      <alignment horizontal="right"/>
    </xf>
    <xf numFmtId="2" fontId="12" fillId="0" borderId="19" xfId="0" applyNumberFormat="1" applyFont="1" applyBorder="1" applyAlignment="1">
      <alignment horizontal="right"/>
    </xf>
    <xf numFmtId="0" fontId="17" fillId="16" borderId="3" xfId="0" applyFont="1" applyFill="1" applyBorder="1"/>
    <xf numFmtId="0" fontId="43" fillId="0" borderId="0" xfId="0" applyFont="1"/>
    <xf numFmtId="0" fontId="16" fillId="9" borderId="6" xfId="0" applyFont="1" applyFill="1" applyBorder="1" applyAlignment="1">
      <alignment vertical="center" wrapText="1"/>
    </xf>
    <xf numFmtId="0" fontId="16" fillId="18" borderId="6" xfId="0" applyFont="1" applyFill="1" applyBorder="1" applyAlignment="1">
      <alignment vertical="center" wrapText="1"/>
    </xf>
    <xf numFmtId="0" fontId="2" fillId="0" borderId="0" xfId="0" applyFont="1"/>
    <xf numFmtId="0" fontId="32" fillId="15" borderId="1" xfId="0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horizontal="center" vertical="center" wrapText="1"/>
    </xf>
    <xf numFmtId="0" fontId="32" fillId="16" borderId="1" xfId="0" applyFont="1" applyFill="1" applyBorder="1" applyAlignment="1">
      <alignment horizontal="center" vertical="center" wrapText="1"/>
    </xf>
    <xf numFmtId="0" fontId="45" fillId="15" borderId="2" xfId="0" applyFont="1" applyFill="1" applyBorder="1" applyAlignment="1">
      <alignment horizontal="left" vertical="center" wrapText="1"/>
    </xf>
    <xf numFmtId="0" fontId="45" fillId="15" borderId="3" xfId="0" applyFont="1" applyFill="1" applyBorder="1" applyAlignment="1">
      <alignment horizontal="left" vertical="center" wrapText="1"/>
    </xf>
    <xf numFmtId="0" fontId="45" fillId="15" borderId="4" xfId="0" applyFont="1" applyFill="1" applyBorder="1" applyAlignment="1">
      <alignment horizontal="left" vertical="center" wrapText="1"/>
    </xf>
    <xf numFmtId="0" fontId="45" fillId="15" borderId="1" xfId="0" applyFont="1" applyFill="1" applyBorder="1" applyAlignment="1">
      <alignment horizontal="center" vertical="center" wrapText="1"/>
    </xf>
    <xf numFmtId="0" fontId="46" fillId="0" borderId="0" xfId="0" applyFont="1"/>
    <xf numFmtId="0" fontId="45" fillId="2" borderId="0" xfId="0" applyFont="1" applyFill="1"/>
    <xf numFmtId="0" fontId="45" fillId="15" borderId="1" xfId="0" applyFont="1" applyFill="1" applyBorder="1"/>
    <xf numFmtId="0" fontId="45" fillId="5" borderId="1" xfId="0" applyFont="1" applyFill="1" applyBorder="1" applyAlignment="1">
      <alignment horizontal="center" vertical="center" wrapText="1"/>
    </xf>
    <xf numFmtId="0" fontId="45" fillId="16" borderId="1" xfId="0" applyFont="1" applyFill="1" applyBorder="1" applyAlignment="1">
      <alignment horizontal="center" vertical="center" wrapText="1"/>
    </xf>
    <xf numFmtId="0" fontId="42" fillId="15" borderId="3" xfId="0" applyFont="1" applyFill="1" applyBorder="1" applyAlignment="1">
      <alignment horizontal="left" vertical="center" wrapText="1"/>
    </xf>
    <xf numFmtId="0" fontId="42" fillId="15" borderId="4" xfId="0" applyFont="1" applyFill="1" applyBorder="1" applyAlignment="1">
      <alignment horizontal="left" vertical="center" wrapText="1"/>
    </xf>
    <xf numFmtId="0" fontId="12" fillId="21" borderId="0" xfId="0" applyFont="1" applyFill="1"/>
    <xf numFmtId="0" fontId="14" fillId="3" borderId="6" xfId="0" applyFont="1" applyFill="1" applyBorder="1" applyAlignment="1">
      <alignment vertical="center" wrapText="1"/>
    </xf>
    <xf numFmtId="0" fontId="36" fillId="5" borderId="6" xfId="0" applyFont="1" applyFill="1" applyBorder="1" applyAlignment="1">
      <alignment vertical="center" wrapText="1"/>
    </xf>
    <xf numFmtId="0" fontId="14" fillId="2" borderId="6" xfId="0" applyFont="1" applyFill="1" applyBorder="1" applyAlignment="1">
      <alignment vertical="center" wrapText="1"/>
    </xf>
    <xf numFmtId="0" fontId="13" fillId="21" borderId="6" xfId="0" applyFont="1" applyFill="1" applyBorder="1" applyAlignment="1">
      <alignment vertical="center" wrapText="1"/>
    </xf>
    <xf numFmtId="0" fontId="47" fillId="21" borderId="6" xfId="0" applyFont="1" applyFill="1" applyBorder="1" applyAlignment="1">
      <alignment vertical="center" wrapText="1"/>
    </xf>
    <xf numFmtId="0" fontId="45" fillId="15" borderId="5" xfId="0" applyFont="1" applyFill="1" applyBorder="1"/>
    <xf numFmtId="49" fontId="31" fillId="15" borderId="1" xfId="0" applyNumberFormat="1" applyFont="1" applyFill="1" applyBorder="1" applyAlignment="1">
      <alignment horizontal="center"/>
    </xf>
    <xf numFmtId="0" fontId="24" fillId="3" borderId="6" xfId="0" applyFont="1" applyFill="1" applyBorder="1" applyAlignment="1">
      <alignment vertical="center" wrapText="1"/>
    </xf>
    <xf numFmtId="0" fontId="23" fillId="22" borderId="6" xfId="0" applyFont="1" applyFill="1" applyBorder="1" applyAlignment="1">
      <alignment vertical="center" wrapText="1"/>
    </xf>
    <xf numFmtId="0" fontId="13" fillId="21" borderId="5" xfId="0" applyFont="1" applyFill="1" applyBorder="1" applyAlignment="1">
      <alignment vertical="center" wrapText="1"/>
    </xf>
    <xf numFmtId="0" fontId="47" fillId="21" borderId="5" xfId="0" applyFont="1" applyFill="1" applyBorder="1" applyAlignment="1">
      <alignment vertical="center" wrapText="1"/>
    </xf>
    <xf numFmtId="0" fontId="24" fillId="3" borderId="5" xfId="0" applyFont="1" applyFill="1" applyBorder="1" applyAlignment="1">
      <alignment vertical="center" wrapText="1"/>
    </xf>
    <xf numFmtId="0" fontId="23" fillId="22" borderId="5" xfId="0" applyFont="1" applyFill="1" applyBorder="1" applyAlignment="1">
      <alignment vertical="center" wrapText="1"/>
    </xf>
    <xf numFmtId="0" fontId="1" fillId="0" borderId="0" xfId="0" applyFont="1"/>
    <xf numFmtId="0" fontId="14" fillId="2" borderId="0" xfId="0" applyFont="1" applyFill="1" applyAlignment="1">
      <alignment horizontal="right" vertical="center" wrapText="1"/>
    </xf>
    <xf numFmtId="0" fontId="45" fillId="0" borderId="0" xfId="0" applyFont="1"/>
    <xf numFmtId="16" fontId="45" fillId="2" borderId="0" xfId="0" applyNumberFormat="1" applyFont="1" applyFill="1" applyAlignment="1">
      <alignment horizontal="left" vertical="center" wrapText="1"/>
    </xf>
    <xf numFmtId="0" fontId="45" fillId="2" borderId="0" xfId="0" applyFont="1" applyFill="1" applyAlignment="1">
      <alignment horizontal="left" vertical="center" wrapText="1"/>
    </xf>
    <xf numFmtId="0" fontId="45" fillId="15" borderId="4" xfId="0" applyFont="1" applyFill="1" applyBorder="1" applyAlignment="1">
      <alignment horizontal="center" vertical="center" wrapText="1"/>
    </xf>
    <xf numFmtId="0" fontId="45" fillId="5" borderId="4" xfId="0" applyFont="1" applyFill="1" applyBorder="1" applyAlignment="1">
      <alignment horizontal="center" vertical="center" wrapText="1"/>
    </xf>
    <xf numFmtId="0" fontId="45" fillId="16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2" fillId="13" borderId="0" xfId="0" applyFont="1" applyFill="1"/>
    <xf numFmtId="0" fontId="0" fillId="13" borderId="0" xfId="0" applyFill="1"/>
    <xf numFmtId="0" fontId="21" fillId="13" borderId="0" xfId="0" applyFont="1" applyFill="1" applyAlignment="1">
      <alignment horizontal="right" vertical="center"/>
    </xf>
    <xf numFmtId="0" fontId="0" fillId="0" borderId="0" xfId="0"/>
    <xf numFmtId="0" fontId="12" fillId="13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21" fillId="13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21" fillId="13" borderId="0" xfId="0" applyFont="1" applyFill="1" applyAlignment="1">
      <alignment vertical="center"/>
    </xf>
    <xf numFmtId="0" fontId="20" fillId="11" borderId="2" xfId="0" applyFont="1" applyFill="1" applyBorder="1" applyAlignment="1">
      <alignment horizontal="center" vertical="center" wrapText="1"/>
    </xf>
    <xf numFmtId="0" fontId="20" fillId="11" borderId="4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left"/>
    </xf>
    <xf numFmtId="0" fontId="12" fillId="7" borderId="7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20" fillId="10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1" fillId="17" borderId="0" xfId="0" applyFont="1" applyFill="1" applyAlignment="1">
      <alignment horizontal="left" vertical="center"/>
    </xf>
    <xf numFmtId="0" fontId="0" fillId="17" borderId="0" xfId="0" applyFill="1" applyAlignment="1">
      <alignment horizontal="left"/>
    </xf>
    <xf numFmtId="0" fontId="12" fillId="13" borderId="0" xfId="0" applyFont="1" applyFill="1" applyAlignment="1">
      <alignment horizontal="left"/>
    </xf>
    <xf numFmtId="14" fontId="13" fillId="0" borderId="0" xfId="0" applyNumberFormat="1" applyFont="1" applyAlignment="1">
      <alignment horizontal="left"/>
    </xf>
    <xf numFmtId="0" fontId="13" fillId="0" borderId="0" xfId="0" applyFont="1"/>
    <xf numFmtId="0" fontId="21" fillId="13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2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6" fillId="15" borderId="2" xfId="0" applyFont="1" applyFill="1" applyBorder="1" applyAlignment="1">
      <alignment horizontal="left" vertical="center" wrapText="1"/>
    </xf>
    <xf numFmtId="0" fontId="16" fillId="15" borderId="3" xfId="0" applyFont="1" applyFill="1" applyBorder="1" applyAlignment="1">
      <alignment horizontal="left" vertical="center" wrapText="1"/>
    </xf>
    <xf numFmtId="0" fontId="16" fillId="15" borderId="4" xfId="0" applyFont="1" applyFill="1" applyBorder="1" applyAlignment="1">
      <alignment horizontal="left" vertical="center" wrapText="1"/>
    </xf>
    <xf numFmtId="16" fontId="15" fillId="2" borderId="0" xfId="0" applyNumberFormat="1" applyFont="1" applyFill="1" applyAlignment="1">
      <alignment horizontal="left" vertical="center" wrapText="1"/>
    </xf>
    <xf numFmtId="0" fontId="32" fillId="15" borderId="2" xfId="0" applyFont="1" applyFill="1" applyBorder="1" applyAlignment="1">
      <alignment horizontal="left" vertical="center" wrapText="1"/>
    </xf>
    <xf numFmtId="0" fontId="32" fillId="15" borderId="3" xfId="0" applyFont="1" applyFill="1" applyBorder="1" applyAlignment="1">
      <alignment horizontal="left" vertical="center" wrapText="1"/>
    </xf>
    <xf numFmtId="0" fontId="32" fillId="15" borderId="4" xfId="0" applyFont="1" applyFill="1" applyBorder="1" applyAlignment="1">
      <alignment horizontal="left" vertical="center" wrapText="1"/>
    </xf>
    <xf numFmtId="0" fontId="35" fillId="7" borderId="2" xfId="0" applyFont="1" applyFill="1" applyBorder="1" applyAlignment="1">
      <alignment horizontal="center"/>
    </xf>
    <xf numFmtId="0" fontId="35" fillId="7" borderId="3" xfId="0" applyFont="1" applyFill="1" applyBorder="1" applyAlignment="1">
      <alignment horizontal="center"/>
    </xf>
    <xf numFmtId="0" fontId="35" fillId="7" borderId="4" xfId="0" applyFont="1" applyFill="1" applyBorder="1" applyAlignment="1">
      <alignment horizontal="center"/>
    </xf>
    <xf numFmtId="0" fontId="45" fillId="15" borderId="2" xfId="0" applyFont="1" applyFill="1" applyBorder="1" applyAlignment="1">
      <alignment horizontal="left" vertical="center" wrapText="1"/>
    </xf>
    <xf numFmtId="0" fontId="45" fillId="15" borderId="3" xfId="0" applyFont="1" applyFill="1" applyBorder="1" applyAlignment="1">
      <alignment horizontal="left" vertical="center" wrapText="1"/>
    </xf>
    <xf numFmtId="0" fontId="45" fillId="15" borderId="4" xfId="0" applyFont="1" applyFill="1" applyBorder="1" applyAlignment="1">
      <alignment horizontal="left" vertical="center" wrapText="1"/>
    </xf>
    <xf numFmtId="0" fontId="35" fillId="7" borderId="2" xfId="0" applyFont="1" applyFill="1" applyBorder="1" applyAlignment="1">
      <alignment horizontal="left" wrapText="1"/>
    </xf>
    <xf numFmtId="0" fontId="35" fillId="7" borderId="3" xfId="0" applyFont="1" applyFill="1" applyBorder="1" applyAlignment="1">
      <alignment horizontal="left" wrapText="1"/>
    </xf>
    <xf numFmtId="0" fontId="35" fillId="7" borderId="2" xfId="0" applyFont="1" applyFill="1" applyBorder="1" applyAlignment="1">
      <alignment horizontal="center" wrapText="1"/>
    </xf>
    <xf numFmtId="0" fontId="35" fillId="7" borderId="3" xfId="0" applyFont="1" applyFill="1" applyBorder="1" applyAlignment="1">
      <alignment horizontal="center" wrapText="1"/>
    </xf>
    <xf numFmtId="0" fontId="35" fillId="7" borderId="4" xfId="0" applyFont="1" applyFill="1" applyBorder="1" applyAlignment="1">
      <alignment horizontal="center" wrapText="1"/>
    </xf>
    <xf numFmtId="0" fontId="35" fillId="7" borderId="2" xfId="0" applyFont="1" applyFill="1" applyBorder="1" applyAlignment="1">
      <alignment horizontal="center" vertical="center" wrapText="1"/>
    </xf>
    <xf numFmtId="0" fontId="35" fillId="7" borderId="3" xfId="0" applyFont="1" applyFill="1" applyBorder="1" applyAlignment="1">
      <alignment horizontal="center" vertical="center" wrapText="1"/>
    </xf>
    <xf numFmtId="0" fontId="35" fillId="7" borderId="4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left" wrapText="1"/>
    </xf>
    <xf numFmtId="0" fontId="14" fillId="3" borderId="3" xfId="0" applyFont="1" applyFill="1" applyBorder="1" applyAlignment="1">
      <alignment horizontal="left" wrapText="1"/>
    </xf>
    <xf numFmtId="0" fontId="14" fillId="3" borderId="2" xfId="0" applyFont="1" applyFill="1" applyBorder="1" applyAlignment="1">
      <alignment horizontal="center" wrapText="1"/>
    </xf>
    <xf numFmtId="0" fontId="14" fillId="3" borderId="3" xfId="0" applyFont="1" applyFill="1" applyBorder="1" applyAlignment="1">
      <alignment horizontal="center" wrapText="1"/>
    </xf>
    <xf numFmtId="0" fontId="14" fillId="3" borderId="4" xfId="0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wrapText="1"/>
    </xf>
    <xf numFmtId="0" fontId="23" fillId="2" borderId="3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2" xfId="0" applyFont="1" applyFill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43" fillId="15" borderId="2" xfId="0" applyFont="1" applyFill="1" applyBorder="1" applyAlignment="1">
      <alignment horizontal="left" vertical="center" wrapText="1"/>
    </xf>
    <xf numFmtId="0" fontId="43" fillId="15" borderId="3" xfId="0" applyFont="1" applyFill="1" applyBorder="1" applyAlignment="1">
      <alignment horizontal="left" vertical="center" wrapText="1"/>
    </xf>
    <xf numFmtId="0" fontId="43" fillId="15" borderId="4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left" wrapText="1"/>
    </xf>
    <xf numFmtId="0" fontId="23" fillId="2" borderId="3" xfId="0" applyFont="1" applyFill="1" applyBorder="1" applyAlignment="1">
      <alignment horizontal="left" wrapText="1"/>
    </xf>
    <xf numFmtId="0" fontId="25" fillId="15" borderId="2" xfId="0" applyFont="1" applyFill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16" fontId="14" fillId="2" borderId="0" xfId="0" applyNumberFormat="1" applyFont="1" applyFill="1" applyAlignment="1">
      <alignment horizontal="left" vertical="center" wrapText="1"/>
    </xf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left" wrapText="1"/>
    </xf>
    <xf numFmtId="0" fontId="14" fillId="2" borderId="3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24" fillId="15" borderId="2" xfId="0" applyFont="1" applyFill="1" applyBorder="1" applyAlignment="1">
      <alignment horizontal="left" vertical="center" wrapText="1"/>
    </xf>
    <xf numFmtId="0" fontId="24" fillId="15" borderId="3" xfId="0" applyFont="1" applyFill="1" applyBorder="1" applyAlignment="1">
      <alignment horizontal="left" vertical="center" wrapText="1"/>
    </xf>
    <xf numFmtId="0" fontId="24" fillId="15" borderId="4" xfId="0" applyFont="1" applyFill="1" applyBorder="1" applyAlignment="1">
      <alignment horizontal="left" vertical="center" wrapText="1"/>
    </xf>
    <xf numFmtId="0" fontId="13" fillId="8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3" fillId="8" borderId="2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left" wrapText="1"/>
    </xf>
    <xf numFmtId="0" fontId="13" fillId="8" borderId="3" xfId="0" applyFont="1" applyFill="1" applyBorder="1" applyAlignment="1">
      <alignment horizontal="left" wrapText="1"/>
    </xf>
    <xf numFmtId="0" fontId="13" fillId="8" borderId="2" xfId="0" applyFont="1" applyFill="1" applyBorder="1" applyAlignment="1">
      <alignment horizontal="center" wrapText="1"/>
    </xf>
    <xf numFmtId="0" fontId="13" fillId="8" borderId="3" xfId="0" applyFont="1" applyFill="1" applyBorder="1" applyAlignment="1">
      <alignment horizontal="center" wrapText="1"/>
    </xf>
    <xf numFmtId="0" fontId="13" fillId="8" borderId="4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left" wrapText="1"/>
    </xf>
    <xf numFmtId="0" fontId="16" fillId="6" borderId="3" xfId="0" applyFont="1" applyFill="1" applyBorder="1" applyAlignment="1">
      <alignment horizontal="left" wrapText="1"/>
    </xf>
    <xf numFmtId="0" fontId="16" fillId="6" borderId="2" xfId="0" applyFont="1" applyFill="1" applyBorder="1" applyAlignment="1">
      <alignment horizontal="center" wrapText="1"/>
    </xf>
    <xf numFmtId="0" fontId="16" fillId="6" borderId="3" xfId="0" applyFont="1" applyFill="1" applyBorder="1" applyAlignment="1">
      <alignment horizontal="center" wrapText="1"/>
    </xf>
    <xf numFmtId="0" fontId="16" fillId="6" borderId="4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42" fillId="0" borderId="3" xfId="0" applyFont="1" applyBorder="1" applyAlignment="1">
      <alignment horizontal="left" vertical="center" wrapText="1"/>
    </xf>
    <xf numFmtId="0" fontId="42" fillId="0" borderId="4" xfId="0" applyFont="1" applyBorder="1" applyAlignment="1">
      <alignment horizontal="left" vertical="center" wrapText="1"/>
    </xf>
    <xf numFmtId="0" fontId="16" fillId="6" borderId="2" xfId="0" applyFont="1" applyFill="1" applyBorder="1" applyAlignment="1">
      <alignment horizontal="center"/>
    </xf>
    <xf numFmtId="0" fontId="16" fillId="9" borderId="2" xfId="0" applyFont="1" applyFill="1" applyBorder="1" applyAlignment="1">
      <alignment horizontal="center" vertical="center" wrapText="1"/>
    </xf>
    <xf numFmtId="0" fontId="16" fillId="9" borderId="3" xfId="0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center" wrapText="1"/>
    </xf>
    <xf numFmtId="0" fontId="16" fillId="9" borderId="2" xfId="0" applyFont="1" applyFill="1" applyBorder="1" applyAlignment="1">
      <alignment horizontal="left" wrapText="1"/>
    </xf>
    <xf numFmtId="0" fontId="16" fillId="9" borderId="3" xfId="0" applyFont="1" applyFill="1" applyBorder="1" applyAlignment="1">
      <alignment horizontal="left" wrapText="1"/>
    </xf>
    <xf numFmtId="0" fontId="16" fillId="9" borderId="2" xfId="0" applyFont="1" applyFill="1" applyBorder="1" applyAlignment="1">
      <alignment horizontal="center" wrapText="1"/>
    </xf>
    <xf numFmtId="0" fontId="16" fillId="9" borderId="3" xfId="0" applyFont="1" applyFill="1" applyBorder="1" applyAlignment="1">
      <alignment horizontal="center" wrapText="1"/>
    </xf>
    <xf numFmtId="0" fontId="16" fillId="9" borderId="4" xfId="0" applyFont="1" applyFill="1" applyBorder="1" applyAlignment="1">
      <alignment horizontal="center" wrapText="1"/>
    </xf>
    <xf numFmtId="0" fontId="33" fillId="0" borderId="3" xfId="0" applyFont="1" applyBorder="1" applyAlignment="1">
      <alignment horizontal="left" vertical="center" wrapText="1"/>
    </xf>
    <xf numFmtId="0" fontId="33" fillId="0" borderId="4" xfId="0" applyFont="1" applyBorder="1" applyAlignment="1">
      <alignment horizontal="left" vertical="center" wrapText="1"/>
    </xf>
    <xf numFmtId="0" fontId="16" fillId="9" borderId="2" xfId="0" applyFont="1" applyFill="1" applyBorder="1" applyAlignment="1">
      <alignment horizontal="center"/>
    </xf>
    <xf numFmtId="0" fontId="17" fillId="9" borderId="3" xfId="0" applyFont="1" applyFill="1" applyBorder="1" applyAlignment="1">
      <alignment horizontal="center"/>
    </xf>
    <xf numFmtId="0" fontId="17" fillId="9" borderId="4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left" wrapText="1"/>
    </xf>
    <xf numFmtId="0" fontId="13" fillId="2" borderId="3" xfId="0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36" fillId="5" borderId="2" xfId="0" applyFont="1" applyFill="1" applyBorder="1" applyAlignment="1">
      <alignment horizontal="center"/>
    </xf>
    <xf numFmtId="0" fontId="36" fillId="5" borderId="3" xfId="0" applyFont="1" applyFill="1" applyBorder="1" applyAlignment="1">
      <alignment horizontal="center"/>
    </xf>
    <xf numFmtId="0" fontId="36" fillId="5" borderId="4" xfId="0" applyFont="1" applyFill="1" applyBorder="1" applyAlignment="1">
      <alignment horizontal="center"/>
    </xf>
    <xf numFmtId="0" fontId="36" fillId="5" borderId="2" xfId="0" applyFont="1" applyFill="1" applyBorder="1" applyAlignment="1">
      <alignment horizontal="left" wrapText="1"/>
    </xf>
    <xf numFmtId="0" fontId="36" fillId="5" borderId="3" xfId="0" applyFont="1" applyFill="1" applyBorder="1" applyAlignment="1">
      <alignment horizontal="left" wrapText="1"/>
    </xf>
    <xf numFmtId="0" fontId="36" fillId="5" borderId="2" xfId="0" applyFont="1" applyFill="1" applyBorder="1" applyAlignment="1">
      <alignment horizontal="center" wrapText="1"/>
    </xf>
    <xf numFmtId="0" fontId="36" fillId="5" borderId="3" xfId="0" applyFont="1" applyFill="1" applyBorder="1" applyAlignment="1">
      <alignment horizontal="center" wrapText="1"/>
    </xf>
    <xf numFmtId="0" fontId="36" fillId="5" borderId="4" xfId="0" applyFont="1" applyFill="1" applyBorder="1" applyAlignment="1">
      <alignment horizontal="center" wrapText="1"/>
    </xf>
    <xf numFmtId="0" fontId="36" fillId="5" borderId="2" xfId="0" applyFont="1" applyFill="1" applyBorder="1" applyAlignment="1">
      <alignment horizontal="center" vertical="center" wrapText="1"/>
    </xf>
    <xf numFmtId="0" fontId="36" fillId="5" borderId="3" xfId="0" applyFont="1" applyFill="1" applyBorder="1" applyAlignment="1">
      <alignment horizontal="center" vertical="center" wrapText="1"/>
    </xf>
    <xf numFmtId="0" fontId="36" fillId="5" borderId="4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/>
    </xf>
    <xf numFmtId="0" fontId="16" fillId="8" borderId="2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wrapText="1"/>
    </xf>
    <xf numFmtId="0" fontId="16" fillId="8" borderId="4" xfId="0" applyFont="1" applyFill="1" applyBorder="1" applyAlignment="1">
      <alignment horizontal="center" wrapText="1"/>
    </xf>
    <xf numFmtId="0" fontId="16" fillId="8" borderId="2" xfId="0" applyFont="1" applyFill="1" applyBorder="1" applyAlignment="1">
      <alignment horizontal="left" wrapText="1"/>
    </xf>
    <xf numFmtId="0" fontId="16" fillId="8" borderId="3" xfId="0" applyFont="1" applyFill="1" applyBorder="1" applyAlignment="1">
      <alignment horizontal="left" wrapText="1"/>
    </xf>
    <xf numFmtId="0" fontId="16" fillId="8" borderId="3" xfId="0" applyFont="1" applyFill="1" applyBorder="1" applyAlignment="1">
      <alignment horizontal="center" wrapText="1"/>
    </xf>
    <xf numFmtId="0" fontId="37" fillId="15" borderId="2" xfId="0" applyFont="1" applyFill="1" applyBorder="1" applyAlignment="1">
      <alignment horizontal="left" vertical="center" wrapText="1"/>
    </xf>
    <xf numFmtId="0" fontId="37" fillId="15" borderId="3" xfId="0" applyFont="1" applyFill="1" applyBorder="1" applyAlignment="1">
      <alignment horizontal="left" vertical="center" wrapText="1"/>
    </xf>
    <xf numFmtId="0" fontId="37" fillId="15" borderId="4" xfId="0" applyFont="1" applyFill="1" applyBorder="1" applyAlignment="1">
      <alignment horizontal="left" vertical="center" wrapText="1"/>
    </xf>
    <xf numFmtId="0" fontId="16" fillId="18" borderId="2" xfId="0" applyFont="1" applyFill="1" applyBorder="1" applyAlignment="1">
      <alignment horizontal="center"/>
    </xf>
    <xf numFmtId="0" fontId="16" fillId="18" borderId="3" xfId="0" applyFont="1" applyFill="1" applyBorder="1" applyAlignment="1">
      <alignment horizontal="center"/>
    </xf>
    <xf numFmtId="0" fontId="16" fillId="18" borderId="4" xfId="0" applyFont="1" applyFill="1" applyBorder="1" applyAlignment="1">
      <alignment horizontal="center"/>
    </xf>
    <xf numFmtId="0" fontId="16" fillId="18" borderId="2" xfId="0" applyFont="1" applyFill="1" applyBorder="1" applyAlignment="1">
      <alignment horizontal="left" wrapText="1"/>
    </xf>
    <xf numFmtId="0" fontId="16" fillId="18" borderId="3" xfId="0" applyFont="1" applyFill="1" applyBorder="1" applyAlignment="1">
      <alignment horizontal="left" wrapText="1"/>
    </xf>
    <xf numFmtId="0" fontId="16" fillId="18" borderId="2" xfId="0" applyFont="1" applyFill="1" applyBorder="1" applyAlignment="1">
      <alignment horizontal="center" wrapText="1"/>
    </xf>
    <xf numFmtId="0" fontId="16" fillId="18" borderId="3" xfId="0" applyFont="1" applyFill="1" applyBorder="1" applyAlignment="1">
      <alignment horizontal="center" wrapText="1"/>
    </xf>
    <xf numFmtId="0" fontId="16" fillId="18" borderId="4" xfId="0" applyFont="1" applyFill="1" applyBorder="1" applyAlignment="1">
      <alignment horizontal="center" wrapText="1"/>
    </xf>
    <xf numFmtId="0" fontId="16" fillId="18" borderId="2" xfId="0" applyFont="1" applyFill="1" applyBorder="1" applyAlignment="1">
      <alignment horizontal="center" vertical="center" wrapText="1"/>
    </xf>
    <xf numFmtId="0" fontId="16" fillId="18" borderId="3" xfId="0" applyFont="1" applyFill="1" applyBorder="1" applyAlignment="1">
      <alignment horizontal="center" vertical="center" wrapText="1"/>
    </xf>
    <xf numFmtId="0" fontId="16" fillId="18" borderId="4" xfId="0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/>
    </xf>
    <xf numFmtId="0" fontId="13" fillId="8" borderId="4" xfId="0" applyFont="1" applyFill="1" applyBorder="1" applyAlignment="1">
      <alignment horizontal="center"/>
    </xf>
    <xf numFmtId="0" fontId="12" fillId="0" borderId="0" xfId="0" applyFont="1"/>
    <xf numFmtId="0" fontId="25" fillId="15" borderId="3" xfId="0" applyFont="1" applyFill="1" applyBorder="1" applyAlignment="1">
      <alignment horizontal="left" vertical="center" wrapText="1"/>
    </xf>
    <xf numFmtId="0" fontId="25" fillId="15" borderId="4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center"/>
    </xf>
    <xf numFmtId="0" fontId="16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 wrapText="1"/>
    </xf>
    <xf numFmtId="0" fontId="16" fillId="3" borderId="3" xfId="0" applyFont="1" applyFill="1" applyBorder="1" applyAlignment="1">
      <alignment horizontal="left" wrapText="1"/>
    </xf>
    <xf numFmtId="0" fontId="16" fillId="3" borderId="2" xfId="0" applyFont="1" applyFill="1" applyBorder="1" applyAlignment="1">
      <alignment horizontal="center" wrapText="1"/>
    </xf>
    <xf numFmtId="0" fontId="16" fillId="3" borderId="3" xfId="0" applyFont="1" applyFill="1" applyBorder="1" applyAlignment="1">
      <alignment horizontal="center" wrapText="1"/>
    </xf>
    <xf numFmtId="0" fontId="16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F2F2"/>
      <color rgb="FFA03A7C"/>
      <color rgb="FFFFCC00"/>
      <color rgb="FF000000"/>
      <color rgb="FFCC3399"/>
      <color rgb="FF990099"/>
      <color rgb="FFFF3300"/>
      <color rgb="FFB43634"/>
      <color rgb="FFFF4B2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e%20Hill/Documents/BT%20PREMIERSHIP/Season%202018-19/Prem%2018-19%20Results%20&amp;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e%20Hill/Documents/BT%20PREMIERSHIP/2016-17%20Season/Prem%20Club%20by%20Club%20Results%20&amp;%20Tables%202016-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T%20PREMIERSHIP/2015-16%20Season/Prem%20Club%20by%20Club%20Results%20&amp;%20Tables%202015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"/>
      <sheetName val="Yr-By-Yr"/>
      <sheetName val="18-19 Sum"/>
      <sheetName val="Cards"/>
      <sheetName val="Stats"/>
      <sheetName val="Form"/>
      <sheetName val="Table"/>
      <sheetName val="Results"/>
      <sheetName val="BTH"/>
      <sheetName val="BRI"/>
      <sheetName val="EXE"/>
      <sheetName val="GLO"/>
      <sheetName val="HAR"/>
      <sheetName val="LEIC"/>
      <sheetName val="NEW"/>
      <sheetName val="NOR"/>
      <sheetName val="SAL"/>
      <sheetName val="SAR"/>
      <sheetName val="WAS"/>
      <sheetName val="WOR"/>
    </sheetNames>
    <sheetDataSet>
      <sheetData sheetId="0">
        <row r="3">
          <cell r="B3">
            <v>494</v>
          </cell>
          <cell r="C3">
            <v>275</v>
          </cell>
          <cell r="D3">
            <v>212</v>
          </cell>
          <cell r="E3">
            <v>19</v>
          </cell>
          <cell r="G3">
            <v>11071</v>
          </cell>
          <cell r="H3">
            <v>9789</v>
          </cell>
          <cell r="J3">
            <v>1121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7">
          <cell r="F37">
            <v>481</v>
          </cell>
          <cell r="G37">
            <v>480</v>
          </cell>
          <cell r="J37">
            <v>52</v>
          </cell>
          <cell r="L37">
            <v>2</v>
          </cell>
          <cell r="N37">
            <v>11</v>
          </cell>
          <cell r="O37">
            <v>1</v>
          </cell>
          <cell r="R37">
            <v>54</v>
          </cell>
          <cell r="Y37">
            <v>22</v>
          </cell>
          <cell r="AB37">
            <v>10</v>
          </cell>
        </row>
      </sheetData>
      <sheetData sheetId="9">
        <row r="36">
          <cell r="H36">
            <v>6</v>
          </cell>
          <cell r="L36">
            <v>0</v>
          </cell>
          <cell r="P36">
            <v>10</v>
          </cell>
        </row>
        <row r="38">
          <cell r="F38">
            <v>503</v>
          </cell>
          <cell r="G38">
            <v>580</v>
          </cell>
          <cell r="J38">
            <v>55</v>
          </cell>
          <cell r="L38">
            <v>0</v>
          </cell>
          <cell r="N38">
            <v>7</v>
          </cell>
          <cell r="O38">
            <v>1</v>
          </cell>
          <cell r="R38">
            <v>74</v>
          </cell>
          <cell r="Y38">
            <v>22</v>
          </cell>
          <cell r="Z38">
            <v>9</v>
          </cell>
          <cell r="AA38">
            <v>1</v>
          </cell>
          <cell r="AB38">
            <v>12</v>
          </cell>
        </row>
      </sheetData>
      <sheetData sheetId="10">
        <row r="37">
          <cell r="H37">
            <v>14</v>
          </cell>
          <cell r="P37">
            <v>6</v>
          </cell>
          <cell r="AA37">
            <v>0</v>
          </cell>
        </row>
        <row r="39">
          <cell r="F39">
            <v>706</v>
          </cell>
          <cell r="G39">
            <v>487</v>
          </cell>
          <cell r="J39">
            <v>100</v>
          </cell>
          <cell r="L39">
            <v>0</v>
          </cell>
          <cell r="N39">
            <v>8</v>
          </cell>
          <cell r="O39">
            <v>0</v>
          </cell>
          <cell r="R39">
            <v>58</v>
          </cell>
          <cell r="Y39">
            <v>24</v>
          </cell>
          <cell r="Z39">
            <v>18</v>
          </cell>
          <cell r="AB39">
            <v>6</v>
          </cell>
        </row>
      </sheetData>
      <sheetData sheetId="11">
        <row r="36">
          <cell r="H36">
            <v>10</v>
          </cell>
          <cell r="P36">
            <v>6</v>
          </cell>
        </row>
        <row r="38">
          <cell r="F38">
            <v>606</v>
          </cell>
          <cell r="G38">
            <v>559</v>
          </cell>
          <cell r="J38">
            <v>78</v>
          </cell>
          <cell r="L38">
            <v>0</v>
          </cell>
          <cell r="N38">
            <v>8</v>
          </cell>
          <cell r="O38">
            <v>0</v>
          </cell>
          <cell r="R38">
            <v>66</v>
          </cell>
          <cell r="Y38">
            <v>23</v>
          </cell>
          <cell r="Z38">
            <v>13</v>
          </cell>
          <cell r="AA38">
            <v>1</v>
          </cell>
          <cell r="AB38">
            <v>9</v>
          </cell>
        </row>
      </sheetData>
      <sheetData sheetId="12">
        <row r="37">
          <cell r="H37">
            <v>7</v>
          </cell>
          <cell r="P37">
            <v>6</v>
          </cell>
        </row>
        <row r="39">
          <cell r="F39">
            <v>544</v>
          </cell>
          <cell r="G39">
            <v>528</v>
          </cell>
          <cell r="J39">
            <v>63</v>
          </cell>
          <cell r="L39">
            <v>0</v>
          </cell>
          <cell r="N39">
            <v>13</v>
          </cell>
          <cell r="O39">
            <v>0</v>
          </cell>
          <cell r="R39">
            <v>56</v>
          </cell>
          <cell r="Y39">
            <v>22</v>
          </cell>
          <cell r="Z39">
            <v>10</v>
          </cell>
          <cell r="AA39">
            <v>0</v>
          </cell>
          <cell r="AB39">
            <v>12</v>
          </cell>
        </row>
      </sheetData>
      <sheetData sheetId="13">
        <row r="35">
          <cell r="H35">
            <v>5</v>
          </cell>
          <cell r="P35">
            <v>10</v>
          </cell>
        </row>
        <row r="37">
          <cell r="F37">
            <v>478</v>
          </cell>
          <cell r="G37">
            <v>632</v>
          </cell>
          <cell r="J37">
            <v>47</v>
          </cell>
          <cell r="L37">
            <v>0</v>
          </cell>
          <cell r="N37">
            <v>7</v>
          </cell>
          <cell r="O37">
            <v>4</v>
          </cell>
          <cell r="R37">
            <v>81</v>
          </cell>
          <cell r="Y37">
            <v>22</v>
          </cell>
          <cell r="Z37">
            <v>7</v>
          </cell>
          <cell r="AA37">
            <v>0</v>
          </cell>
          <cell r="AB37">
            <v>15</v>
          </cell>
        </row>
      </sheetData>
      <sheetData sheetId="14">
        <row r="36">
          <cell r="H36">
            <v>1</v>
          </cell>
          <cell r="P36">
            <v>9</v>
          </cell>
          <cell r="AA36">
            <v>0</v>
          </cell>
        </row>
        <row r="38">
          <cell r="F38">
            <v>395</v>
          </cell>
          <cell r="G38">
            <v>541</v>
          </cell>
          <cell r="J38">
            <v>43</v>
          </cell>
          <cell r="L38">
            <v>0</v>
          </cell>
          <cell r="N38">
            <v>9</v>
          </cell>
          <cell r="O38">
            <v>0</v>
          </cell>
          <cell r="R38">
            <v>66</v>
          </cell>
          <cell r="Y38">
            <v>22</v>
          </cell>
          <cell r="Z38">
            <v>6</v>
          </cell>
          <cell r="AB38">
            <v>16</v>
          </cell>
        </row>
      </sheetData>
      <sheetData sheetId="15">
        <row r="40">
          <cell r="H40">
            <v>8</v>
          </cell>
          <cell r="P40">
            <v>7</v>
          </cell>
        </row>
        <row r="42">
          <cell r="F42">
            <v>602</v>
          </cell>
          <cell r="G42">
            <v>563</v>
          </cell>
          <cell r="J42">
            <v>75</v>
          </cell>
          <cell r="L42">
            <v>0</v>
          </cell>
          <cell r="R42">
            <v>68</v>
          </cell>
          <cell r="Y42">
            <v>23</v>
          </cell>
          <cell r="Z42">
            <v>11</v>
          </cell>
          <cell r="AA42">
            <v>0</v>
          </cell>
          <cell r="AB42">
            <v>12</v>
          </cell>
        </row>
      </sheetData>
      <sheetData sheetId="16">
        <row r="37">
          <cell r="F37">
            <v>462</v>
          </cell>
          <cell r="G37">
            <v>504</v>
          </cell>
          <cell r="H37">
            <v>3</v>
          </cell>
          <cell r="P37">
            <v>7</v>
          </cell>
        </row>
        <row r="39">
          <cell r="J39">
            <v>52</v>
          </cell>
          <cell r="L39">
            <v>0</v>
          </cell>
          <cell r="N39">
            <v>6</v>
          </cell>
          <cell r="O39">
            <v>0</v>
          </cell>
          <cell r="R39">
            <v>62</v>
          </cell>
          <cell r="Y39">
            <v>22</v>
          </cell>
          <cell r="Z39">
            <v>11</v>
          </cell>
          <cell r="AA39">
            <v>2</v>
          </cell>
          <cell r="AB39">
            <v>9</v>
          </cell>
        </row>
      </sheetData>
      <sheetData sheetId="17">
        <row r="42">
          <cell r="H42">
            <v>10</v>
          </cell>
          <cell r="P42">
            <v>2</v>
          </cell>
        </row>
        <row r="44">
          <cell r="F44">
            <v>725</v>
          </cell>
          <cell r="G44">
            <v>493</v>
          </cell>
          <cell r="J44">
            <v>88</v>
          </cell>
          <cell r="L44">
            <v>0</v>
          </cell>
          <cell r="N44">
            <v>18</v>
          </cell>
          <cell r="O44">
            <v>0</v>
          </cell>
          <cell r="R44">
            <v>52</v>
          </cell>
          <cell r="Y44">
            <v>24</v>
          </cell>
          <cell r="Z44">
            <v>18</v>
          </cell>
          <cell r="AA44">
            <v>0</v>
          </cell>
          <cell r="AB44">
            <v>6</v>
          </cell>
        </row>
      </sheetData>
      <sheetData sheetId="18">
        <row r="35">
          <cell r="H35">
            <v>7</v>
          </cell>
          <cell r="P35">
            <v>6</v>
          </cell>
        </row>
        <row r="37">
          <cell r="F37">
            <v>483</v>
          </cell>
          <cell r="G37">
            <v>552</v>
          </cell>
          <cell r="J37">
            <v>56</v>
          </cell>
          <cell r="L37">
            <v>0</v>
          </cell>
          <cell r="N37">
            <v>8</v>
          </cell>
          <cell r="O37">
            <v>0</v>
          </cell>
          <cell r="R37">
            <v>62</v>
          </cell>
          <cell r="Y37">
            <v>22</v>
          </cell>
          <cell r="Z37">
            <v>10</v>
          </cell>
          <cell r="AA37">
            <v>0</v>
          </cell>
          <cell r="AB37">
            <v>12</v>
          </cell>
        </row>
      </sheetData>
      <sheetData sheetId="19">
        <row r="37">
          <cell r="H37">
            <v>6</v>
          </cell>
          <cell r="P37">
            <v>7</v>
          </cell>
        </row>
        <row r="39">
          <cell r="F39">
            <v>491</v>
          </cell>
          <cell r="G39">
            <v>557</v>
          </cell>
          <cell r="J39">
            <v>56</v>
          </cell>
          <cell r="L39">
            <v>0</v>
          </cell>
          <cell r="N39">
            <v>8</v>
          </cell>
          <cell r="O39">
            <v>1</v>
          </cell>
          <cell r="R39">
            <v>66</v>
          </cell>
          <cell r="Y39">
            <v>22</v>
          </cell>
          <cell r="Z39">
            <v>9</v>
          </cell>
          <cell r="AA39">
            <v>0</v>
          </cell>
          <cell r="AB39">
            <v>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"/>
      <sheetName val="Yr-By-Yr"/>
      <sheetName val="Cards"/>
      <sheetName val="Stats"/>
      <sheetName val="Form"/>
      <sheetName val="Table"/>
      <sheetName val="Results"/>
      <sheetName val="BTH"/>
      <sheetName val="BRI"/>
      <sheetName val="EXE"/>
      <sheetName val="GLO"/>
      <sheetName val="HAR"/>
      <sheetName val="LEIC"/>
      <sheetName val="NEW"/>
      <sheetName val="NOR"/>
      <sheetName val="SAL"/>
      <sheetName val="SAR"/>
      <sheetName val="WAS"/>
      <sheetName val="W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5">
          <cell r="N35">
            <v>10</v>
          </cell>
          <cell r="O35">
            <v>1</v>
          </cell>
        </row>
      </sheetData>
      <sheetData sheetId="9">
        <row r="39">
          <cell r="N39">
            <v>5</v>
          </cell>
          <cell r="O39">
            <v>2</v>
          </cell>
        </row>
      </sheetData>
      <sheetData sheetId="10">
        <row r="40">
          <cell r="N40">
            <v>2</v>
          </cell>
          <cell r="O40">
            <v>0</v>
          </cell>
        </row>
      </sheetData>
      <sheetData sheetId="11"/>
      <sheetData sheetId="12">
        <row r="39">
          <cell r="N39">
            <v>12</v>
          </cell>
          <cell r="O39">
            <v>0</v>
          </cell>
        </row>
      </sheetData>
      <sheetData sheetId="13">
        <row r="37">
          <cell r="N37">
            <v>13</v>
          </cell>
          <cell r="O37">
            <v>1</v>
          </cell>
        </row>
      </sheetData>
      <sheetData sheetId="14">
        <row r="37">
          <cell r="N37">
            <v>10</v>
          </cell>
          <cell r="O37">
            <v>2</v>
          </cell>
        </row>
      </sheetData>
      <sheetData sheetId="15"/>
      <sheetData sheetId="16">
        <row r="42">
          <cell r="N42">
            <v>0</v>
          </cell>
          <cell r="O42">
            <v>0</v>
          </cell>
        </row>
      </sheetData>
      <sheetData sheetId="17">
        <row r="40">
          <cell r="N40">
            <v>3</v>
          </cell>
          <cell r="O40">
            <v>0</v>
          </cell>
        </row>
      </sheetData>
      <sheetData sheetId="18">
        <row r="35">
          <cell r="N35">
            <v>9</v>
          </cell>
          <cell r="O35">
            <v>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Yr-By-Yr"/>
      <sheetName val="Cards"/>
      <sheetName val="Team Stats"/>
      <sheetName val="Form"/>
      <sheetName val="Table"/>
      <sheetName val="Results"/>
      <sheetName val="BTH"/>
      <sheetName val="EXE"/>
      <sheetName val="GLO"/>
      <sheetName val="HAR"/>
      <sheetName val="LEI"/>
      <sheetName val="LIR"/>
      <sheetName val="NEW"/>
      <sheetName val="NOR"/>
      <sheetName val="SAL"/>
      <sheetName val="SAR"/>
      <sheetName val="WAS"/>
      <sheetName val="W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6">
          <cell r="AB36">
            <v>1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9"/>
  <sheetViews>
    <sheetView tabSelected="1" topLeftCell="A36" workbookViewId="0">
      <selection activeCell="J47" sqref="J47"/>
    </sheetView>
  </sheetViews>
  <sheetFormatPr defaultRowHeight="14.3" x14ac:dyDescent="0.25"/>
  <cols>
    <col min="2" max="2" width="16.5" bestFit="1" customWidth="1"/>
    <col min="3" max="4" width="4.75" customWidth="1"/>
    <col min="5" max="5" width="16.5" bestFit="1" customWidth="1"/>
    <col min="6" max="6" width="3" bestFit="1" customWidth="1"/>
    <col min="7" max="7" width="2.875" bestFit="1" customWidth="1"/>
    <col min="8" max="8" width="2" bestFit="1" customWidth="1"/>
    <col min="9" max="9" width="33.75" bestFit="1" customWidth="1"/>
    <col min="10" max="10" width="47.25" bestFit="1" customWidth="1"/>
    <col min="11" max="12" width="10.125" bestFit="1" customWidth="1"/>
  </cols>
  <sheetData>
    <row r="1" spans="1:12" x14ac:dyDescent="0.25">
      <c r="A1" s="245">
        <v>44961</v>
      </c>
      <c r="B1" s="115" t="s">
        <v>105</v>
      </c>
      <c r="C1" s="124">
        <v>39</v>
      </c>
      <c r="D1" s="127">
        <v>0</v>
      </c>
      <c r="E1" s="126" t="s">
        <v>101</v>
      </c>
      <c r="F1" s="246">
        <v>20</v>
      </c>
      <c r="G1" s="246">
        <v>0</v>
      </c>
      <c r="H1" s="127"/>
      <c r="I1" s="126" t="s">
        <v>106</v>
      </c>
      <c r="J1" t="s">
        <v>107</v>
      </c>
      <c r="K1" s="115"/>
      <c r="L1" s="115"/>
    </row>
    <row r="2" spans="1:12" x14ac:dyDescent="0.25">
      <c r="A2" s="245">
        <v>44968</v>
      </c>
      <c r="B2" s="115" t="s">
        <v>84</v>
      </c>
      <c r="C2" s="124">
        <v>38</v>
      </c>
      <c r="D2" s="127">
        <v>12</v>
      </c>
      <c r="E2" s="126" t="s">
        <v>108</v>
      </c>
      <c r="F2" s="246">
        <v>33</v>
      </c>
      <c r="G2" s="246">
        <v>5</v>
      </c>
      <c r="H2" s="127"/>
      <c r="I2" s="126" t="s">
        <v>109</v>
      </c>
      <c r="J2" t="s">
        <v>87</v>
      </c>
      <c r="K2" s="115"/>
      <c r="L2" s="115"/>
    </row>
    <row r="3" spans="1:12" x14ac:dyDescent="0.25">
      <c r="A3" s="245">
        <v>44976</v>
      </c>
      <c r="B3" s="126" t="s">
        <v>74</v>
      </c>
      <c r="C3" s="124">
        <v>70</v>
      </c>
      <c r="D3" s="127">
        <v>0</v>
      </c>
      <c r="E3" s="126" t="s">
        <v>84</v>
      </c>
      <c r="F3" s="246"/>
      <c r="G3" s="246"/>
      <c r="H3" s="127"/>
      <c r="I3" s="126" t="s">
        <v>109</v>
      </c>
      <c r="K3" s="115"/>
      <c r="L3" s="115"/>
    </row>
    <row r="4" spans="1:12" x14ac:dyDescent="0.25">
      <c r="A4" s="245">
        <v>44982</v>
      </c>
      <c r="B4" s="126" t="s">
        <v>74</v>
      </c>
      <c r="C4" s="124">
        <v>90</v>
      </c>
      <c r="D4" s="127">
        <v>5</v>
      </c>
      <c r="E4" s="126" t="s">
        <v>108</v>
      </c>
      <c r="F4" s="246">
        <v>43</v>
      </c>
      <c r="G4" s="246">
        <v>0</v>
      </c>
      <c r="H4" s="127"/>
      <c r="I4" s="126" t="s">
        <v>109</v>
      </c>
      <c r="J4" t="s">
        <v>110</v>
      </c>
      <c r="K4" s="115"/>
      <c r="L4" s="115"/>
    </row>
    <row r="5" spans="1:12" x14ac:dyDescent="0.25">
      <c r="A5" s="245">
        <v>44989</v>
      </c>
      <c r="B5" s="115" t="s">
        <v>105</v>
      </c>
      <c r="C5" s="246">
        <v>51</v>
      </c>
      <c r="D5" s="247">
        <v>0</v>
      </c>
      <c r="E5" s="126" t="s">
        <v>111</v>
      </c>
      <c r="F5" s="246">
        <v>20</v>
      </c>
      <c r="G5" s="246">
        <v>0</v>
      </c>
      <c r="H5" s="127"/>
      <c r="I5" s="126" t="s">
        <v>106</v>
      </c>
      <c r="J5" t="s">
        <v>107</v>
      </c>
      <c r="K5" s="115"/>
      <c r="L5" s="115"/>
    </row>
    <row r="6" spans="1:12" x14ac:dyDescent="0.25">
      <c r="A6" s="245">
        <v>44989</v>
      </c>
      <c r="B6" s="115" t="s">
        <v>112</v>
      </c>
      <c r="C6" s="124">
        <v>10</v>
      </c>
      <c r="D6" s="127">
        <v>14</v>
      </c>
      <c r="E6" s="126" t="s">
        <v>113</v>
      </c>
      <c r="F6" s="246">
        <v>10</v>
      </c>
      <c r="G6" s="246">
        <v>14</v>
      </c>
      <c r="H6" s="127"/>
      <c r="I6" s="126" t="s">
        <v>106</v>
      </c>
      <c r="J6" t="s">
        <v>114</v>
      </c>
      <c r="K6" s="115"/>
      <c r="L6" s="115"/>
    </row>
    <row r="7" spans="1:12" x14ac:dyDescent="0.25">
      <c r="A7" s="245">
        <v>45003</v>
      </c>
      <c r="B7" s="126" t="s">
        <v>111</v>
      </c>
      <c r="C7" s="246">
        <v>0</v>
      </c>
      <c r="D7" s="247">
        <v>3</v>
      </c>
      <c r="E7" s="126" t="s">
        <v>101</v>
      </c>
      <c r="F7" s="246">
        <v>0</v>
      </c>
      <c r="G7" s="246">
        <v>0</v>
      </c>
      <c r="H7" s="127"/>
      <c r="I7" s="126" t="s">
        <v>106</v>
      </c>
      <c r="J7" t="s">
        <v>115</v>
      </c>
      <c r="K7" s="115"/>
      <c r="L7" s="115"/>
    </row>
    <row r="8" spans="1:12" x14ac:dyDescent="0.25">
      <c r="A8" s="245">
        <v>45010</v>
      </c>
      <c r="B8" s="126" t="s">
        <v>74</v>
      </c>
      <c r="C8" s="246">
        <v>14</v>
      </c>
      <c r="D8" s="247">
        <v>20</v>
      </c>
      <c r="E8" s="126" t="s">
        <v>55</v>
      </c>
      <c r="F8" s="246">
        <v>6</v>
      </c>
      <c r="G8" s="246">
        <v>8</v>
      </c>
      <c r="H8" s="127"/>
      <c r="I8" s="126" t="s">
        <v>179</v>
      </c>
      <c r="J8" t="s">
        <v>178</v>
      </c>
      <c r="K8" s="115"/>
      <c r="L8" s="115"/>
    </row>
    <row r="9" spans="1:12" x14ac:dyDescent="0.25">
      <c r="A9" s="245">
        <v>45010</v>
      </c>
      <c r="B9" s="126" t="s">
        <v>31</v>
      </c>
      <c r="C9" s="246">
        <v>31</v>
      </c>
      <c r="D9" s="247">
        <v>5</v>
      </c>
      <c r="E9" s="126" t="s">
        <v>35</v>
      </c>
      <c r="F9" s="246">
        <v>26</v>
      </c>
      <c r="G9" s="246">
        <v>0</v>
      </c>
      <c r="H9" s="127"/>
      <c r="I9" s="126" t="s">
        <v>160</v>
      </c>
      <c r="J9" t="s">
        <v>167</v>
      </c>
      <c r="K9" s="115"/>
      <c r="L9" s="115"/>
    </row>
    <row r="10" spans="1:12" x14ac:dyDescent="0.25">
      <c r="A10" s="245">
        <v>45010</v>
      </c>
      <c r="B10" s="126" t="s">
        <v>36</v>
      </c>
      <c r="C10" s="246">
        <v>66</v>
      </c>
      <c r="D10" s="247">
        <v>7</v>
      </c>
      <c r="E10" s="126" t="s">
        <v>185</v>
      </c>
      <c r="F10" s="246">
        <v>35</v>
      </c>
      <c r="G10" s="246">
        <v>0</v>
      </c>
      <c r="H10" s="127"/>
      <c r="I10" s="126" t="s">
        <v>179</v>
      </c>
      <c r="J10" t="s">
        <v>178</v>
      </c>
      <c r="K10" s="115"/>
      <c r="L10" s="115"/>
    </row>
    <row r="11" spans="1:12" x14ac:dyDescent="0.25">
      <c r="A11" s="245">
        <v>45010</v>
      </c>
      <c r="B11" s="115" t="s">
        <v>30</v>
      </c>
      <c r="C11" s="124">
        <v>58</v>
      </c>
      <c r="D11" s="127">
        <v>7</v>
      </c>
      <c r="E11" s="126" t="s">
        <v>34</v>
      </c>
      <c r="F11" s="246">
        <v>31</v>
      </c>
      <c r="G11" s="246">
        <v>0</v>
      </c>
      <c r="H11" s="127"/>
      <c r="I11" s="126" t="s">
        <v>160</v>
      </c>
      <c r="J11" t="s">
        <v>159</v>
      </c>
      <c r="K11" s="115"/>
      <c r="L11" s="115"/>
    </row>
    <row r="12" spans="1:12" x14ac:dyDescent="0.25">
      <c r="A12" s="245">
        <v>45011</v>
      </c>
      <c r="B12" s="115" t="s">
        <v>32</v>
      </c>
      <c r="C12" s="124">
        <v>12</v>
      </c>
      <c r="D12" s="127">
        <v>22</v>
      </c>
      <c r="E12" s="126" t="s">
        <v>33</v>
      </c>
      <c r="F12" s="246">
        <v>7</v>
      </c>
      <c r="G12" s="246">
        <v>15</v>
      </c>
      <c r="H12" s="127"/>
      <c r="I12" s="126" t="s">
        <v>160</v>
      </c>
      <c r="J12" t="s">
        <v>168</v>
      </c>
      <c r="K12" s="115"/>
      <c r="L12" s="115"/>
    </row>
    <row r="13" spans="1:12" x14ac:dyDescent="0.25">
      <c r="A13" s="245">
        <v>45017</v>
      </c>
      <c r="B13" s="115" t="s">
        <v>74</v>
      </c>
      <c r="C13" s="124">
        <v>20</v>
      </c>
      <c r="D13" s="127">
        <v>35</v>
      </c>
      <c r="E13" s="126" t="s">
        <v>185</v>
      </c>
      <c r="F13" s="246">
        <v>10</v>
      </c>
      <c r="G13" s="246">
        <v>22</v>
      </c>
      <c r="H13" s="127"/>
      <c r="I13" s="126" t="s">
        <v>179</v>
      </c>
      <c r="J13" t="s">
        <v>178</v>
      </c>
      <c r="K13" s="115"/>
      <c r="L13" s="115"/>
    </row>
    <row r="14" spans="1:12" x14ac:dyDescent="0.25">
      <c r="A14" s="245">
        <v>45017</v>
      </c>
      <c r="B14" s="115" t="s">
        <v>35</v>
      </c>
      <c r="C14" s="124">
        <v>3</v>
      </c>
      <c r="D14" s="127">
        <v>53</v>
      </c>
      <c r="E14" s="126" t="s">
        <v>33</v>
      </c>
      <c r="F14" s="246">
        <v>3</v>
      </c>
      <c r="G14" s="246">
        <v>27</v>
      </c>
      <c r="H14" s="127"/>
      <c r="I14" s="126" t="s">
        <v>160</v>
      </c>
      <c r="J14" t="s">
        <v>203</v>
      </c>
      <c r="K14" s="115"/>
      <c r="L14" s="115"/>
    </row>
    <row r="15" spans="1:12" x14ac:dyDescent="0.25">
      <c r="A15" s="245">
        <v>45017</v>
      </c>
      <c r="B15" s="126" t="s">
        <v>36</v>
      </c>
      <c r="C15" s="124">
        <v>50</v>
      </c>
      <c r="D15" s="127">
        <v>17</v>
      </c>
      <c r="E15" s="126" t="s">
        <v>55</v>
      </c>
      <c r="F15" s="375">
        <v>26</v>
      </c>
      <c r="G15" s="375">
        <v>3</v>
      </c>
      <c r="H15" s="126"/>
      <c r="I15" s="126" t="s">
        <v>192</v>
      </c>
      <c r="J15" t="s">
        <v>178</v>
      </c>
      <c r="K15" s="115"/>
      <c r="L15" s="115"/>
    </row>
    <row r="16" spans="1:12" x14ac:dyDescent="0.25">
      <c r="A16" s="245">
        <v>45017</v>
      </c>
      <c r="B16" s="115" t="s">
        <v>34</v>
      </c>
      <c r="C16" s="124">
        <v>22</v>
      </c>
      <c r="D16" s="127">
        <v>34</v>
      </c>
      <c r="E16" s="126" t="s">
        <v>31</v>
      </c>
      <c r="F16" s="246">
        <v>10</v>
      </c>
      <c r="G16" s="246">
        <v>12</v>
      </c>
      <c r="H16" s="127"/>
      <c r="I16" s="126" t="s">
        <v>160</v>
      </c>
      <c r="J16" t="s">
        <v>216</v>
      </c>
      <c r="K16" s="115"/>
      <c r="L16" s="115"/>
    </row>
    <row r="17" spans="1:12" x14ac:dyDescent="0.25">
      <c r="A17" s="245">
        <v>45018</v>
      </c>
      <c r="B17" s="115" t="s">
        <v>30</v>
      </c>
      <c r="C17" s="124">
        <v>68</v>
      </c>
      <c r="D17" s="127">
        <v>5</v>
      </c>
      <c r="E17" s="126" t="s">
        <v>32</v>
      </c>
      <c r="F17" s="246">
        <v>27</v>
      </c>
      <c r="G17" s="246">
        <v>5</v>
      </c>
      <c r="H17" s="127"/>
      <c r="I17" s="126" t="s">
        <v>160</v>
      </c>
      <c r="J17" t="s">
        <v>222</v>
      </c>
      <c r="K17" s="115"/>
      <c r="L17" s="115"/>
    </row>
    <row r="18" spans="1:12" x14ac:dyDescent="0.25">
      <c r="A18" s="245">
        <v>45031</v>
      </c>
      <c r="B18" s="115" t="s">
        <v>113</v>
      </c>
      <c r="C18" s="124">
        <v>5</v>
      </c>
      <c r="D18" s="127">
        <v>20</v>
      </c>
      <c r="E18" s="126" t="s">
        <v>105</v>
      </c>
      <c r="F18" s="246">
        <v>0</v>
      </c>
      <c r="G18" s="246">
        <v>0</v>
      </c>
      <c r="H18" s="127"/>
      <c r="I18" s="126" t="s">
        <v>106</v>
      </c>
      <c r="J18" t="s">
        <v>229</v>
      </c>
      <c r="K18" s="115"/>
      <c r="L18" s="115"/>
    </row>
    <row r="19" spans="1:12" x14ac:dyDescent="0.25">
      <c r="A19" s="245">
        <v>45031</v>
      </c>
      <c r="B19" s="115" t="s">
        <v>31</v>
      </c>
      <c r="C19" s="124">
        <v>3</v>
      </c>
      <c r="D19" s="127">
        <v>59</v>
      </c>
      <c r="E19" s="126" t="s">
        <v>30</v>
      </c>
      <c r="F19" s="246">
        <v>3</v>
      </c>
      <c r="G19" s="246">
        <v>19</v>
      </c>
      <c r="H19" s="127"/>
      <c r="I19" s="126" t="s">
        <v>160</v>
      </c>
      <c r="J19" t="s">
        <v>167</v>
      </c>
      <c r="K19" s="115"/>
      <c r="L19" s="115"/>
    </row>
    <row r="20" spans="1:12" x14ac:dyDescent="0.25">
      <c r="A20" s="245">
        <v>45031</v>
      </c>
      <c r="B20" s="115" t="s">
        <v>32</v>
      </c>
      <c r="C20" s="124">
        <v>24</v>
      </c>
      <c r="D20" s="127">
        <v>7</v>
      </c>
      <c r="E20" s="126" t="s">
        <v>35</v>
      </c>
      <c r="F20" s="246">
        <v>7</v>
      </c>
      <c r="G20" s="246">
        <v>0</v>
      </c>
      <c r="H20" s="127"/>
      <c r="I20" s="126" t="s">
        <v>160</v>
      </c>
      <c r="J20" t="s">
        <v>168</v>
      </c>
      <c r="K20" s="115"/>
      <c r="L20" s="115"/>
    </row>
    <row r="21" spans="1:12" x14ac:dyDescent="0.25">
      <c r="A21" s="245">
        <v>45032</v>
      </c>
      <c r="B21" s="115" t="s">
        <v>33</v>
      </c>
      <c r="C21" s="124">
        <v>55</v>
      </c>
      <c r="D21" s="127">
        <v>0</v>
      </c>
      <c r="E21" s="126" t="s">
        <v>34</v>
      </c>
      <c r="F21" s="246">
        <v>17</v>
      </c>
      <c r="G21" s="246">
        <v>0</v>
      </c>
      <c r="H21" s="127"/>
      <c r="I21" s="126" t="s">
        <v>160</v>
      </c>
      <c r="J21" t="s">
        <v>238</v>
      </c>
      <c r="K21" s="115"/>
      <c r="L21" s="115"/>
    </row>
    <row r="22" spans="1:12" x14ac:dyDescent="0.25">
      <c r="A22" s="245">
        <v>45038</v>
      </c>
      <c r="B22" s="115" t="s">
        <v>35</v>
      </c>
      <c r="C22" s="124">
        <v>0</v>
      </c>
      <c r="D22" s="127">
        <v>48</v>
      </c>
      <c r="E22" s="126" t="s">
        <v>30</v>
      </c>
      <c r="F22" s="246">
        <v>0</v>
      </c>
      <c r="G22" s="246">
        <v>27</v>
      </c>
      <c r="H22" s="127"/>
      <c r="I22" s="126" t="s">
        <v>160</v>
      </c>
      <c r="J22" t="s">
        <v>203</v>
      </c>
      <c r="K22" s="115"/>
      <c r="L22" s="115"/>
    </row>
    <row r="23" spans="1:12" x14ac:dyDescent="0.25">
      <c r="A23" s="245">
        <v>45038</v>
      </c>
      <c r="B23" s="115" t="s">
        <v>34</v>
      </c>
      <c r="C23" s="124">
        <v>29</v>
      </c>
      <c r="D23" s="127">
        <v>21</v>
      </c>
      <c r="E23" s="126" t="s">
        <v>32</v>
      </c>
      <c r="F23" s="246">
        <v>10</v>
      </c>
      <c r="G23" s="246">
        <v>7</v>
      </c>
      <c r="H23" s="127"/>
      <c r="I23" s="126" t="s">
        <v>160</v>
      </c>
      <c r="J23" t="s">
        <v>216</v>
      </c>
      <c r="K23" s="115"/>
      <c r="L23" s="115"/>
    </row>
    <row r="24" spans="1:12" x14ac:dyDescent="0.25">
      <c r="A24" s="245">
        <v>45039</v>
      </c>
      <c r="B24" s="115" t="s">
        <v>33</v>
      </c>
      <c r="C24" s="124">
        <v>39</v>
      </c>
      <c r="D24" s="127">
        <v>14</v>
      </c>
      <c r="E24" s="126" t="s">
        <v>31</v>
      </c>
      <c r="F24" s="246">
        <v>29</v>
      </c>
      <c r="G24" s="246">
        <v>0</v>
      </c>
      <c r="H24" s="127"/>
      <c r="I24" s="126" t="s">
        <v>160</v>
      </c>
      <c r="J24" t="s">
        <v>253</v>
      </c>
      <c r="K24" s="115"/>
      <c r="L24" s="115"/>
    </row>
    <row r="25" spans="1:12" x14ac:dyDescent="0.25">
      <c r="A25" s="245">
        <v>45045</v>
      </c>
      <c r="B25" s="115" t="s">
        <v>30</v>
      </c>
      <c r="C25" s="124">
        <v>38</v>
      </c>
      <c r="D25" s="127">
        <v>33</v>
      </c>
      <c r="E25" s="126" t="s">
        <v>33</v>
      </c>
      <c r="F25" s="246">
        <v>33</v>
      </c>
      <c r="G25" s="246">
        <v>0</v>
      </c>
      <c r="H25" s="127"/>
      <c r="I25" s="126" t="s">
        <v>160</v>
      </c>
      <c r="J25" t="s">
        <v>263</v>
      </c>
      <c r="K25" s="115"/>
      <c r="L25" s="115"/>
    </row>
    <row r="26" spans="1:12" x14ac:dyDescent="0.25">
      <c r="A26" s="245">
        <v>45045</v>
      </c>
      <c r="B26" s="115" t="s">
        <v>32</v>
      </c>
      <c r="C26" s="124">
        <v>10</v>
      </c>
      <c r="D26" s="127">
        <v>36</v>
      </c>
      <c r="E26" s="126" t="s">
        <v>31</v>
      </c>
      <c r="F26" s="246">
        <v>10</v>
      </c>
      <c r="G26" s="246">
        <v>17</v>
      </c>
      <c r="H26" s="127"/>
      <c r="I26" s="126" t="s">
        <v>160</v>
      </c>
      <c r="J26" t="s">
        <v>168</v>
      </c>
      <c r="K26" s="115"/>
      <c r="L26" s="115"/>
    </row>
    <row r="27" spans="1:12" x14ac:dyDescent="0.25">
      <c r="A27" s="245">
        <v>45045</v>
      </c>
      <c r="B27" s="115" t="s">
        <v>34</v>
      </c>
      <c r="C27" s="124">
        <v>36</v>
      </c>
      <c r="D27" s="127">
        <v>10</v>
      </c>
      <c r="E27" s="126" t="s">
        <v>35</v>
      </c>
      <c r="F27" s="246">
        <v>5</v>
      </c>
      <c r="G27" s="246">
        <v>3</v>
      </c>
      <c r="H27" s="127"/>
      <c r="I27" s="126" t="s">
        <v>160</v>
      </c>
      <c r="J27" t="s">
        <v>216</v>
      </c>
      <c r="K27" s="115"/>
      <c r="L27" s="115"/>
    </row>
    <row r="28" spans="1:12" x14ac:dyDescent="0.25">
      <c r="A28" s="245">
        <v>45047</v>
      </c>
      <c r="B28" s="115" t="s">
        <v>108</v>
      </c>
      <c r="C28" s="124">
        <v>17</v>
      </c>
      <c r="D28" s="127">
        <v>22</v>
      </c>
      <c r="E28" s="126" t="s">
        <v>276</v>
      </c>
      <c r="F28" s="246">
        <v>0</v>
      </c>
      <c r="G28" s="246">
        <v>17</v>
      </c>
      <c r="H28" s="127"/>
      <c r="I28" s="126" t="s">
        <v>179</v>
      </c>
      <c r="J28" t="s">
        <v>87</v>
      </c>
      <c r="K28" s="115"/>
      <c r="L28" s="115"/>
    </row>
    <row r="29" spans="1:12" x14ac:dyDescent="0.25">
      <c r="A29" s="245">
        <v>45052</v>
      </c>
      <c r="B29" s="115" t="s">
        <v>84</v>
      </c>
      <c r="C29" s="124">
        <v>19</v>
      </c>
      <c r="D29" s="127">
        <v>17</v>
      </c>
      <c r="E29" s="126" t="s">
        <v>276</v>
      </c>
      <c r="F29" s="246">
        <v>12</v>
      </c>
      <c r="G29" s="246">
        <v>0</v>
      </c>
      <c r="H29" s="127"/>
      <c r="I29" s="126" t="s">
        <v>179</v>
      </c>
      <c r="J29" t="s">
        <v>87</v>
      </c>
      <c r="K29" s="115"/>
      <c r="L29" s="115"/>
    </row>
    <row r="30" spans="1:12" x14ac:dyDescent="0.25">
      <c r="A30" s="245">
        <v>45066</v>
      </c>
      <c r="B30" s="115" t="s">
        <v>29</v>
      </c>
      <c r="C30" s="124">
        <v>22</v>
      </c>
      <c r="D30" s="127">
        <v>5</v>
      </c>
      <c r="E30" s="126" t="s">
        <v>277</v>
      </c>
      <c r="F30" s="246">
        <v>10</v>
      </c>
      <c r="G30" s="246">
        <v>0</v>
      </c>
      <c r="H30" s="127"/>
      <c r="I30" s="126" t="s">
        <v>179</v>
      </c>
      <c r="J30" t="s">
        <v>278</v>
      </c>
      <c r="K30" s="115"/>
      <c r="L30" s="115"/>
    </row>
    <row r="31" spans="1:12" x14ac:dyDescent="0.25">
      <c r="A31" s="245">
        <v>45066</v>
      </c>
      <c r="B31" s="115" t="s">
        <v>185</v>
      </c>
      <c r="C31" s="124">
        <v>87</v>
      </c>
      <c r="D31" s="127">
        <v>0</v>
      </c>
      <c r="E31" s="126" t="s">
        <v>286</v>
      </c>
      <c r="F31" s="246">
        <v>41</v>
      </c>
      <c r="G31" s="246">
        <v>0</v>
      </c>
      <c r="H31" s="127"/>
      <c r="I31" s="126" t="s">
        <v>287</v>
      </c>
      <c r="J31" t="s">
        <v>288</v>
      </c>
      <c r="K31" s="115"/>
      <c r="L31" s="115"/>
    </row>
    <row r="32" spans="1:12" x14ac:dyDescent="0.25">
      <c r="A32" s="245">
        <v>45066</v>
      </c>
      <c r="B32" s="126" t="s">
        <v>296</v>
      </c>
      <c r="C32" s="124">
        <v>20</v>
      </c>
      <c r="D32" s="127">
        <v>29</v>
      </c>
      <c r="E32" s="126" t="s">
        <v>295</v>
      </c>
      <c r="F32" s="246">
        <v>3</v>
      </c>
      <c r="G32" s="246">
        <v>17</v>
      </c>
      <c r="H32" s="127"/>
      <c r="I32" s="126" t="s">
        <v>287</v>
      </c>
      <c r="J32" t="s">
        <v>288</v>
      </c>
      <c r="K32" s="115"/>
      <c r="L32" s="115"/>
    </row>
    <row r="33" spans="1:12" x14ac:dyDescent="0.25">
      <c r="A33" s="245">
        <v>45069</v>
      </c>
      <c r="B33" s="115" t="s">
        <v>297</v>
      </c>
      <c r="C33" s="124">
        <v>27</v>
      </c>
      <c r="D33" s="127">
        <v>23</v>
      </c>
      <c r="E33" s="126" t="s">
        <v>276</v>
      </c>
      <c r="F33" s="246">
        <v>17</v>
      </c>
      <c r="G33" s="246">
        <v>16</v>
      </c>
      <c r="H33" s="127"/>
      <c r="I33" s="126" t="s">
        <v>298</v>
      </c>
      <c r="J33" t="s">
        <v>299</v>
      </c>
      <c r="K33" s="115"/>
      <c r="L33" s="115"/>
    </row>
    <row r="34" spans="1:12" x14ac:dyDescent="0.25">
      <c r="A34" s="245">
        <v>45070</v>
      </c>
      <c r="B34" s="115" t="s">
        <v>185</v>
      </c>
      <c r="C34" s="124">
        <v>48</v>
      </c>
      <c r="D34" s="127">
        <v>0</v>
      </c>
      <c r="E34" s="126" t="s">
        <v>295</v>
      </c>
      <c r="F34" s="246">
        <v>34</v>
      </c>
      <c r="G34" s="246">
        <v>0</v>
      </c>
      <c r="H34" s="127"/>
      <c r="I34" s="126" t="s">
        <v>287</v>
      </c>
      <c r="J34" t="s">
        <v>288</v>
      </c>
      <c r="K34" s="115"/>
      <c r="L34" s="115"/>
    </row>
    <row r="35" spans="1:12" x14ac:dyDescent="0.25">
      <c r="A35" s="245">
        <v>45070</v>
      </c>
      <c r="B35" s="115" t="s">
        <v>296</v>
      </c>
      <c r="C35" s="124">
        <v>30</v>
      </c>
      <c r="D35" s="127">
        <v>10</v>
      </c>
      <c r="E35" s="126" t="s">
        <v>286</v>
      </c>
      <c r="F35" s="246">
        <v>15</v>
      </c>
      <c r="G35" s="246">
        <v>10</v>
      </c>
      <c r="H35" s="127"/>
      <c r="I35" s="126" t="s">
        <v>287</v>
      </c>
      <c r="J35" t="s">
        <v>288</v>
      </c>
      <c r="K35" s="115"/>
      <c r="L35" s="115"/>
    </row>
    <row r="36" spans="1:12" x14ac:dyDescent="0.25">
      <c r="A36" s="245">
        <v>45072</v>
      </c>
      <c r="B36" s="115" t="s">
        <v>301</v>
      </c>
      <c r="C36" s="124">
        <v>0</v>
      </c>
      <c r="D36" s="127">
        <v>77</v>
      </c>
      <c r="E36" s="126" t="s">
        <v>277</v>
      </c>
      <c r="F36" s="246">
        <v>0</v>
      </c>
      <c r="G36" s="246">
        <v>31</v>
      </c>
      <c r="H36" s="127"/>
      <c r="I36" s="126" t="s">
        <v>302</v>
      </c>
      <c r="J36" t="s">
        <v>303</v>
      </c>
      <c r="K36" s="115"/>
      <c r="L36" s="115"/>
    </row>
    <row r="37" spans="1:12" x14ac:dyDescent="0.25">
      <c r="A37" s="245">
        <v>45072</v>
      </c>
      <c r="B37" s="115" t="s">
        <v>308</v>
      </c>
      <c r="C37" s="124">
        <v>69</v>
      </c>
      <c r="D37" s="127">
        <v>5</v>
      </c>
      <c r="E37" s="126" t="s">
        <v>309</v>
      </c>
      <c r="F37" s="246">
        <v>54</v>
      </c>
      <c r="G37" s="246">
        <v>0</v>
      </c>
      <c r="H37" s="127"/>
      <c r="I37" s="126" t="s">
        <v>302</v>
      </c>
      <c r="J37" t="s">
        <v>303</v>
      </c>
      <c r="K37" s="115"/>
      <c r="L37" s="115"/>
    </row>
    <row r="38" spans="1:12" x14ac:dyDescent="0.25">
      <c r="A38" s="245">
        <v>45074</v>
      </c>
      <c r="B38" s="115" t="s">
        <v>297</v>
      </c>
      <c r="C38" s="124">
        <v>0</v>
      </c>
      <c r="D38" s="127">
        <v>72</v>
      </c>
      <c r="E38" s="126" t="s">
        <v>310</v>
      </c>
      <c r="F38" s="246">
        <v>46</v>
      </c>
      <c r="G38" s="246">
        <v>0</v>
      </c>
      <c r="H38" s="127"/>
      <c r="I38" s="126" t="s">
        <v>298</v>
      </c>
      <c r="J38" t="s">
        <v>299</v>
      </c>
      <c r="K38" s="115"/>
      <c r="L38" s="115"/>
    </row>
    <row r="39" spans="1:12" x14ac:dyDescent="0.25">
      <c r="A39" s="245">
        <v>45074</v>
      </c>
      <c r="B39" s="115" t="s">
        <v>295</v>
      </c>
      <c r="C39" s="124">
        <v>52</v>
      </c>
      <c r="D39" s="127">
        <v>3</v>
      </c>
      <c r="E39" s="126" t="s">
        <v>286</v>
      </c>
      <c r="F39" s="246">
        <v>19</v>
      </c>
      <c r="G39" s="246">
        <v>0</v>
      </c>
      <c r="H39" s="127"/>
      <c r="I39" s="126" t="s">
        <v>287</v>
      </c>
      <c r="J39" t="s">
        <v>288</v>
      </c>
      <c r="K39" s="115"/>
      <c r="L39" s="115"/>
    </row>
    <row r="40" spans="1:12" x14ac:dyDescent="0.25">
      <c r="A40" s="245">
        <v>45074</v>
      </c>
      <c r="B40" s="115" t="s">
        <v>296</v>
      </c>
      <c r="C40" s="124">
        <v>8</v>
      </c>
      <c r="D40" s="127">
        <v>79</v>
      </c>
      <c r="E40" s="126" t="s">
        <v>185</v>
      </c>
      <c r="F40" s="246">
        <v>8</v>
      </c>
      <c r="G40" s="246">
        <v>33</v>
      </c>
      <c r="H40" s="127"/>
      <c r="I40" s="126" t="s">
        <v>287</v>
      </c>
      <c r="J40" t="s">
        <v>288</v>
      </c>
      <c r="K40" s="115"/>
      <c r="L40" s="115"/>
    </row>
    <row r="41" spans="1:12" x14ac:dyDescent="0.25">
      <c r="A41" s="245">
        <v>45076</v>
      </c>
      <c r="B41" s="115" t="s">
        <v>308</v>
      </c>
      <c r="C41" s="124">
        <v>83</v>
      </c>
      <c r="D41" s="127">
        <v>0</v>
      </c>
      <c r="E41" s="126" t="s">
        <v>301</v>
      </c>
      <c r="F41" s="246">
        <v>45</v>
      </c>
      <c r="G41" s="246">
        <v>0</v>
      </c>
      <c r="H41" s="127"/>
      <c r="I41" s="126" t="s">
        <v>302</v>
      </c>
      <c r="J41" t="s">
        <v>303</v>
      </c>
      <c r="K41" s="115"/>
      <c r="L41" s="115"/>
    </row>
    <row r="42" spans="1:12" x14ac:dyDescent="0.25">
      <c r="A42" s="245">
        <v>45076</v>
      </c>
      <c r="B42" s="115" t="s">
        <v>277</v>
      </c>
      <c r="C42" s="124">
        <v>45</v>
      </c>
      <c r="D42" s="127">
        <v>12</v>
      </c>
      <c r="E42" s="126" t="s">
        <v>309</v>
      </c>
      <c r="F42" s="246">
        <v>21</v>
      </c>
      <c r="G42" s="246">
        <v>7</v>
      </c>
      <c r="H42" s="127"/>
      <c r="I42" s="126" t="s">
        <v>302</v>
      </c>
      <c r="J42" t="s">
        <v>303</v>
      </c>
      <c r="K42" s="115"/>
      <c r="L42" s="115"/>
    </row>
    <row r="43" spans="1:12" x14ac:dyDescent="0.25">
      <c r="A43" s="245">
        <v>45081</v>
      </c>
      <c r="B43" s="115" t="s">
        <v>301</v>
      </c>
      <c r="C43" s="124">
        <v>22</v>
      </c>
      <c r="D43" s="127">
        <v>30</v>
      </c>
      <c r="E43" s="126" t="s">
        <v>309</v>
      </c>
      <c r="F43" s="246">
        <v>7</v>
      </c>
      <c r="G43" s="246">
        <v>17</v>
      </c>
      <c r="H43" s="127"/>
      <c r="I43" s="126" t="s">
        <v>302</v>
      </c>
      <c r="J43" t="s">
        <v>303</v>
      </c>
      <c r="K43" s="115"/>
      <c r="L43" s="115"/>
    </row>
    <row r="44" spans="1:12" x14ac:dyDescent="0.25">
      <c r="A44" s="245">
        <v>45081</v>
      </c>
      <c r="B44" s="115" t="s">
        <v>277</v>
      </c>
      <c r="C44" s="124">
        <v>18</v>
      </c>
      <c r="D44" s="127">
        <v>19</v>
      </c>
      <c r="E44" s="126" t="s">
        <v>308</v>
      </c>
      <c r="F44" s="246">
        <v>8</v>
      </c>
      <c r="G44" s="246">
        <v>3</v>
      </c>
      <c r="H44" s="127"/>
      <c r="I44" s="126" t="s">
        <v>302</v>
      </c>
      <c r="J44" t="s">
        <v>303</v>
      </c>
      <c r="K44" s="115"/>
      <c r="L44" s="115"/>
    </row>
    <row r="45" spans="1:12" x14ac:dyDescent="0.25">
      <c r="A45" s="245">
        <v>45106</v>
      </c>
      <c r="B45" s="115" t="s">
        <v>29</v>
      </c>
      <c r="C45" s="124">
        <v>0</v>
      </c>
      <c r="D45" s="127">
        <v>50</v>
      </c>
      <c r="E45" s="126" t="s">
        <v>321</v>
      </c>
      <c r="F45" s="246">
        <v>0</v>
      </c>
      <c r="G45" s="246">
        <v>26</v>
      </c>
      <c r="H45" s="127"/>
      <c r="I45" s="126" t="s">
        <v>549</v>
      </c>
      <c r="J45" t="s">
        <v>322</v>
      </c>
      <c r="K45" s="115"/>
      <c r="L45" s="115"/>
    </row>
    <row r="46" spans="1:12" x14ac:dyDescent="0.25">
      <c r="A46" s="245">
        <v>45112</v>
      </c>
      <c r="B46" s="115" t="s">
        <v>338</v>
      </c>
      <c r="C46" s="124">
        <v>24</v>
      </c>
      <c r="D46" s="127">
        <v>23</v>
      </c>
      <c r="E46" s="126" t="s">
        <v>339</v>
      </c>
      <c r="F46" s="246">
        <v>21</v>
      </c>
      <c r="G46" s="246">
        <v>8</v>
      </c>
      <c r="H46" s="127"/>
      <c r="I46" s="126" t="s">
        <v>179</v>
      </c>
      <c r="J46" s="395" t="s">
        <v>340</v>
      </c>
      <c r="K46" s="115"/>
      <c r="L46" s="115"/>
    </row>
    <row r="47" spans="1:12" x14ac:dyDescent="0.25">
      <c r="A47" s="245">
        <v>45115</v>
      </c>
      <c r="B47" s="115" t="s">
        <v>29</v>
      </c>
      <c r="C47" s="124">
        <v>58</v>
      </c>
      <c r="D47" s="127">
        <v>17</v>
      </c>
      <c r="E47" s="126" t="s">
        <v>55</v>
      </c>
      <c r="F47" s="246">
        <v>27</v>
      </c>
      <c r="G47" s="246">
        <v>5</v>
      </c>
      <c r="H47" s="127"/>
      <c r="I47" s="126" t="s">
        <v>192</v>
      </c>
      <c r="J47" t="s">
        <v>319</v>
      </c>
      <c r="K47" s="115"/>
      <c r="L47" s="115"/>
    </row>
    <row r="48" spans="1:12" x14ac:dyDescent="0.25">
      <c r="A48" s="245">
        <v>45115</v>
      </c>
      <c r="B48" s="115" t="s">
        <v>36</v>
      </c>
      <c r="C48" s="124">
        <v>21</v>
      </c>
      <c r="D48" s="127">
        <v>52</v>
      </c>
      <c r="E48" s="126" t="s">
        <v>321</v>
      </c>
      <c r="F48" s="246">
        <v>14</v>
      </c>
      <c r="G48" s="246">
        <v>21</v>
      </c>
      <c r="H48" s="127"/>
      <c r="I48" s="126" t="s">
        <v>192</v>
      </c>
      <c r="J48" t="s">
        <v>319</v>
      </c>
      <c r="K48" s="115"/>
      <c r="L48" s="115"/>
    </row>
    <row r="49" spans="1:12" x14ac:dyDescent="0.25">
      <c r="A49" s="245">
        <v>45116</v>
      </c>
      <c r="B49" s="115" t="s">
        <v>74</v>
      </c>
      <c r="C49" s="124">
        <v>12</v>
      </c>
      <c r="D49" s="127">
        <v>44</v>
      </c>
      <c r="E49" s="126" t="s">
        <v>310</v>
      </c>
      <c r="F49" s="246">
        <v>0</v>
      </c>
      <c r="G49" s="246">
        <v>0</v>
      </c>
      <c r="H49" s="127"/>
      <c r="I49" s="126" t="s">
        <v>179</v>
      </c>
      <c r="J49" s="404" t="s">
        <v>364</v>
      </c>
      <c r="K49" s="115"/>
      <c r="L49" s="115"/>
    </row>
    <row r="50" spans="1:12" x14ac:dyDescent="0.25">
      <c r="A50" s="245">
        <v>45116</v>
      </c>
      <c r="B50" s="115" t="s">
        <v>338</v>
      </c>
      <c r="C50" s="124">
        <v>30</v>
      </c>
      <c r="D50" s="127">
        <v>19</v>
      </c>
      <c r="E50" s="126" t="s">
        <v>339</v>
      </c>
      <c r="F50" s="246">
        <v>11</v>
      </c>
      <c r="G50" s="246">
        <v>5</v>
      </c>
      <c r="H50" s="127"/>
      <c r="I50" s="126" t="s">
        <v>179</v>
      </c>
      <c r="J50" s="395" t="s">
        <v>340</v>
      </c>
      <c r="K50" s="115"/>
      <c r="L50" s="115"/>
    </row>
    <row r="51" spans="1:12" x14ac:dyDescent="0.25">
      <c r="A51" s="245">
        <v>45487</v>
      </c>
      <c r="B51" s="115" t="s">
        <v>321</v>
      </c>
      <c r="C51" s="124">
        <v>39</v>
      </c>
      <c r="D51" s="127">
        <v>17</v>
      </c>
      <c r="E51" s="126" t="s">
        <v>55</v>
      </c>
      <c r="F51" s="246">
        <v>5</v>
      </c>
      <c r="G51" s="246">
        <v>7</v>
      </c>
      <c r="H51" s="127"/>
      <c r="I51" s="126" t="s">
        <v>192</v>
      </c>
      <c r="J51" t="s">
        <v>319</v>
      </c>
      <c r="K51" s="115"/>
      <c r="L51" s="115"/>
    </row>
    <row r="52" spans="1:12" x14ac:dyDescent="0.25">
      <c r="A52" s="245">
        <v>45487</v>
      </c>
      <c r="B52" s="115" t="s">
        <v>36</v>
      </c>
      <c r="C52" s="124">
        <v>45</v>
      </c>
      <c r="D52" s="127">
        <v>7</v>
      </c>
      <c r="E52" s="126" t="s">
        <v>29</v>
      </c>
      <c r="F52" s="246">
        <v>26</v>
      </c>
      <c r="G52" s="246">
        <v>7</v>
      </c>
      <c r="H52" s="127"/>
      <c r="I52" s="126" t="s">
        <v>192</v>
      </c>
      <c r="J52" t="s">
        <v>319</v>
      </c>
      <c r="K52" s="115"/>
      <c r="L52" s="115"/>
    </row>
    <row r="53" spans="1:12" x14ac:dyDescent="0.25">
      <c r="A53" s="245">
        <v>45488</v>
      </c>
      <c r="B53" s="115" t="s">
        <v>74</v>
      </c>
      <c r="C53" s="124">
        <v>19</v>
      </c>
      <c r="D53" s="127">
        <v>27</v>
      </c>
      <c r="E53" s="126" t="s">
        <v>310</v>
      </c>
      <c r="F53" s="246">
        <v>14</v>
      </c>
      <c r="G53" s="246">
        <v>12</v>
      </c>
      <c r="H53" s="127"/>
      <c r="I53" s="126" t="s">
        <v>394</v>
      </c>
      <c r="J53" t="s">
        <v>362</v>
      </c>
      <c r="K53" s="115"/>
      <c r="L53" s="115"/>
    </row>
    <row r="54" spans="1:12" x14ac:dyDescent="0.25">
      <c r="A54" s="245">
        <v>45495</v>
      </c>
      <c r="B54" s="115" t="s">
        <v>32</v>
      </c>
      <c r="C54" s="124">
        <v>23</v>
      </c>
      <c r="D54" s="127">
        <v>0</v>
      </c>
      <c r="E54" s="126" t="s">
        <v>74</v>
      </c>
      <c r="F54" s="246">
        <v>13</v>
      </c>
      <c r="G54" s="246">
        <v>0</v>
      </c>
      <c r="H54" s="127"/>
      <c r="I54" s="126" t="s">
        <v>395</v>
      </c>
      <c r="J54" t="s">
        <v>363</v>
      </c>
      <c r="K54" s="115"/>
      <c r="L54" s="115"/>
    </row>
    <row r="55" spans="1:12" x14ac:dyDescent="0.25">
      <c r="A55" s="245">
        <v>45545</v>
      </c>
      <c r="B55" s="115" t="s">
        <v>310</v>
      </c>
      <c r="C55" s="124">
        <v>29</v>
      </c>
      <c r="D55" s="127">
        <v>24</v>
      </c>
      <c r="E55" s="126" t="s">
        <v>277</v>
      </c>
      <c r="F55" s="246">
        <v>19</v>
      </c>
      <c r="G55" s="246">
        <v>0</v>
      </c>
      <c r="H55" s="127"/>
      <c r="I55" s="126" t="s">
        <v>394</v>
      </c>
      <c r="J55" t="s">
        <v>369</v>
      </c>
      <c r="K55" s="115"/>
      <c r="L55" s="115"/>
    </row>
    <row r="56" spans="1:12" x14ac:dyDescent="0.25">
      <c r="A56" s="245">
        <v>45551</v>
      </c>
      <c r="B56" s="115" t="s">
        <v>310</v>
      </c>
      <c r="C56" s="124">
        <v>41</v>
      </c>
      <c r="D56" s="127">
        <v>36</v>
      </c>
      <c r="E56" s="126" t="s">
        <v>277</v>
      </c>
      <c r="F56" s="246">
        <v>24</v>
      </c>
      <c r="G56" s="246">
        <v>19</v>
      </c>
      <c r="H56" s="127"/>
      <c r="I56" s="126" t="s">
        <v>395</v>
      </c>
      <c r="J56" t="s">
        <v>396</v>
      </c>
      <c r="K56" s="115"/>
      <c r="L56" s="115"/>
    </row>
    <row r="57" spans="1:12" x14ac:dyDescent="0.25">
      <c r="A57" s="245">
        <v>45551</v>
      </c>
      <c r="B57" s="115" t="s">
        <v>185</v>
      </c>
      <c r="C57" s="124">
        <v>77</v>
      </c>
      <c r="D57" s="127">
        <v>12</v>
      </c>
      <c r="E57" s="126" t="s">
        <v>295</v>
      </c>
      <c r="F57" s="246">
        <v>24</v>
      </c>
      <c r="G57" s="246">
        <v>12</v>
      </c>
      <c r="H57" s="127"/>
      <c r="I57" s="126" t="s">
        <v>179</v>
      </c>
      <c r="J57" t="s">
        <v>397</v>
      </c>
      <c r="K57" s="115"/>
      <c r="L57" s="115"/>
    </row>
    <row r="58" spans="1:12" x14ac:dyDescent="0.25">
      <c r="A58" s="245">
        <v>45558</v>
      </c>
      <c r="B58" s="115" t="s">
        <v>321</v>
      </c>
      <c r="C58" s="124">
        <v>43</v>
      </c>
      <c r="D58" s="127">
        <v>3</v>
      </c>
      <c r="E58" s="126" t="s">
        <v>29</v>
      </c>
      <c r="F58" s="246">
        <v>31</v>
      </c>
      <c r="G58" s="246">
        <v>0</v>
      </c>
      <c r="H58" s="127"/>
      <c r="I58" s="126" t="s">
        <v>548</v>
      </c>
      <c r="J58" t="s">
        <v>550</v>
      </c>
      <c r="K58" s="115"/>
      <c r="L58" s="115"/>
    </row>
    <row r="59" spans="1:12" x14ac:dyDescent="0.25">
      <c r="A59" s="245">
        <v>45558</v>
      </c>
      <c r="B59" s="115" t="s">
        <v>30</v>
      </c>
      <c r="C59" s="124">
        <v>50</v>
      </c>
      <c r="D59" s="127">
        <v>24</v>
      </c>
      <c r="E59" s="126" t="s">
        <v>36</v>
      </c>
      <c r="F59" s="246">
        <v>31</v>
      </c>
      <c r="G59" s="246">
        <v>12</v>
      </c>
      <c r="H59" s="127"/>
      <c r="I59" s="126" t="s">
        <v>394</v>
      </c>
      <c r="J59" t="s">
        <v>403</v>
      </c>
      <c r="K59" s="115"/>
      <c r="L59" s="115"/>
    </row>
    <row r="60" spans="1:12" x14ac:dyDescent="0.25">
      <c r="A60" s="245">
        <v>45565</v>
      </c>
      <c r="B60" s="115" t="s">
        <v>30</v>
      </c>
      <c r="C60" s="124">
        <v>29</v>
      </c>
      <c r="D60" s="127">
        <v>12</v>
      </c>
      <c r="E60" s="126" t="s">
        <v>36</v>
      </c>
      <c r="F60" s="246">
        <v>17</v>
      </c>
      <c r="G60" s="246">
        <v>5</v>
      </c>
      <c r="H60" s="127"/>
      <c r="I60" s="126" t="s">
        <v>395</v>
      </c>
      <c r="J60" t="s">
        <v>404</v>
      </c>
      <c r="K60" s="115"/>
      <c r="L60" s="115"/>
    </row>
    <row r="61" spans="1:12" x14ac:dyDescent="0.25">
      <c r="A61" s="245">
        <v>45565</v>
      </c>
      <c r="B61" s="115" t="s">
        <v>31</v>
      </c>
      <c r="C61" s="124">
        <v>38</v>
      </c>
      <c r="D61" s="127">
        <v>18</v>
      </c>
      <c r="E61" s="126" t="s">
        <v>55</v>
      </c>
      <c r="F61" s="246">
        <v>19</v>
      </c>
      <c r="G61" s="246">
        <v>3</v>
      </c>
      <c r="H61" s="127"/>
      <c r="I61" s="126" t="s">
        <v>179</v>
      </c>
      <c r="J61" t="s">
        <v>408</v>
      </c>
      <c r="K61" s="115"/>
      <c r="L61" s="115"/>
    </row>
    <row r="62" spans="1:12" x14ac:dyDescent="0.25">
      <c r="A62" s="245">
        <v>45565</v>
      </c>
      <c r="B62" s="115" t="s">
        <v>34</v>
      </c>
      <c r="C62" s="124">
        <v>36</v>
      </c>
      <c r="D62" s="127">
        <v>5</v>
      </c>
      <c r="E62" s="126" t="s">
        <v>74</v>
      </c>
      <c r="F62" s="246">
        <v>15</v>
      </c>
      <c r="G62" s="246">
        <v>5</v>
      </c>
      <c r="H62" s="127"/>
      <c r="I62" s="126" t="s">
        <v>179</v>
      </c>
      <c r="J62" t="s">
        <v>411</v>
      </c>
      <c r="K62" s="115"/>
      <c r="L62" s="115"/>
    </row>
    <row r="63" spans="1:12" x14ac:dyDescent="0.25">
      <c r="A63" s="245">
        <v>45565</v>
      </c>
      <c r="B63" s="115" t="s">
        <v>32</v>
      </c>
      <c r="C63" s="124">
        <v>24</v>
      </c>
      <c r="D63" s="127">
        <v>25</v>
      </c>
      <c r="E63" s="126" t="s">
        <v>310</v>
      </c>
      <c r="F63" s="246">
        <v>7</v>
      </c>
      <c r="G63" s="246">
        <v>22</v>
      </c>
      <c r="H63" s="127"/>
      <c r="I63" s="126" t="s">
        <v>179</v>
      </c>
      <c r="J63" t="s">
        <v>168</v>
      </c>
      <c r="K63" s="115"/>
      <c r="L63" s="115"/>
    </row>
    <row r="64" spans="1:12" x14ac:dyDescent="0.25">
      <c r="A64" s="245">
        <v>45572</v>
      </c>
      <c r="B64" s="115" t="s">
        <v>185</v>
      </c>
      <c r="C64" s="124">
        <v>17</v>
      </c>
      <c r="D64" s="127">
        <v>17</v>
      </c>
      <c r="E64" s="126" t="s">
        <v>308</v>
      </c>
      <c r="F64" s="246">
        <v>10</v>
      </c>
      <c r="G64" s="246">
        <v>10</v>
      </c>
      <c r="H64" s="127"/>
      <c r="I64" s="126" t="s">
        <v>179</v>
      </c>
      <c r="J64" t="s">
        <v>418</v>
      </c>
      <c r="K64" s="115"/>
      <c r="L64" s="115"/>
    </row>
    <row r="65" spans="1:12" x14ac:dyDescent="0.25">
      <c r="A65" s="245">
        <v>45578</v>
      </c>
      <c r="B65" s="115" t="s">
        <v>32</v>
      </c>
      <c r="C65" s="124">
        <v>28</v>
      </c>
      <c r="D65" s="127">
        <v>15</v>
      </c>
      <c r="E65" s="126" t="s">
        <v>310</v>
      </c>
      <c r="F65" s="246">
        <v>14</v>
      </c>
      <c r="G65" s="246">
        <v>5</v>
      </c>
      <c r="H65" s="127"/>
      <c r="I65" s="126" t="s">
        <v>424</v>
      </c>
      <c r="J65" t="s">
        <v>434</v>
      </c>
      <c r="K65" s="115"/>
      <c r="L65" s="115"/>
    </row>
    <row r="66" spans="1:12" x14ac:dyDescent="0.25">
      <c r="A66" s="245">
        <v>45578</v>
      </c>
      <c r="B66" s="115" t="s">
        <v>277</v>
      </c>
      <c r="C66" s="124">
        <v>67</v>
      </c>
      <c r="D66" s="127">
        <v>13</v>
      </c>
      <c r="E66" s="126" t="s">
        <v>338</v>
      </c>
      <c r="F66" s="246">
        <v>31</v>
      </c>
      <c r="G66" s="246">
        <v>3</v>
      </c>
      <c r="H66" s="127"/>
      <c r="I66" s="126" t="s">
        <v>515</v>
      </c>
      <c r="J66" t="s">
        <v>516</v>
      </c>
      <c r="K66" s="115"/>
      <c r="L66" s="115"/>
    </row>
    <row r="67" spans="1:12" x14ac:dyDescent="0.25">
      <c r="A67" s="245">
        <v>45578</v>
      </c>
      <c r="B67" s="115" t="s">
        <v>185</v>
      </c>
      <c r="C67" s="124">
        <v>17</v>
      </c>
      <c r="D67" s="127">
        <v>31</v>
      </c>
      <c r="E67" s="126" t="s">
        <v>34</v>
      </c>
      <c r="F67" s="246">
        <v>10</v>
      </c>
      <c r="G67" s="246">
        <v>12</v>
      </c>
      <c r="H67" s="127"/>
      <c r="I67" s="126" t="s">
        <v>424</v>
      </c>
      <c r="J67" t="s">
        <v>425</v>
      </c>
      <c r="K67" s="115"/>
      <c r="L67" s="115"/>
    </row>
    <row r="68" spans="1:12" x14ac:dyDescent="0.25">
      <c r="A68" s="245">
        <v>45578</v>
      </c>
      <c r="B68" s="115" t="s">
        <v>35</v>
      </c>
      <c r="C68" s="124">
        <v>109</v>
      </c>
      <c r="D68" s="127">
        <v>0</v>
      </c>
      <c r="E68" s="126" t="s">
        <v>297</v>
      </c>
      <c r="F68" s="246">
        <v>50</v>
      </c>
      <c r="G68" s="246">
        <v>0</v>
      </c>
      <c r="H68" s="127"/>
      <c r="I68" s="126" t="s">
        <v>515</v>
      </c>
      <c r="J68" t="s">
        <v>516</v>
      </c>
      <c r="K68" s="115"/>
      <c r="L68" s="115"/>
    </row>
    <row r="69" spans="1:12" x14ac:dyDescent="0.25">
      <c r="A69" s="245">
        <v>45579</v>
      </c>
      <c r="B69" s="115" t="s">
        <v>55</v>
      </c>
      <c r="C69" s="124">
        <v>36</v>
      </c>
      <c r="D69" s="127">
        <v>26</v>
      </c>
      <c r="E69" s="126" t="s">
        <v>308</v>
      </c>
      <c r="F69" s="246">
        <v>12</v>
      </c>
      <c r="G69" s="246">
        <v>14</v>
      </c>
      <c r="H69" s="127"/>
      <c r="I69" s="126" t="s">
        <v>424</v>
      </c>
      <c r="J69" t="s">
        <v>425</v>
      </c>
      <c r="K69" s="115"/>
      <c r="L69" s="115"/>
    </row>
    <row r="70" spans="1:12" x14ac:dyDescent="0.25">
      <c r="A70" s="245">
        <v>45579</v>
      </c>
      <c r="B70" s="115" t="s">
        <v>74</v>
      </c>
      <c r="C70" s="124">
        <v>32</v>
      </c>
      <c r="D70" s="127">
        <v>0</v>
      </c>
      <c r="E70" s="126" t="s">
        <v>295</v>
      </c>
      <c r="F70" s="246">
        <v>22</v>
      </c>
      <c r="G70" s="246">
        <v>0</v>
      </c>
      <c r="H70" s="127"/>
      <c r="I70" s="126" t="s">
        <v>515</v>
      </c>
      <c r="J70" t="s">
        <v>516</v>
      </c>
      <c r="K70" s="115"/>
      <c r="L70" s="115"/>
    </row>
    <row r="71" spans="1:12" x14ac:dyDescent="0.25">
      <c r="A71" s="245">
        <v>45585</v>
      </c>
      <c r="B71" t="s">
        <v>30</v>
      </c>
      <c r="C71" s="124">
        <v>42</v>
      </c>
      <c r="D71" s="127">
        <v>7</v>
      </c>
      <c r="E71" s="126" t="s">
        <v>29</v>
      </c>
      <c r="F71">
        <v>28</v>
      </c>
      <c r="G71">
        <v>0</v>
      </c>
      <c r="H71" s="127"/>
      <c r="I71" s="126" t="s">
        <v>423</v>
      </c>
      <c r="J71" t="s">
        <v>433</v>
      </c>
      <c r="K71" s="115"/>
      <c r="L71" s="115"/>
    </row>
    <row r="72" spans="1:12" x14ac:dyDescent="0.25">
      <c r="A72" s="245">
        <v>45585</v>
      </c>
      <c r="B72" t="s">
        <v>55</v>
      </c>
      <c r="C72" s="124">
        <v>14</v>
      </c>
      <c r="D72" s="127">
        <v>24</v>
      </c>
      <c r="E72" s="126" t="s">
        <v>34</v>
      </c>
      <c r="F72">
        <v>7</v>
      </c>
      <c r="G72">
        <v>17</v>
      </c>
      <c r="H72" s="127"/>
      <c r="I72" s="126" t="s">
        <v>424</v>
      </c>
      <c r="J72" t="s">
        <v>495</v>
      </c>
      <c r="K72" s="115"/>
      <c r="L72" s="115"/>
    </row>
    <row r="73" spans="1:12" x14ac:dyDescent="0.25">
      <c r="A73" s="245">
        <v>45585</v>
      </c>
      <c r="B73" s="115" t="s">
        <v>297</v>
      </c>
      <c r="C73" s="124">
        <v>18</v>
      </c>
      <c r="D73" s="127">
        <v>12</v>
      </c>
      <c r="E73" s="126" t="s">
        <v>295</v>
      </c>
      <c r="F73" s="246">
        <v>10</v>
      </c>
      <c r="G73" s="246">
        <v>0</v>
      </c>
      <c r="H73" s="127"/>
      <c r="I73" s="126" t="s">
        <v>515</v>
      </c>
      <c r="J73" t="s">
        <v>516</v>
      </c>
      <c r="K73" s="115"/>
      <c r="L73" s="115"/>
    </row>
    <row r="74" spans="1:12" x14ac:dyDescent="0.25">
      <c r="A74" s="245">
        <v>45585</v>
      </c>
      <c r="B74" t="s">
        <v>185</v>
      </c>
      <c r="C74" s="124">
        <v>18</v>
      </c>
      <c r="D74" s="127">
        <v>36</v>
      </c>
      <c r="E74" s="126" t="s">
        <v>32</v>
      </c>
      <c r="F74">
        <v>10</v>
      </c>
      <c r="G74">
        <v>22</v>
      </c>
      <c r="H74" s="127"/>
      <c r="I74" s="126" t="s">
        <v>424</v>
      </c>
      <c r="J74" t="s">
        <v>500</v>
      </c>
      <c r="K74" s="115"/>
      <c r="L74" s="115"/>
    </row>
    <row r="75" spans="1:12" x14ac:dyDescent="0.25">
      <c r="A75" s="245">
        <v>45585</v>
      </c>
      <c r="B75" t="s">
        <v>74</v>
      </c>
      <c r="C75" s="124">
        <v>26</v>
      </c>
      <c r="D75" s="127">
        <v>19</v>
      </c>
      <c r="E75" s="126" t="s">
        <v>277</v>
      </c>
      <c r="F75">
        <v>14</v>
      </c>
      <c r="G75">
        <v>12</v>
      </c>
      <c r="H75" s="127"/>
      <c r="I75" s="126" t="s">
        <v>515</v>
      </c>
      <c r="J75" t="s">
        <v>516</v>
      </c>
      <c r="K75" s="115"/>
      <c r="L75" s="115"/>
    </row>
    <row r="76" spans="1:12" x14ac:dyDescent="0.25">
      <c r="A76" s="245">
        <v>45586</v>
      </c>
      <c r="B76" t="s">
        <v>36</v>
      </c>
      <c r="C76" s="124">
        <v>42</v>
      </c>
      <c r="D76" s="127">
        <v>22</v>
      </c>
      <c r="E76" s="126" t="s">
        <v>31</v>
      </c>
      <c r="F76">
        <v>21</v>
      </c>
      <c r="G76">
        <v>17</v>
      </c>
      <c r="H76" s="127"/>
      <c r="I76" s="126" t="s">
        <v>423</v>
      </c>
      <c r="J76" t="s">
        <v>433</v>
      </c>
      <c r="K76" s="115"/>
      <c r="L76" s="115"/>
    </row>
    <row r="77" spans="1:12" x14ac:dyDescent="0.25">
      <c r="A77" s="245">
        <v>45586</v>
      </c>
      <c r="B77" t="s">
        <v>321</v>
      </c>
      <c r="C77" s="124">
        <v>17</v>
      </c>
      <c r="D77" s="127">
        <v>18</v>
      </c>
      <c r="E77" s="126" t="s">
        <v>33</v>
      </c>
      <c r="F77">
        <v>7</v>
      </c>
      <c r="G77">
        <v>15</v>
      </c>
      <c r="H77" s="127"/>
      <c r="I77" s="126" t="s">
        <v>423</v>
      </c>
      <c r="J77" t="s">
        <v>455</v>
      </c>
      <c r="K77" s="115"/>
      <c r="L77" s="115"/>
    </row>
    <row r="78" spans="1:12" x14ac:dyDescent="0.25">
      <c r="A78" s="245">
        <v>45586</v>
      </c>
      <c r="B78" t="s">
        <v>35</v>
      </c>
      <c r="C78" s="124">
        <v>64</v>
      </c>
      <c r="D78" s="127">
        <v>3</v>
      </c>
      <c r="E78" s="126" t="s">
        <v>338</v>
      </c>
      <c r="F78">
        <v>38</v>
      </c>
      <c r="G78">
        <v>0</v>
      </c>
      <c r="H78" s="127"/>
      <c r="I78" s="126" t="s">
        <v>515</v>
      </c>
      <c r="J78" t="s">
        <v>516</v>
      </c>
      <c r="K78" s="115"/>
      <c r="L78" s="115"/>
    </row>
    <row r="79" spans="1:12" x14ac:dyDescent="0.25">
      <c r="A79" s="245">
        <v>45586</v>
      </c>
      <c r="B79" t="s">
        <v>310</v>
      </c>
      <c r="C79" s="124">
        <v>32</v>
      </c>
      <c r="D79" s="127">
        <v>10</v>
      </c>
      <c r="E79" s="126" t="s">
        <v>308</v>
      </c>
      <c r="F79">
        <v>13</v>
      </c>
      <c r="G79">
        <v>10</v>
      </c>
      <c r="H79" s="127"/>
      <c r="I79" s="126" t="s">
        <v>424</v>
      </c>
      <c r="J79" t="s">
        <v>495</v>
      </c>
      <c r="K79" s="115"/>
      <c r="L79" s="115"/>
    </row>
    <row r="80" spans="1:12" x14ac:dyDescent="0.25">
      <c r="A80" s="245">
        <v>45592</v>
      </c>
      <c r="B80" t="s">
        <v>30</v>
      </c>
      <c r="C80" s="124">
        <v>45</v>
      </c>
      <c r="D80" s="127">
        <v>12</v>
      </c>
      <c r="E80" s="126" t="s">
        <v>36</v>
      </c>
      <c r="F80">
        <v>21</v>
      </c>
      <c r="G80">
        <v>5</v>
      </c>
      <c r="H80" s="127"/>
      <c r="I80" s="126" t="s">
        <v>423</v>
      </c>
      <c r="J80" t="s">
        <v>445</v>
      </c>
      <c r="K80" s="115"/>
      <c r="L80" s="115"/>
    </row>
    <row r="81" spans="1:12" x14ac:dyDescent="0.25">
      <c r="A81" s="245">
        <v>45592</v>
      </c>
      <c r="B81" t="s">
        <v>34</v>
      </c>
      <c r="C81" s="124">
        <v>38</v>
      </c>
      <c r="D81" s="127">
        <v>7</v>
      </c>
      <c r="E81" s="126" t="s">
        <v>310</v>
      </c>
      <c r="F81">
        <v>7</v>
      </c>
      <c r="G81">
        <v>7</v>
      </c>
      <c r="H81" s="127"/>
      <c r="I81" s="126" t="s">
        <v>424</v>
      </c>
      <c r="J81" t="s">
        <v>495</v>
      </c>
      <c r="K81" s="115"/>
      <c r="L81" s="115"/>
    </row>
    <row r="82" spans="1:12" x14ac:dyDescent="0.25">
      <c r="A82" s="245">
        <v>45592</v>
      </c>
      <c r="B82" t="s">
        <v>297</v>
      </c>
      <c r="C82" s="124">
        <v>0</v>
      </c>
      <c r="D82" s="127">
        <v>118</v>
      </c>
      <c r="E82" s="126" t="s">
        <v>277</v>
      </c>
      <c r="F82">
        <v>0</v>
      </c>
      <c r="G82">
        <v>61</v>
      </c>
      <c r="H82" s="127"/>
      <c r="I82" s="126" t="s">
        <v>515</v>
      </c>
      <c r="J82" t="s">
        <v>516</v>
      </c>
      <c r="K82" s="115"/>
      <c r="L82" s="115"/>
    </row>
    <row r="83" spans="1:12" x14ac:dyDescent="0.25">
      <c r="A83" s="245">
        <v>45592</v>
      </c>
      <c r="B83" t="s">
        <v>185</v>
      </c>
      <c r="C83" s="124">
        <v>33</v>
      </c>
      <c r="D83" s="127">
        <v>7</v>
      </c>
      <c r="E83" s="126" t="s">
        <v>308</v>
      </c>
      <c r="F83">
        <v>26</v>
      </c>
      <c r="G83">
        <v>0</v>
      </c>
      <c r="H83" s="127"/>
      <c r="I83" s="126" t="s">
        <v>424</v>
      </c>
      <c r="J83" t="s">
        <v>500</v>
      </c>
      <c r="K83" s="115"/>
      <c r="L83" s="115"/>
    </row>
    <row r="84" spans="1:12" x14ac:dyDescent="0.25">
      <c r="A84" s="245">
        <v>45592</v>
      </c>
      <c r="B84" t="s">
        <v>295</v>
      </c>
      <c r="C84" s="124">
        <v>21</v>
      </c>
      <c r="D84" s="127">
        <v>5</v>
      </c>
      <c r="E84" s="126" t="s">
        <v>338</v>
      </c>
      <c r="F84">
        <v>18</v>
      </c>
      <c r="G84">
        <v>5</v>
      </c>
      <c r="H84" s="127"/>
      <c r="I84" s="126" t="s">
        <v>515</v>
      </c>
      <c r="J84" t="s">
        <v>516</v>
      </c>
      <c r="K84" s="115"/>
      <c r="L84" s="115"/>
    </row>
    <row r="85" spans="1:12" x14ac:dyDescent="0.25">
      <c r="A85" s="245">
        <v>45593</v>
      </c>
      <c r="B85" t="s">
        <v>321</v>
      </c>
      <c r="C85" s="124">
        <v>70</v>
      </c>
      <c r="D85" s="127">
        <v>7</v>
      </c>
      <c r="E85" s="126" t="s">
        <v>31</v>
      </c>
      <c r="F85">
        <v>27</v>
      </c>
      <c r="G85">
        <v>0</v>
      </c>
      <c r="H85" s="127"/>
      <c r="I85" s="126" t="s">
        <v>423</v>
      </c>
      <c r="J85" t="s">
        <v>454</v>
      </c>
      <c r="K85" s="115"/>
      <c r="L85" s="115"/>
    </row>
    <row r="86" spans="1:12" x14ac:dyDescent="0.25">
      <c r="A86" s="245">
        <v>45593</v>
      </c>
      <c r="B86" t="s">
        <v>33</v>
      </c>
      <c r="C86" s="124">
        <v>20</v>
      </c>
      <c r="D86" s="127">
        <v>29</v>
      </c>
      <c r="E86" s="126" t="s">
        <v>29</v>
      </c>
      <c r="F86">
        <v>10</v>
      </c>
      <c r="G86">
        <v>12</v>
      </c>
      <c r="H86" s="127"/>
      <c r="I86" s="126" t="s">
        <v>423</v>
      </c>
      <c r="J86" t="s">
        <v>445</v>
      </c>
      <c r="K86" s="115"/>
      <c r="L86" s="115"/>
    </row>
    <row r="87" spans="1:12" x14ac:dyDescent="0.25">
      <c r="A87" s="245">
        <v>45593</v>
      </c>
      <c r="B87" t="s">
        <v>35</v>
      </c>
      <c r="C87" s="124">
        <v>15</v>
      </c>
      <c r="D87" s="127">
        <v>13</v>
      </c>
      <c r="E87" s="126" t="s">
        <v>74</v>
      </c>
      <c r="F87">
        <v>3</v>
      </c>
      <c r="G87">
        <v>10</v>
      </c>
      <c r="H87" s="127"/>
      <c r="I87" s="126" t="s">
        <v>515</v>
      </c>
      <c r="J87" t="s">
        <v>516</v>
      </c>
      <c r="K87" s="115"/>
      <c r="L87" s="115"/>
    </row>
    <row r="88" spans="1:12" x14ac:dyDescent="0.25">
      <c r="A88" s="245">
        <v>45593</v>
      </c>
      <c r="B88" t="s">
        <v>55</v>
      </c>
      <c r="C88" s="124">
        <v>8</v>
      </c>
      <c r="D88" s="127">
        <v>30</v>
      </c>
      <c r="E88" s="126" t="s">
        <v>32</v>
      </c>
      <c r="F88">
        <v>3</v>
      </c>
      <c r="G88">
        <v>12</v>
      </c>
      <c r="H88" s="127"/>
      <c r="I88" s="126" t="s">
        <v>424</v>
      </c>
      <c r="J88" t="s">
        <v>495</v>
      </c>
      <c r="K88" s="115"/>
      <c r="L88" s="115"/>
    </row>
    <row r="89" spans="1:12" x14ac:dyDescent="0.25">
      <c r="A89" s="245">
        <v>45599</v>
      </c>
      <c r="B89" t="s">
        <v>29</v>
      </c>
      <c r="C89" s="124">
        <v>25</v>
      </c>
      <c r="D89" s="127">
        <v>19</v>
      </c>
      <c r="E89" s="126" t="s">
        <v>31</v>
      </c>
      <c r="F89">
        <v>8</v>
      </c>
      <c r="G89">
        <v>7</v>
      </c>
      <c r="H89" s="127"/>
      <c r="I89" s="126" t="s">
        <v>423</v>
      </c>
      <c r="J89" t="s">
        <v>475</v>
      </c>
      <c r="K89" s="115"/>
      <c r="L89" s="115"/>
    </row>
    <row r="90" spans="1:12" x14ac:dyDescent="0.25">
      <c r="A90" s="245">
        <v>45600</v>
      </c>
      <c r="B90" t="s">
        <v>33</v>
      </c>
      <c r="C90" s="124">
        <v>20</v>
      </c>
      <c r="D90" s="127">
        <v>29</v>
      </c>
      <c r="E90" s="126" t="s">
        <v>36</v>
      </c>
      <c r="F90">
        <v>10</v>
      </c>
      <c r="G90">
        <v>7</v>
      </c>
      <c r="H90" s="127"/>
      <c r="I90" s="126" t="s">
        <v>423</v>
      </c>
      <c r="J90" t="s">
        <v>475</v>
      </c>
      <c r="K90" s="115"/>
      <c r="L90" s="115"/>
    </row>
    <row r="91" spans="1:12" x14ac:dyDescent="0.25">
      <c r="A91" s="245">
        <v>45600</v>
      </c>
      <c r="B91" t="s">
        <v>321</v>
      </c>
      <c r="C91" s="124">
        <v>12</v>
      </c>
      <c r="D91" s="127">
        <v>33</v>
      </c>
      <c r="E91" s="126" t="s">
        <v>30</v>
      </c>
      <c r="F91">
        <v>7</v>
      </c>
      <c r="G91">
        <v>19</v>
      </c>
      <c r="H91" s="127"/>
      <c r="I91" s="126" t="s">
        <v>423</v>
      </c>
      <c r="J91" t="s">
        <v>483</v>
      </c>
      <c r="K91" s="115"/>
      <c r="L91" s="115"/>
    </row>
    <row r="92" spans="1:12" x14ac:dyDescent="0.25">
      <c r="A92" s="245">
        <v>45617</v>
      </c>
      <c r="B92" t="s">
        <v>339</v>
      </c>
      <c r="C92" s="124">
        <v>10</v>
      </c>
      <c r="D92" s="127">
        <v>7</v>
      </c>
      <c r="E92" s="126" t="s">
        <v>105</v>
      </c>
      <c r="F92">
        <v>12</v>
      </c>
      <c r="G92">
        <v>7</v>
      </c>
      <c r="H92" s="127"/>
      <c r="I92" s="126" t="s">
        <v>394</v>
      </c>
      <c r="J92" s="126" t="s">
        <v>429</v>
      </c>
      <c r="K92" s="115"/>
      <c r="L92" s="115"/>
    </row>
    <row r="93" spans="1:12" x14ac:dyDescent="0.25">
      <c r="A93" s="245">
        <v>45618</v>
      </c>
      <c r="B93" t="s">
        <v>430</v>
      </c>
      <c r="C93" s="124">
        <v>26</v>
      </c>
      <c r="D93" s="127">
        <v>17</v>
      </c>
      <c r="E93" s="126" t="s">
        <v>431</v>
      </c>
      <c r="F93">
        <v>21</v>
      </c>
      <c r="G93">
        <v>12</v>
      </c>
      <c r="H93" s="127"/>
      <c r="I93" s="126" t="s">
        <v>394</v>
      </c>
      <c r="J93" t="s">
        <v>432</v>
      </c>
      <c r="K93" s="115"/>
      <c r="L93" s="115"/>
    </row>
    <row r="94" spans="1:12" x14ac:dyDescent="0.25">
      <c r="A94" s="245">
        <v>45621</v>
      </c>
      <c r="B94" t="s">
        <v>339</v>
      </c>
      <c r="C94" s="124">
        <v>5</v>
      </c>
      <c r="D94" s="127">
        <v>13</v>
      </c>
      <c r="E94" s="126" t="s">
        <v>105</v>
      </c>
      <c r="F94">
        <v>0</v>
      </c>
      <c r="G94">
        <v>0</v>
      </c>
      <c r="H94" s="127"/>
      <c r="I94" s="126" t="s">
        <v>395</v>
      </c>
      <c r="J94" s="126" t="s">
        <v>429</v>
      </c>
      <c r="K94" s="115"/>
      <c r="L94" s="115"/>
    </row>
    <row r="95" spans="1:12" x14ac:dyDescent="0.25">
      <c r="A95" s="245">
        <v>45623</v>
      </c>
      <c r="B95" t="s">
        <v>430</v>
      </c>
      <c r="C95" s="124">
        <v>53</v>
      </c>
      <c r="D95" s="127">
        <v>13</v>
      </c>
      <c r="E95" s="126" t="s">
        <v>431</v>
      </c>
      <c r="F95">
        <v>19</v>
      </c>
      <c r="G95">
        <v>3</v>
      </c>
      <c r="H95" s="127"/>
      <c r="I95" s="126" t="s">
        <v>395</v>
      </c>
      <c r="J95" t="s">
        <v>432</v>
      </c>
      <c r="K95" s="115"/>
      <c r="L95" s="115"/>
    </row>
    <row r="96" spans="1:12" x14ac:dyDescent="0.25">
      <c r="C96" s="124"/>
      <c r="D96" s="127"/>
      <c r="E96" s="126"/>
      <c r="H96" s="127"/>
      <c r="I96" s="126"/>
      <c r="K96" s="115"/>
      <c r="L96" s="115"/>
    </row>
    <row r="97" spans="2:12" x14ac:dyDescent="0.25">
      <c r="B97" s="152" t="s">
        <v>28</v>
      </c>
      <c r="C97" s="124"/>
      <c r="D97" s="127"/>
      <c r="E97" s="126"/>
      <c r="F97" s="486" t="s">
        <v>79</v>
      </c>
      <c r="G97" s="486"/>
      <c r="H97" s="486"/>
      <c r="I97" s="126"/>
      <c r="K97" s="115"/>
      <c r="L97" s="115"/>
    </row>
    <row r="98" spans="2:12" x14ac:dyDescent="0.25">
      <c r="C98" s="124"/>
      <c r="D98" s="127"/>
      <c r="E98" s="126"/>
      <c r="H98" s="127"/>
      <c r="I98" s="126"/>
      <c r="K98" s="115"/>
      <c r="L98" s="115"/>
    </row>
    <row r="99" spans="2:12" x14ac:dyDescent="0.25">
      <c r="C99" s="124"/>
      <c r="D99" s="127"/>
      <c r="E99" s="126"/>
      <c r="H99" s="127"/>
      <c r="I99" s="126"/>
      <c r="K99" s="115"/>
      <c r="L99" s="115"/>
    </row>
    <row r="100" spans="2:12" x14ac:dyDescent="0.25">
      <c r="C100" s="124"/>
      <c r="D100" s="127"/>
      <c r="E100" s="126"/>
      <c r="H100" s="127"/>
      <c r="I100" s="126"/>
      <c r="K100" s="115"/>
      <c r="L100" s="115"/>
    </row>
    <row r="101" spans="2:12" x14ac:dyDescent="0.25">
      <c r="C101" s="124"/>
      <c r="D101" s="127"/>
      <c r="E101" s="126"/>
      <c r="H101" s="127"/>
      <c r="I101" s="126"/>
      <c r="K101" s="115"/>
      <c r="L101" s="115"/>
    </row>
    <row r="102" spans="2:12" x14ac:dyDescent="0.25">
      <c r="C102" s="124"/>
      <c r="D102" s="127"/>
      <c r="E102" s="126"/>
      <c r="H102" s="127"/>
      <c r="I102" s="126"/>
      <c r="K102" s="115"/>
      <c r="L102" s="115"/>
    </row>
    <row r="103" spans="2:12" x14ac:dyDescent="0.25">
      <c r="C103" s="124"/>
      <c r="D103" s="127"/>
      <c r="E103" s="126"/>
      <c r="H103" s="127"/>
      <c r="I103" s="126"/>
      <c r="K103" s="115"/>
      <c r="L103" s="115"/>
    </row>
    <row r="104" spans="2:12" x14ac:dyDescent="0.25">
      <c r="C104" s="124"/>
      <c r="D104" s="127"/>
      <c r="E104" s="126"/>
      <c r="H104" s="127"/>
      <c r="I104" s="126"/>
      <c r="K104" s="115"/>
      <c r="L104" s="115"/>
    </row>
    <row r="105" spans="2:12" x14ac:dyDescent="0.25">
      <c r="C105" s="124"/>
      <c r="D105" s="127"/>
      <c r="E105" s="126"/>
      <c r="H105" s="127"/>
      <c r="I105" s="126"/>
      <c r="K105" s="115"/>
      <c r="L105" s="115"/>
    </row>
    <row r="106" spans="2:12" x14ac:dyDescent="0.25">
      <c r="C106" s="124"/>
      <c r="D106" s="127"/>
      <c r="E106" s="126"/>
      <c r="H106" s="127"/>
      <c r="I106" s="126"/>
      <c r="K106" s="115"/>
      <c r="L106" s="115"/>
    </row>
    <row r="107" spans="2:12" x14ac:dyDescent="0.25">
      <c r="C107" s="124"/>
      <c r="D107" s="127"/>
      <c r="E107" s="126"/>
      <c r="H107" s="127"/>
      <c r="I107" s="126"/>
      <c r="K107" s="115"/>
      <c r="L107" s="115"/>
    </row>
    <row r="108" spans="2:12" x14ac:dyDescent="0.25">
      <c r="C108" s="124"/>
      <c r="D108" s="127"/>
      <c r="E108" s="126"/>
      <c r="H108" s="127"/>
      <c r="I108" s="126"/>
      <c r="K108" s="115"/>
      <c r="L108" s="115"/>
    </row>
    <row r="109" spans="2:12" x14ac:dyDescent="0.25">
      <c r="C109" s="124"/>
      <c r="D109" s="127"/>
      <c r="E109" s="126"/>
      <c r="H109" s="127"/>
      <c r="I109" s="126"/>
      <c r="K109" s="115"/>
      <c r="L109" s="115"/>
    </row>
    <row r="110" spans="2:12" x14ac:dyDescent="0.25">
      <c r="C110" s="124"/>
      <c r="D110" s="127"/>
      <c r="E110" s="126"/>
      <c r="H110" s="127"/>
      <c r="I110" s="126"/>
      <c r="K110" s="115"/>
      <c r="L110" s="115"/>
    </row>
    <row r="111" spans="2:12" x14ac:dyDescent="0.25">
      <c r="C111" s="124"/>
      <c r="D111" s="127"/>
      <c r="E111" s="126"/>
      <c r="H111" s="127"/>
      <c r="I111" s="126"/>
      <c r="K111" s="115"/>
      <c r="L111" s="115"/>
    </row>
    <row r="112" spans="2:12" x14ac:dyDescent="0.25">
      <c r="C112" s="124"/>
      <c r="D112" s="127"/>
      <c r="E112" s="126"/>
      <c r="H112" s="127"/>
      <c r="I112" s="126"/>
      <c r="K112" s="115"/>
      <c r="L112" s="115"/>
    </row>
    <row r="113" spans="3:13" x14ac:dyDescent="0.25">
      <c r="C113" s="124"/>
      <c r="D113" s="127"/>
      <c r="E113" s="126"/>
      <c r="H113" s="127"/>
      <c r="I113" s="126"/>
      <c r="K113" s="115"/>
      <c r="L113" s="115"/>
    </row>
    <row r="114" spans="3:13" x14ac:dyDescent="0.25">
      <c r="C114" s="124"/>
      <c r="D114" s="127"/>
      <c r="E114" s="126"/>
      <c r="H114" s="127"/>
      <c r="I114" s="126"/>
      <c r="K114" s="115"/>
      <c r="L114" s="115"/>
    </row>
    <row r="115" spans="3:13" x14ac:dyDescent="0.25">
      <c r="C115" s="124"/>
      <c r="D115" s="127"/>
      <c r="E115" s="126"/>
      <c r="H115" s="127"/>
      <c r="I115" s="126"/>
      <c r="K115" s="115"/>
      <c r="L115" s="115"/>
    </row>
    <row r="116" spans="3:13" x14ac:dyDescent="0.25">
      <c r="C116" s="124"/>
      <c r="D116" s="127"/>
      <c r="E116" s="126"/>
      <c r="H116" s="127"/>
      <c r="I116" s="126"/>
      <c r="K116" s="115"/>
      <c r="L116" s="115"/>
    </row>
    <row r="117" spans="3:13" x14ac:dyDescent="0.25">
      <c r="C117" s="124"/>
      <c r="D117" s="127"/>
      <c r="E117" s="126"/>
      <c r="H117" s="127"/>
      <c r="I117" s="126"/>
      <c r="K117" s="115"/>
      <c r="L117" s="115"/>
    </row>
    <row r="118" spans="3:13" x14ac:dyDescent="0.25">
      <c r="C118" s="124"/>
      <c r="D118" s="127"/>
      <c r="E118" s="126"/>
      <c r="H118" s="127"/>
      <c r="I118" s="126"/>
      <c r="K118" s="115"/>
      <c r="L118" s="115"/>
      <c r="M118" s="115"/>
    </row>
    <row r="119" spans="3:13" x14ac:dyDescent="0.25">
      <c r="C119" s="124"/>
      <c r="D119" s="127"/>
      <c r="E119" s="126"/>
      <c r="H119" s="127"/>
      <c r="I119" s="126"/>
      <c r="K119" s="115"/>
      <c r="L119" s="115"/>
      <c r="M119" s="115"/>
    </row>
    <row r="120" spans="3:13" x14ac:dyDescent="0.25">
      <c r="C120" s="124"/>
      <c r="D120" s="127"/>
      <c r="E120" s="126"/>
      <c r="H120" s="127"/>
      <c r="I120" s="126"/>
      <c r="K120" s="115"/>
      <c r="L120" s="115"/>
    </row>
    <row r="121" spans="3:13" x14ac:dyDescent="0.25">
      <c r="C121" s="124"/>
      <c r="D121" s="127"/>
      <c r="E121" s="126"/>
      <c r="H121" s="127"/>
      <c r="I121" s="126"/>
      <c r="K121" s="115"/>
      <c r="L121" s="115"/>
    </row>
    <row r="122" spans="3:13" x14ac:dyDescent="0.25">
      <c r="C122" s="124"/>
      <c r="D122" s="127"/>
      <c r="E122" s="126"/>
      <c r="H122" s="127"/>
      <c r="I122" s="126"/>
      <c r="K122" s="115"/>
      <c r="L122" s="115"/>
    </row>
    <row r="123" spans="3:13" x14ac:dyDescent="0.25">
      <c r="C123" s="124"/>
      <c r="D123" s="127"/>
      <c r="E123" s="126"/>
      <c r="H123" s="127"/>
      <c r="I123" s="126"/>
      <c r="K123" s="115"/>
      <c r="L123" s="115"/>
    </row>
    <row r="124" spans="3:13" x14ac:dyDescent="0.25">
      <c r="C124" s="124"/>
      <c r="D124" s="127"/>
      <c r="E124" s="126"/>
      <c r="H124" s="127"/>
      <c r="I124" s="126"/>
      <c r="K124" s="115"/>
      <c r="L124" s="115"/>
    </row>
    <row r="125" spans="3:13" x14ac:dyDescent="0.25">
      <c r="C125" s="124"/>
      <c r="D125" s="127"/>
      <c r="E125" s="126"/>
      <c r="H125" s="127"/>
      <c r="I125" s="126"/>
      <c r="K125" s="115"/>
      <c r="L125" s="115"/>
    </row>
    <row r="126" spans="3:13" x14ac:dyDescent="0.25">
      <c r="C126" s="124"/>
      <c r="D126" s="127"/>
      <c r="E126" s="126"/>
      <c r="H126" s="127"/>
      <c r="I126" s="126"/>
      <c r="K126" s="115"/>
      <c r="L126" s="115"/>
    </row>
    <row r="127" spans="3:13" x14ac:dyDescent="0.25">
      <c r="C127" s="124"/>
      <c r="D127" s="127"/>
      <c r="E127" s="126"/>
      <c r="H127" s="127"/>
      <c r="I127" s="126"/>
      <c r="K127" s="115"/>
      <c r="L127" s="115"/>
    </row>
    <row r="128" spans="3:13" x14ac:dyDescent="0.25">
      <c r="C128" s="124"/>
      <c r="D128" s="127"/>
      <c r="E128" s="126"/>
      <c r="H128" s="127"/>
      <c r="I128" s="126"/>
      <c r="K128" s="115"/>
      <c r="L128" s="115"/>
    </row>
    <row r="129" spans="3:12" x14ac:dyDescent="0.25">
      <c r="C129" s="124"/>
      <c r="D129" s="127"/>
      <c r="E129" s="126"/>
      <c r="H129" s="127"/>
      <c r="I129" s="126"/>
      <c r="K129" s="115"/>
      <c r="L129" s="115"/>
    </row>
    <row r="130" spans="3:12" x14ac:dyDescent="0.25">
      <c r="C130" s="124"/>
      <c r="D130" s="127"/>
      <c r="E130" s="126"/>
      <c r="H130" s="127"/>
      <c r="I130" s="126"/>
      <c r="K130" s="115"/>
      <c r="L130" s="115"/>
    </row>
    <row r="131" spans="3:12" x14ac:dyDescent="0.25">
      <c r="C131" s="124"/>
      <c r="D131" s="127"/>
      <c r="E131" s="126"/>
      <c r="H131" s="127"/>
      <c r="I131" s="126"/>
      <c r="K131" s="115"/>
      <c r="L131" s="115"/>
    </row>
    <row r="132" spans="3:12" x14ac:dyDescent="0.25">
      <c r="C132" s="124"/>
      <c r="D132" s="127"/>
      <c r="E132" s="126"/>
      <c r="H132" s="127"/>
      <c r="I132" s="126"/>
      <c r="K132" s="115"/>
      <c r="L132" s="115"/>
    </row>
    <row r="133" spans="3:12" x14ac:dyDescent="0.25">
      <c r="C133" s="124"/>
      <c r="D133" s="127"/>
      <c r="E133" s="126"/>
      <c r="H133" s="127"/>
      <c r="I133" s="126"/>
      <c r="K133" s="115"/>
      <c r="L133" s="115"/>
    </row>
    <row r="134" spans="3:12" x14ac:dyDescent="0.25">
      <c r="C134" s="124"/>
      <c r="D134" s="127"/>
      <c r="E134" s="126"/>
      <c r="H134" s="127"/>
      <c r="I134" s="126"/>
      <c r="K134" s="115"/>
      <c r="L134" s="115"/>
    </row>
    <row r="135" spans="3:12" x14ac:dyDescent="0.25">
      <c r="C135" s="124"/>
      <c r="D135" s="127"/>
      <c r="E135" s="126"/>
      <c r="H135" s="127"/>
      <c r="I135" s="126"/>
      <c r="K135" s="115"/>
      <c r="L135" s="115"/>
    </row>
    <row r="136" spans="3:12" x14ac:dyDescent="0.25">
      <c r="C136" s="124"/>
      <c r="D136" s="127"/>
      <c r="E136" s="126"/>
      <c r="H136" s="127"/>
      <c r="I136" s="126"/>
      <c r="K136" s="115"/>
      <c r="L136" s="115"/>
    </row>
    <row r="137" spans="3:12" x14ac:dyDescent="0.25">
      <c r="C137" s="124"/>
      <c r="D137" s="127"/>
      <c r="E137" s="126"/>
      <c r="H137" s="127"/>
      <c r="I137" s="126"/>
      <c r="K137" s="115"/>
      <c r="L137" s="115"/>
    </row>
    <row r="138" spans="3:12" x14ac:dyDescent="0.25">
      <c r="C138" s="124"/>
      <c r="D138" s="127"/>
      <c r="E138" s="126"/>
      <c r="H138" s="127"/>
      <c r="I138" s="126"/>
      <c r="K138" s="115"/>
      <c r="L138" s="115"/>
    </row>
    <row r="139" spans="3:12" x14ac:dyDescent="0.25">
      <c r="C139" s="124"/>
      <c r="D139" s="127"/>
      <c r="E139" s="126"/>
      <c r="H139" s="127"/>
      <c r="I139" s="126"/>
      <c r="K139" s="115"/>
      <c r="L139" s="115"/>
    </row>
    <row r="140" spans="3:12" x14ac:dyDescent="0.25">
      <c r="C140" s="124"/>
      <c r="D140" s="127"/>
      <c r="E140" s="126"/>
      <c r="H140" s="127"/>
      <c r="I140" s="126"/>
      <c r="K140" s="115"/>
      <c r="L140" s="115"/>
    </row>
    <row r="141" spans="3:12" x14ac:dyDescent="0.25">
      <c r="C141" s="124"/>
      <c r="D141" s="127"/>
      <c r="E141" s="126"/>
      <c r="H141" s="127"/>
      <c r="I141" s="126"/>
      <c r="K141" s="115"/>
      <c r="L141" s="115"/>
    </row>
    <row r="142" spans="3:12" x14ac:dyDescent="0.25">
      <c r="C142" s="124"/>
      <c r="D142" s="127"/>
      <c r="E142" s="126"/>
      <c r="H142" s="127"/>
      <c r="I142" s="126"/>
      <c r="K142" s="115"/>
      <c r="L142" s="115"/>
    </row>
    <row r="143" spans="3:12" x14ac:dyDescent="0.25">
      <c r="C143" s="124"/>
      <c r="D143" s="127"/>
      <c r="E143" s="126"/>
      <c r="H143" s="127"/>
      <c r="I143" s="126"/>
      <c r="K143" s="115"/>
      <c r="L143" s="115"/>
    </row>
    <row r="144" spans="3:12" x14ac:dyDescent="0.25">
      <c r="C144" s="124"/>
      <c r="D144" s="127"/>
      <c r="E144" s="126"/>
      <c r="H144" s="127"/>
      <c r="I144" s="126"/>
      <c r="K144" s="115"/>
      <c r="L144" s="115"/>
    </row>
    <row r="145" spans="3:12" x14ac:dyDescent="0.25">
      <c r="C145" s="124"/>
      <c r="D145" s="127"/>
      <c r="E145" s="126"/>
      <c r="H145" s="127"/>
      <c r="I145" s="126"/>
      <c r="K145" s="115"/>
      <c r="L145" s="115"/>
    </row>
    <row r="146" spans="3:12" x14ac:dyDescent="0.25">
      <c r="C146" s="124"/>
      <c r="D146" s="127"/>
      <c r="E146" s="126"/>
      <c r="H146" s="127"/>
      <c r="I146" s="126"/>
      <c r="K146" s="115"/>
      <c r="L146" s="115"/>
    </row>
    <row r="147" spans="3:12" x14ac:dyDescent="0.25">
      <c r="C147" s="124"/>
      <c r="D147" s="127"/>
      <c r="E147" s="126"/>
      <c r="H147" s="127"/>
      <c r="I147" s="126"/>
      <c r="K147" s="115"/>
      <c r="L147" s="115"/>
    </row>
    <row r="148" spans="3:12" x14ac:dyDescent="0.25">
      <c r="C148" s="124"/>
      <c r="D148" s="127"/>
      <c r="E148" s="126"/>
      <c r="H148" s="127"/>
      <c r="I148" s="126"/>
      <c r="K148" s="115"/>
      <c r="L148" s="115"/>
    </row>
    <row r="149" spans="3:12" x14ac:dyDescent="0.25">
      <c r="C149" s="124"/>
      <c r="D149" s="127"/>
      <c r="E149" s="126"/>
      <c r="H149" s="127"/>
      <c r="I149" s="126"/>
      <c r="K149" s="115"/>
      <c r="L149" s="115"/>
    </row>
    <row r="150" spans="3:12" x14ac:dyDescent="0.25">
      <c r="C150" s="124"/>
      <c r="D150" s="127"/>
      <c r="E150" s="126"/>
      <c r="H150" s="127"/>
      <c r="I150" s="126"/>
      <c r="K150" s="115"/>
      <c r="L150" s="115"/>
    </row>
    <row r="151" spans="3:12" x14ac:dyDescent="0.25">
      <c r="C151" s="124"/>
      <c r="D151" s="127"/>
      <c r="E151" s="126"/>
      <c r="H151" s="127"/>
      <c r="I151" s="126"/>
      <c r="K151" s="115"/>
      <c r="L151" s="115"/>
    </row>
    <row r="152" spans="3:12" x14ac:dyDescent="0.25">
      <c r="C152" s="124"/>
      <c r="D152" s="127"/>
      <c r="E152" s="126"/>
      <c r="H152" s="127"/>
      <c r="I152" s="126"/>
      <c r="K152" s="115"/>
      <c r="L152" s="115"/>
    </row>
    <row r="153" spans="3:12" x14ac:dyDescent="0.25">
      <c r="C153" s="124"/>
      <c r="D153" s="127"/>
      <c r="E153" s="126"/>
      <c r="H153" s="127"/>
      <c r="I153" s="126"/>
      <c r="K153" s="115"/>
      <c r="L153" s="115"/>
    </row>
    <row r="154" spans="3:12" x14ac:dyDescent="0.25">
      <c r="C154" s="124"/>
      <c r="D154" s="127"/>
      <c r="E154" s="126"/>
      <c r="H154" s="127"/>
      <c r="I154" s="126"/>
      <c r="K154" s="115"/>
      <c r="L154" s="115"/>
    </row>
    <row r="155" spans="3:12" x14ac:dyDescent="0.25">
      <c r="C155" s="124"/>
      <c r="D155" s="127"/>
      <c r="E155" s="126"/>
      <c r="H155" s="127"/>
      <c r="I155" s="126"/>
      <c r="K155" s="115"/>
      <c r="L155" s="115"/>
    </row>
    <row r="156" spans="3:12" x14ac:dyDescent="0.25">
      <c r="C156" s="124"/>
      <c r="D156" s="127"/>
      <c r="E156" s="126"/>
      <c r="H156" s="127"/>
      <c r="I156" s="126"/>
      <c r="K156" s="115"/>
      <c r="L156" s="115"/>
    </row>
    <row r="157" spans="3:12" x14ac:dyDescent="0.25">
      <c r="C157" s="124"/>
      <c r="D157" s="127"/>
      <c r="E157" s="126"/>
      <c r="H157" s="127"/>
      <c r="I157" s="126"/>
      <c r="K157" s="115"/>
      <c r="L157" s="115"/>
    </row>
    <row r="158" spans="3:12" x14ac:dyDescent="0.25">
      <c r="C158" s="124"/>
      <c r="D158" s="127"/>
      <c r="E158" s="126"/>
      <c r="H158" s="127"/>
      <c r="I158" s="126"/>
      <c r="K158" s="115"/>
      <c r="L158" s="115"/>
    </row>
    <row r="159" spans="3:12" x14ac:dyDescent="0.25">
      <c r="C159" s="124"/>
      <c r="D159" s="127"/>
      <c r="E159" s="126"/>
      <c r="H159" s="127"/>
      <c r="I159" s="126"/>
      <c r="K159" s="115"/>
      <c r="L159" s="115"/>
    </row>
    <row r="160" spans="3:12" x14ac:dyDescent="0.25">
      <c r="C160" s="124"/>
      <c r="D160" s="127"/>
      <c r="E160" s="126"/>
      <c r="H160" s="127"/>
      <c r="I160" s="126"/>
      <c r="K160" s="115"/>
      <c r="L160" s="115"/>
    </row>
    <row r="161" spans="3:12" x14ac:dyDescent="0.25">
      <c r="C161" s="124"/>
      <c r="D161" s="127"/>
      <c r="E161" s="126"/>
      <c r="H161" s="127"/>
      <c r="I161" s="126"/>
      <c r="K161" s="115"/>
      <c r="L161" s="115"/>
    </row>
    <row r="162" spans="3:12" x14ac:dyDescent="0.25">
      <c r="C162" s="124"/>
      <c r="D162" s="127"/>
      <c r="E162" s="126"/>
      <c r="H162" s="127"/>
      <c r="I162" s="126"/>
      <c r="K162" s="115"/>
      <c r="L162" s="115"/>
    </row>
    <row r="163" spans="3:12" x14ac:dyDescent="0.25">
      <c r="C163" s="124"/>
      <c r="D163" s="127"/>
      <c r="E163" s="126"/>
      <c r="H163" s="127"/>
      <c r="I163" s="126"/>
      <c r="K163" s="115"/>
      <c r="L163" s="115"/>
    </row>
    <row r="164" spans="3:12" x14ac:dyDescent="0.25">
      <c r="C164" s="124"/>
      <c r="D164" s="127"/>
      <c r="E164" s="126"/>
      <c r="H164" s="127"/>
      <c r="I164" s="126"/>
      <c r="K164" s="115"/>
      <c r="L164" s="115"/>
    </row>
    <row r="165" spans="3:12" x14ac:dyDescent="0.25">
      <c r="C165" s="124"/>
      <c r="D165" s="127"/>
      <c r="E165" s="126"/>
      <c r="H165" s="127"/>
      <c r="I165" s="126"/>
      <c r="K165" s="115"/>
      <c r="L165" s="115"/>
    </row>
    <row r="166" spans="3:12" x14ac:dyDescent="0.25">
      <c r="C166" s="124"/>
      <c r="D166" s="127"/>
      <c r="E166" s="126"/>
      <c r="H166" s="127"/>
      <c r="I166" s="126"/>
      <c r="K166" s="115"/>
      <c r="L166" s="115"/>
    </row>
    <row r="167" spans="3:12" x14ac:dyDescent="0.25">
      <c r="C167" s="124"/>
      <c r="D167" s="127"/>
      <c r="E167" s="126"/>
      <c r="H167" s="127"/>
      <c r="I167" s="126"/>
      <c r="K167" s="115"/>
      <c r="L167" s="115"/>
    </row>
    <row r="168" spans="3:12" x14ac:dyDescent="0.25">
      <c r="C168" s="124"/>
      <c r="D168" s="127"/>
      <c r="E168" s="126"/>
      <c r="H168" s="127"/>
      <c r="I168" s="126"/>
      <c r="K168" s="115"/>
      <c r="L168" s="115"/>
    </row>
    <row r="169" spans="3:12" x14ac:dyDescent="0.25">
      <c r="C169" s="124"/>
      <c r="D169" s="127"/>
      <c r="E169" s="126"/>
      <c r="H169" s="127"/>
      <c r="I169" s="126"/>
      <c r="K169" s="115"/>
      <c r="L169" s="115"/>
    </row>
    <row r="170" spans="3:12" x14ac:dyDescent="0.25">
      <c r="C170" s="124"/>
      <c r="D170" s="127"/>
      <c r="E170" s="126"/>
      <c r="H170" s="127"/>
      <c r="I170" s="126"/>
      <c r="K170" s="115"/>
      <c r="L170" s="115"/>
    </row>
    <row r="171" spans="3:12" x14ac:dyDescent="0.25">
      <c r="C171" s="124"/>
      <c r="D171" s="127"/>
      <c r="E171" s="126"/>
      <c r="H171" s="127"/>
      <c r="I171" s="126"/>
      <c r="K171" s="115"/>
      <c r="L171" s="115"/>
    </row>
    <row r="172" spans="3:12" x14ac:dyDescent="0.25">
      <c r="C172" s="124"/>
      <c r="D172" s="127"/>
      <c r="E172" s="126"/>
      <c r="H172" s="127"/>
      <c r="I172" s="126"/>
      <c r="K172" s="115"/>
      <c r="L172" s="115"/>
    </row>
    <row r="173" spans="3:12" x14ac:dyDescent="0.25">
      <c r="C173" s="124"/>
      <c r="D173" s="127"/>
      <c r="E173" s="126"/>
      <c r="H173" s="127"/>
      <c r="I173" s="126"/>
      <c r="K173" s="115"/>
      <c r="L173" s="115"/>
    </row>
    <row r="174" spans="3:12" x14ac:dyDescent="0.25">
      <c r="C174" s="124"/>
      <c r="D174" s="127"/>
      <c r="E174" s="126"/>
      <c r="H174" s="127"/>
      <c r="I174" s="126"/>
      <c r="K174" s="115"/>
      <c r="L174" s="115"/>
    </row>
    <row r="175" spans="3:12" x14ac:dyDescent="0.25">
      <c r="C175" s="124"/>
      <c r="D175" s="127"/>
      <c r="E175" s="126"/>
      <c r="H175" s="127"/>
      <c r="I175" s="126"/>
      <c r="K175" s="115"/>
      <c r="L175" s="115"/>
    </row>
    <row r="176" spans="3:12" x14ac:dyDescent="0.25">
      <c r="C176" s="124"/>
      <c r="D176" s="127"/>
      <c r="E176" s="126"/>
      <c r="H176" s="127"/>
      <c r="I176" s="126"/>
      <c r="K176" s="115"/>
      <c r="L176" s="115"/>
    </row>
    <row r="177" spans="3:13" x14ac:dyDescent="0.25">
      <c r="C177" s="124"/>
      <c r="D177" s="127"/>
      <c r="E177" s="126"/>
      <c r="H177" s="127"/>
      <c r="I177" s="126"/>
      <c r="K177" s="115"/>
      <c r="L177" s="115"/>
    </row>
    <row r="178" spans="3:13" x14ac:dyDescent="0.25">
      <c r="C178" s="124"/>
      <c r="D178" s="127"/>
      <c r="E178" s="126"/>
      <c r="H178" s="127"/>
      <c r="I178" s="126"/>
      <c r="K178" s="115"/>
      <c r="L178" s="115"/>
    </row>
    <row r="179" spans="3:13" x14ac:dyDescent="0.25">
      <c r="C179" s="124"/>
      <c r="D179" s="127"/>
      <c r="E179" s="126"/>
      <c r="H179" s="127"/>
      <c r="I179" s="126"/>
      <c r="K179" s="115"/>
      <c r="L179" s="115"/>
      <c r="M179" s="115"/>
    </row>
    <row r="180" spans="3:13" x14ac:dyDescent="0.25">
      <c r="C180" s="124"/>
      <c r="D180" s="127"/>
      <c r="E180" s="126"/>
      <c r="H180" s="127"/>
      <c r="I180" s="126"/>
      <c r="K180" s="115"/>
      <c r="L180" s="115"/>
      <c r="M180" s="115"/>
    </row>
    <row r="181" spans="3:13" x14ac:dyDescent="0.25">
      <c r="C181" s="124"/>
      <c r="D181" s="127"/>
      <c r="E181" s="126"/>
      <c r="H181" s="127"/>
      <c r="I181" s="126"/>
      <c r="K181" s="115"/>
      <c r="L181" s="115"/>
      <c r="M181" s="115"/>
    </row>
    <row r="182" spans="3:13" x14ac:dyDescent="0.25">
      <c r="C182" s="124"/>
      <c r="D182" s="127"/>
      <c r="E182" s="126"/>
      <c r="H182" s="127"/>
      <c r="I182" s="126"/>
      <c r="K182" s="115"/>
      <c r="L182" s="115"/>
      <c r="M182" s="115"/>
    </row>
    <row r="183" spans="3:13" x14ac:dyDescent="0.25">
      <c r="C183" s="124"/>
      <c r="D183" s="127"/>
      <c r="E183" s="126"/>
      <c r="H183" s="127"/>
      <c r="I183" s="126"/>
      <c r="K183" s="115"/>
      <c r="L183" s="115"/>
      <c r="M183" s="115"/>
    </row>
    <row r="184" spans="3:13" x14ac:dyDescent="0.25">
      <c r="C184" s="124"/>
      <c r="D184" s="127"/>
      <c r="E184" s="126"/>
      <c r="H184" s="127"/>
      <c r="I184" s="126"/>
      <c r="K184" s="115"/>
      <c r="L184" s="115"/>
      <c r="M184" s="115"/>
    </row>
    <row r="185" spans="3:13" x14ac:dyDescent="0.25">
      <c r="C185" s="124"/>
      <c r="D185" s="127"/>
      <c r="E185" s="126"/>
      <c r="H185" s="127"/>
      <c r="I185" s="126"/>
      <c r="K185" s="115"/>
      <c r="L185" s="115"/>
      <c r="M185" s="115"/>
    </row>
    <row r="186" spans="3:13" x14ac:dyDescent="0.25">
      <c r="C186" s="124"/>
      <c r="D186" s="127"/>
      <c r="E186" s="126"/>
      <c r="H186" s="127"/>
      <c r="I186" s="126"/>
      <c r="K186" s="115"/>
      <c r="L186" s="115"/>
      <c r="M186" s="115"/>
    </row>
    <row r="187" spans="3:13" x14ac:dyDescent="0.25">
      <c r="C187" s="124"/>
      <c r="D187" s="127"/>
      <c r="E187" s="126"/>
      <c r="H187" s="127"/>
      <c r="I187" s="126"/>
      <c r="K187" s="115"/>
      <c r="L187" s="115"/>
      <c r="M187" s="115"/>
    </row>
    <row r="188" spans="3:13" x14ac:dyDescent="0.25">
      <c r="C188" s="124"/>
      <c r="D188" s="127"/>
      <c r="E188" s="126"/>
      <c r="H188" s="127"/>
      <c r="I188" s="126"/>
      <c r="K188" s="115"/>
      <c r="L188" s="115"/>
      <c r="M188" s="115"/>
    </row>
    <row r="189" spans="3:13" x14ac:dyDescent="0.25">
      <c r="C189" s="124"/>
      <c r="D189" s="127"/>
      <c r="E189" s="126"/>
      <c r="H189" s="127"/>
      <c r="I189" s="126"/>
      <c r="K189" s="115"/>
      <c r="L189" s="115"/>
      <c r="M189" s="115"/>
    </row>
    <row r="190" spans="3:13" x14ac:dyDescent="0.25">
      <c r="C190" s="124"/>
      <c r="D190" s="127"/>
      <c r="E190" s="126"/>
      <c r="H190" s="127"/>
      <c r="I190" s="126"/>
      <c r="K190" s="115"/>
      <c r="L190" s="115"/>
      <c r="M190" s="115"/>
    </row>
    <row r="191" spans="3:13" x14ac:dyDescent="0.25">
      <c r="C191" s="124"/>
      <c r="D191" s="127"/>
      <c r="E191" s="126"/>
      <c r="H191" s="127"/>
      <c r="I191" s="126"/>
      <c r="K191" s="115"/>
      <c r="L191" s="115"/>
      <c r="M191" s="115"/>
    </row>
    <row r="192" spans="3:13" x14ac:dyDescent="0.25">
      <c r="C192" s="124"/>
      <c r="D192" s="127"/>
      <c r="E192" s="126"/>
      <c r="H192" s="127"/>
      <c r="I192" s="126"/>
      <c r="L192" s="115"/>
      <c r="M192" s="115"/>
    </row>
    <row r="193" spans="3:13" x14ac:dyDescent="0.25">
      <c r="C193" s="124"/>
      <c r="D193" s="127"/>
      <c r="E193" s="126"/>
      <c r="H193" s="127"/>
      <c r="I193" s="126"/>
      <c r="L193" s="115"/>
      <c r="M193" s="115"/>
    </row>
    <row r="194" spans="3:13" x14ac:dyDescent="0.25">
      <c r="C194" s="124"/>
      <c r="D194" s="127"/>
      <c r="E194" s="126"/>
      <c r="H194" s="127"/>
      <c r="I194" s="126"/>
      <c r="L194" s="115"/>
      <c r="M194" s="115"/>
    </row>
    <row r="195" spans="3:13" x14ac:dyDescent="0.25">
      <c r="C195" s="124"/>
      <c r="D195" s="127"/>
      <c r="E195" s="126"/>
      <c r="H195" s="127"/>
      <c r="I195" s="126"/>
      <c r="L195" s="115"/>
      <c r="M195" s="115"/>
    </row>
    <row r="196" spans="3:13" x14ac:dyDescent="0.25">
      <c r="C196" s="124"/>
      <c r="D196" s="127"/>
      <c r="E196" s="126"/>
      <c r="H196" s="127"/>
      <c r="I196" s="126"/>
      <c r="L196" s="115"/>
      <c r="M196" s="115"/>
    </row>
    <row r="197" spans="3:13" x14ac:dyDescent="0.25">
      <c r="C197" s="124"/>
      <c r="D197" s="127"/>
      <c r="E197" s="126"/>
      <c r="H197" s="127"/>
      <c r="I197" s="126"/>
      <c r="L197" s="115"/>
      <c r="M197" s="115"/>
    </row>
    <row r="198" spans="3:13" x14ac:dyDescent="0.25">
      <c r="C198" s="124"/>
      <c r="D198" s="127"/>
      <c r="E198" s="126"/>
      <c r="H198" s="127"/>
      <c r="I198" s="126"/>
      <c r="L198" s="115"/>
      <c r="M198" s="115"/>
    </row>
    <row r="199" spans="3:13" x14ac:dyDescent="0.25">
      <c r="C199" s="124"/>
      <c r="D199" s="127"/>
      <c r="E199" s="126"/>
      <c r="H199" s="127"/>
      <c r="I199" s="126"/>
      <c r="L199" s="115"/>
      <c r="M199" s="115"/>
    </row>
    <row r="200" spans="3:13" x14ac:dyDescent="0.25">
      <c r="C200" s="124"/>
      <c r="D200" s="127"/>
      <c r="E200" s="126"/>
      <c r="H200" s="127"/>
      <c r="I200" s="126"/>
      <c r="L200" s="115"/>
      <c r="M200" s="115"/>
    </row>
    <row r="201" spans="3:13" x14ac:dyDescent="0.25">
      <c r="C201" s="124"/>
      <c r="D201" s="127"/>
      <c r="E201" s="126"/>
      <c r="H201" s="127"/>
      <c r="I201" s="126"/>
      <c r="L201" s="115"/>
      <c r="M201" s="115"/>
    </row>
    <row r="202" spans="3:13" x14ac:dyDescent="0.25">
      <c r="C202" s="124"/>
      <c r="D202" s="127"/>
      <c r="E202" s="126"/>
      <c r="H202" s="127"/>
      <c r="I202" s="126"/>
      <c r="L202" s="115"/>
    </row>
    <row r="203" spans="3:13" x14ac:dyDescent="0.25">
      <c r="C203" s="124"/>
      <c r="D203" s="127"/>
      <c r="E203" s="126"/>
      <c r="H203" s="127"/>
      <c r="I203" s="126"/>
      <c r="L203" s="115"/>
    </row>
    <row r="204" spans="3:13" x14ac:dyDescent="0.25">
      <c r="C204" s="124"/>
      <c r="D204" s="127"/>
      <c r="E204" s="126"/>
      <c r="H204" s="127"/>
      <c r="I204" s="126"/>
      <c r="L204" s="115"/>
    </row>
    <row r="205" spans="3:13" x14ac:dyDescent="0.25">
      <c r="C205" s="124"/>
      <c r="D205" s="127"/>
      <c r="E205" s="126"/>
      <c r="H205" s="127"/>
      <c r="I205" s="126"/>
      <c r="L205" s="115"/>
    </row>
    <row r="206" spans="3:13" x14ac:dyDescent="0.25">
      <c r="C206" s="124"/>
      <c r="D206" s="127"/>
      <c r="E206" s="126"/>
      <c r="H206" s="127"/>
      <c r="I206" s="126"/>
      <c r="L206" s="115"/>
    </row>
    <row r="207" spans="3:13" x14ac:dyDescent="0.25">
      <c r="C207" s="124"/>
      <c r="D207" s="127"/>
      <c r="E207" s="126"/>
      <c r="H207" s="127"/>
      <c r="I207" s="126"/>
      <c r="L207" s="115"/>
    </row>
    <row r="208" spans="3:13" x14ac:dyDescent="0.25">
      <c r="C208" s="124"/>
      <c r="D208" s="127"/>
      <c r="E208" s="126"/>
      <c r="H208" s="127"/>
      <c r="I208" s="126"/>
      <c r="L208" s="115"/>
    </row>
    <row r="209" spans="3:12" x14ac:dyDescent="0.25">
      <c r="C209" s="124"/>
      <c r="D209" s="127"/>
      <c r="E209" s="126"/>
      <c r="H209" s="127"/>
      <c r="I209" s="126"/>
      <c r="L209" s="115"/>
    </row>
    <row r="210" spans="3:12" x14ac:dyDescent="0.25">
      <c r="C210" s="124"/>
      <c r="D210" s="127"/>
      <c r="E210" s="126"/>
      <c r="H210" s="127"/>
      <c r="I210" s="126"/>
      <c r="L210" s="115"/>
    </row>
    <row r="211" spans="3:12" x14ac:dyDescent="0.25">
      <c r="C211" s="124"/>
      <c r="D211" s="127"/>
      <c r="E211" s="126"/>
      <c r="H211" s="127"/>
      <c r="I211" s="126"/>
      <c r="L211" s="115"/>
    </row>
    <row r="212" spans="3:12" x14ac:dyDescent="0.25">
      <c r="C212" s="124"/>
      <c r="D212" s="127"/>
      <c r="E212" s="126"/>
      <c r="H212" s="127"/>
      <c r="I212" s="126"/>
      <c r="L212" s="115"/>
    </row>
    <row r="213" spans="3:12" x14ac:dyDescent="0.25">
      <c r="C213" s="124"/>
      <c r="D213" s="127"/>
      <c r="E213" s="126"/>
      <c r="H213" s="127"/>
      <c r="I213" s="126"/>
      <c r="L213" s="115"/>
    </row>
    <row r="214" spans="3:12" x14ac:dyDescent="0.25">
      <c r="C214" s="124"/>
      <c r="D214" s="127"/>
      <c r="E214" s="126"/>
      <c r="H214" s="127"/>
      <c r="I214" s="126"/>
    </row>
    <row r="215" spans="3:12" x14ac:dyDescent="0.25">
      <c r="C215" s="124"/>
      <c r="D215" s="127"/>
      <c r="E215" s="126"/>
      <c r="H215" s="127"/>
      <c r="I215" s="126"/>
    </row>
    <row r="216" spans="3:12" x14ac:dyDescent="0.25">
      <c r="C216" s="124"/>
      <c r="D216" s="127"/>
      <c r="E216" s="126"/>
      <c r="H216" s="127"/>
      <c r="I216" s="126"/>
    </row>
    <row r="217" spans="3:12" x14ac:dyDescent="0.25">
      <c r="C217" s="124"/>
      <c r="D217" s="127"/>
      <c r="E217" s="126"/>
      <c r="H217" s="127"/>
      <c r="I217" s="126"/>
    </row>
    <row r="218" spans="3:12" x14ac:dyDescent="0.25">
      <c r="C218" s="124"/>
      <c r="D218" s="127"/>
      <c r="E218" s="126"/>
      <c r="H218" s="127"/>
      <c r="I218" s="126"/>
    </row>
    <row r="219" spans="3:12" x14ac:dyDescent="0.25">
      <c r="C219" s="124"/>
      <c r="D219" s="127"/>
      <c r="E219" s="126"/>
      <c r="H219" s="127"/>
      <c r="I219" s="126"/>
    </row>
  </sheetData>
  <mergeCells count="1">
    <mergeCell ref="F97:H9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FCD14-334A-4DB3-B925-68B3AC732DA1}">
  <dimension ref="A1:R57"/>
  <sheetViews>
    <sheetView workbookViewId="0">
      <selection activeCell="A10" sqref="A10"/>
    </sheetView>
  </sheetViews>
  <sheetFormatPr defaultRowHeight="14.3" x14ac:dyDescent="0.25"/>
  <cols>
    <col min="1" max="1" width="10.5" bestFit="1" customWidth="1"/>
    <col min="3" max="3" width="28.625" customWidth="1"/>
    <col min="7" max="7" width="2.625" customWidth="1"/>
    <col min="8" max="8" width="10.5" bestFit="1" customWidth="1"/>
  </cols>
  <sheetData>
    <row r="1" spans="1:18" ht="14.95" customHeight="1" thickBot="1" x14ac:dyDescent="0.3"/>
    <row r="2" spans="1:18" ht="14.95" customHeight="1" thickBot="1" x14ac:dyDescent="0.3">
      <c r="A2" s="48"/>
      <c r="B2" s="504" t="s">
        <v>49</v>
      </c>
      <c r="C2" s="505"/>
      <c r="D2" s="496" t="s">
        <v>50</v>
      </c>
      <c r="E2" s="497"/>
      <c r="F2" s="61" t="s">
        <v>51</v>
      </c>
      <c r="H2" s="499" t="s">
        <v>53</v>
      </c>
      <c r="I2" s="501" t="s">
        <v>61</v>
      </c>
      <c r="J2" s="502"/>
      <c r="K2" s="501" t="s">
        <v>62</v>
      </c>
      <c r="L2" s="503"/>
      <c r="M2" s="503"/>
      <c r="N2" s="503"/>
      <c r="O2" s="502"/>
      <c r="P2" s="501" t="s">
        <v>64</v>
      </c>
      <c r="Q2" s="502"/>
    </row>
    <row r="3" spans="1:18" ht="14.95" customHeight="1" thickBot="1" x14ac:dyDescent="0.3">
      <c r="A3" s="254" t="s">
        <v>34</v>
      </c>
      <c r="B3" s="253">
        <v>0</v>
      </c>
      <c r="C3" s="248"/>
      <c r="D3" s="62">
        <v>0</v>
      </c>
      <c r="E3" s="63"/>
      <c r="F3" s="64">
        <f t="shared" ref="F3:F20" si="0">SUM(B3+D3*2)</f>
        <v>0</v>
      </c>
      <c r="H3" s="500"/>
      <c r="I3" s="90" t="s">
        <v>4</v>
      </c>
      <c r="J3" s="90" t="s">
        <v>5</v>
      </c>
      <c r="K3" s="91" t="s">
        <v>96</v>
      </c>
      <c r="L3" s="92" t="s">
        <v>97</v>
      </c>
      <c r="M3" s="92" t="s">
        <v>98</v>
      </c>
      <c r="N3" s="93" t="s">
        <v>99</v>
      </c>
      <c r="O3" s="94" t="s">
        <v>65</v>
      </c>
      <c r="P3" s="91" t="s">
        <v>4</v>
      </c>
      <c r="Q3" s="94" t="s">
        <v>5</v>
      </c>
    </row>
    <row r="4" spans="1:18" ht="14.95" customHeight="1" thickBot="1" x14ac:dyDescent="0.3">
      <c r="A4" s="447" t="s">
        <v>55</v>
      </c>
      <c r="B4" s="66">
        <v>0</v>
      </c>
      <c r="C4" s="67"/>
      <c r="D4" s="62">
        <v>0</v>
      </c>
      <c r="E4" s="63"/>
      <c r="F4" s="64">
        <f t="shared" si="0"/>
        <v>0</v>
      </c>
      <c r="H4" s="259" t="s">
        <v>29</v>
      </c>
      <c r="I4" s="96">
        <v>17</v>
      </c>
      <c r="J4" s="96">
        <v>19</v>
      </c>
      <c r="K4" s="96">
        <v>62</v>
      </c>
      <c r="L4" s="96">
        <v>10</v>
      </c>
      <c r="M4" s="96">
        <v>0</v>
      </c>
      <c r="N4" s="96">
        <v>0</v>
      </c>
      <c r="O4" s="97">
        <f t="shared" ref="O4:O21" si="1">SUM(K4:N4)</f>
        <v>72</v>
      </c>
      <c r="P4" s="376">
        <f t="shared" ref="P4:P22" si="2">SUM(I4/O4)*10</f>
        <v>2.3611111111111112</v>
      </c>
      <c r="Q4" s="377">
        <f t="shared" ref="Q4" si="3">SUM(J4/O4)*10</f>
        <v>2.6388888888888888</v>
      </c>
    </row>
    <row r="5" spans="1:18" ht="14.95" customHeight="1" thickBot="1" x14ac:dyDescent="0.3">
      <c r="A5" s="58" t="s">
        <v>31</v>
      </c>
      <c r="B5" s="66">
        <v>1</v>
      </c>
      <c r="C5" s="67" t="s">
        <v>456</v>
      </c>
      <c r="D5" s="62">
        <v>0</v>
      </c>
      <c r="E5" s="63"/>
      <c r="F5" s="64">
        <f t="shared" si="0"/>
        <v>1</v>
      </c>
      <c r="H5" s="161" t="s">
        <v>32</v>
      </c>
      <c r="I5" s="96">
        <v>0</v>
      </c>
      <c r="J5" s="96">
        <v>5</v>
      </c>
      <c r="K5" s="96">
        <v>10</v>
      </c>
      <c r="L5" s="96">
        <v>0</v>
      </c>
      <c r="M5" s="96">
        <v>0</v>
      </c>
      <c r="N5" s="96">
        <v>0</v>
      </c>
      <c r="O5" s="97">
        <f t="shared" ref="O5" si="4">SUM(K5:N5)</f>
        <v>10</v>
      </c>
      <c r="P5" s="376">
        <f t="shared" ref="P5" si="5">SUM(I5/O5)*10</f>
        <v>0</v>
      </c>
      <c r="Q5" s="377">
        <f t="shared" ref="Q5" si="6">SUM(J5/O5)*10</f>
        <v>5</v>
      </c>
    </row>
    <row r="6" spans="1:18" ht="14.95" customHeight="1" thickBot="1" x14ac:dyDescent="0.3">
      <c r="A6" s="447" t="s">
        <v>32</v>
      </c>
      <c r="B6" s="66">
        <v>1</v>
      </c>
      <c r="C6" s="67" t="s">
        <v>487</v>
      </c>
      <c r="D6" s="62">
        <v>0</v>
      </c>
      <c r="E6" s="63"/>
      <c r="F6" s="64">
        <f t="shared" si="0"/>
        <v>1</v>
      </c>
      <c r="H6" s="286" t="s">
        <v>310</v>
      </c>
      <c r="I6" s="96">
        <v>0</v>
      </c>
      <c r="J6" s="96">
        <v>7</v>
      </c>
      <c r="K6" s="96">
        <v>10</v>
      </c>
      <c r="L6" s="96">
        <v>0</v>
      </c>
      <c r="M6" s="96">
        <v>0</v>
      </c>
      <c r="N6" s="96">
        <v>0</v>
      </c>
      <c r="O6" s="97">
        <f t="shared" ref="O6" si="7">SUM(K6:N6)</f>
        <v>10</v>
      </c>
      <c r="P6" s="376">
        <f t="shared" ref="P6" si="8">SUM(I6/O6)*10</f>
        <v>0</v>
      </c>
      <c r="Q6" s="377">
        <f t="shared" ref="Q6" si="9">SUM(J6/O6)*10</f>
        <v>7</v>
      </c>
      <c r="R6" t="s">
        <v>53</v>
      </c>
    </row>
    <row r="7" spans="1:18" ht="14.95" customHeight="1" thickBot="1" x14ac:dyDescent="0.3">
      <c r="A7" s="418" t="s">
        <v>310</v>
      </c>
      <c r="B7" s="66">
        <v>1</v>
      </c>
      <c r="C7" s="67" t="s">
        <v>508</v>
      </c>
      <c r="D7" s="62">
        <v>0</v>
      </c>
      <c r="E7" s="63"/>
      <c r="F7" s="64">
        <f t="shared" si="0"/>
        <v>1</v>
      </c>
      <c r="H7" s="331" t="s">
        <v>186</v>
      </c>
      <c r="I7" s="96">
        <v>8</v>
      </c>
      <c r="J7" s="96">
        <v>19</v>
      </c>
      <c r="K7" s="96">
        <v>40</v>
      </c>
      <c r="L7" s="96">
        <v>0</v>
      </c>
      <c r="M7" s="96">
        <v>0</v>
      </c>
      <c r="N7" s="96">
        <v>0</v>
      </c>
      <c r="O7" s="97">
        <f t="shared" ref="O7" si="10">SUM(K7:N7)</f>
        <v>40</v>
      </c>
      <c r="P7" s="376">
        <f t="shared" ref="P7" si="11">SUM(I7/O7)*10</f>
        <v>2</v>
      </c>
      <c r="Q7" s="377">
        <f t="shared" ref="Q7" si="12">SUM(J7/O7)*10</f>
        <v>4.75</v>
      </c>
    </row>
    <row r="8" spans="1:18" ht="14.95" customHeight="1" thickBot="1" x14ac:dyDescent="0.3">
      <c r="A8" s="58" t="s">
        <v>36</v>
      </c>
      <c r="B8" s="65">
        <v>1</v>
      </c>
      <c r="C8" s="131" t="s">
        <v>447</v>
      </c>
      <c r="D8" s="62">
        <f>canp4rc</f>
        <v>0</v>
      </c>
      <c r="E8" s="63"/>
      <c r="F8" s="64">
        <f t="shared" si="0"/>
        <v>1</v>
      </c>
      <c r="H8" s="161" t="s">
        <v>55</v>
      </c>
      <c r="I8" s="96">
        <v>0</v>
      </c>
      <c r="J8" s="96">
        <v>0</v>
      </c>
      <c r="K8" s="96">
        <v>0</v>
      </c>
      <c r="L8" s="96">
        <v>0</v>
      </c>
      <c r="M8" s="96">
        <v>0</v>
      </c>
      <c r="N8" s="96">
        <v>0</v>
      </c>
      <c r="O8" s="97">
        <v>0</v>
      </c>
      <c r="P8" s="401" t="s">
        <v>359</v>
      </c>
      <c r="Q8" s="402" t="s">
        <v>359</v>
      </c>
      <c r="R8" t="s">
        <v>536</v>
      </c>
    </row>
    <row r="9" spans="1:18" ht="14.95" customHeight="1" thickBot="1" x14ac:dyDescent="0.3">
      <c r="A9" s="254" t="s">
        <v>33</v>
      </c>
      <c r="B9" s="65">
        <v>1</v>
      </c>
      <c r="C9" s="68" t="s">
        <v>481</v>
      </c>
      <c r="D9" s="62">
        <f>usap4rc</f>
        <v>0</v>
      </c>
      <c r="E9" s="63"/>
      <c r="F9" s="64">
        <f t="shared" si="0"/>
        <v>1</v>
      </c>
      <c r="H9" s="34" t="s">
        <v>34</v>
      </c>
      <c r="I9" s="96">
        <v>0</v>
      </c>
      <c r="J9" s="96">
        <v>0</v>
      </c>
      <c r="K9" s="96">
        <v>0</v>
      </c>
      <c r="L9" s="96">
        <v>0</v>
      </c>
      <c r="M9" s="96">
        <v>0</v>
      </c>
      <c r="N9" s="96">
        <v>0</v>
      </c>
      <c r="O9" s="97">
        <v>0</v>
      </c>
      <c r="P9" s="401" t="s">
        <v>359</v>
      </c>
      <c r="Q9" s="402" t="s">
        <v>359</v>
      </c>
      <c r="R9" t="s">
        <v>536</v>
      </c>
    </row>
    <row r="10" spans="1:18" ht="14.95" customHeight="1" thickBot="1" x14ac:dyDescent="0.3">
      <c r="A10" s="468" t="s">
        <v>338</v>
      </c>
      <c r="B10" s="66">
        <v>1</v>
      </c>
      <c r="C10" s="67" t="s">
        <v>534</v>
      </c>
      <c r="D10" s="62">
        <v>0</v>
      </c>
      <c r="E10" s="63"/>
      <c r="F10" s="64">
        <f t="shared" si="0"/>
        <v>1</v>
      </c>
      <c r="H10" s="272" t="s">
        <v>277</v>
      </c>
      <c r="I10" s="96">
        <v>12</v>
      </c>
      <c r="J10" s="96">
        <v>5</v>
      </c>
      <c r="K10" s="96">
        <v>27</v>
      </c>
      <c r="L10" s="96">
        <v>0</v>
      </c>
      <c r="M10" s="96">
        <v>0</v>
      </c>
      <c r="N10" s="96">
        <v>0</v>
      </c>
      <c r="O10" s="97">
        <f t="shared" ref="O10:O15" si="13">SUM(K10:N10)</f>
        <v>27</v>
      </c>
      <c r="P10" s="443">
        <f t="shared" ref="P10:P15" si="14">SUM(I10/O10)*10</f>
        <v>4.4444444444444446</v>
      </c>
      <c r="Q10" s="444">
        <f t="shared" ref="Q10:Q15" si="15">SUM(J10/O10)*10</f>
        <v>1.8518518518518516</v>
      </c>
    </row>
    <row r="11" spans="1:18" ht="14.95" customHeight="1" thickBot="1" x14ac:dyDescent="0.3">
      <c r="A11" s="472" t="s">
        <v>74</v>
      </c>
      <c r="B11" s="66">
        <v>1</v>
      </c>
      <c r="C11" s="67" t="s">
        <v>528</v>
      </c>
      <c r="D11" s="62">
        <v>0</v>
      </c>
      <c r="E11" s="63"/>
      <c r="F11" s="64">
        <f t="shared" si="0"/>
        <v>1</v>
      </c>
      <c r="H11" s="474" t="s">
        <v>338</v>
      </c>
      <c r="I11" s="96">
        <v>0</v>
      </c>
      <c r="J11" s="96">
        <v>0</v>
      </c>
      <c r="K11" s="96">
        <v>10</v>
      </c>
      <c r="L11" s="96">
        <v>0</v>
      </c>
      <c r="M11" s="96">
        <v>0</v>
      </c>
      <c r="N11" s="96">
        <v>0</v>
      </c>
      <c r="O11" s="97">
        <f t="shared" si="13"/>
        <v>10</v>
      </c>
      <c r="P11" s="443">
        <f t="shared" si="14"/>
        <v>0</v>
      </c>
      <c r="Q11" s="444">
        <f t="shared" si="15"/>
        <v>0</v>
      </c>
    </row>
    <row r="12" spans="1:18" ht="14.95" customHeight="1" thickBot="1" x14ac:dyDescent="0.3">
      <c r="A12" s="473" t="s">
        <v>295</v>
      </c>
      <c r="B12" s="66">
        <v>1</v>
      </c>
      <c r="C12" s="67" t="s">
        <v>527</v>
      </c>
      <c r="D12" s="62">
        <v>0</v>
      </c>
      <c r="E12" s="63"/>
      <c r="F12" s="64">
        <f t="shared" si="0"/>
        <v>1</v>
      </c>
      <c r="H12" s="475" t="s">
        <v>297</v>
      </c>
      <c r="I12" s="96">
        <v>0</v>
      </c>
      <c r="J12" s="96">
        <v>26</v>
      </c>
      <c r="K12" s="96">
        <v>20</v>
      </c>
      <c r="L12" s="96">
        <v>0</v>
      </c>
      <c r="M12" s="96">
        <v>0</v>
      </c>
      <c r="N12" s="96">
        <v>0</v>
      </c>
      <c r="O12" s="97">
        <f t="shared" si="13"/>
        <v>20</v>
      </c>
      <c r="P12" s="443">
        <f t="shared" si="14"/>
        <v>0</v>
      </c>
      <c r="Q12" s="444">
        <f t="shared" si="15"/>
        <v>13</v>
      </c>
    </row>
    <row r="13" spans="1:18" ht="14.95" customHeight="1" thickBot="1" x14ac:dyDescent="0.3">
      <c r="A13" s="107" t="s">
        <v>30</v>
      </c>
      <c r="B13" s="66">
        <v>2</v>
      </c>
      <c r="C13" s="248" t="s">
        <v>446</v>
      </c>
      <c r="D13" s="62">
        <v>0</v>
      </c>
      <c r="E13" s="63"/>
      <c r="F13" s="64">
        <f t="shared" si="0"/>
        <v>2</v>
      </c>
      <c r="H13" s="21" t="s">
        <v>35</v>
      </c>
      <c r="I13" s="96">
        <v>0</v>
      </c>
      <c r="J13" s="96">
        <v>7</v>
      </c>
      <c r="K13" s="96">
        <v>20</v>
      </c>
      <c r="L13" s="96">
        <v>0</v>
      </c>
      <c r="M13" s="96">
        <v>0</v>
      </c>
      <c r="N13" s="96">
        <v>0</v>
      </c>
      <c r="O13" s="97">
        <f t="shared" si="13"/>
        <v>20</v>
      </c>
      <c r="P13" s="443">
        <f t="shared" si="14"/>
        <v>0</v>
      </c>
      <c r="Q13" s="444">
        <f t="shared" si="15"/>
        <v>3.5</v>
      </c>
    </row>
    <row r="14" spans="1:18" ht="14.95" customHeight="1" thickBot="1" x14ac:dyDescent="0.3">
      <c r="A14" s="469" t="s">
        <v>297</v>
      </c>
      <c r="B14" s="66">
        <v>2</v>
      </c>
      <c r="C14" s="67" t="s">
        <v>519</v>
      </c>
      <c r="D14" s="62">
        <v>0</v>
      </c>
      <c r="E14" s="63"/>
      <c r="F14" s="64">
        <f t="shared" si="0"/>
        <v>2</v>
      </c>
      <c r="H14" s="476" t="s">
        <v>74</v>
      </c>
      <c r="I14" s="96">
        <v>5</v>
      </c>
      <c r="J14" s="96">
        <v>7</v>
      </c>
      <c r="K14" s="96">
        <v>10</v>
      </c>
      <c r="L14" s="96">
        <v>0</v>
      </c>
      <c r="M14" s="96">
        <v>0</v>
      </c>
      <c r="N14" s="96">
        <v>0</v>
      </c>
      <c r="O14" s="97">
        <f t="shared" si="13"/>
        <v>10</v>
      </c>
      <c r="P14" s="443">
        <f t="shared" si="14"/>
        <v>5</v>
      </c>
      <c r="Q14" s="444">
        <f t="shared" si="15"/>
        <v>7</v>
      </c>
    </row>
    <row r="15" spans="1:18" ht="14.95" customHeight="1" thickBot="1" x14ac:dyDescent="0.3">
      <c r="A15" s="59" t="s">
        <v>35</v>
      </c>
      <c r="B15" s="66">
        <v>2</v>
      </c>
      <c r="C15" s="67" t="s">
        <v>535</v>
      </c>
      <c r="D15" s="62">
        <v>0</v>
      </c>
      <c r="E15" s="63"/>
      <c r="F15" s="64">
        <f t="shared" si="0"/>
        <v>2</v>
      </c>
      <c r="H15" s="477" t="s">
        <v>295</v>
      </c>
      <c r="I15" s="96">
        <v>0</v>
      </c>
      <c r="J15" s="96">
        <v>5</v>
      </c>
      <c r="K15" s="96">
        <v>10</v>
      </c>
      <c r="L15" s="96">
        <v>0</v>
      </c>
      <c r="M15" s="96">
        <v>0</v>
      </c>
      <c r="N15" s="96">
        <v>0</v>
      </c>
      <c r="O15" s="97">
        <f t="shared" si="13"/>
        <v>10</v>
      </c>
      <c r="P15" s="443">
        <f t="shared" si="14"/>
        <v>0</v>
      </c>
      <c r="Q15" s="444">
        <f t="shared" si="15"/>
        <v>5</v>
      </c>
      <c r="R15" t="s">
        <v>53</v>
      </c>
    </row>
    <row r="16" spans="1:18" ht="14.95" customHeight="1" thickBot="1" x14ac:dyDescent="0.3">
      <c r="A16" s="352" t="s">
        <v>73</v>
      </c>
      <c r="B16" s="65">
        <v>0</v>
      </c>
      <c r="C16" s="131"/>
      <c r="D16" s="62">
        <v>1</v>
      </c>
      <c r="E16" s="63" t="s">
        <v>444</v>
      </c>
      <c r="F16" s="64">
        <f t="shared" si="0"/>
        <v>2</v>
      </c>
      <c r="H16" s="161" t="s">
        <v>308</v>
      </c>
      <c r="I16" s="96">
        <v>7</v>
      </c>
      <c r="J16" s="96">
        <v>21</v>
      </c>
      <c r="K16" s="96">
        <v>24</v>
      </c>
      <c r="L16" s="96">
        <v>8</v>
      </c>
      <c r="M16" s="96">
        <v>0</v>
      </c>
      <c r="N16" s="96">
        <v>0</v>
      </c>
      <c r="O16" s="97">
        <f t="shared" ref="O16" si="16">SUM(K16:N16)</f>
        <v>32</v>
      </c>
      <c r="P16" s="376">
        <f t="shared" ref="P16" si="17">SUM(I16/O16)*10</f>
        <v>2.1875</v>
      </c>
      <c r="Q16" s="377">
        <f t="shared" ref="Q16" si="18">SUM(J16/O16)*10</f>
        <v>6.5625</v>
      </c>
    </row>
    <row r="17" spans="1:18" ht="14.95" customHeight="1" thickBot="1" x14ac:dyDescent="0.3">
      <c r="A17" s="467" t="s">
        <v>277</v>
      </c>
      <c r="B17" s="66">
        <v>3</v>
      </c>
      <c r="C17" s="67" t="s">
        <v>531</v>
      </c>
      <c r="D17" s="62">
        <v>0</v>
      </c>
      <c r="E17" s="63"/>
      <c r="F17" s="64">
        <f t="shared" si="0"/>
        <v>3</v>
      </c>
      <c r="H17" s="108" t="s">
        <v>30</v>
      </c>
      <c r="I17" s="96">
        <v>14</v>
      </c>
      <c r="J17" s="96">
        <v>5</v>
      </c>
      <c r="K17" s="96">
        <v>13</v>
      </c>
      <c r="L17" s="96">
        <v>0</v>
      </c>
      <c r="M17" s="96">
        <v>0</v>
      </c>
      <c r="N17" s="96">
        <v>0</v>
      </c>
      <c r="O17" s="97">
        <f t="shared" si="1"/>
        <v>13</v>
      </c>
      <c r="P17" s="376">
        <f t="shared" si="2"/>
        <v>10.769230769230768</v>
      </c>
      <c r="Q17" s="377">
        <f>SUM(J17/O17)*10</f>
        <v>3.8461538461538463</v>
      </c>
    </row>
    <row r="18" spans="1:18" ht="14.95" customHeight="1" thickBot="1" x14ac:dyDescent="0.3">
      <c r="A18" s="448" t="s">
        <v>186</v>
      </c>
      <c r="B18" s="66">
        <v>1</v>
      </c>
      <c r="C18" s="67" t="s">
        <v>504</v>
      </c>
      <c r="D18" s="62">
        <v>1</v>
      </c>
      <c r="E18" s="63" t="s">
        <v>505</v>
      </c>
      <c r="F18" s="64">
        <f t="shared" si="0"/>
        <v>3</v>
      </c>
      <c r="H18" s="34" t="s">
        <v>33</v>
      </c>
      <c r="I18" s="96">
        <v>0</v>
      </c>
      <c r="J18" s="96">
        <v>7</v>
      </c>
      <c r="K18" s="96">
        <v>10</v>
      </c>
      <c r="L18" s="96">
        <v>0</v>
      </c>
      <c r="M18" s="96">
        <v>0</v>
      </c>
      <c r="N18" s="96">
        <v>0</v>
      </c>
      <c r="O18" s="97">
        <f t="shared" si="1"/>
        <v>10</v>
      </c>
      <c r="P18" s="443">
        <f t="shared" ref="P18" si="19">SUM(I18/O18)*10</f>
        <v>0</v>
      </c>
      <c r="Q18" s="444">
        <f t="shared" ref="Q18" si="20">SUM(J18/O18)*10</f>
        <v>7</v>
      </c>
    </row>
    <row r="19" spans="1:18" ht="14.95" customHeight="1" thickBot="1" x14ac:dyDescent="0.3">
      <c r="A19" s="447" t="s">
        <v>308</v>
      </c>
      <c r="B19" s="66">
        <v>4</v>
      </c>
      <c r="C19" s="67" t="s">
        <v>512</v>
      </c>
      <c r="D19" s="62">
        <v>0</v>
      </c>
      <c r="E19" s="63"/>
      <c r="F19" s="64">
        <f t="shared" si="0"/>
        <v>4</v>
      </c>
      <c r="H19" s="354" t="s">
        <v>73</v>
      </c>
      <c r="I19" s="96">
        <v>7</v>
      </c>
      <c r="J19" s="96">
        <v>0</v>
      </c>
      <c r="K19" s="96">
        <v>19</v>
      </c>
      <c r="L19" s="96">
        <v>0</v>
      </c>
      <c r="M19" s="96">
        <v>0</v>
      </c>
      <c r="N19" s="96">
        <v>0</v>
      </c>
      <c r="O19" s="97">
        <f t="shared" si="1"/>
        <v>19</v>
      </c>
      <c r="P19" s="376">
        <f t="shared" si="2"/>
        <v>3.6842105263157894</v>
      </c>
      <c r="Q19" s="377">
        <f>SUM(J19/O19)*10</f>
        <v>0</v>
      </c>
    </row>
    <row r="20" spans="1:18" ht="14.95" customHeight="1" thickBot="1" x14ac:dyDescent="0.3">
      <c r="A20" s="353" t="s">
        <v>29</v>
      </c>
      <c r="B20" s="66">
        <v>2</v>
      </c>
      <c r="C20" s="67" t="s">
        <v>461</v>
      </c>
      <c r="D20" s="62">
        <v>2</v>
      </c>
      <c r="E20" s="63" t="s">
        <v>462</v>
      </c>
      <c r="F20" s="64">
        <f t="shared" si="0"/>
        <v>6</v>
      </c>
      <c r="H20" s="299" t="s">
        <v>36</v>
      </c>
      <c r="I20" s="96">
        <v>0</v>
      </c>
      <c r="J20" s="96">
        <v>5</v>
      </c>
      <c r="K20" s="96">
        <v>10</v>
      </c>
      <c r="L20" s="96">
        <v>0</v>
      </c>
      <c r="M20" s="96">
        <v>0</v>
      </c>
      <c r="N20" s="96">
        <v>0</v>
      </c>
      <c r="O20" s="97">
        <f t="shared" si="1"/>
        <v>10</v>
      </c>
      <c r="P20" s="376">
        <f t="shared" si="2"/>
        <v>0</v>
      </c>
      <c r="Q20" s="377">
        <f>SUM(J20/O20)*10</f>
        <v>5</v>
      </c>
      <c r="R20" t="s">
        <v>53</v>
      </c>
    </row>
    <row r="21" spans="1:18" ht="14.95" customHeight="1" thickBot="1" x14ac:dyDescent="0.3">
      <c r="A21" s="114" t="s">
        <v>52</v>
      </c>
      <c r="B21" s="65">
        <f>SUM(B3:B20)</f>
        <v>24</v>
      </c>
      <c r="C21" s="68"/>
      <c r="D21" s="69">
        <f>SUM(D3:D20)</f>
        <v>4</v>
      </c>
      <c r="E21" s="70"/>
      <c r="F21" s="61" t="s">
        <v>53</v>
      </c>
      <c r="H21" s="8" t="s">
        <v>31</v>
      </c>
      <c r="I21" s="96">
        <v>0</v>
      </c>
      <c r="J21" s="96">
        <v>10</v>
      </c>
      <c r="K21" s="96">
        <v>10</v>
      </c>
      <c r="L21" s="96">
        <v>0</v>
      </c>
      <c r="M21" s="96">
        <v>0</v>
      </c>
      <c r="N21" s="96">
        <v>0</v>
      </c>
      <c r="O21" s="124">
        <f t="shared" si="1"/>
        <v>10</v>
      </c>
      <c r="P21" s="376">
        <f t="shared" ref="P21" si="21">SUM(I21/O21)*10</f>
        <v>0</v>
      </c>
      <c r="Q21" s="422">
        <f t="shared" ref="Q21" si="22">SUM(J21/O21)*10</f>
        <v>10</v>
      </c>
      <c r="R21" t="s">
        <v>53</v>
      </c>
    </row>
    <row r="22" spans="1:18" ht="14.95" customHeight="1" thickBot="1" x14ac:dyDescent="0.3">
      <c r="D22" s="71"/>
      <c r="E22" s="72"/>
      <c r="H22" s="103" t="s">
        <v>52</v>
      </c>
      <c r="I22" s="98">
        <f>SUM(I4:I21)</f>
        <v>70</v>
      </c>
      <c r="J22" s="98">
        <f>SUM(J4:J21)</f>
        <v>148</v>
      </c>
      <c r="K22" s="98">
        <f>SUM(K4:K21)</f>
        <v>305</v>
      </c>
      <c r="L22" s="98">
        <f>SUM(L4:L20)</f>
        <v>18</v>
      </c>
      <c r="M22" s="98">
        <f>SUM(M4:M20)</f>
        <v>0</v>
      </c>
      <c r="N22" s="98">
        <f>SUM(N4:N20)</f>
        <v>0</v>
      </c>
      <c r="O22" s="98">
        <f>SUM(O4:O20)</f>
        <v>313</v>
      </c>
      <c r="P22" s="399">
        <f t="shared" si="2"/>
        <v>2.2364217252396164</v>
      </c>
      <c r="Q22" s="400">
        <f>SUM(J22/O22)*10</f>
        <v>4.7284345047923324</v>
      </c>
    </row>
    <row r="23" spans="1:18" ht="14.95" customHeight="1" x14ac:dyDescent="0.25">
      <c r="A23" s="73" t="s">
        <v>54</v>
      </c>
      <c r="B23" s="73"/>
    </row>
    <row r="24" spans="1:18" ht="14.95" customHeight="1" x14ac:dyDescent="0.25">
      <c r="A24" s="509" t="s">
        <v>526</v>
      </c>
      <c r="B24" s="509"/>
      <c r="C24" s="510"/>
      <c r="D24" s="510"/>
      <c r="H24" s="73" t="s">
        <v>86</v>
      </c>
    </row>
    <row r="25" spans="1:18" ht="14.95" customHeight="1" thickBot="1" x14ac:dyDescent="0.3">
      <c r="A25" s="152"/>
      <c r="B25" s="14"/>
      <c r="E25" t="s">
        <v>53</v>
      </c>
      <c r="I25" s="73"/>
    </row>
    <row r="26" spans="1:18" ht="14.95" customHeight="1" thickBot="1" x14ac:dyDescent="0.3">
      <c r="H26" s="499" t="s">
        <v>53</v>
      </c>
      <c r="I26" s="501" t="s">
        <v>61</v>
      </c>
      <c r="J26" s="502"/>
      <c r="K26" s="501" t="s">
        <v>53</v>
      </c>
      <c r="L26" s="503"/>
      <c r="M26" s="503"/>
      <c r="N26" s="503"/>
      <c r="O26" s="502"/>
      <c r="P26" s="501" t="s">
        <v>64</v>
      </c>
      <c r="Q26" s="502"/>
    </row>
    <row r="27" spans="1:18" ht="14.95" customHeight="1" thickBot="1" x14ac:dyDescent="0.3">
      <c r="H27" s="500"/>
      <c r="I27" s="90" t="s">
        <v>4</v>
      </c>
      <c r="J27" s="90" t="s">
        <v>5</v>
      </c>
      <c r="K27" s="91" t="s">
        <v>67</v>
      </c>
      <c r="L27" s="92" t="s">
        <v>68</v>
      </c>
      <c r="M27" s="92" t="s">
        <v>198</v>
      </c>
      <c r="N27" s="93"/>
      <c r="O27" s="94" t="s">
        <v>65</v>
      </c>
      <c r="P27" s="91" t="s">
        <v>4</v>
      </c>
      <c r="Q27" s="94" t="s">
        <v>5</v>
      </c>
    </row>
    <row r="28" spans="1:18" ht="14.95" customHeight="1" thickBot="1" x14ac:dyDescent="0.3">
      <c r="H28" s="259" t="s">
        <v>29</v>
      </c>
      <c r="I28" s="96">
        <v>0</v>
      </c>
      <c r="J28" s="96">
        <v>0</v>
      </c>
      <c r="K28" s="96">
        <v>0</v>
      </c>
      <c r="L28" s="96">
        <v>0</v>
      </c>
      <c r="M28" s="96">
        <v>0</v>
      </c>
      <c r="N28" s="96">
        <v>0</v>
      </c>
      <c r="O28" s="97">
        <f t="shared" ref="O28:O43" si="23">SUM(K28:N28)</f>
        <v>0</v>
      </c>
      <c r="P28" s="401" t="s">
        <v>359</v>
      </c>
      <c r="Q28" s="402" t="s">
        <v>359</v>
      </c>
      <c r="R28" t="s">
        <v>360</v>
      </c>
    </row>
    <row r="29" spans="1:18" ht="14.95" customHeight="1" thickBot="1" x14ac:dyDescent="0.3">
      <c r="H29" s="161" t="s">
        <v>32</v>
      </c>
      <c r="I29" s="96">
        <v>19</v>
      </c>
      <c r="J29" s="96">
        <v>8</v>
      </c>
      <c r="K29" s="96">
        <v>40</v>
      </c>
      <c r="L29" s="96">
        <v>0</v>
      </c>
      <c r="M29" s="96">
        <v>0</v>
      </c>
      <c r="N29" s="96">
        <v>0</v>
      </c>
      <c r="O29" s="97">
        <f t="shared" ref="O29" si="24">SUM(K29:N29)</f>
        <v>40</v>
      </c>
      <c r="P29" s="443">
        <f t="shared" ref="P29" si="25">SUM(I29/O29)*10</f>
        <v>4.75</v>
      </c>
      <c r="Q29" s="444">
        <f t="shared" ref="Q29" si="26">SUM(J29/O29)*10</f>
        <v>2</v>
      </c>
    </row>
    <row r="30" spans="1:18" ht="14.95" customHeight="1" thickBot="1" x14ac:dyDescent="0.3">
      <c r="H30" s="287" t="s">
        <v>310</v>
      </c>
      <c r="I30" s="96">
        <v>12</v>
      </c>
      <c r="J30" s="96">
        <v>0</v>
      </c>
      <c r="K30" s="96">
        <v>14</v>
      </c>
      <c r="L30" s="96">
        <v>8</v>
      </c>
      <c r="M30" s="96">
        <v>0</v>
      </c>
      <c r="N30" s="96">
        <v>0</v>
      </c>
      <c r="O30" s="97">
        <f t="shared" ref="O30" si="27">SUM(K30:N30)</f>
        <v>22</v>
      </c>
      <c r="P30" s="443">
        <f t="shared" ref="P30" si="28">SUM(I30/O30)*10</f>
        <v>5.4545454545454541</v>
      </c>
      <c r="Q30" s="444">
        <f t="shared" ref="Q30" si="29">SUM(J30/O30)*10</f>
        <v>0</v>
      </c>
    </row>
    <row r="31" spans="1:18" ht="14.95" customHeight="1" thickBot="1" x14ac:dyDescent="0.3">
      <c r="H31" s="161" t="s">
        <v>55</v>
      </c>
      <c r="I31" s="96">
        <v>7</v>
      </c>
      <c r="J31" s="96">
        <v>0</v>
      </c>
      <c r="K31" s="96">
        <v>10</v>
      </c>
      <c r="L31" s="96">
        <v>0</v>
      </c>
      <c r="M31" s="96">
        <v>0</v>
      </c>
      <c r="N31" s="96">
        <v>0</v>
      </c>
      <c r="O31" s="97">
        <f t="shared" ref="O31" si="30">SUM(K31:N31)</f>
        <v>10</v>
      </c>
      <c r="P31" s="443">
        <f t="shared" ref="P31" si="31">SUM(I31/O31)*10</f>
        <v>7</v>
      </c>
      <c r="Q31" s="444">
        <f t="shared" ref="Q31" si="32">SUM(J31/O31)*10</f>
        <v>0</v>
      </c>
    </row>
    <row r="32" spans="1:18" ht="14.95" customHeight="1" thickBot="1" x14ac:dyDescent="0.3">
      <c r="H32" s="34" t="s">
        <v>34</v>
      </c>
      <c r="I32" s="96">
        <v>7</v>
      </c>
      <c r="J32" s="96">
        <v>0</v>
      </c>
      <c r="K32" s="96">
        <v>10</v>
      </c>
      <c r="L32" s="96">
        <v>0</v>
      </c>
      <c r="M32" s="96">
        <v>0</v>
      </c>
      <c r="N32" s="96">
        <v>0</v>
      </c>
      <c r="O32" s="97">
        <f t="shared" ref="O32" si="33">SUM(K32:N32)</f>
        <v>10</v>
      </c>
      <c r="P32" s="443">
        <f t="shared" ref="P32" si="34">SUM(I32/O32)*10</f>
        <v>7</v>
      </c>
      <c r="Q32" s="444">
        <f t="shared" ref="Q32" si="35">SUM(J32/O32)*10</f>
        <v>0</v>
      </c>
    </row>
    <row r="33" spans="1:18" ht="14.95" thickBot="1" x14ac:dyDescent="0.3">
      <c r="H33" s="161" t="s">
        <v>308</v>
      </c>
      <c r="I33" s="96">
        <v>0</v>
      </c>
      <c r="J33" s="96">
        <v>0</v>
      </c>
      <c r="K33" s="96">
        <v>0</v>
      </c>
      <c r="L33" s="96">
        <v>0</v>
      </c>
      <c r="M33" s="96">
        <v>0</v>
      </c>
      <c r="N33" s="96">
        <v>0</v>
      </c>
      <c r="O33" s="97">
        <v>0</v>
      </c>
      <c r="P33" s="401" t="s">
        <v>359</v>
      </c>
      <c r="Q33" s="402" t="s">
        <v>359</v>
      </c>
      <c r="R33" t="s">
        <v>360</v>
      </c>
    </row>
    <row r="34" spans="1:18" ht="14.95" thickBot="1" x14ac:dyDescent="0.3">
      <c r="H34" s="272" t="s">
        <v>277</v>
      </c>
      <c r="I34" s="96">
        <v>0</v>
      </c>
      <c r="J34" s="96">
        <v>0</v>
      </c>
      <c r="K34" s="96">
        <v>3</v>
      </c>
      <c r="L34" s="96">
        <v>0</v>
      </c>
      <c r="M34" s="96">
        <v>0</v>
      </c>
      <c r="N34" s="96">
        <v>0</v>
      </c>
      <c r="O34" s="97">
        <f t="shared" ref="O34:O39" si="36">SUM(K34:N34)</f>
        <v>3</v>
      </c>
      <c r="P34" s="443">
        <f t="shared" ref="P34:P39" si="37">SUM(I34/O34)*10</f>
        <v>0</v>
      </c>
      <c r="Q34" s="444">
        <f t="shared" ref="Q34:Q39" si="38">SUM(J34/O34)*10</f>
        <v>0</v>
      </c>
    </row>
    <row r="35" spans="1:18" ht="14.95" thickBot="1" x14ac:dyDescent="0.3">
      <c r="H35" s="474" t="s">
        <v>338</v>
      </c>
      <c r="I35" s="96">
        <v>0</v>
      </c>
      <c r="J35" s="96">
        <v>5</v>
      </c>
      <c r="K35" s="96">
        <v>10</v>
      </c>
      <c r="L35" s="96">
        <v>0</v>
      </c>
      <c r="M35" s="96">
        <v>0</v>
      </c>
      <c r="N35" s="96">
        <v>0</v>
      </c>
      <c r="O35" s="97">
        <f t="shared" si="36"/>
        <v>10</v>
      </c>
      <c r="P35" s="443">
        <f t="shared" si="37"/>
        <v>0</v>
      </c>
      <c r="Q35" s="444">
        <f t="shared" si="38"/>
        <v>5</v>
      </c>
    </row>
    <row r="36" spans="1:18" ht="14.95" thickBot="1" x14ac:dyDescent="0.3">
      <c r="H36" s="475" t="s">
        <v>297</v>
      </c>
      <c r="I36" s="96">
        <v>5</v>
      </c>
      <c r="J36" s="96">
        <v>0</v>
      </c>
      <c r="K36" s="96">
        <v>20</v>
      </c>
      <c r="L36" s="96">
        <v>0</v>
      </c>
      <c r="M36" s="96">
        <v>0</v>
      </c>
      <c r="N36" s="96">
        <v>0</v>
      </c>
      <c r="O36" s="97">
        <f t="shared" si="36"/>
        <v>20</v>
      </c>
      <c r="P36" s="443">
        <f t="shared" si="37"/>
        <v>2.5</v>
      </c>
      <c r="Q36" s="444">
        <f t="shared" si="38"/>
        <v>0</v>
      </c>
    </row>
    <row r="37" spans="1:18" ht="14.95" thickBot="1" x14ac:dyDescent="0.3">
      <c r="H37" s="21" t="s">
        <v>35</v>
      </c>
      <c r="I37" s="96">
        <v>26</v>
      </c>
      <c r="J37" s="96">
        <v>0</v>
      </c>
      <c r="K37" s="96">
        <v>20</v>
      </c>
      <c r="L37" s="96">
        <v>0</v>
      </c>
      <c r="M37" s="96">
        <v>0</v>
      </c>
      <c r="N37" s="96">
        <v>0</v>
      </c>
      <c r="O37" s="97">
        <f t="shared" si="36"/>
        <v>20</v>
      </c>
      <c r="P37" s="443">
        <f t="shared" si="37"/>
        <v>13</v>
      </c>
      <c r="Q37" s="444">
        <f t="shared" si="38"/>
        <v>0</v>
      </c>
    </row>
    <row r="38" spans="1:18" ht="14.95" thickBot="1" x14ac:dyDescent="0.3">
      <c r="H38" s="476" t="s">
        <v>74</v>
      </c>
      <c r="I38" s="96">
        <v>7</v>
      </c>
      <c r="J38" s="96">
        <v>0</v>
      </c>
      <c r="K38" s="96">
        <v>20</v>
      </c>
      <c r="L38" s="96">
        <v>0</v>
      </c>
      <c r="M38" s="96">
        <v>0</v>
      </c>
      <c r="N38" s="96">
        <v>0</v>
      </c>
      <c r="O38" s="97">
        <f t="shared" si="36"/>
        <v>20</v>
      </c>
      <c r="P38" s="443">
        <f t="shared" si="37"/>
        <v>3.5</v>
      </c>
      <c r="Q38" s="444">
        <f t="shared" si="38"/>
        <v>0</v>
      </c>
    </row>
    <row r="39" spans="1:18" ht="14.95" thickBot="1" x14ac:dyDescent="0.3">
      <c r="H39" s="477" t="s">
        <v>295</v>
      </c>
      <c r="I39" s="96">
        <v>0</v>
      </c>
      <c r="J39" s="96">
        <v>0</v>
      </c>
      <c r="K39" s="96">
        <v>10</v>
      </c>
      <c r="L39" s="96">
        <v>0</v>
      </c>
      <c r="M39" s="96">
        <v>0</v>
      </c>
      <c r="N39" s="96">
        <v>0</v>
      </c>
      <c r="O39" s="97">
        <f t="shared" si="36"/>
        <v>10</v>
      </c>
      <c r="P39" s="443">
        <f t="shared" si="37"/>
        <v>0</v>
      </c>
      <c r="Q39" s="444">
        <f t="shared" si="38"/>
        <v>0</v>
      </c>
    </row>
    <row r="40" spans="1:18" ht="14.95" thickBot="1" x14ac:dyDescent="0.3">
      <c r="H40" s="331" t="s">
        <v>186</v>
      </c>
      <c r="I40" s="96">
        <v>7</v>
      </c>
      <c r="J40" s="96">
        <v>7</v>
      </c>
      <c r="K40" s="96">
        <v>10</v>
      </c>
      <c r="L40" s="96">
        <v>0</v>
      </c>
      <c r="M40" s="96">
        <v>0</v>
      </c>
      <c r="N40" s="96">
        <v>0</v>
      </c>
      <c r="O40" s="97">
        <f t="shared" ref="O40" si="39">SUM(K40:N40)</f>
        <v>10</v>
      </c>
      <c r="P40" s="443">
        <f t="shared" ref="P40" si="40">SUM(I40/O40)*10</f>
        <v>7</v>
      </c>
      <c r="Q40" s="444">
        <f t="shared" ref="Q40" si="41">SUM(J40/O40)*10</f>
        <v>7</v>
      </c>
    </row>
    <row r="41" spans="1:18" ht="14.95" thickBot="1" x14ac:dyDescent="0.3">
      <c r="H41" s="108" t="s">
        <v>30</v>
      </c>
      <c r="I41" s="96">
        <v>12</v>
      </c>
      <c r="J41" s="96">
        <v>0</v>
      </c>
      <c r="K41" s="96">
        <v>43</v>
      </c>
      <c r="L41" s="96">
        <v>0</v>
      </c>
      <c r="M41" s="96">
        <v>0</v>
      </c>
      <c r="N41" s="96">
        <v>0</v>
      </c>
      <c r="O41" s="97">
        <f t="shared" si="23"/>
        <v>43</v>
      </c>
      <c r="P41" s="376">
        <f t="shared" ref="P41:P46" si="42">SUM(I41/O41)*10</f>
        <v>2.7906976744186047</v>
      </c>
      <c r="Q41" s="377">
        <f t="shared" ref="Q41:Q46" si="43">SUM(J41/O41)*10</f>
        <v>0</v>
      </c>
    </row>
    <row r="42" spans="1:18" ht="14.95" thickBot="1" x14ac:dyDescent="0.3">
      <c r="H42" s="34" t="s">
        <v>33</v>
      </c>
      <c r="I42" s="96">
        <v>0</v>
      </c>
      <c r="J42" s="96">
        <v>7</v>
      </c>
      <c r="K42" s="96">
        <v>19</v>
      </c>
      <c r="L42" s="96">
        <v>0</v>
      </c>
      <c r="M42" s="96">
        <v>0</v>
      </c>
      <c r="N42" s="96">
        <v>0</v>
      </c>
      <c r="O42" s="97">
        <f t="shared" si="23"/>
        <v>19</v>
      </c>
      <c r="P42" s="376">
        <f t="shared" si="42"/>
        <v>0</v>
      </c>
      <c r="Q42" s="377">
        <f t="shared" si="43"/>
        <v>3.6842105263157894</v>
      </c>
    </row>
    <row r="43" spans="1:18" ht="14.95" thickBot="1" x14ac:dyDescent="0.3">
      <c r="H43" s="299" t="s">
        <v>36</v>
      </c>
      <c r="I43" s="96">
        <v>12</v>
      </c>
      <c r="J43" s="96">
        <v>14</v>
      </c>
      <c r="K43" s="96">
        <v>22</v>
      </c>
      <c r="L43" s="96">
        <v>0</v>
      </c>
      <c r="M43" s="96">
        <v>0</v>
      </c>
      <c r="N43" s="96">
        <v>0</v>
      </c>
      <c r="O43" s="97">
        <f t="shared" si="23"/>
        <v>22</v>
      </c>
      <c r="P43" s="376">
        <f t="shared" si="42"/>
        <v>5.4545454545454541</v>
      </c>
      <c r="Q43" s="377">
        <f t="shared" si="43"/>
        <v>6.3636363636363633</v>
      </c>
    </row>
    <row r="44" spans="1:18" ht="14.95" thickBot="1" x14ac:dyDescent="0.3">
      <c r="H44" s="354" t="s">
        <v>73</v>
      </c>
      <c r="I44" s="96">
        <v>10</v>
      </c>
      <c r="J44" s="96">
        <v>0</v>
      </c>
      <c r="K44" s="96">
        <v>10</v>
      </c>
      <c r="L44" s="423">
        <v>0</v>
      </c>
      <c r="M44" s="423">
        <v>0</v>
      </c>
      <c r="N44" s="423">
        <v>0</v>
      </c>
      <c r="O44" s="97">
        <f t="shared" ref="O44:O45" si="44">SUM(K44:N44)</f>
        <v>10</v>
      </c>
      <c r="P44" s="376">
        <f t="shared" ref="P44:P45" si="45">SUM(I44/O44)*10</f>
        <v>10</v>
      </c>
      <c r="Q44" s="422">
        <f t="shared" ref="Q44:Q45" si="46">SUM(J44/O44)*10</f>
        <v>0</v>
      </c>
    </row>
    <row r="45" spans="1:18" ht="14.95" thickBot="1" x14ac:dyDescent="0.3">
      <c r="A45" s="152"/>
      <c r="H45" s="8" t="s">
        <v>31</v>
      </c>
      <c r="I45" s="96">
        <v>12</v>
      </c>
      <c r="J45" s="96">
        <v>7</v>
      </c>
      <c r="K45" s="96">
        <v>29</v>
      </c>
      <c r="L45" s="423">
        <v>10</v>
      </c>
      <c r="M45" s="423">
        <v>0</v>
      </c>
      <c r="N45" s="423">
        <v>0</v>
      </c>
      <c r="O45" s="97">
        <f t="shared" si="44"/>
        <v>39</v>
      </c>
      <c r="P45" s="443">
        <f t="shared" si="45"/>
        <v>3.0769230769230771</v>
      </c>
      <c r="Q45" s="444">
        <f t="shared" si="46"/>
        <v>1.7948717948717949</v>
      </c>
    </row>
    <row r="46" spans="1:18" ht="14.95" thickBot="1" x14ac:dyDescent="0.3">
      <c r="H46" s="103" t="s">
        <v>52</v>
      </c>
      <c r="I46" s="98">
        <f>SUM(I28:I45)</f>
        <v>136</v>
      </c>
      <c r="J46" s="99">
        <f>SUM(J28:J45)</f>
        <v>48</v>
      </c>
      <c r="K46" s="98">
        <f>SUM(K28:K45)</f>
        <v>290</v>
      </c>
      <c r="L46" s="100">
        <f>SUM(L28:L43)</f>
        <v>8</v>
      </c>
      <c r="M46" s="100">
        <f>SUM(M28:M43)</f>
        <v>0</v>
      </c>
      <c r="N46" s="100">
        <f>SUM(N28:N43)</f>
        <v>0</v>
      </c>
      <c r="O46" s="99">
        <f>SUM(O28:O43)</f>
        <v>259</v>
      </c>
      <c r="P46" s="399">
        <f t="shared" si="42"/>
        <v>5.2509652509652502</v>
      </c>
      <c r="Q46" s="400">
        <f t="shared" si="43"/>
        <v>1.8532818532818531</v>
      </c>
    </row>
    <row r="47" spans="1:18" x14ac:dyDescent="0.25">
      <c r="H47" t="s">
        <v>53</v>
      </c>
    </row>
    <row r="48" spans="1:18" x14ac:dyDescent="0.25">
      <c r="H48" s="73" t="s">
        <v>89</v>
      </c>
      <c r="I48" s="73"/>
      <c r="J48" s="73"/>
      <c r="K48" s="73"/>
    </row>
    <row r="49" spans="1:12" x14ac:dyDescent="0.25">
      <c r="H49" t="s">
        <v>520</v>
      </c>
      <c r="I49" s="73"/>
      <c r="J49" s="73"/>
      <c r="K49" s="73"/>
    </row>
    <row r="50" spans="1:12" x14ac:dyDescent="0.25">
      <c r="H50" t="s">
        <v>521</v>
      </c>
      <c r="I50" s="73"/>
      <c r="J50" s="73"/>
      <c r="K50" s="73"/>
    </row>
    <row r="51" spans="1:12" x14ac:dyDescent="0.25">
      <c r="H51" t="s">
        <v>457</v>
      </c>
      <c r="I51" s="73"/>
      <c r="J51" s="73"/>
      <c r="K51" s="73"/>
    </row>
    <row r="52" spans="1:12" x14ac:dyDescent="0.25">
      <c r="J52" s="73"/>
      <c r="K52" s="73"/>
      <c r="L52" s="73"/>
    </row>
    <row r="53" spans="1:12" x14ac:dyDescent="0.25">
      <c r="J53" s="73"/>
      <c r="K53" s="73"/>
      <c r="L53" s="73"/>
    </row>
    <row r="54" spans="1:12" x14ac:dyDescent="0.25">
      <c r="H54" s="73" t="s">
        <v>95</v>
      </c>
      <c r="J54" s="73"/>
      <c r="K54" s="73"/>
      <c r="L54" s="73"/>
    </row>
    <row r="55" spans="1:12" x14ac:dyDescent="0.25">
      <c r="H55" t="s">
        <v>463</v>
      </c>
      <c r="J55" s="73"/>
      <c r="K55" s="73"/>
      <c r="L55" s="73"/>
    </row>
    <row r="57" spans="1:12" x14ac:dyDescent="0.25">
      <c r="A57" s="152" t="s">
        <v>28</v>
      </c>
    </row>
  </sheetData>
  <sortState xmlns:xlrd2="http://schemas.microsoft.com/office/spreadsheetml/2017/richdata2" ref="A3:F20">
    <sortCondition ref="F3:F20"/>
    <sortCondition ref="D3:D20"/>
  </sortState>
  <mergeCells count="11">
    <mergeCell ref="P2:Q2"/>
    <mergeCell ref="P26:Q26"/>
    <mergeCell ref="B2:C2"/>
    <mergeCell ref="D2:E2"/>
    <mergeCell ref="H2:H3"/>
    <mergeCell ref="I2:J2"/>
    <mergeCell ref="K2:O2"/>
    <mergeCell ref="A24:D24"/>
    <mergeCell ref="H26:H27"/>
    <mergeCell ref="I26:J26"/>
    <mergeCell ref="K26:O26"/>
  </mergeCells>
  <pageMargins left="0.7" right="0.7" top="0.75" bottom="0.75" header="0.3" footer="0.3"/>
  <ignoredErrors>
    <ignoredError sqref="O16:Q16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3D3E2-5623-4590-83BC-7F75786EB9F2}">
  <dimension ref="A1:AN25"/>
  <sheetViews>
    <sheetView workbookViewId="0">
      <selection activeCell="T21" sqref="T21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125" customWidth="1"/>
    <col min="5" max="18" width="3.75" customWidth="1"/>
    <col min="19" max="20" width="6.25" customWidth="1"/>
    <col min="21" max="21" width="24.125" bestFit="1" customWidth="1"/>
    <col min="22" max="22" width="17.5" bestFit="1" customWidth="1"/>
    <col min="23" max="23" width="23.25" bestFit="1" customWidth="1"/>
    <col min="24" max="24" width="22.75" bestFit="1" customWidth="1"/>
    <col min="25" max="40" width="3.75" customWidth="1"/>
  </cols>
  <sheetData>
    <row r="1" spans="1:40" ht="14.95" customHeight="1" thickBot="1" x14ac:dyDescent="0.3">
      <c r="A1" s="528" t="s">
        <v>117</v>
      </c>
      <c r="B1" s="529"/>
      <c r="C1" s="529"/>
      <c r="D1" s="255"/>
      <c r="E1" s="530" t="s">
        <v>24</v>
      </c>
      <c r="F1" s="531"/>
      <c r="G1" s="532"/>
      <c r="H1" s="530" t="s">
        <v>76</v>
      </c>
      <c r="I1" s="532"/>
      <c r="J1" s="533" t="s">
        <v>6</v>
      </c>
      <c r="K1" s="534"/>
      <c r="L1" s="534"/>
      <c r="M1" s="535"/>
      <c r="N1" s="533" t="s">
        <v>7</v>
      </c>
      <c r="O1" s="535"/>
      <c r="P1" s="533" t="s">
        <v>25</v>
      </c>
      <c r="Q1" s="534"/>
      <c r="R1" s="535"/>
      <c r="S1" s="256" t="s">
        <v>8</v>
      </c>
      <c r="T1" s="256" t="s">
        <v>9</v>
      </c>
      <c r="U1" s="257" t="s">
        <v>10</v>
      </c>
      <c r="V1" s="257" t="s">
        <v>11</v>
      </c>
      <c r="W1" s="257" t="s">
        <v>26</v>
      </c>
      <c r="X1" s="257" t="s">
        <v>27</v>
      </c>
      <c r="Y1" s="522" t="s">
        <v>20</v>
      </c>
      <c r="Z1" s="523"/>
      <c r="AA1" s="523"/>
      <c r="AB1" s="524"/>
      <c r="AC1" s="522" t="s">
        <v>56</v>
      </c>
      <c r="AD1" s="523"/>
      <c r="AE1" s="523"/>
      <c r="AF1" s="524"/>
      <c r="AG1" s="522" t="s">
        <v>57</v>
      </c>
      <c r="AH1" s="523"/>
      <c r="AI1" s="523"/>
      <c r="AJ1" s="524"/>
      <c r="AK1" s="522" t="s">
        <v>58</v>
      </c>
      <c r="AL1" s="523"/>
      <c r="AM1" s="523"/>
      <c r="AN1" s="524"/>
    </row>
    <row r="2" spans="1:40" ht="14.95" customHeight="1" thickBot="1" x14ac:dyDescent="0.3">
      <c r="A2" s="258" t="s">
        <v>19</v>
      </c>
      <c r="B2" s="259" t="s">
        <v>18</v>
      </c>
      <c r="C2" s="260" t="s">
        <v>17</v>
      </c>
      <c r="D2" s="260" t="s">
        <v>37</v>
      </c>
      <c r="E2" s="261" t="s">
        <v>16</v>
      </c>
      <c r="F2" s="261" t="s">
        <v>4</v>
      </c>
      <c r="G2" s="261" t="s">
        <v>5</v>
      </c>
      <c r="H2" s="262" t="s">
        <v>12</v>
      </c>
      <c r="I2" s="262" t="s">
        <v>3</v>
      </c>
      <c r="J2" s="262" t="s">
        <v>12</v>
      </c>
      <c r="K2" s="262" t="s">
        <v>13</v>
      </c>
      <c r="L2" s="262" t="s">
        <v>2</v>
      </c>
      <c r="M2" s="262" t="s">
        <v>14</v>
      </c>
      <c r="N2" s="262" t="s">
        <v>15</v>
      </c>
      <c r="O2" s="262" t="s">
        <v>16</v>
      </c>
      <c r="P2" s="262" t="s">
        <v>21</v>
      </c>
      <c r="Q2" s="262" t="s">
        <v>22</v>
      </c>
      <c r="R2" s="262" t="s">
        <v>12</v>
      </c>
      <c r="S2" s="263"/>
      <c r="T2" s="264"/>
      <c r="U2" s="265"/>
      <c r="V2" s="263"/>
      <c r="W2" s="257"/>
      <c r="X2" s="266"/>
      <c r="Y2" s="267" t="s">
        <v>0</v>
      </c>
      <c r="Z2" s="267" t="s">
        <v>1</v>
      </c>
      <c r="AA2" s="267" t="s">
        <v>2</v>
      </c>
      <c r="AB2" s="267" t="s">
        <v>3</v>
      </c>
      <c r="AC2" s="267" t="s">
        <v>0</v>
      </c>
      <c r="AD2" s="267" t="s">
        <v>1</v>
      </c>
      <c r="AE2" s="267" t="s">
        <v>2</v>
      </c>
      <c r="AF2" s="267" t="s">
        <v>3</v>
      </c>
      <c r="AG2" s="267" t="s">
        <v>0</v>
      </c>
      <c r="AH2" s="267" t="s">
        <v>1</v>
      </c>
      <c r="AI2" s="267" t="s">
        <v>2</v>
      </c>
      <c r="AJ2" s="267" t="s">
        <v>3</v>
      </c>
      <c r="AK2" s="267" t="s">
        <v>0</v>
      </c>
      <c r="AL2" s="267" t="s">
        <v>1</v>
      </c>
      <c r="AM2" s="267" t="s">
        <v>2</v>
      </c>
      <c r="AN2" s="267" t="s">
        <v>3</v>
      </c>
    </row>
    <row r="3" spans="1:40" ht="14.95" customHeight="1" thickBot="1" x14ac:dyDescent="0.35">
      <c r="A3" s="191" t="s">
        <v>279</v>
      </c>
      <c r="B3" s="192" t="s">
        <v>180</v>
      </c>
      <c r="C3" s="192" t="s">
        <v>277</v>
      </c>
      <c r="D3" s="192" t="s">
        <v>280</v>
      </c>
      <c r="E3" s="193" t="s">
        <v>1</v>
      </c>
      <c r="F3" s="193">
        <v>22</v>
      </c>
      <c r="G3" s="193">
        <v>5</v>
      </c>
      <c r="H3" s="193" t="s">
        <v>69</v>
      </c>
      <c r="I3" s="193" t="s">
        <v>69</v>
      </c>
      <c r="J3" s="193">
        <v>4</v>
      </c>
      <c r="K3" s="193">
        <v>1</v>
      </c>
      <c r="L3" s="193">
        <v>0</v>
      </c>
      <c r="M3" s="193">
        <v>0</v>
      </c>
      <c r="N3" s="193">
        <v>0</v>
      </c>
      <c r="O3" s="193">
        <v>0</v>
      </c>
      <c r="P3" s="193" t="s">
        <v>69</v>
      </c>
      <c r="Q3" s="193" t="s">
        <v>69</v>
      </c>
      <c r="R3" s="193">
        <v>1</v>
      </c>
      <c r="S3" s="194"/>
      <c r="T3" s="203" t="s">
        <v>281</v>
      </c>
      <c r="U3" s="196" t="s">
        <v>173</v>
      </c>
      <c r="V3" s="194" t="s">
        <v>282</v>
      </c>
      <c r="W3" s="197" t="s">
        <v>283</v>
      </c>
      <c r="X3" s="198" t="s">
        <v>284</v>
      </c>
      <c r="Y3" s="199">
        <v>1</v>
      </c>
      <c r="Z3" s="199">
        <v>1</v>
      </c>
      <c r="AA3" s="199">
        <v>0</v>
      </c>
      <c r="AB3" s="200">
        <v>0</v>
      </c>
      <c r="AC3" s="199">
        <v>1</v>
      </c>
      <c r="AD3" s="199">
        <v>1</v>
      </c>
      <c r="AE3" s="199">
        <v>0</v>
      </c>
      <c r="AF3" s="200">
        <v>0</v>
      </c>
      <c r="AG3" s="199">
        <v>0</v>
      </c>
      <c r="AH3" s="199">
        <v>0</v>
      </c>
      <c r="AI3" s="199">
        <v>0</v>
      </c>
      <c r="AJ3" s="200">
        <v>0</v>
      </c>
      <c r="AK3" s="199">
        <v>0</v>
      </c>
      <c r="AL3" s="199">
        <v>0</v>
      </c>
      <c r="AM3" s="199">
        <v>0</v>
      </c>
      <c r="AN3" s="200">
        <v>0</v>
      </c>
    </row>
    <row r="4" spans="1:40" ht="14.95" customHeight="1" thickBot="1" x14ac:dyDescent="0.3">
      <c r="A4" s="191" t="s">
        <v>326</v>
      </c>
      <c r="B4" s="192" t="s">
        <v>102</v>
      </c>
      <c r="C4" s="192" t="s">
        <v>73</v>
      </c>
      <c r="D4" s="192" t="s">
        <v>323</v>
      </c>
      <c r="E4" s="193" t="s">
        <v>3</v>
      </c>
      <c r="F4" s="193">
        <v>0</v>
      </c>
      <c r="G4" s="193">
        <v>50</v>
      </c>
      <c r="H4" s="193">
        <v>0</v>
      </c>
      <c r="I4" s="193">
        <v>0</v>
      </c>
      <c r="J4" s="193">
        <v>0</v>
      </c>
      <c r="K4" s="193">
        <v>0</v>
      </c>
      <c r="L4" s="193">
        <v>0</v>
      </c>
      <c r="M4" s="193">
        <v>0</v>
      </c>
      <c r="N4" s="193">
        <v>0</v>
      </c>
      <c r="O4" s="193">
        <v>0</v>
      </c>
      <c r="P4" s="193">
        <v>1</v>
      </c>
      <c r="Q4" s="193">
        <v>0</v>
      </c>
      <c r="R4" s="193">
        <v>8</v>
      </c>
      <c r="S4" s="194">
        <v>7055</v>
      </c>
      <c r="T4" s="195" t="s">
        <v>166</v>
      </c>
      <c r="U4" s="196" t="s">
        <v>155</v>
      </c>
      <c r="V4" s="194" t="s">
        <v>324</v>
      </c>
      <c r="W4" s="196" t="s">
        <v>194</v>
      </c>
      <c r="X4" s="197" t="s">
        <v>325</v>
      </c>
      <c r="Y4" s="199">
        <v>1</v>
      </c>
      <c r="Z4" s="199">
        <v>0</v>
      </c>
      <c r="AA4" s="199">
        <v>0</v>
      </c>
      <c r="AB4" s="200">
        <v>1</v>
      </c>
      <c r="AC4" s="199">
        <v>1</v>
      </c>
      <c r="AD4" s="199">
        <v>0</v>
      </c>
      <c r="AE4" s="199">
        <v>0</v>
      </c>
      <c r="AF4" s="200">
        <v>1</v>
      </c>
      <c r="AG4" s="199">
        <v>0</v>
      </c>
      <c r="AH4" s="199">
        <v>0</v>
      </c>
      <c r="AI4" s="199">
        <v>0</v>
      </c>
      <c r="AJ4" s="200">
        <v>0</v>
      </c>
      <c r="AK4" s="199">
        <v>0</v>
      </c>
      <c r="AL4" s="199">
        <v>0</v>
      </c>
      <c r="AM4" s="199">
        <v>0</v>
      </c>
      <c r="AN4" s="200">
        <v>0</v>
      </c>
    </row>
    <row r="5" spans="1:40" ht="14.95" customHeight="1" thickBot="1" x14ac:dyDescent="0.35">
      <c r="A5" s="210" t="s">
        <v>332</v>
      </c>
      <c r="B5" s="211" t="s">
        <v>102</v>
      </c>
      <c r="C5" s="211" t="s">
        <v>55</v>
      </c>
      <c r="D5" s="211" t="s">
        <v>320</v>
      </c>
      <c r="E5" s="207" t="s">
        <v>1</v>
      </c>
      <c r="F5" s="207">
        <v>58</v>
      </c>
      <c r="G5" s="207">
        <v>17</v>
      </c>
      <c r="H5" s="207">
        <v>1</v>
      </c>
      <c r="I5" s="207">
        <v>0</v>
      </c>
      <c r="J5" s="207">
        <v>9</v>
      </c>
      <c r="K5" s="207">
        <v>5</v>
      </c>
      <c r="L5" s="207">
        <v>0</v>
      </c>
      <c r="M5" s="207">
        <v>1</v>
      </c>
      <c r="N5" s="207">
        <v>0</v>
      </c>
      <c r="O5" s="207">
        <v>0</v>
      </c>
      <c r="P5" s="207">
        <v>0</v>
      </c>
      <c r="Q5" s="207">
        <v>0</v>
      </c>
      <c r="R5" s="207">
        <v>3</v>
      </c>
      <c r="S5" s="212"/>
      <c r="T5" s="215" t="s">
        <v>223</v>
      </c>
      <c r="U5" s="213" t="s">
        <v>331</v>
      </c>
      <c r="V5" s="212" t="s">
        <v>328</v>
      </c>
      <c r="W5" s="213" t="s">
        <v>329</v>
      </c>
      <c r="X5" s="209" t="s">
        <v>330</v>
      </c>
      <c r="Y5" s="147">
        <v>1</v>
      </c>
      <c r="Z5" s="147">
        <v>1</v>
      </c>
      <c r="AA5" s="147">
        <v>0</v>
      </c>
      <c r="AB5" s="208">
        <v>0</v>
      </c>
      <c r="AC5" s="147">
        <v>0</v>
      </c>
      <c r="AD5" s="147">
        <v>0</v>
      </c>
      <c r="AE5" s="147">
        <v>0</v>
      </c>
      <c r="AF5" s="208">
        <v>0</v>
      </c>
      <c r="AG5" s="147">
        <v>0</v>
      </c>
      <c r="AH5" s="147">
        <v>0</v>
      </c>
      <c r="AI5" s="147">
        <v>0</v>
      </c>
      <c r="AJ5" s="208">
        <v>0</v>
      </c>
      <c r="AK5" s="147">
        <v>1</v>
      </c>
      <c r="AL5" s="147">
        <v>1</v>
      </c>
      <c r="AM5" s="147">
        <v>0</v>
      </c>
      <c r="AN5" s="208">
        <v>0</v>
      </c>
    </row>
    <row r="6" spans="1:40" ht="14.95" customHeight="1" thickBot="1" x14ac:dyDescent="0.3">
      <c r="A6" s="176" t="s">
        <v>343</v>
      </c>
      <c r="B6" s="178" t="s">
        <v>102</v>
      </c>
      <c r="C6" s="178" t="s">
        <v>36</v>
      </c>
      <c r="D6" s="178" t="s">
        <v>320</v>
      </c>
      <c r="E6" s="179" t="s">
        <v>3</v>
      </c>
      <c r="F6" s="179">
        <v>7</v>
      </c>
      <c r="G6" s="179">
        <v>45</v>
      </c>
      <c r="H6" s="179">
        <v>0</v>
      </c>
      <c r="I6" s="179">
        <v>0</v>
      </c>
      <c r="J6" s="179">
        <v>1</v>
      </c>
      <c r="K6" s="179">
        <v>1</v>
      </c>
      <c r="L6" s="179">
        <v>0</v>
      </c>
      <c r="M6" s="179">
        <v>0</v>
      </c>
      <c r="N6" s="179">
        <v>2</v>
      </c>
      <c r="O6" s="179">
        <v>0</v>
      </c>
      <c r="P6" s="179">
        <v>1</v>
      </c>
      <c r="Q6" s="179">
        <v>0</v>
      </c>
      <c r="R6" s="179">
        <v>7</v>
      </c>
      <c r="S6" s="183"/>
      <c r="T6" s="187" t="s">
        <v>356</v>
      </c>
      <c r="U6" s="185" t="s">
        <v>207</v>
      </c>
      <c r="V6" s="183" t="s">
        <v>224</v>
      </c>
      <c r="W6" s="180" t="s">
        <v>334</v>
      </c>
      <c r="X6" s="186" t="s">
        <v>335</v>
      </c>
      <c r="Y6" s="181">
        <v>1</v>
      </c>
      <c r="Z6" s="181">
        <v>0</v>
      </c>
      <c r="AA6" s="181">
        <v>0</v>
      </c>
      <c r="AB6" s="182">
        <v>1</v>
      </c>
      <c r="AC6" s="181">
        <v>0</v>
      </c>
      <c r="AD6" s="181">
        <v>0</v>
      </c>
      <c r="AE6" s="181">
        <v>0</v>
      </c>
      <c r="AF6" s="182">
        <v>0</v>
      </c>
      <c r="AG6" s="181">
        <v>1</v>
      </c>
      <c r="AH6" s="181">
        <v>0</v>
      </c>
      <c r="AI6" s="181">
        <v>0</v>
      </c>
      <c r="AJ6" s="182">
        <v>1</v>
      </c>
      <c r="AK6" s="181">
        <v>0</v>
      </c>
      <c r="AL6" s="181">
        <v>0</v>
      </c>
      <c r="AM6" s="181">
        <v>0</v>
      </c>
      <c r="AN6" s="182">
        <v>0</v>
      </c>
    </row>
    <row r="7" spans="1:40" ht="14.95" customHeight="1" thickBot="1" x14ac:dyDescent="0.3">
      <c r="A7" s="176" t="s">
        <v>398</v>
      </c>
      <c r="B7" s="178" t="s">
        <v>180</v>
      </c>
      <c r="C7" s="178" t="s">
        <v>73</v>
      </c>
      <c r="D7" s="178" t="s">
        <v>542</v>
      </c>
      <c r="E7" s="179" t="s">
        <v>3</v>
      </c>
      <c r="F7" s="179">
        <v>3</v>
      </c>
      <c r="G7" s="179">
        <v>43</v>
      </c>
      <c r="H7" s="179" t="s">
        <v>69</v>
      </c>
      <c r="I7" s="179" t="s">
        <v>69</v>
      </c>
      <c r="J7" s="179">
        <v>0</v>
      </c>
      <c r="K7" s="179">
        <v>0</v>
      </c>
      <c r="L7" s="179">
        <v>0</v>
      </c>
      <c r="M7" s="179">
        <v>1</v>
      </c>
      <c r="N7" s="179">
        <v>0</v>
      </c>
      <c r="O7" s="179">
        <v>0</v>
      </c>
      <c r="P7" s="179" t="s">
        <v>69</v>
      </c>
      <c r="Q7" s="179" t="s">
        <v>69</v>
      </c>
      <c r="R7" s="179">
        <v>7</v>
      </c>
      <c r="S7" s="183"/>
      <c r="T7" s="187" t="s">
        <v>161</v>
      </c>
      <c r="U7" s="185" t="s">
        <v>188</v>
      </c>
      <c r="V7" s="183" t="s">
        <v>544</v>
      </c>
      <c r="W7" s="180" t="s">
        <v>325</v>
      </c>
      <c r="X7" s="186" t="s">
        <v>545</v>
      </c>
      <c r="Y7" s="181">
        <v>1</v>
      </c>
      <c r="Z7" s="181">
        <v>0</v>
      </c>
      <c r="AA7" s="181">
        <v>0</v>
      </c>
      <c r="AB7" s="182">
        <v>1</v>
      </c>
      <c r="AC7" s="181">
        <v>0</v>
      </c>
      <c r="AD7" s="181">
        <v>0</v>
      </c>
      <c r="AE7" s="181">
        <v>0</v>
      </c>
      <c r="AF7" s="182">
        <v>0</v>
      </c>
      <c r="AG7" s="181">
        <v>1</v>
      </c>
      <c r="AH7" s="181">
        <v>0</v>
      </c>
      <c r="AI7" s="181">
        <v>0</v>
      </c>
      <c r="AJ7" s="182">
        <v>1</v>
      </c>
      <c r="AK7" s="181">
        <v>0</v>
      </c>
      <c r="AL7" s="181">
        <v>0</v>
      </c>
      <c r="AM7" s="181">
        <v>0</v>
      </c>
      <c r="AN7" s="182">
        <v>0</v>
      </c>
    </row>
    <row r="8" spans="1:40" ht="14.95" customHeight="1" thickBot="1" x14ac:dyDescent="0.3">
      <c r="A8" s="210" t="s">
        <v>435</v>
      </c>
      <c r="B8" s="211" t="s">
        <v>427</v>
      </c>
      <c r="C8" s="211" t="s">
        <v>30</v>
      </c>
      <c r="D8" s="211" t="s">
        <v>436</v>
      </c>
      <c r="E8" s="207" t="s">
        <v>3</v>
      </c>
      <c r="F8" s="207">
        <v>7</v>
      </c>
      <c r="G8" s="207">
        <v>42</v>
      </c>
      <c r="H8" s="207">
        <v>0</v>
      </c>
      <c r="I8" s="207">
        <v>0</v>
      </c>
      <c r="J8" s="207">
        <v>1</v>
      </c>
      <c r="K8" s="207">
        <v>1</v>
      </c>
      <c r="L8" s="207">
        <v>0</v>
      </c>
      <c r="M8" s="207">
        <v>0</v>
      </c>
      <c r="N8" s="207">
        <v>1</v>
      </c>
      <c r="O8" s="207">
        <v>1</v>
      </c>
      <c r="P8" s="207">
        <v>1</v>
      </c>
      <c r="Q8" s="207">
        <v>0</v>
      </c>
      <c r="R8" s="207">
        <v>6</v>
      </c>
      <c r="S8" s="212"/>
      <c r="T8" s="221" t="s">
        <v>439</v>
      </c>
      <c r="U8" s="213" t="s">
        <v>240</v>
      </c>
      <c r="V8" s="212" t="s">
        <v>224</v>
      </c>
      <c r="W8" s="209" t="s">
        <v>173</v>
      </c>
      <c r="X8" s="214" t="s">
        <v>438</v>
      </c>
      <c r="Y8" s="147">
        <v>1</v>
      </c>
      <c r="Z8" s="147">
        <v>0</v>
      </c>
      <c r="AA8" s="147">
        <v>0</v>
      </c>
      <c r="AB8" s="208">
        <v>1</v>
      </c>
      <c r="AC8" s="147">
        <v>0</v>
      </c>
      <c r="AD8" s="147">
        <v>0</v>
      </c>
      <c r="AE8" s="147">
        <v>0</v>
      </c>
      <c r="AF8" s="208">
        <v>0</v>
      </c>
      <c r="AG8" s="147">
        <v>0</v>
      </c>
      <c r="AH8" s="147">
        <v>0</v>
      </c>
      <c r="AI8" s="147">
        <v>0</v>
      </c>
      <c r="AJ8" s="208">
        <v>0</v>
      </c>
      <c r="AK8" s="147">
        <v>1</v>
      </c>
      <c r="AL8" s="147">
        <v>0</v>
      </c>
      <c r="AM8" s="147">
        <v>0</v>
      </c>
      <c r="AN8" s="208">
        <v>1</v>
      </c>
    </row>
    <row r="9" spans="1:40" ht="14.95" customHeight="1" thickBot="1" x14ac:dyDescent="0.35">
      <c r="A9" s="176" t="s">
        <v>458</v>
      </c>
      <c r="B9" s="178" t="s">
        <v>427</v>
      </c>
      <c r="C9" s="178" t="s">
        <v>33</v>
      </c>
      <c r="D9" s="178" t="s">
        <v>449</v>
      </c>
      <c r="E9" s="179" t="s">
        <v>1</v>
      </c>
      <c r="F9" s="179">
        <v>29</v>
      </c>
      <c r="G9" s="179">
        <v>20</v>
      </c>
      <c r="H9" s="179">
        <v>1</v>
      </c>
      <c r="I9" s="179">
        <v>0</v>
      </c>
      <c r="J9" s="179">
        <v>4</v>
      </c>
      <c r="K9" s="179">
        <v>3</v>
      </c>
      <c r="L9" s="179">
        <v>0</v>
      </c>
      <c r="M9" s="179">
        <v>1</v>
      </c>
      <c r="N9" s="179">
        <v>0</v>
      </c>
      <c r="O9" s="179">
        <v>0</v>
      </c>
      <c r="P9" s="179">
        <v>0</v>
      </c>
      <c r="Q9" s="179">
        <v>0</v>
      </c>
      <c r="R9" s="179">
        <v>3</v>
      </c>
      <c r="S9" s="183"/>
      <c r="T9" s="184" t="s">
        <v>221</v>
      </c>
      <c r="U9" s="185" t="s">
        <v>155</v>
      </c>
      <c r="V9" s="183" t="s">
        <v>163</v>
      </c>
      <c r="W9" s="183" t="s">
        <v>240</v>
      </c>
      <c r="X9" s="186" t="s">
        <v>452</v>
      </c>
      <c r="Y9" s="181">
        <v>1</v>
      </c>
      <c r="Z9" s="181">
        <v>1</v>
      </c>
      <c r="AA9" s="181">
        <v>0</v>
      </c>
      <c r="AB9" s="182">
        <v>0</v>
      </c>
      <c r="AC9" s="181">
        <v>0</v>
      </c>
      <c r="AD9" s="181">
        <v>0</v>
      </c>
      <c r="AE9" s="181">
        <v>0</v>
      </c>
      <c r="AF9" s="182">
        <v>0</v>
      </c>
      <c r="AG9" s="181">
        <v>0</v>
      </c>
      <c r="AH9" s="181">
        <v>0</v>
      </c>
      <c r="AI9" s="181">
        <v>0</v>
      </c>
      <c r="AJ9" s="182">
        <v>0</v>
      </c>
      <c r="AK9" s="181">
        <v>1</v>
      </c>
      <c r="AL9" s="181">
        <v>1</v>
      </c>
      <c r="AM9" s="181">
        <v>0</v>
      </c>
      <c r="AN9" s="182">
        <v>0</v>
      </c>
    </row>
    <row r="10" spans="1:40" ht="14.95" customHeight="1" thickBot="1" x14ac:dyDescent="0.35">
      <c r="A10" s="191" t="s">
        <v>464</v>
      </c>
      <c r="B10" s="192" t="s">
        <v>427</v>
      </c>
      <c r="C10" s="192" t="s">
        <v>31</v>
      </c>
      <c r="D10" s="192" t="s">
        <v>470</v>
      </c>
      <c r="E10" s="193" t="s">
        <v>1</v>
      </c>
      <c r="F10" s="193">
        <v>25</v>
      </c>
      <c r="G10" s="193">
        <v>19</v>
      </c>
      <c r="H10" s="193">
        <v>1</v>
      </c>
      <c r="I10" s="193">
        <v>0</v>
      </c>
      <c r="J10" s="193">
        <v>4</v>
      </c>
      <c r="K10" s="193">
        <v>1</v>
      </c>
      <c r="L10" s="193">
        <v>0</v>
      </c>
      <c r="M10" s="193">
        <v>1</v>
      </c>
      <c r="N10" s="193">
        <v>1</v>
      </c>
      <c r="O10" s="193">
        <v>1</v>
      </c>
      <c r="P10" s="193">
        <v>0</v>
      </c>
      <c r="Q10" s="193">
        <v>1</v>
      </c>
      <c r="R10" s="193">
        <v>3</v>
      </c>
      <c r="S10" s="194"/>
      <c r="T10" s="203" t="s">
        <v>471</v>
      </c>
      <c r="U10" s="196" t="s">
        <v>175</v>
      </c>
      <c r="V10" s="194" t="s">
        <v>163</v>
      </c>
      <c r="W10" s="194" t="s">
        <v>207</v>
      </c>
      <c r="X10" s="198" t="s">
        <v>472</v>
      </c>
      <c r="Y10" s="199">
        <v>1</v>
      </c>
      <c r="Z10" s="199">
        <v>1</v>
      </c>
      <c r="AA10" s="199">
        <v>0</v>
      </c>
      <c r="AB10" s="200">
        <v>0</v>
      </c>
      <c r="AC10" s="199">
        <v>0</v>
      </c>
      <c r="AD10" s="199">
        <v>0</v>
      </c>
      <c r="AE10" s="199">
        <v>0</v>
      </c>
      <c r="AF10" s="200">
        <v>0</v>
      </c>
      <c r="AG10" s="199">
        <v>0</v>
      </c>
      <c r="AH10" s="199">
        <v>0</v>
      </c>
      <c r="AI10" s="199">
        <v>0</v>
      </c>
      <c r="AJ10" s="200">
        <v>0</v>
      </c>
      <c r="AK10" s="199">
        <v>1</v>
      </c>
      <c r="AL10" s="199">
        <v>1</v>
      </c>
      <c r="AM10" s="199">
        <v>0</v>
      </c>
      <c r="AN10" s="200">
        <v>0</v>
      </c>
    </row>
    <row r="11" spans="1:40" ht="14.95" thickBot="1" x14ac:dyDescent="0.3">
      <c r="A11" s="117"/>
      <c r="B11" s="118"/>
      <c r="C11" s="525" t="s">
        <v>100</v>
      </c>
      <c r="D11" s="526"/>
      <c r="E11" s="527"/>
      <c r="F11" s="456">
        <f>SUM(F4:F6)</f>
        <v>65</v>
      </c>
      <c r="G11" s="456">
        <f>SUM(G4:G6)</f>
        <v>112</v>
      </c>
      <c r="H11" s="456">
        <v>1</v>
      </c>
      <c r="I11" s="456">
        <f t="shared" ref="I11:R11" si="0">SUM(I4:I6)</f>
        <v>0</v>
      </c>
      <c r="J11" s="456">
        <f t="shared" si="0"/>
        <v>10</v>
      </c>
      <c r="K11" s="456">
        <f t="shared" si="0"/>
        <v>6</v>
      </c>
      <c r="L11" s="456">
        <f t="shared" si="0"/>
        <v>0</v>
      </c>
      <c r="M11" s="456">
        <f t="shared" si="0"/>
        <v>1</v>
      </c>
      <c r="N11" s="456">
        <f t="shared" si="0"/>
        <v>2</v>
      </c>
      <c r="O11" s="456">
        <f t="shared" si="0"/>
        <v>0</v>
      </c>
      <c r="P11" s="456">
        <f t="shared" si="0"/>
        <v>2</v>
      </c>
      <c r="Q11" s="456">
        <f t="shared" si="0"/>
        <v>0</v>
      </c>
      <c r="R11" s="456">
        <f t="shared" si="0"/>
        <v>18</v>
      </c>
      <c r="S11" s="480"/>
      <c r="T11" s="480"/>
      <c r="U11" s="480"/>
      <c r="V11" s="480"/>
      <c r="W11" s="458"/>
      <c r="X11" s="459" t="s">
        <v>100</v>
      </c>
      <c r="Y11" s="456">
        <f t="shared" ref="Y11:AN11" si="1">SUM(Y4:Y6)</f>
        <v>3</v>
      </c>
      <c r="Z11" s="456">
        <f t="shared" si="1"/>
        <v>1</v>
      </c>
      <c r="AA11" s="456">
        <f t="shared" si="1"/>
        <v>0</v>
      </c>
      <c r="AB11" s="456">
        <f t="shared" si="1"/>
        <v>2</v>
      </c>
      <c r="AC11" s="460">
        <f t="shared" si="1"/>
        <v>1</v>
      </c>
      <c r="AD11" s="460">
        <f t="shared" si="1"/>
        <v>0</v>
      </c>
      <c r="AE11" s="460">
        <f t="shared" si="1"/>
        <v>0</v>
      </c>
      <c r="AF11" s="460">
        <f t="shared" si="1"/>
        <v>1</v>
      </c>
      <c r="AG11" s="461">
        <f t="shared" si="1"/>
        <v>1</v>
      </c>
      <c r="AH11" s="461">
        <f t="shared" si="1"/>
        <v>0</v>
      </c>
      <c r="AI11" s="461">
        <f t="shared" si="1"/>
        <v>0</v>
      </c>
      <c r="AJ11" s="461">
        <f t="shared" si="1"/>
        <v>1</v>
      </c>
      <c r="AK11" s="456">
        <f t="shared" si="1"/>
        <v>1</v>
      </c>
      <c r="AL11" s="456">
        <f t="shared" si="1"/>
        <v>1</v>
      </c>
      <c r="AM11" s="456">
        <f t="shared" si="1"/>
        <v>0</v>
      </c>
      <c r="AN11" s="456">
        <f t="shared" si="1"/>
        <v>0</v>
      </c>
    </row>
    <row r="12" spans="1:40" ht="14.95" thickBot="1" x14ac:dyDescent="0.3">
      <c r="A12" s="117"/>
      <c r="B12" s="118"/>
      <c r="C12" s="519" t="s">
        <v>78</v>
      </c>
      <c r="D12" s="520"/>
      <c r="E12" s="521"/>
      <c r="F12" s="225">
        <f>F3+F7</f>
        <v>25</v>
      </c>
      <c r="G12" s="225">
        <f>G3+G7</f>
        <v>48</v>
      </c>
      <c r="H12" s="225" t="s">
        <v>69</v>
      </c>
      <c r="I12" s="225" t="s">
        <v>69</v>
      </c>
      <c r="J12" s="225">
        <f t="shared" ref="J12:O12" si="2">J3+J7</f>
        <v>4</v>
      </c>
      <c r="K12" s="225">
        <f t="shared" si="2"/>
        <v>1</v>
      </c>
      <c r="L12" s="225">
        <f t="shared" si="2"/>
        <v>0</v>
      </c>
      <c r="M12" s="225">
        <f t="shared" si="2"/>
        <v>1</v>
      </c>
      <c r="N12" s="225">
        <f t="shared" si="2"/>
        <v>0</v>
      </c>
      <c r="O12" s="225">
        <f t="shared" si="2"/>
        <v>0</v>
      </c>
      <c r="P12" s="225" t="s">
        <v>69</v>
      </c>
      <c r="Q12" s="225" t="s">
        <v>69</v>
      </c>
      <c r="R12" s="225">
        <f>R3+R7</f>
        <v>8</v>
      </c>
      <c r="S12" s="231"/>
      <c r="T12" s="231"/>
      <c r="U12" s="231"/>
      <c r="V12" s="231"/>
      <c r="W12" s="223"/>
      <c r="X12" s="230" t="s">
        <v>78</v>
      </c>
      <c r="Y12" s="225">
        <f t="shared" ref="Y12:AN12" si="3">Y3+Y7</f>
        <v>2</v>
      </c>
      <c r="Z12" s="225">
        <f t="shared" si="3"/>
        <v>1</v>
      </c>
      <c r="AA12" s="225">
        <f t="shared" si="3"/>
        <v>0</v>
      </c>
      <c r="AB12" s="225">
        <f t="shared" si="3"/>
        <v>1</v>
      </c>
      <c r="AC12" s="226">
        <f t="shared" si="3"/>
        <v>1</v>
      </c>
      <c r="AD12" s="226">
        <f t="shared" si="3"/>
        <v>1</v>
      </c>
      <c r="AE12" s="226">
        <f t="shared" si="3"/>
        <v>0</v>
      </c>
      <c r="AF12" s="226">
        <f t="shared" si="3"/>
        <v>0</v>
      </c>
      <c r="AG12" s="227">
        <f t="shared" si="3"/>
        <v>1</v>
      </c>
      <c r="AH12" s="227">
        <f t="shared" si="3"/>
        <v>0</v>
      </c>
      <c r="AI12" s="227">
        <f t="shared" si="3"/>
        <v>0</v>
      </c>
      <c r="AJ12" s="227">
        <f t="shared" si="3"/>
        <v>1</v>
      </c>
      <c r="AK12" s="225">
        <f t="shared" si="3"/>
        <v>0</v>
      </c>
      <c r="AL12" s="225">
        <f t="shared" si="3"/>
        <v>0</v>
      </c>
      <c r="AM12" s="225">
        <f t="shared" si="3"/>
        <v>0</v>
      </c>
      <c r="AN12" s="225">
        <f t="shared" si="3"/>
        <v>0</v>
      </c>
    </row>
    <row r="13" spans="1:40" ht="14.95" thickBot="1" x14ac:dyDescent="0.3">
      <c r="A13" s="117"/>
      <c r="B13" s="118"/>
      <c r="C13" s="409" t="s">
        <v>427</v>
      </c>
      <c r="D13" s="410"/>
      <c r="E13" s="411"/>
      <c r="F13" s="430">
        <f>SUM(F8:F10)</f>
        <v>61</v>
      </c>
      <c r="G13" s="430">
        <f t="shared" ref="G13:R13" si="4">SUM(G8:G10)</f>
        <v>81</v>
      </c>
      <c r="H13" s="430">
        <f t="shared" si="4"/>
        <v>2</v>
      </c>
      <c r="I13" s="430">
        <f t="shared" si="4"/>
        <v>0</v>
      </c>
      <c r="J13" s="430">
        <f t="shared" si="4"/>
        <v>9</v>
      </c>
      <c r="K13" s="430">
        <f t="shared" si="4"/>
        <v>5</v>
      </c>
      <c r="L13" s="430">
        <f t="shared" si="4"/>
        <v>0</v>
      </c>
      <c r="M13" s="430">
        <f t="shared" si="4"/>
        <v>2</v>
      </c>
      <c r="N13" s="430">
        <f t="shared" si="4"/>
        <v>2</v>
      </c>
      <c r="O13" s="430">
        <f t="shared" si="4"/>
        <v>2</v>
      </c>
      <c r="P13" s="430">
        <f t="shared" si="4"/>
        <v>1</v>
      </c>
      <c r="Q13" s="430">
        <f t="shared" si="4"/>
        <v>1</v>
      </c>
      <c r="R13" s="430">
        <f t="shared" si="4"/>
        <v>12</v>
      </c>
      <c r="S13" s="365"/>
      <c r="T13" s="365"/>
      <c r="U13" s="365"/>
      <c r="V13" s="365"/>
      <c r="W13" s="116"/>
      <c r="X13" s="150" t="s">
        <v>427</v>
      </c>
      <c r="Y13" s="430">
        <f t="shared" ref="Y13:AN13" si="5">SUM(Y8:Y10)</f>
        <v>3</v>
      </c>
      <c r="Z13" s="430">
        <f t="shared" si="5"/>
        <v>2</v>
      </c>
      <c r="AA13" s="430">
        <f t="shared" si="5"/>
        <v>0</v>
      </c>
      <c r="AB13" s="430">
        <f t="shared" si="5"/>
        <v>1</v>
      </c>
      <c r="AC13" s="432">
        <f t="shared" si="5"/>
        <v>0</v>
      </c>
      <c r="AD13" s="432">
        <f t="shared" si="5"/>
        <v>0</v>
      </c>
      <c r="AE13" s="432">
        <f t="shared" si="5"/>
        <v>0</v>
      </c>
      <c r="AF13" s="432">
        <f t="shared" si="5"/>
        <v>0</v>
      </c>
      <c r="AG13" s="433">
        <f t="shared" si="5"/>
        <v>0</v>
      </c>
      <c r="AH13" s="433">
        <f t="shared" si="5"/>
        <v>0</v>
      </c>
      <c r="AI13" s="433">
        <f t="shared" si="5"/>
        <v>0</v>
      </c>
      <c r="AJ13" s="433">
        <f t="shared" si="5"/>
        <v>0</v>
      </c>
      <c r="AK13" s="430">
        <f t="shared" si="5"/>
        <v>3</v>
      </c>
      <c r="AL13" s="430">
        <f t="shared" si="5"/>
        <v>2</v>
      </c>
      <c r="AM13" s="430">
        <f t="shared" si="5"/>
        <v>0</v>
      </c>
      <c r="AN13" s="430">
        <f t="shared" si="5"/>
        <v>1</v>
      </c>
    </row>
    <row r="14" spans="1:40" ht="14.95" thickBot="1" x14ac:dyDescent="0.3">
      <c r="A14" s="117"/>
      <c r="B14" s="118"/>
      <c r="C14" s="515" t="s">
        <v>70</v>
      </c>
      <c r="D14" s="516"/>
      <c r="E14" s="517"/>
      <c r="F14" s="142">
        <f t="shared" ref="F14:R14" si="6">SUM(F3:F10)</f>
        <v>151</v>
      </c>
      <c r="G14" s="142">
        <f t="shared" si="6"/>
        <v>241</v>
      </c>
      <c r="H14" s="142">
        <f t="shared" si="6"/>
        <v>3</v>
      </c>
      <c r="I14" s="142">
        <f t="shared" si="6"/>
        <v>0</v>
      </c>
      <c r="J14" s="142">
        <f t="shared" si="6"/>
        <v>23</v>
      </c>
      <c r="K14" s="142">
        <f t="shared" si="6"/>
        <v>12</v>
      </c>
      <c r="L14" s="142">
        <f t="shared" si="6"/>
        <v>0</v>
      </c>
      <c r="M14" s="142">
        <f t="shared" si="6"/>
        <v>4</v>
      </c>
      <c r="N14" s="142">
        <f t="shared" si="6"/>
        <v>4</v>
      </c>
      <c r="O14" s="142">
        <f t="shared" si="6"/>
        <v>2</v>
      </c>
      <c r="P14" s="142">
        <f t="shared" si="6"/>
        <v>3</v>
      </c>
      <c r="Q14" s="142">
        <f t="shared" si="6"/>
        <v>1</v>
      </c>
      <c r="R14" s="142">
        <f t="shared" si="6"/>
        <v>38</v>
      </c>
      <c r="S14" s="220"/>
      <c r="T14" s="220"/>
      <c r="U14" s="220"/>
      <c r="V14" s="220"/>
      <c r="W14" s="12"/>
      <c r="X14" s="147" t="s">
        <v>70</v>
      </c>
      <c r="Y14" s="142">
        <f t="shared" ref="Y14:AN14" si="7">SUM(Y3:Y10)</f>
        <v>8</v>
      </c>
      <c r="Z14" s="142">
        <f t="shared" si="7"/>
        <v>4</v>
      </c>
      <c r="AA14" s="142">
        <f t="shared" si="7"/>
        <v>0</v>
      </c>
      <c r="AB14" s="142">
        <f t="shared" si="7"/>
        <v>4</v>
      </c>
      <c r="AC14" s="140">
        <f t="shared" si="7"/>
        <v>2</v>
      </c>
      <c r="AD14" s="140">
        <f t="shared" si="7"/>
        <v>1</v>
      </c>
      <c r="AE14" s="140">
        <f t="shared" si="7"/>
        <v>0</v>
      </c>
      <c r="AF14" s="140">
        <f t="shared" si="7"/>
        <v>1</v>
      </c>
      <c r="AG14" s="141">
        <f t="shared" si="7"/>
        <v>2</v>
      </c>
      <c r="AH14" s="141">
        <f t="shared" si="7"/>
        <v>0</v>
      </c>
      <c r="AI14" s="141">
        <f t="shared" si="7"/>
        <v>0</v>
      </c>
      <c r="AJ14" s="141">
        <f t="shared" si="7"/>
        <v>2</v>
      </c>
      <c r="AK14" s="142">
        <f t="shared" si="7"/>
        <v>4</v>
      </c>
      <c r="AL14" s="142">
        <f t="shared" si="7"/>
        <v>3</v>
      </c>
      <c r="AM14" s="142">
        <f t="shared" si="7"/>
        <v>0</v>
      </c>
      <c r="AN14" s="142">
        <f t="shared" si="7"/>
        <v>1</v>
      </c>
    </row>
    <row r="15" spans="1:40" x14ac:dyDescent="0.25">
      <c r="A15" s="518" t="s">
        <v>116</v>
      </c>
      <c r="B15" s="490"/>
      <c r="C15" s="490"/>
      <c r="D15" s="490"/>
      <c r="E15" s="490"/>
      <c r="F15" s="490"/>
      <c r="G15" s="490"/>
      <c r="H15" s="490"/>
      <c r="I15" s="490"/>
      <c r="J15" s="490"/>
      <c r="K15" s="490"/>
      <c r="L15" s="490"/>
      <c r="M15" s="490"/>
      <c r="N15" s="490"/>
      <c r="O15" s="490"/>
      <c r="P15" s="490"/>
      <c r="Q15" s="490"/>
      <c r="R15" s="490"/>
      <c r="S15" s="490"/>
      <c r="T15" s="490"/>
      <c r="U15" s="490"/>
      <c r="V15" s="490"/>
      <c r="W15" s="490"/>
      <c r="X15" s="490"/>
      <c r="Y15" s="490"/>
      <c r="Z15" s="490"/>
      <c r="AA15" s="490"/>
      <c r="AB15" s="490"/>
      <c r="AC15" s="490"/>
      <c r="AD15" s="490"/>
      <c r="AE15" s="490"/>
      <c r="AF15" s="490"/>
      <c r="AG15" s="490"/>
      <c r="AH15" s="490"/>
      <c r="AI15" s="490"/>
      <c r="AJ15" s="490"/>
      <c r="AK15" s="490"/>
      <c r="AL15" s="490"/>
      <c r="AM15" s="490"/>
      <c r="AN15" s="490"/>
    </row>
    <row r="16" spans="1:40" x14ac:dyDescent="0.25">
      <c r="A16" s="398" t="s">
        <v>357</v>
      </c>
    </row>
    <row r="17" spans="1:40" x14ac:dyDescent="0.25">
      <c r="A17" t="s">
        <v>546</v>
      </c>
    </row>
    <row r="18" spans="1:40" x14ac:dyDescent="0.25">
      <c r="A18" t="s">
        <v>547</v>
      </c>
    </row>
    <row r="21" spans="1:40" x14ac:dyDescent="0.25">
      <c r="A21" t="s">
        <v>77</v>
      </c>
    </row>
    <row r="22" spans="1:40" x14ac:dyDescent="0.25">
      <c r="A22" s="440"/>
      <c r="B22" s="73" t="s">
        <v>40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</row>
    <row r="23" spans="1:40" x14ac:dyDescent="0.25">
      <c r="A23" s="441"/>
      <c r="B23" s="73" t="s">
        <v>38</v>
      </c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</row>
    <row r="24" spans="1:40" x14ac:dyDescent="0.25">
      <c r="A24" s="442"/>
      <c r="B24" s="73" t="s">
        <v>39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</row>
    <row r="25" spans="1:40" x14ac:dyDescent="0.25">
      <c r="A25" s="237" t="s">
        <v>28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</row>
  </sheetData>
  <mergeCells count="14">
    <mergeCell ref="C14:E14"/>
    <mergeCell ref="A15:AN15"/>
    <mergeCell ref="C12:E12"/>
    <mergeCell ref="Y1:AB1"/>
    <mergeCell ref="AC1:AF1"/>
    <mergeCell ref="AG1:AJ1"/>
    <mergeCell ref="AK1:AN1"/>
    <mergeCell ref="C11:E11"/>
    <mergeCell ref="A1:C1"/>
    <mergeCell ref="E1:G1"/>
    <mergeCell ref="H1:I1"/>
    <mergeCell ref="J1:M1"/>
    <mergeCell ref="N1:O1"/>
    <mergeCell ref="P1:R1"/>
  </mergeCells>
  <pageMargins left="0.7" right="0.7" top="0.75" bottom="0.75" header="0.3" footer="0.3"/>
  <pageSetup paperSize="9" orientation="portrait" r:id="rId1"/>
  <ignoredErrors>
    <ignoredError sqref="C11:AN11 F13:AN13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7066D-ABE5-4E54-AB28-2B516A652F9D}">
  <dimension ref="A1:AN26"/>
  <sheetViews>
    <sheetView topLeftCell="X1" zoomScaleNormal="100" workbookViewId="0">
      <selection activeCell="AD5" sqref="AD5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5" bestFit="1" customWidth="1"/>
    <col min="5" max="11" width="3.75" customWidth="1"/>
    <col min="12" max="12" width="4" customWidth="1"/>
    <col min="13" max="18" width="3.75" customWidth="1"/>
    <col min="19" max="20" width="6.25" customWidth="1"/>
    <col min="21" max="21" width="26.25" bestFit="1" customWidth="1"/>
    <col min="22" max="22" width="22.5" bestFit="1" customWidth="1"/>
    <col min="23" max="23" width="22.125" bestFit="1" customWidth="1"/>
    <col min="24" max="24" width="22.75" bestFit="1" customWidth="1"/>
    <col min="25" max="40" width="3.75" customWidth="1"/>
  </cols>
  <sheetData>
    <row r="1" spans="1:40" ht="14.95" customHeight="1" thickBot="1" x14ac:dyDescent="0.3">
      <c r="A1" s="539" t="s">
        <v>118</v>
      </c>
      <c r="B1" s="540"/>
      <c r="C1" s="540"/>
      <c r="D1" s="295"/>
      <c r="E1" s="541" t="s">
        <v>24</v>
      </c>
      <c r="F1" s="542"/>
      <c r="G1" s="543"/>
      <c r="H1" s="541" t="s">
        <v>76</v>
      </c>
      <c r="I1" s="543"/>
      <c r="J1" s="544" t="s">
        <v>6</v>
      </c>
      <c r="K1" s="545"/>
      <c r="L1" s="545"/>
      <c r="M1" s="546"/>
      <c r="N1" s="544" t="s">
        <v>7</v>
      </c>
      <c r="O1" s="546"/>
      <c r="P1" s="544" t="s">
        <v>25</v>
      </c>
      <c r="Q1" s="545"/>
      <c r="R1" s="546"/>
      <c r="S1" s="296" t="s">
        <v>8</v>
      </c>
      <c r="T1" s="296" t="s">
        <v>9</v>
      </c>
      <c r="U1" s="297" t="s">
        <v>10</v>
      </c>
      <c r="V1" s="297" t="s">
        <v>11</v>
      </c>
      <c r="W1" s="297" t="s">
        <v>26</v>
      </c>
      <c r="X1" s="297" t="s">
        <v>27</v>
      </c>
      <c r="Y1" s="536" t="s">
        <v>20</v>
      </c>
      <c r="Z1" s="537"/>
      <c r="AA1" s="537"/>
      <c r="AB1" s="538"/>
      <c r="AC1" s="536" t="s">
        <v>56</v>
      </c>
      <c r="AD1" s="537"/>
      <c r="AE1" s="537"/>
      <c r="AF1" s="538"/>
      <c r="AG1" s="536" t="s">
        <v>57</v>
      </c>
      <c r="AH1" s="537"/>
      <c r="AI1" s="537"/>
      <c r="AJ1" s="538"/>
      <c r="AK1" s="536" t="s">
        <v>58</v>
      </c>
      <c r="AL1" s="537"/>
      <c r="AM1" s="537"/>
      <c r="AN1" s="538"/>
    </row>
    <row r="2" spans="1:40" ht="14.95" customHeight="1" thickBot="1" x14ac:dyDescent="0.3">
      <c r="A2" s="298" t="s">
        <v>19</v>
      </c>
      <c r="B2" s="299" t="s">
        <v>18</v>
      </c>
      <c r="C2" s="300" t="s">
        <v>17</v>
      </c>
      <c r="D2" s="300" t="s">
        <v>37</v>
      </c>
      <c r="E2" s="301" t="s">
        <v>16</v>
      </c>
      <c r="F2" s="301" t="s">
        <v>4</v>
      </c>
      <c r="G2" s="301" t="s">
        <v>5</v>
      </c>
      <c r="H2" s="302" t="s">
        <v>12</v>
      </c>
      <c r="I2" s="302" t="s">
        <v>3</v>
      </c>
      <c r="J2" s="302" t="s">
        <v>12</v>
      </c>
      <c r="K2" s="302" t="s">
        <v>13</v>
      </c>
      <c r="L2" s="302" t="s">
        <v>2</v>
      </c>
      <c r="M2" s="302" t="s">
        <v>14</v>
      </c>
      <c r="N2" s="302" t="s">
        <v>15</v>
      </c>
      <c r="O2" s="302" t="s">
        <v>16</v>
      </c>
      <c r="P2" s="302" t="s">
        <v>21</v>
      </c>
      <c r="Q2" s="302" t="s">
        <v>22</v>
      </c>
      <c r="R2" s="302" t="s">
        <v>12</v>
      </c>
      <c r="S2" s="303"/>
      <c r="T2" s="304"/>
      <c r="U2" s="305"/>
      <c r="V2" s="303"/>
      <c r="W2" s="297"/>
      <c r="X2" s="306"/>
      <c r="Y2" s="307" t="s">
        <v>0</v>
      </c>
      <c r="Z2" s="307" t="s">
        <v>1</v>
      </c>
      <c r="AA2" s="307" t="s">
        <v>2</v>
      </c>
      <c r="AB2" s="307" t="s">
        <v>3</v>
      </c>
      <c r="AC2" s="307" t="s">
        <v>0</v>
      </c>
      <c r="AD2" s="307" t="s">
        <v>1</v>
      </c>
      <c r="AE2" s="307" t="s">
        <v>2</v>
      </c>
      <c r="AF2" s="307" t="s">
        <v>3</v>
      </c>
      <c r="AG2" s="307" t="s">
        <v>0</v>
      </c>
      <c r="AH2" s="307" t="s">
        <v>1</v>
      </c>
      <c r="AI2" s="307" t="s">
        <v>2</v>
      </c>
      <c r="AJ2" s="307" t="s">
        <v>3</v>
      </c>
      <c r="AK2" s="307" t="s">
        <v>0</v>
      </c>
      <c r="AL2" s="307" t="s">
        <v>1</v>
      </c>
      <c r="AM2" s="307" t="s">
        <v>2</v>
      </c>
      <c r="AN2" s="307" t="s">
        <v>3</v>
      </c>
    </row>
    <row r="3" spans="1:40" ht="14.95" customHeight="1" thickBot="1" x14ac:dyDescent="0.3">
      <c r="A3" s="232" t="s">
        <v>134</v>
      </c>
      <c r="B3" s="211" t="s">
        <v>180</v>
      </c>
      <c r="C3" s="211" t="s">
        <v>186</v>
      </c>
      <c r="D3" s="211" t="s">
        <v>132</v>
      </c>
      <c r="E3" s="207" t="s">
        <v>1</v>
      </c>
      <c r="F3" s="207">
        <v>66</v>
      </c>
      <c r="G3" s="207">
        <v>7</v>
      </c>
      <c r="H3" s="207" t="s">
        <v>69</v>
      </c>
      <c r="I3" s="207" t="s">
        <v>69</v>
      </c>
      <c r="J3" s="207">
        <v>10</v>
      </c>
      <c r="K3" s="207">
        <v>8</v>
      </c>
      <c r="L3" s="207">
        <v>0</v>
      </c>
      <c r="M3" s="207">
        <v>0</v>
      </c>
      <c r="N3" s="207">
        <v>0</v>
      </c>
      <c r="O3" s="207">
        <v>0</v>
      </c>
      <c r="P3" s="207" t="s">
        <v>69</v>
      </c>
      <c r="Q3" s="207" t="s">
        <v>69</v>
      </c>
      <c r="R3" s="207">
        <v>1</v>
      </c>
      <c r="S3" s="212"/>
      <c r="T3" s="341" t="s">
        <v>187</v>
      </c>
      <c r="U3" s="213" t="s">
        <v>188</v>
      </c>
      <c r="V3" s="212" t="s">
        <v>183</v>
      </c>
      <c r="W3" s="209" t="s">
        <v>189</v>
      </c>
      <c r="X3" s="214" t="s">
        <v>190</v>
      </c>
      <c r="Y3" s="382">
        <v>1</v>
      </c>
      <c r="Z3" s="382">
        <v>1</v>
      </c>
      <c r="AA3" s="382">
        <v>0</v>
      </c>
      <c r="AB3" s="383">
        <v>0</v>
      </c>
      <c r="AC3" s="382">
        <v>0</v>
      </c>
      <c r="AD3" s="382">
        <v>0</v>
      </c>
      <c r="AE3" s="382">
        <v>0</v>
      </c>
      <c r="AF3" s="383">
        <v>0</v>
      </c>
      <c r="AG3" s="382">
        <v>0</v>
      </c>
      <c r="AH3" s="382">
        <v>0</v>
      </c>
      <c r="AI3" s="382">
        <v>0</v>
      </c>
      <c r="AJ3" s="383">
        <v>0</v>
      </c>
      <c r="AK3" s="382">
        <v>1</v>
      </c>
      <c r="AL3" s="382">
        <v>1</v>
      </c>
      <c r="AM3" s="382">
        <v>0</v>
      </c>
      <c r="AN3" s="383">
        <v>0</v>
      </c>
    </row>
    <row r="4" spans="1:40" ht="14.95" customHeight="1" thickBot="1" x14ac:dyDescent="0.35">
      <c r="A4" s="210" t="s">
        <v>131</v>
      </c>
      <c r="B4" s="211" t="s">
        <v>102</v>
      </c>
      <c r="C4" s="211" t="s">
        <v>55</v>
      </c>
      <c r="D4" s="211" t="s">
        <v>132</v>
      </c>
      <c r="E4" s="207" t="s">
        <v>1</v>
      </c>
      <c r="F4" s="207">
        <v>50</v>
      </c>
      <c r="G4" s="207">
        <v>17</v>
      </c>
      <c r="H4" s="207">
        <v>1</v>
      </c>
      <c r="I4" s="207">
        <v>0</v>
      </c>
      <c r="J4" s="207">
        <v>8</v>
      </c>
      <c r="K4" s="207">
        <v>5</v>
      </c>
      <c r="L4" s="207">
        <v>0</v>
      </c>
      <c r="M4" s="207">
        <v>0</v>
      </c>
      <c r="N4" s="207">
        <v>2</v>
      </c>
      <c r="O4" s="207">
        <v>0</v>
      </c>
      <c r="P4" s="207">
        <v>0</v>
      </c>
      <c r="Q4" s="207">
        <v>0</v>
      </c>
      <c r="R4" s="207">
        <v>2</v>
      </c>
      <c r="S4" s="212"/>
      <c r="T4" s="215" t="s">
        <v>193</v>
      </c>
      <c r="U4" s="213" t="s">
        <v>194</v>
      </c>
      <c r="V4" s="212" t="s">
        <v>195</v>
      </c>
      <c r="W4" s="213" t="s">
        <v>196</v>
      </c>
      <c r="X4" s="209" t="s">
        <v>189</v>
      </c>
      <c r="Y4" s="147">
        <v>1</v>
      </c>
      <c r="Z4" s="147">
        <v>1</v>
      </c>
      <c r="AA4" s="147">
        <v>0</v>
      </c>
      <c r="AB4" s="208">
        <v>0</v>
      </c>
      <c r="AC4" s="147">
        <v>0</v>
      </c>
      <c r="AD4" s="147">
        <v>0</v>
      </c>
      <c r="AE4" s="147">
        <v>0</v>
      </c>
      <c r="AF4" s="208">
        <v>0</v>
      </c>
      <c r="AG4" s="147">
        <v>0</v>
      </c>
      <c r="AH4" s="147">
        <v>0</v>
      </c>
      <c r="AI4" s="147">
        <v>0</v>
      </c>
      <c r="AJ4" s="208">
        <v>0</v>
      </c>
      <c r="AK4" s="147">
        <v>1</v>
      </c>
      <c r="AL4" s="147">
        <v>1</v>
      </c>
      <c r="AM4" s="147">
        <v>0</v>
      </c>
      <c r="AN4" s="208">
        <v>0</v>
      </c>
    </row>
    <row r="5" spans="1:40" ht="14.95" customHeight="1" thickBot="1" x14ac:dyDescent="0.3">
      <c r="A5" s="191" t="s">
        <v>332</v>
      </c>
      <c r="B5" s="192" t="s">
        <v>102</v>
      </c>
      <c r="C5" s="192" t="s">
        <v>73</v>
      </c>
      <c r="D5" s="192" t="s">
        <v>320</v>
      </c>
      <c r="E5" s="193" t="s">
        <v>3</v>
      </c>
      <c r="F5" s="193">
        <v>21</v>
      </c>
      <c r="G5" s="193">
        <v>52</v>
      </c>
      <c r="H5" s="193">
        <v>0</v>
      </c>
      <c r="I5" s="193">
        <v>0</v>
      </c>
      <c r="J5" s="193">
        <v>3</v>
      </c>
      <c r="K5" s="193">
        <v>3</v>
      </c>
      <c r="L5" s="193">
        <v>0</v>
      </c>
      <c r="M5" s="193">
        <v>0</v>
      </c>
      <c r="N5" s="193">
        <v>1</v>
      </c>
      <c r="O5" s="193">
        <v>0</v>
      </c>
      <c r="P5" s="193">
        <v>1</v>
      </c>
      <c r="Q5" s="193">
        <v>0</v>
      </c>
      <c r="R5" s="193">
        <v>8</v>
      </c>
      <c r="S5" s="194"/>
      <c r="T5" s="195" t="s">
        <v>333</v>
      </c>
      <c r="U5" s="196" t="s">
        <v>207</v>
      </c>
      <c r="V5" s="194" t="s">
        <v>224</v>
      </c>
      <c r="W5" s="197" t="s">
        <v>334</v>
      </c>
      <c r="X5" s="198" t="s">
        <v>335</v>
      </c>
      <c r="Y5" s="199">
        <v>1</v>
      </c>
      <c r="Z5" s="199">
        <v>0</v>
      </c>
      <c r="AA5" s="199">
        <v>0</v>
      </c>
      <c r="AB5" s="200">
        <v>1</v>
      </c>
      <c r="AC5" s="199">
        <v>1</v>
      </c>
      <c r="AD5" s="199">
        <v>0</v>
      </c>
      <c r="AE5" s="199">
        <v>0</v>
      </c>
      <c r="AF5" s="200">
        <v>1</v>
      </c>
      <c r="AG5" s="199">
        <v>0</v>
      </c>
      <c r="AH5" s="199">
        <v>0</v>
      </c>
      <c r="AI5" s="199">
        <v>0</v>
      </c>
      <c r="AJ5" s="200">
        <v>0</v>
      </c>
      <c r="AK5" s="199">
        <v>0</v>
      </c>
      <c r="AL5" s="199">
        <v>0</v>
      </c>
      <c r="AM5" s="199">
        <v>0</v>
      </c>
      <c r="AN5" s="200">
        <v>0</v>
      </c>
    </row>
    <row r="6" spans="1:40" ht="14.95" customHeight="1" thickBot="1" x14ac:dyDescent="0.35">
      <c r="A6" s="191" t="s">
        <v>343</v>
      </c>
      <c r="B6" s="192" t="s">
        <v>102</v>
      </c>
      <c r="C6" s="192" t="s">
        <v>29</v>
      </c>
      <c r="D6" s="192" t="s">
        <v>320</v>
      </c>
      <c r="E6" s="193" t="s">
        <v>1</v>
      </c>
      <c r="F6" s="193">
        <v>45</v>
      </c>
      <c r="G6" s="193">
        <v>7</v>
      </c>
      <c r="H6" s="193">
        <v>1</v>
      </c>
      <c r="I6" s="193">
        <v>0</v>
      </c>
      <c r="J6" s="193">
        <v>7</v>
      </c>
      <c r="K6" s="193">
        <v>5</v>
      </c>
      <c r="L6" s="193">
        <v>0</v>
      </c>
      <c r="M6" s="193">
        <v>0</v>
      </c>
      <c r="N6" s="193">
        <v>0</v>
      </c>
      <c r="O6" s="193">
        <v>0</v>
      </c>
      <c r="P6" s="193">
        <v>0</v>
      </c>
      <c r="Q6" s="193">
        <v>0</v>
      </c>
      <c r="R6" s="193">
        <v>1</v>
      </c>
      <c r="S6" s="194"/>
      <c r="T6" s="203" t="s">
        <v>355</v>
      </c>
      <c r="U6" s="196" t="s">
        <v>207</v>
      </c>
      <c r="V6" s="194" t="s">
        <v>224</v>
      </c>
      <c r="W6" s="197" t="s">
        <v>334</v>
      </c>
      <c r="X6" s="198" t="s">
        <v>335</v>
      </c>
      <c r="Y6" s="199">
        <v>1</v>
      </c>
      <c r="Z6" s="199">
        <v>1</v>
      </c>
      <c r="AA6" s="199">
        <v>0</v>
      </c>
      <c r="AB6" s="200">
        <v>0</v>
      </c>
      <c r="AC6" s="199">
        <v>1</v>
      </c>
      <c r="AD6" s="199">
        <v>1</v>
      </c>
      <c r="AE6" s="199">
        <v>0</v>
      </c>
      <c r="AF6" s="200">
        <v>0</v>
      </c>
      <c r="AG6" s="199">
        <v>0</v>
      </c>
      <c r="AH6" s="199">
        <v>0</v>
      </c>
      <c r="AI6" s="199">
        <v>0</v>
      </c>
      <c r="AJ6" s="200">
        <v>0</v>
      </c>
      <c r="AK6" s="199">
        <v>0</v>
      </c>
      <c r="AL6" s="199">
        <v>0</v>
      </c>
      <c r="AM6" s="199">
        <v>0</v>
      </c>
      <c r="AN6" s="200">
        <v>0</v>
      </c>
    </row>
    <row r="7" spans="1:40" ht="14.95" customHeight="1" thickBot="1" x14ac:dyDescent="0.3">
      <c r="A7" s="176" t="s">
        <v>398</v>
      </c>
      <c r="B7" s="178" t="s">
        <v>180</v>
      </c>
      <c r="C7" s="178" t="s">
        <v>30</v>
      </c>
      <c r="D7" s="178" t="s">
        <v>399</v>
      </c>
      <c r="E7" s="179" t="s">
        <v>3</v>
      </c>
      <c r="F7" s="179">
        <v>24</v>
      </c>
      <c r="G7" s="179">
        <v>50</v>
      </c>
      <c r="H7" s="179" t="s">
        <v>69</v>
      </c>
      <c r="I7" s="179" t="s">
        <v>69</v>
      </c>
      <c r="J7" s="179">
        <v>4</v>
      </c>
      <c r="K7" s="179">
        <v>2</v>
      </c>
      <c r="L7" s="179">
        <v>0</v>
      </c>
      <c r="M7" s="179">
        <v>0</v>
      </c>
      <c r="N7" s="179">
        <v>0</v>
      </c>
      <c r="O7" s="179">
        <v>0</v>
      </c>
      <c r="P7" s="179" t="s">
        <v>69</v>
      </c>
      <c r="Q7" s="179" t="s">
        <v>69</v>
      </c>
      <c r="R7" s="179">
        <v>8</v>
      </c>
      <c r="S7" s="183">
        <v>9603</v>
      </c>
      <c r="T7" s="187" t="s">
        <v>402</v>
      </c>
      <c r="U7" s="185" t="s">
        <v>240</v>
      </c>
      <c r="V7" s="183" t="s">
        <v>255</v>
      </c>
      <c r="W7" s="183" t="s">
        <v>241</v>
      </c>
      <c r="X7" s="186" t="s">
        <v>401</v>
      </c>
      <c r="Y7" s="181">
        <v>1</v>
      </c>
      <c r="Z7" s="181">
        <v>0</v>
      </c>
      <c r="AA7" s="181">
        <v>0</v>
      </c>
      <c r="AB7" s="182">
        <v>1</v>
      </c>
      <c r="AC7" s="181">
        <v>0</v>
      </c>
      <c r="AD7" s="181">
        <v>0</v>
      </c>
      <c r="AE7" s="181">
        <v>0</v>
      </c>
      <c r="AF7" s="182">
        <v>0</v>
      </c>
      <c r="AG7" s="181">
        <v>1</v>
      </c>
      <c r="AH7" s="181">
        <v>0</v>
      </c>
      <c r="AI7" s="181">
        <v>0</v>
      </c>
      <c r="AJ7" s="182">
        <v>1</v>
      </c>
      <c r="AK7" s="181">
        <v>0</v>
      </c>
      <c r="AL7" s="181">
        <v>0</v>
      </c>
      <c r="AM7" s="181">
        <v>0</v>
      </c>
      <c r="AN7" s="182">
        <v>0</v>
      </c>
    </row>
    <row r="8" spans="1:40" ht="14.95" customHeight="1" thickBot="1" x14ac:dyDescent="0.3">
      <c r="A8" s="176" t="s">
        <v>405</v>
      </c>
      <c r="B8" s="178" t="s">
        <v>180</v>
      </c>
      <c r="C8" s="178" t="s">
        <v>30</v>
      </c>
      <c r="D8" s="178" t="s">
        <v>406</v>
      </c>
      <c r="E8" s="179" t="s">
        <v>3</v>
      </c>
      <c r="F8" s="179">
        <v>12</v>
      </c>
      <c r="G8" s="179">
        <v>29</v>
      </c>
      <c r="H8" s="179" t="s">
        <v>69</v>
      </c>
      <c r="I8" s="179" t="s">
        <v>69</v>
      </c>
      <c r="J8" s="179">
        <v>2</v>
      </c>
      <c r="K8" s="179">
        <v>1</v>
      </c>
      <c r="L8" s="179">
        <v>0</v>
      </c>
      <c r="M8" s="179">
        <v>0</v>
      </c>
      <c r="N8" s="179">
        <v>0</v>
      </c>
      <c r="O8" s="179">
        <v>1</v>
      </c>
      <c r="P8" s="179" t="s">
        <v>69</v>
      </c>
      <c r="Q8" s="179" t="s">
        <v>69</v>
      </c>
      <c r="R8" s="179">
        <v>5</v>
      </c>
      <c r="S8" s="183">
        <v>9000</v>
      </c>
      <c r="T8" s="187" t="s">
        <v>345</v>
      </c>
      <c r="U8" s="185" t="s">
        <v>194</v>
      </c>
      <c r="V8" s="183" t="s">
        <v>156</v>
      </c>
      <c r="W8" s="183" t="s">
        <v>165</v>
      </c>
      <c r="X8" s="186" t="s">
        <v>200</v>
      </c>
      <c r="Y8" s="181">
        <v>1</v>
      </c>
      <c r="Z8" s="181">
        <v>0</v>
      </c>
      <c r="AA8" s="181">
        <v>0</v>
      </c>
      <c r="AB8" s="182">
        <v>1</v>
      </c>
      <c r="AC8" s="181">
        <v>0</v>
      </c>
      <c r="AD8" s="181">
        <v>0</v>
      </c>
      <c r="AE8" s="181">
        <v>0</v>
      </c>
      <c r="AF8" s="182">
        <v>0</v>
      </c>
      <c r="AG8" s="181">
        <v>1</v>
      </c>
      <c r="AH8" s="181">
        <v>0</v>
      </c>
      <c r="AI8" s="181">
        <v>0</v>
      </c>
      <c r="AJ8" s="182">
        <v>1</v>
      </c>
      <c r="AK8" s="181">
        <v>0</v>
      </c>
      <c r="AL8" s="181">
        <v>0</v>
      </c>
      <c r="AM8" s="181">
        <v>0</v>
      </c>
      <c r="AN8" s="182">
        <v>0</v>
      </c>
    </row>
    <row r="9" spans="1:40" ht="14.95" customHeight="1" thickBot="1" x14ac:dyDescent="0.3">
      <c r="A9" s="210" t="s">
        <v>440</v>
      </c>
      <c r="B9" s="211" t="s">
        <v>427</v>
      </c>
      <c r="C9" s="211" t="s">
        <v>31</v>
      </c>
      <c r="D9" s="211" t="s">
        <v>436</v>
      </c>
      <c r="E9" s="207" t="s">
        <v>1</v>
      </c>
      <c r="F9" s="207">
        <v>42</v>
      </c>
      <c r="G9" s="207">
        <v>22</v>
      </c>
      <c r="H9" s="207">
        <v>1</v>
      </c>
      <c r="I9" s="207">
        <v>0</v>
      </c>
      <c r="J9" s="207">
        <v>6</v>
      </c>
      <c r="K9" s="207">
        <v>6</v>
      </c>
      <c r="L9" s="207">
        <v>0</v>
      </c>
      <c r="M9" s="207">
        <v>0</v>
      </c>
      <c r="N9" s="207">
        <v>0</v>
      </c>
      <c r="O9" s="207">
        <v>0</v>
      </c>
      <c r="P9" s="207">
        <v>0</v>
      </c>
      <c r="Q9" s="207">
        <v>0</v>
      </c>
      <c r="R9" s="207">
        <v>3</v>
      </c>
      <c r="S9" s="212"/>
      <c r="T9" s="419" t="s">
        <v>442</v>
      </c>
      <c r="U9" s="213" t="s">
        <v>207</v>
      </c>
      <c r="V9" s="212" t="s">
        <v>282</v>
      </c>
      <c r="W9" s="212" t="s">
        <v>173</v>
      </c>
      <c r="X9" s="214" t="s">
        <v>438</v>
      </c>
      <c r="Y9" s="147">
        <v>1</v>
      </c>
      <c r="Z9" s="147">
        <v>1</v>
      </c>
      <c r="AA9" s="147">
        <v>0</v>
      </c>
      <c r="AB9" s="208">
        <v>0</v>
      </c>
      <c r="AC9" s="147">
        <v>0</v>
      </c>
      <c r="AD9" s="147">
        <v>0</v>
      </c>
      <c r="AE9" s="147">
        <v>0</v>
      </c>
      <c r="AF9" s="208">
        <v>0</v>
      </c>
      <c r="AG9" s="147">
        <v>0</v>
      </c>
      <c r="AH9" s="147">
        <v>0</v>
      </c>
      <c r="AI9" s="147">
        <v>0</v>
      </c>
      <c r="AJ9" s="208">
        <v>0</v>
      </c>
      <c r="AK9" s="147">
        <v>1</v>
      </c>
      <c r="AL9" s="147">
        <v>1</v>
      </c>
      <c r="AM9" s="147">
        <v>0</v>
      </c>
      <c r="AN9" s="208">
        <v>0</v>
      </c>
    </row>
    <row r="10" spans="1:40" ht="14.95" customHeight="1" thickBot="1" x14ac:dyDescent="0.3">
      <c r="A10" s="210" t="s">
        <v>448</v>
      </c>
      <c r="B10" s="211" t="s">
        <v>427</v>
      </c>
      <c r="C10" s="211" t="s">
        <v>30</v>
      </c>
      <c r="D10" s="211" t="s">
        <v>449</v>
      </c>
      <c r="E10" s="207" t="s">
        <v>3</v>
      </c>
      <c r="F10" s="207">
        <v>12</v>
      </c>
      <c r="G10" s="207">
        <v>45</v>
      </c>
      <c r="H10" s="207">
        <v>0</v>
      </c>
      <c r="I10" s="207">
        <v>0</v>
      </c>
      <c r="J10" s="207">
        <v>2</v>
      </c>
      <c r="K10" s="207">
        <v>1</v>
      </c>
      <c r="L10" s="207">
        <v>0</v>
      </c>
      <c r="M10" s="207">
        <v>0</v>
      </c>
      <c r="N10" s="207">
        <v>1</v>
      </c>
      <c r="O10" s="207">
        <v>0</v>
      </c>
      <c r="P10" s="207">
        <v>1</v>
      </c>
      <c r="Q10" s="207">
        <v>0</v>
      </c>
      <c r="R10" s="207">
        <v>7</v>
      </c>
      <c r="S10" s="212"/>
      <c r="T10" s="221" t="s">
        <v>453</v>
      </c>
      <c r="U10" s="213" t="s">
        <v>173</v>
      </c>
      <c r="V10" s="212" t="s">
        <v>224</v>
      </c>
      <c r="W10" s="212" t="s">
        <v>240</v>
      </c>
      <c r="X10" s="214" t="s">
        <v>452</v>
      </c>
      <c r="Y10" s="147">
        <v>1</v>
      </c>
      <c r="Z10" s="147">
        <v>0</v>
      </c>
      <c r="AA10" s="147">
        <v>0</v>
      </c>
      <c r="AB10" s="208">
        <v>1</v>
      </c>
      <c r="AC10" s="147">
        <v>0</v>
      </c>
      <c r="AD10" s="147">
        <v>0</v>
      </c>
      <c r="AE10" s="147">
        <v>0</v>
      </c>
      <c r="AF10" s="208">
        <v>0</v>
      </c>
      <c r="AG10" s="147">
        <v>0</v>
      </c>
      <c r="AH10" s="147">
        <v>0</v>
      </c>
      <c r="AI10" s="147">
        <v>0</v>
      </c>
      <c r="AJ10" s="208">
        <v>0</v>
      </c>
      <c r="AK10" s="147">
        <v>1</v>
      </c>
      <c r="AL10" s="147">
        <v>0</v>
      </c>
      <c r="AM10" s="147">
        <v>0</v>
      </c>
      <c r="AN10" s="208">
        <v>1</v>
      </c>
    </row>
    <row r="11" spans="1:40" ht="14.95" customHeight="1" thickBot="1" x14ac:dyDescent="0.3">
      <c r="A11" s="210" t="s">
        <v>478</v>
      </c>
      <c r="B11" s="211" t="s">
        <v>427</v>
      </c>
      <c r="C11" s="211" t="s">
        <v>33</v>
      </c>
      <c r="D11" s="211" t="s">
        <v>470</v>
      </c>
      <c r="E11" s="207" t="s">
        <v>1</v>
      </c>
      <c r="F11" s="207">
        <v>29</v>
      </c>
      <c r="G11" s="207">
        <v>20</v>
      </c>
      <c r="H11" s="207">
        <v>1</v>
      </c>
      <c r="I11" s="207">
        <v>0</v>
      </c>
      <c r="J11" s="207">
        <v>4</v>
      </c>
      <c r="K11" s="207">
        <v>3</v>
      </c>
      <c r="L11" s="207">
        <v>0</v>
      </c>
      <c r="M11" s="207">
        <v>1</v>
      </c>
      <c r="N11" s="207">
        <v>0</v>
      </c>
      <c r="O11" s="207">
        <v>0</v>
      </c>
      <c r="P11" s="207">
        <v>0</v>
      </c>
      <c r="Q11" s="207">
        <v>0</v>
      </c>
      <c r="R11" s="207">
        <v>2</v>
      </c>
      <c r="S11" s="212"/>
      <c r="T11" s="238" t="s">
        <v>250</v>
      </c>
      <c r="U11" s="213" t="s">
        <v>173</v>
      </c>
      <c r="V11" s="212" t="s">
        <v>282</v>
      </c>
      <c r="W11" s="212" t="s">
        <v>240</v>
      </c>
      <c r="X11" s="214" t="s">
        <v>472</v>
      </c>
      <c r="Y11" s="147">
        <v>1</v>
      </c>
      <c r="Z11" s="147">
        <v>1</v>
      </c>
      <c r="AA11" s="147">
        <v>0</v>
      </c>
      <c r="AB11" s="208">
        <v>0</v>
      </c>
      <c r="AC11" s="147">
        <v>0</v>
      </c>
      <c r="AD11" s="147">
        <v>0</v>
      </c>
      <c r="AE11" s="147">
        <v>0</v>
      </c>
      <c r="AF11" s="208">
        <v>0</v>
      </c>
      <c r="AG11" s="147">
        <v>0</v>
      </c>
      <c r="AH11" s="147">
        <v>0</v>
      </c>
      <c r="AI11" s="147">
        <v>0</v>
      </c>
      <c r="AJ11" s="208">
        <v>0</v>
      </c>
      <c r="AK11" s="147">
        <v>1</v>
      </c>
      <c r="AL11" s="147">
        <v>1</v>
      </c>
      <c r="AM11" s="147">
        <v>0</v>
      </c>
      <c r="AN11" s="208">
        <v>0</v>
      </c>
    </row>
    <row r="12" spans="1:40" ht="14.95" customHeight="1" thickBot="1" x14ac:dyDescent="0.3">
      <c r="A12" s="117"/>
      <c r="B12" s="118"/>
      <c r="C12" s="525" t="s">
        <v>100</v>
      </c>
      <c r="D12" s="526"/>
      <c r="E12" s="527"/>
      <c r="F12" s="456">
        <f t="shared" ref="F12:R12" si="0">SUM(F4:F6)</f>
        <v>116</v>
      </c>
      <c r="G12" s="456">
        <f t="shared" si="0"/>
        <v>76</v>
      </c>
      <c r="H12" s="456">
        <f t="shared" si="0"/>
        <v>2</v>
      </c>
      <c r="I12" s="456">
        <f t="shared" si="0"/>
        <v>0</v>
      </c>
      <c r="J12" s="456">
        <f t="shared" si="0"/>
        <v>18</v>
      </c>
      <c r="K12" s="456">
        <f t="shared" si="0"/>
        <v>13</v>
      </c>
      <c r="L12" s="456">
        <f t="shared" si="0"/>
        <v>0</v>
      </c>
      <c r="M12" s="456">
        <f t="shared" si="0"/>
        <v>0</v>
      </c>
      <c r="N12" s="456">
        <f t="shared" si="0"/>
        <v>3</v>
      </c>
      <c r="O12" s="456">
        <f t="shared" si="0"/>
        <v>0</v>
      </c>
      <c r="P12" s="456">
        <f t="shared" si="0"/>
        <v>1</v>
      </c>
      <c r="Q12" s="456">
        <f t="shared" si="0"/>
        <v>0</v>
      </c>
      <c r="R12" s="456">
        <f t="shared" si="0"/>
        <v>11</v>
      </c>
      <c r="S12" s="480"/>
      <c r="T12" s="480"/>
      <c r="U12" s="480"/>
      <c r="V12" s="480"/>
      <c r="W12" s="458"/>
      <c r="X12" s="459" t="s">
        <v>100</v>
      </c>
      <c r="Y12" s="456">
        <f t="shared" ref="Y12:AN12" si="1">SUM(Y4:Y6)</f>
        <v>3</v>
      </c>
      <c r="Z12" s="456">
        <f t="shared" si="1"/>
        <v>2</v>
      </c>
      <c r="AA12" s="456">
        <f t="shared" si="1"/>
        <v>0</v>
      </c>
      <c r="AB12" s="456">
        <f t="shared" si="1"/>
        <v>1</v>
      </c>
      <c r="AC12" s="460">
        <f t="shared" si="1"/>
        <v>2</v>
      </c>
      <c r="AD12" s="460">
        <f t="shared" si="1"/>
        <v>1</v>
      </c>
      <c r="AE12" s="460">
        <f t="shared" si="1"/>
        <v>0</v>
      </c>
      <c r="AF12" s="460">
        <f t="shared" si="1"/>
        <v>1</v>
      </c>
      <c r="AG12" s="461">
        <f t="shared" si="1"/>
        <v>0</v>
      </c>
      <c r="AH12" s="461">
        <f t="shared" si="1"/>
        <v>0</v>
      </c>
      <c r="AI12" s="461">
        <f t="shared" si="1"/>
        <v>0</v>
      </c>
      <c r="AJ12" s="461">
        <f t="shared" si="1"/>
        <v>0</v>
      </c>
      <c r="AK12" s="456">
        <f t="shared" si="1"/>
        <v>1</v>
      </c>
      <c r="AL12" s="456">
        <f t="shared" si="1"/>
        <v>1</v>
      </c>
      <c r="AM12" s="456">
        <f t="shared" si="1"/>
        <v>0</v>
      </c>
      <c r="AN12" s="456">
        <f t="shared" si="1"/>
        <v>0</v>
      </c>
    </row>
    <row r="13" spans="1:40" ht="14.95" customHeight="1" thickBot="1" x14ac:dyDescent="0.3">
      <c r="A13" s="117"/>
      <c r="B13" s="118"/>
      <c r="C13" s="519" t="s">
        <v>78</v>
      </c>
      <c r="D13" s="520"/>
      <c r="E13" s="521"/>
      <c r="F13" s="225">
        <f>SUM(F3+F7+F8)</f>
        <v>102</v>
      </c>
      <c r="G13" s="225">
        <f>SUM(G3+G7+G8)</f>
        <v>86</v>
      </c>
      <c r="H13" s="225" t="s">
        <v>69</v>
      </c>
      <c r="I13" s="225" t="s">
        <v>69</v>
      </c>
      <c r="J13" s="225">
        <f t="shared" ref="J13:O13" si="2">SUM(J3+J7+J8)</f>
        <v>16</v>
      </c>
      <c r="K13" s="225">
        <f t="shared" si="2"/>
        <v>11</v>
      </c>
      <c r="L13" s="225">
        <f t="shared" si="2"/>
        <v>0</v>
      </c>
      <c r="M13" s="225">
        <f t="shared" si="2"/>
        <v>0</v>
      </c>
      <c r="N13" s="225">
        <f t="shared" si="2"/>
        <v>0</v>
      </c>
      <c r="O13" s="225">
        <f t="shared" si="2"/>
        <v>1</v>
      </c>
      <c r="P13" s="225" t="s">
        <v>69</v>
      </c>
      <c r="Q13" s="225" t="s">
        <v>69</v>
      </c>
      <c r="R13" s="225">
        <f>SUM(R3+R7+R8)</f>
        <v>14</v>
      </c>
      <c r="S13" s="231"/>
      <c r="T13" s="231"/>
      <c r="U13" s="231"/>
      <c r="V13" s="231"/>
      <c r="W13" s="223"/>
      <c r="X13" s="230" t="s">
        <v>78</v>
      </c>
      <c r="Y13" s="225">
        <f t="shared" ref="Y13:AN13" si="3">SUM(Y3+Y7+Y8)</f>
        <v>3</v>
      </c>
      <c r="Z13" s="225">
        <f t="shared" si="3"/>
        <v>1</v>
      </c>
      <c r="AA13" s="225">
        <f t="shared" si="3"/>
        <v>0</v>
      </c>
      <c r="AB13" s="225">
        <f t="shared" si="3"/>
        <v>2</v>
      </c>
      <c r="AC13" s="226">
        <f t="shared" si="3"/>
        <v>0</v>
      </c>
      <c r="AD13" s="226">
        <f t="shared" si="3"/>
        <v>0</v>
      </c>
      <c r="AE13" s="226">
        <f t="shared" si="3"/>
        <v>0</v>
      </c>
      <c r="AF13" s="226">
        <f t="shared" si="3"/>
        <v>0</v>
      </c>
      <c r="AG13" s="227">
        <f t="shared" si="3"/>
        <v>2</v>
      </c>
      <c r="AH13" s="227">
        <f t="shared" si="3"/>
        <v>0</v>
      </c>
      <c r="AI13" s="227">
        <f t="shared" si="3"/>
        <v>0</v>
      </c>
      <c r="AJ13" s="227">
        <f t="shared" si="3"/>
        <v>2</v>
      </c>
      <c r="AK13" s="225">
        <f t="shared" si="3"/>
        <v>1</v>
      </c>
      <c r="AL13" s="225">
        <f t="shared" si="3"/>
        <v>1</v>
      </c>
      <c r="AM13" s="225">
        <f t="shared" si="3"/>
        <v>0</v>
      </c>
      <c r="AN13" s="225">
        <f t="shared" si="3"/>
        <v>0</v>
      </c>
    </row>
    <row r="14" spans="1:40" ht="14.95" customHeight="1" thickBot="1" x14ac:dyDescent="0.3">
      <c r="A14" s="117"/>
      <c r="B14" s="118"/>
      <c r="C14" s="409" t="s">
        <v>427</v>
      </c>
      <c r="D14" s="410"/>
      <c r="E14" s="411"/>
      <c r="F14" s="430">
        <f>SUM(F9:F11)</f>
        <v>83</v>
      </c>
      <c r="G14" s="430">
        <f t="shared" ref="G14:R14" si="4">SUM(G9:G11)</f>
        <v>87</v>
      </c>
      <c r="H14" s="430">
        <f t="shared" si="4"/>
        <v>2</v>
      </c>
      <c r="I14" s="430">
        <f t="shared" si="4"/>
        <v>0</v>
      </c>
      <c r="J14" s="430">
        <f t="shared" si="4"/>
        <v>12</v>
      </c>
      <c r="K14" s="430">
        <f t="shared" si="4"/>
        <v>10</v>
      </c>
      <c r="L14" s="430">
        <f t="shared" si="4"/>
        <v>0</v>
      </c>
      <c r="M14" s="430">
        <f t="shared" si="4"/>
        <v>1</v>
      </c>
      <c r="N14" s="430">
        <f t="shared" si="4"/>
        <v>1</v>
      </c>
      <c r="O14" s="430">
        <f t="shared" si="4"/>
        <v>0</v>
      </c>
      <c r="P14" s="430">
        <f t="shared" si="4"/>
        <v>1</v>
      </c>
      <c r="Q14" s="430">
        <f t="shared" si="4"/>
        <v>0</v>
      </c>
      <c r="R14" s="430">
        <f t="shared" si="4"/>
        <v>12</v>
      </c>
      <c r="S14" s="365"/>
      <c r="T14" s="365"/>
      <c r="U14" s="365"/>
      <c r="V14" s="365"/>
      <c r="W14" s="116"/>
      <c r="X14" s="150" t="s">
        <v>427</v>
      </c>
      <c r="Y14" s="430">
        <f t="shared" ref="Y14:AN14" si="5">SUM(Y9:Y11)</f>
        <v>3</v>
      </c>
      <c r="Z14" s="430">
        <f t="shared" si="5"/>
        <v>2</v>
      </c>
      <c r="AA14" s="430">
        <f t="shared" si="5"/>
        <v>0</v>
      </c>
      <c r="AB14" s="430">
        <f t="shared" si="5"/>
        <v>1</v>
      </c>
      <c r="AC14" s="432">
        <f t="shared" si="5"/>
        <v>0</v>
      </c>
      <c r="AD14" s="432">
        <f t="shared" si="5"/>
        <v>0</v>
      </c>
      <c r="AE14" s="432">
        <f t="shared" si="5"/>
        <v>0</v>
      </c>
      <c r="AF14" s="432">
        <f t="shared" si="5"/>
        <v>0</v>
      </c>
      <c r="AG14" s="433">
        <f t="shared" si="5"/>
        <v>0</v>
      </c>
      <c r="AH14" s="433">
        <f t="shared" si="5"/>
        <v>0</v>
      </c>
      <c r="AI14" s="433">
        <f t="shared" si="5"/>
        <v>0</v>
      </c>
      <c r="AJ14" s="433">
        <f t="shared" si="5"/>
        <v>0</v>
      </c>
      <c r="AK14" s="430">
        <f t="shared" si="5"/>
        <v>3</v>
      </c>
      <c r="AL14" s="430">
        <f t="shared" si="5"/>
        <v>2</v>
      </c>
      <c r="AM14" s="430">
        <f t="shared" si="5"/>
        <v>0</v>
      </c>
      <c r="AN14" s="430">
        <f t="shared" si="5"/>
        <v>1</v>
      </c>
    </row>
    <row r="15" spans="1:40" ht="14.95" customHeight="1" thickBot="1" x14ac:dyDescent="0.3">
      <c r="A15" s="117"/>
      <c r="B15" s="118"/>
      <c r="C15" s="515" t="s">
        <v>70</v>
      </c>
      <c r="D15" s="516"/>
      <c r="E15" s="517"/>
      <c r="F15" s="142">
        <f t="shared" ref="F15:R15" si="6">SUM(F3:F11)</f>
        <v>301</v>
      </c>
      <c r="G15" s="142">
        <f t="shared" si="6"/>
        <v>249</v>
      </c>
      <c r="H15" s="142">
        <f t="shared" si="6"/>
        <v>4</v>
      </c>
      <c r="I15" s="142">
        <f t="shared" si="6"/>
        <v>0</v>
      </c>
      <c r="J15" s="142">
        <f t="shared" si="6"/>
        <v>46</v>
      </c>
      <c r="K15" s="142">
        <f t="shared" si="6"/>
        <v>34</v>
      </c>
      <c r="L15" s="142">
        <f t="shared" si="6"/>
        <v>0</v>
      </c>
      <c r="M15" s="142">
        <f t="shared" si="6"/>
        <v>1</v>
      </c>
      <c r="N15" s="142">
        <f t="shared" si="6"/>
        <v>4</v>
      </c>
      <c r="O15" s="142">
        <f t="shared" si="6"/>
        <v>1</v>
      </c>
      <c r="P15" s="142">
        <f t="shared" si="6"/>
        <v>2</v>
      </c>
      <c r="Q15" s="142">
        <f t="shared" si="6"/>
        <v>0</v>
      </c>
      <c r="R15" s="142">
        <f t="shared" si="6"/>
        <v>37</v>
      </c>
      <c r="S15" s="220"/>
      <c r="T15" s="220"/>
      <c r="U15" s="220"/>
      <c r="V15" s="220"/>
      <c r="W15" s="12"/>
      <c r="X15" s="147" t="s">
        <v>70</v>
      </c>
      <c r="Y15" s="142">
        <f t="shared" ref="Y15:AN15" si="7">SUM(Y3:Y11)</f>
        <v>9</v>
      </c>
      <c r="Z15" s="142">
        <f t="shared" si="7"/>
        <v>5</v>
      </c>
      <c r="AA15" s="142">
        <f t="shared" si="7"/>
        <v>0</v>
      </c>
      <c r="AB15" s="142">
        <f t="shared" si="7"/>
        <v>4</v>
      </c>
      <c r="AC15" s="140">
        <f t="shared" si="7"/>
        <v>2</v>
      </c>
      <c r="AD15" s="140">
        <f t="shared" si="7"/>
        <v>1</v>
      </c>
      <c r="AE15" s="140">
        <f t="shared" si="7"/>
        <v>0</v>
      </c>
      <c r="AF15" s="140">
        <f t="shared" si="7"/>
        <v>1</v>
      </c>
      <c r="AG15" s="141">
        <f t="shared" si="7"/>
        <v>2</v>
      </c>
      <c r="AH15" s="141">
        <f t="shared" si="7"/>
        <v>0</v>
      </c>
      <c r="AI15" s="141">
        <f t="shared" si="7"/>
        <v>0</v>
      </c>
      <c r="AJ15" s="141">
        <f t="shared" si="7"/>
        <v>2</v>
      </c>
      <c r="AK15" s="142">
        <f t="shared" si="7"/>
        <v>5</v>
      </c>
      <c r="AL15" s="142">
        <f t="shared" si="7"/>
        <v>4</v>
      </c>
      <c r="AM15" s="142">
        <f t="shared" si="7"/>
        <v>0</v>
      </c>
      <c r="AN15" s="142">
        <f t="shared" si="7"/>
        <v>1</v>
      </c>
    </row>
    <row r="16" spans="1:40" ht="14.95" customHeight="1" x14ac:dyDescent="0.25">
      <c r="A16" s="518" t="s">
        <v>116</v>
      </c>
      <c r="B16" s="490"/>
      <c r="C16" s="490"/>
      <c r="D16" s="490"/>
      <c r="E16" s="490"/>
      <c r="F16" s="490"/>
      <c r="G16" s="490"/>
      <c r="H16" s="490"/>
      <c r="I16" s="490"/>
      <c r="J16" s="490"/>
      <c r="K16" s="490"/>
      <c r="L16" s="490"/>
      <c r="M16" s="490"/>
      <c r="N16" s="490"/>
      <c r="O16" s="490"/>
      <c r="P16" s="490"/>
      <c r="Q16" s="490"/>
      <c r="R16" s="490"/>
      <c r="S16" s="490"/>
      <c r="T16" s="490"/>
      <c r="U16" s="490"/>
      <c r="V16" s="490"/>
      <c r="W16" s="490"/>
      <c r="X16" s="490"/>
      <c r="Y16" s="490"/>
      <c r="Z16" s="490"/>
      <c r="AA16" s="490"/>
      <c r="AB16" s="490"/>
      <c r="AC16" s="490"/>
      <c r="AD16" s="490"/>
      <c r="AE16" s="490"/>
      <c r="AF16" s="490"/>
      <c r="AG16" s="490"/>
      <c r="AH16" s="490"/>
      <c r="AI16" s="490"/>
      <c r="AJ16" s="490"/>
      <c r="AK16" s="490"/>
      <c r="AL16" s="490"/>
      <c r="AM16" s="490"/>
      <c r="AN16" s="490"/>
    </row>
    <row r="17" spans="1:40" ht="14.95" customHeight="1" x14ac:dyDescent="0.25">
      <c r="A17" s="396" t="s">
        <v>344</v>
      </c>
    </row>
    <row r="18" spans="1:40" ht="14.95" customHeight="1" x14ac:dyDescent="0.25">
      <c r="A18" t="s">
        <v>441</v>
      </c>
    </row>
    <row r="19" spans="1:40" ht="14.95" customHeight="1" x14ac:dyDescent="0.25">
      <c r="A19" t="s">
        <v>480</v>
      </c>
    </row>
    <row r="22" spans="1:40" x14ac:dyDescent="0.25">
      <c r="A22" t="s">
        <v>77</v>
      </c>
    </row>
    <row r="23" spans="1:40" x14ac:dyDescent="0.25">
      <c r="A23" s="440"/>
      <c r="B23" s="73" t="s">
        <v>40</v>
      </c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</row>
    <row r="24" spans="1:40" x14ac:dyDescent="0.25">
      <c r="A24" s="441"/>
      <c r="B24" s="73" t="s">
        <v>38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</row>
    <row r="25" spans="1:40" x14ac:dyDescent="0.25">
      <c r="A25" s="442"/>
      <c r="B25" s="73" t="s">
        <v>39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</row>
    <row r="26" spans="1:40" x14ac:dyDescent="0.25">
      <c r="A26" s="237" t="s">
        <v>28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</row>
  </sheetData>
  <mergeCells count="14">
    <mergeCell ref="A16:AN16"/>
    <mergeCell ref="C15:E15"/>
    <mergeCell ref="C13:E13"/>
    <mergeCell ref="Y1:AB1"/>
    <mergeCell ref="AC1:AF1"/>
    <mergeCell ref="AG1:AJ1"/>
    <mergeCell ref="AK1:AN1"/>
    <mergeCell ref="C12:E12"/>
    <mergeCell ref="A1:C1"/>
    <mergeCell ref="E1:G1"/>
    <mergeCell ref="H1:I1"/>
    <mergeCell ref="J1:M1"/>
    <mergeCell ref="N1:O1"/>
    <mergeCell ref="P1:R1"/>
  </mergeCells>
  <pageMargins left="0.7" right="0.7" top="0.75" bottom="0.75" header="0.3" footer="0.3"/>
  <pageSetup paperSize="9" orientation="portrait" r:id="rId1"/>
  <ignoredErrors>
    <ignoredError sqref="T7:T8 T10" twoDigitTextYear="1"/>
    <ignoredError sqref="F12:AN14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N28"/>
  <sheetViews>
    <sheetView zoomScaleNormal="100" workbookViewId="0">
      <pane ySplit="2" topLeftCell="A3" activePane="bottomLeft" state="frozen"/>
      <selection pane="bottomLeft" activeCell="A18" sqref="A18"/>
    </sheetView>
  </sheetViews>
  <sheetFormatPr defaultRowHeight="14.3" x14ac:dyDescent="0.25"/>
  <cols>
    <col min="1" max="1" width="7.5" style="73" customWidth="1"/>
    <col min="2" max="2" width="5.5" style="73" customWidth="1"/>
    <col min="3" max="3" width="11.5" style="73" customWidth="1"/>
    <col min="4" max="4" width="4.125" style="73" bestFit="1" customWidth="1"/>
    <col min="5" max="18" width="3.75" style="73" customWidth="1"/>
    <col min="19" max="20" width="6.25" style="73" customWidth="1"/>
    <col min="21" max="21" width="26.5" style="73" customWidth="1"/>
    <col min="22" max="22" width="26.25" style="73" customWidth="1"/>
    <col min="23" max="23" width="27.5" style="73" bestFit="1" customWidth="1"/>
    <col min="24" max="24" width="20.75" style="73" bestFit="1" customWidth="1"/>
    <col min="25" max="40" width="3.75" style="73" customWidth="1"/>
  </cols>
  <sheetData>
    <row r="1" spans="1:40" ht="14.95" customHeight="1" thickBot="1" x14ac:dyDescent="0.3">
      <c r="A1" s="559" t="s">
        <v>119</v>
      </c>
      <c r="B1" s="560"/>
      <c r="C1" s="560"/>
      <c r="D1" s="175"/>
      <c r="E1" s="547" t="s">
        <v>24</v>
      </c>
      <c r="F1" s="548"/>
      <c r="G1" s="549"/>
      <c r="H1" s="547" t="s">
        <v>76</v>
      </c>
      <c r="I1" s="549"/>
      <c r="J1" s="556" t="s">
        <v>6</v>
      </c>
      <c r="K1" s="557"/>
      <c r="L1" s="557"/>
      <c r="M1" s="558"/>
      <c r="N1" s="556" t="s">
        <v>7</v>
      </c>
      <c r="O1" s="558"/>
      <c r="P1" s="556" t="s">
        <v>25</v>
      </c>
      <c r="Q1" s="557"/>
      <c r="R1" s="558"/>
      <c r="S1" s="138" t="s">
        <v>8</v>
      </c>
      <c r="T1" s="138" t="s">
        <v>9</v>
      </c>
      <c r="U1" s="133" t="s">
        <v>10</v>
      </c>
      <c r="V1" s="133" t="s">
        <v>11</v>
      </c>
      <c r="W1" s="133" t="s">
        <v>26</v>
      </c>
      <c r="X1" s="133" t="s">
        <v>27</v>
      </c>
      <c r="Y1" s="550" t="s">
        <v>20</v>
      </c>
      <c r="Z1" s="551"/>
      <c r="AA1" s="551"/>
      <c r="AB1" s="552"/>
      <c r="AC1" s="550" t="s">
        <v>56</v>
      </c>
      <c r="AD1" s="551"/>
      <c r="AE1" s="551"/>
      <c r="AF1" s="552"/>
      <c r="AG1" s="550" t="s">
        <v>57</v>
      </c>
      <c r="AH1" s="551"/>
      <c r="AI1" s="551"/>
      <c r="AJ1" s="552"/>
      <c r="AK1" s="550" t="s">
        <v>58</v>
      </c>
      <c r="AL1" s="551"/>
      <c r="AM1" s="551"/>
      <c r="AN1" s="552"/>
    </row>
    <row r="2" spans="1:40" ht="14.95" customHeight="1" thickBot="1" x14ac:dyDescent="0.3">
      <c r="A2" s="134" t="s">
        <v>19</v>
      </c>
      <c r="B2" s="108" t="s">
        <v>18</v>
      </c>
      <c r="C2" s="112" t="s">
        <v>17</v>
      </c>
      <c r="D2" s="112" t="s">
        <v>37</v>
      </c>
      <c r="E2" s="135" t="s">
        <v>16</v>
      </c>
      <c r="F2" s="135" t="s">
        <v>4</v>
      </c>
      <c r="G2" s="135" t="s">
        <v>5</v>
      </c>
      <c r="H2" s="136" t="s">
        <v>12</v>
      </c>
      <c r="I2" s="136" t="s">
        <v>3</v>
      </c>
      <c r="J2" s="136" t="s">
        <v>12</v>
      </c>
      <c r="K2" s="136" t="s">
        <v>13</v>
      </c>
      <c r="L2" s="136" t="s">
        <v>2</v>
      </c>
      <c r="M2" s="136" t="s">
        <v>14</v>
      </c>
      <c r="N2" s="136" t="s">
        <v>15</v>
      </c>
      <c r="O2" s="136" t="s">
        <v>16</v>
      </c>
      <c r="P2" s="136" t="s">
        <v>21</v>
      </c>
      <c r="Q2" s="136" t="s">
        <v>22</v>
      </c>
      <c r="R2" s="136" t="s">
        <v>12</v>
      </c>
      <c r="S2" s="216"/>
      <c r="T2" s="217"/>
      <c r="U2" s="218"/>
      <c r="V2" s="216"/>
      <c r="W2" s="133"/>
      <c r="X2" s="219"/>
      <c r="Y2" s="137" t="s">
        <v>0</v>
      </c>
      <c r="Z2" s="137" t="s">
        <v>1</v>
      </c>
      <c r="AA2" s="137" t="s">
        <v>2</v>
      </c>
      <c r="AB2" s="137" t="s">
        <v>3</v>
      </c>
      <c r="AC2" s="137" t="s">
        <v>0</v>
      </c>
      <c r="AD2" s="137" t="s">
        <v>1</v>
      </c>
      <c r="AE2" s="137" t="s">
        <v>2</v>
      </c>
      <c r="AF2" s="137" t="s">
        <v>3</v>
      </c>
      <c r="AG2" s="137" t="s">
        <v>0</v>
      </c>
      <c r="AH2" s="137" t="s">
        <v>1</v>
      </c>
      <c r="AI2" s="137" t="s">
        <v>2</v>
      </c>
      <c r="AJ2" s="137" t="s">
        <v>3</v>
      </c>
      <c r="AK2" s="137" t="s">
        <v>0</v>
      </c>
      <c r="AL2" s="137" t="s">
        <v>1</v>
      </c>
      <c r="AM2" s="137" t="s">
        <v>2</v>
      </c>
      <c r="AN2" s="137" t="s">
        <v>3</v>
      </c>
    </row>
    <row r="3" spans="1:40" ht="14.95" customHeight="1" thickBot="1" x14ac:dyDescent="0.35">
      <c r="A3" s="191" t="s">
        <v>134</v>
      </c>
      <c r="B3" s="192" t="s">
        <v>41</v>
      </c>
      <c r="C3" s="192" t="s">
        <v>34</v>
      </c>
      <c r="D3" s="192" t="s">
        <v>135</v>
      </c>
      <c r="E3" s="193" t="s">
        <v>1</v>
      </c>
      <c r="F3" s="193">
        <v>58</v>
      </c>
      <c r="G3" s="193">
        <v>7</v>
      </c>
      <c r="H3" s="193">
        <v>1</v>
      </c>
      <c r="I3" s="193">
        <v>0</v>
      </c>
      <c r="J3" s="193">
        <v>10</v>
      </c>
      <c r="K3" s="193">
        <v>4</v>
      </c>
      <c r="L3" s="193">
        <v>0</v>
      </c>
      <c r="M3" s="193">
        <v>0</v>
      </c>
      <c r="N3" s="193">
        <v>0</v>
      </c>
      <c r="O3" s="193">
        <v>0</v>
      </c>
      <c r="P3" s="193">
        <v>0</v>
      </c>
      <c r="Q3" s="193">
        <v>0</v>
      </c>
      <c r="R3" s="193">
        <v>1</v>
      </c>
      <c r="S3" s="194">
        <v>10053</v>
      </c>
      <c r="T3" s="203" t="s">
        <v>154</v>
      </c>
      <c r="U3" s="196" t="s">
        <v>155</v>
      </c>
      <c r="V3" s="194" t="s">
        <v>156</v>
      </c>
      <c r="W3" s="197" t="s">
        <v>157</v>
      </c>
      <c r="X3" s="198" t="s">
        <v>200</v>
      </c>
      <c r="Y3" s="199">
        <v>1</v>
      </c>
      <c r="Z3" s="199">
        <v>1</v>
      </c>
      <c r="AA3" s="199">
        <v>0</v>
      </c>
      <c r="AB3" s="200">
        <v>0</v>
      </c>
      <c r="AC3" s="199">
        <v>1</v>
      </c>
      <c r="AD3" s="199">
        <v>1</v>
      </c>
      <c r="AE3" s="199">
        <v>0</v>
      </c>
      <c r="AF3" s="200">
        <v>0</v>
      </c>
      <c r="AG3" s="199">
        <v>0</v>
      </c>
      <c r="AH3" s="199">
        <v>0</v>
      </c>
      <c r="AI3" s="199">
        <v>0</v>
      </c>
      <c r="AJ3" s="200">
        <v>0</v>
      </c>
      <c r="AK3" s="199">
        <v>0</v>
      </c>
      <c r="AL3" s="199">
        <v>0</v>
      </c>
      <c r="AM3" s="199">
        <v>0</v>
      </c>
      <c r="AN3" s="200">
        <v>0</v>
      </c>
    </row>
    <row r="4" spans="1:40" ht="14.95" customHeight="1" thickBot="1" x14ac:dyDescent="0.35">
      <c r="A4" s="191" t="s">
        <v>138</v>
      </c>
      <c r="B4" s="192" t="s">
        <v>41</v>
      </c>
      <c r="C4" s="192" t="s">
        <v>32</v>
      </c>
      <c r="D4" s="192" t="s">
        <v>139</v>
      </c>
      <c r="E4" s="193" t="s">
        <v>1</v>
      </c>
      <c r="F4" s="193">
        <v>68</v>
      </c>
      <c r="G4" s="193">
        <v>5</v>
      </c>
      <c r="H4" s="193">
        <v>1</v>
      </c>
      <c r="I4" s="193">
        <v>0</v>
      </c>
      <c r="J4" s="193">
        <v>12</v>
      </c>
      <c r="K4" s="193">
        <v>4</v>
      </c>
      <c r="L4" s="193">
        <v>0</v>
      </c>
      <c r="M4" s="193">
        <v>0</v>
      </c>
      <c r="N4" s="193">
        <v>0</v>
      </c>
      <c r="O4" s="193">
        <v>0</v>
      </c>
      <c r="P4" s="193">
        <v>0</v>
      </c>
      <c r="Q4" s="193">
        <v>0</v>
      </c>
      <c r="R4" s="193">
        <v>1</v>
      </c>
      <c r="S4" s="194">
        <v>12947</v>
      </c>
      <c r="T4" s="203" t="s">
        <v>223</v>
      </c>
      <c r="U4" s="196" t="s">
        <v>188</v>
      </c>
      <c r="V4" s="194" t="s">
        <v>224</v>
      </c>
      <c r="W4" s="197" t="s">
        <v>225</v>
      </c>
      <c r="X4" s="198" t="s">
        <v>226</v>
      </c>
      <c r="Y4" s="199">
        <v>1</v>
      </c>
      <c r="Z4" s="199">
        <v>1</v>
      </c>
      <c r="AA4" s="199">
        <v>0</v>
      </c>
      <c r="AB4" s="200">
        <v>0</v>
      </c>
      <c r="AC4" s="199">
        <v>1</v>
      </c>
      <c r="AD4" s="199">
        <v>1</v>
      </c>
      <c r="AE4" s="199">
        <v>0</v>
      </c>
      <c r="AF4" s="200">
        <v>0</v>
      </c>
      <c r="AG4" s="199">
        <v>0</v>
      </c>
      <c r="AH4" s="199">
        <v>0</v>
      </c>
      <c r="AI4" s="199">
        <v>0</v>
      </c>
      <c r="AJ4" s="200">
        <v>0</v>
      </c>
      <c r="AK4" s="199">
        <v>0</v>
      </c>
      <c r="AL4" s="199">
        <v>0</v>
      </c>
      <c r="AM4" s="199">
        <v>0</v>
      </c>
      <c r="AN4" s="200">
        <v>0</v>
      </c>
    </row>
    <row r="5" spans="1:40" ht="14.95" customHeight="1" thickBot="1" x14ac:dyDescent="0.35">
      <c r="A5" s="176" t="s">
        <v>142</v>
      </c>
      <c r="B5" s="178" t="s">
        <v>41</v>
      </c>
      <c r="C5" s="178" t="s">
        <v>31</v>
      </c>
      <c r="D5" s="178" t="s">
        <v>72</v>
      </c>
      <c r="E5" s="179" t="s">
        <v>1</v>
      </c>
      <c r="F5" s="179">
        <v>59</v>
      </c>
      <c r="G5" s="179">
        <v>3</v>
      </c>
      <c r="H5" s="179">
        <v>1</v>
      </c>
      <c r="I5" s="179">
        <v>0</v>
      </c>
      <c r="J5" s="179">
        <v>9</v>
      </c>
      <c r="K5" s="179">
        <v>7</v>
      </c>
      <c r="L5" s="179">
        <v>0</v>
      </c>
      <c r="M5" s="179">
        <v>0</v>
      </c>
      <c r="N5" s="179">
        <v>2</v>
      </c>
      <c r="O5" s="179">
        <v>0</v>
      </c>
      <c r="P5" s="179">
        <v>0</v>
      </c>
      <c r="Q5" s="179">
        <v>0</v>
      </c>
      <c r="R5" s="179">
        <v>0</v>
      </c>
      <c r="S5" s="183">
        <v>8862</v>
      </c>
      <c r="T5" s="184" t="s">
        <v>232</v>
      </c>
      <c r="U5" s="185" t="s">
        <v>231</v>
      </c>
      <c r="V5" s="183" t="s">
        <v>156</v>
      </c>
      <c r="W5" s="185" t="s">
        <v>219</v>
      </c>
      <c r="X5" s="180" t="s">
        <v>220</v>
      </c>
      <c r="Y5" s="181">
        <v>1</v>
      </c>
      <c r="Z5" s="181">
        <v>1</v>
      </c>
      <c r="AA5" s="181">
        <v>0</v>
      </c>
      <c r="AB5" s="182">
        <v>0</v>
      </c>
      <c r="AC5" s="181">
        <v>0</v>
      </c>
      <c r="AD5" s="181">
        <v>0</v>
      </c>
      <c r="AE5" s="181">
        <v>0</v>
      </c>
      <c r="AF5" s="182">
        <v>0</v>
      </c>
      <c r="AG5" s="181">
        <v>1</v>
      </c>
      <c r="AH5" s="181">
        <v>1</v>
      </c>
      <c r="AI5" s="181">
        <v>0</v>
      </c>
      <c r="AJ5" s="182">
        <v>0</v>
      </c>
      <c r="AK5" s="181">
        <v>0</v>
      </c>
      <c r="AL5" s="181">
        <v>0</v>
      </c>
      <c r="AM5" s="181">
        <v>0</v>
      </c>
      <c r="AN5" s="182">
        <v>0</v>
      </c>
    </row>
    <row r="6" spans="1:40" ht="14.95" customHeight="1" thickBot="1" x14ac:dyDescent="0.35">
      <c r="A6" s="176" t="s">
        <v>146</v>
      </c>
      <c r="B6" s="178" t="s">
        <v>41</v>
      </c>
      <c r="C6" s="178" t="s">
        <v>35</v>
      </c>
      <c r="D6" s="178" t="s">
        <v>92</v>
      </c>
      <c r="E6" s="179" t="s">
        <v>1</v>
      </c>
      <c r="F6" s="179">
        <v>48</v>
      </c>
      <c r="G6" s="179">
        <v>0</v>
      </c>
      <c r="H6" s="179">
        <v>1</v>
      </c>
      <c r="I6" s="179">
        <v>0</v>
      </c>
      <c r="J6" s="179">
        <v>8</v>
      </c>
      <c r="K6" s="179">
        <v>4</v>
      </c>
      <c r="L6" s="179">
        <v>0</v>
      </c>
      <c r="M6" s="179">
        <v>0</v>
      </c>
      <c r="N6" s="179">
        <v>0</v>
      </c>
      <c r="O6" s="179">
        <v>0</v>
      </c>
      <c r="P6" s="179">
        <v>0</v>
      </c>
      <c r="Q6" s="179">
        <v>0</v>
      </c>
      <c r="R6" s="179">
        <v>0</v>
      </c>
      <c r="S6" s="183">
        <v>3000</v>
      </c>
      <c r="T6" s="184" t="s">
        <v>248</v>
      </c>
      <c r="U6" s="185" t="s">
        <v>240</v>
      </c>
      <c r="V6" s="183" t="s">
        <v>224</v>
      </c>
      <c r="W6" s="180" t="s">
        <v>219</v>
      </c>
      <c r="X6" s="186" t="s">
        <v>184</v>
      </c>
      <c r="Y6" s="181">
        <v>1</v>
      </c>
      <c r="Z6" s="181">
        <v>1</v>
      </c>
      <c r="AA6" s="181">
        <v>0</v>
      </c>
      <c r="AB6" s="182">
        <v>0</v>
      </c>
      <c r="AC6" s="181">
        <v>0</v>
      </c>
      <c r="AD6" s="181">
        <v>0</v>
      </c>
      <c r="AE6" s="181">
        <v>0</v>
      </c>
      <c r="AF6" s="182">
        <v>0</v>
      </c>
      <c r="AG6" s="181">
        <v>1</v>
      </c>
      <c r="AH6" s="181">
        <v>1</v>
      </c>
      <c r="AI6" s="181">
        <v>0</v>
      </c>
      <c r="AJ6" s="182">
        <v>0</v>
      </c>
      <c r="AK6" s="181">
        <v>0</v>
      </c>
      <c r="AL6" s="181">
        <v>0</v>
      </c>
      <c r="AM6" s="181">
        <v>0</v>
      </c>
      <c r="AN6" s="182">
        <v>0</v>
      </c>
    </row>
    <row r="7" spans="1:40" ht="14.95" customHeight="1" thickBot="1" x14ac:dyDescent="0.35">
      <c r="A7" s="191" t="s">
        <v>151</v>
      </c>
      <c r="B7" s="192" t="s">
        <v>41</v>
      </c>
      <c r="C7" s="192" t="s">
        <v>33</v>
      </c>
      <c r="D7" s="192" t="s">
        <v>152</v>
      </c>
      <c r="E7" s="193" t="s">
        <v>1</v>
      </c>
      <c r="F7" s="193">
        <v>38</v>
      </c>
      <c r="G7" s="193">
        <v>33</v>
      </c>
      <c r="H7" s="193">
        <v>1</v>
      </c>
      <c r="I7" s="193">
        <v>0</v>
      </c>
      <c r="J7" s="193">
        <v>6</v>
      </c>
      <c r="K7" s="193">
        <v>3</v>
      </c>
      <c r="L7" s="193">
        <v>0</v>
      </c>
      <c r="M7" s="193">
        <v>0</v>
      </c>
      <c r="N7" s="193">
        <v>0</v>
      </c>
      <c r="O7" s="193">
        <v>0</v>
      </c>
      <c r="P7" s="193">
        <v>1</v>
      </c>
      <c r="Q7" s="193">
        <v>0</v>
      </c>
      <c r="R7" s="193">
        <v>5</v>
      </c>
      <c r="S7" s="194">
        <v>58498</v>
      </c>
      <c r="T7" s="203" t="s">
        <v>265</v>
      </c>
      <c r="U7" s="196" t="s">
        <v>155</v>
      </c>
      <c r="V7" s="194" t="s">
        <v>206</v>
      </c>
      <c r="W7" s="197" t="s">
        <v>240</v>
      </c>
      <c r="X7" s="198" t="s">
        <v>268</v>
      </c>
      <c r="Y7" s="199">
        <v>1</v>
      </c>
      <c r="Z7" s="199">
        <v>1</v>
      </c>
      <c r="AA7" s="199">
        <v>0</v>
      </c>
      <c r="AB7" s="200">
        <v>0</v>
      </c>
      <c r="AC7" s="199">
        <v>1</v>
      </c>
      <c r="AD7" s="199">
        <v>1</v>
      </c>
      <c r="AE7" s="199">
        <v>0</v>
      </c>
      <c r="AF7" s="200">
        <v>0</v>
      </c>
      <c r="AG7" s="199">
        <v>0</v>
      </c>
      <c r="AH7" s="199">
        <v>0</v>
      </c>
      <c r="AI7" s="199">
        <v>0</v>
      </c>
      <c r="AJ7" s="200">
        <v>0</v>
      </c>
      <c r="AK7" s="199">
        <v>0</v>
      </c>
      <c r="AL7" s="199">
        <v>0</v>
      </c>
      <c r="AM7" s="199">
        <v>0</v>
      </c>
      <c r="AN7" s="200">
        <v>0</v>
      </c>
    </row>
    <row r="8" spans="1:40" ht="14.95" customHeight="1" thickBot="1" x14ac:dyDescent="0.35">
      <c r="A8" s="191" t="s">
        <v>398</v>
      </c>
      <c r="B8" s="192" t="s">
        <v>180</v>
      </c>
      <c r="C8" s="192" t="s">
        <v>36</v>
      </c>
      <c r="D8" s="192" t="s">
        <v>399</v>
      </c>
      <c r="E8" s="193" t="s">
        <v>1</v>
      </c>
      <c r="F8" s="193">
        <v>50</v>
      </c>
      <c r="G8" s="193">
        <v>24</v>
      </c>
      <c r="H8" s="193" t="s">
        <v>69</v>
      </c>
      <c r="I8" s="193" t="s">
        <v>69</v>
      </c>
      <c r="J8" s="193">
        <v>8</v>
      </c>
      <c r="K8" s="193">
        <v>5</v>
      </c>
      <c r="L8" s="193">
        <v>0</v>
      </c>
      <c r="M8" s="193">
        <v>0</v>
      </c>
      <c r="N8" s="193">
        <v>0</v>
      </c>
      <c r="O8" s="193">
        <v>0</v>
      </c>
      <c r="P8" s="193" t="s">
        <v>69</v>
      </c>
      <c r="Q8" s="193" t="s">
        <v>69</v>
      </c>
      <c r="R8" s="193">
        <v>4</v>
      </c>
      <c r="S8" s="194">
        <v>9603</v>
      </c>
      <c r="T8" s="203" t="s">
        <v>400</v>
      </c>
      <c r="U8" s="196" t="s">
        <v>240</v>
      </c>
      <c r="V8" s="194" t="s">
        <v>255</v>
      </c>
      <c r="W8" s="194" t="s">
        <v>241</v>
      </c>
      <c r="X8" s="198" t="s">
        <v>401</v>
      </c>
      <c r="Y8" s="199">
        <v>1</v>
      </c>
      <c r="Z8" s="199">
        <v>1</v>
      </c>
      <c r="AA8" s="199">
        <v>0</v>
      </c>
      <c r="AB8" s="200">
        <v>0</v>
      </c>
      <c r="AC8" s="199">
        <v>1</v>
      </c>
      <c r="AD8" s="199">
        <v>1</v>
      </c>
      <c r="AE8" s="199">
        <v>0</v>
      </c>
      <c r="AF8" s="200">
        <v>0</v>
      </c>
      <c r="AG8" s="199">
        <v>0</v>
      </c>
      <c r="AH8" s="199">
        <v>0</v>
      </c>
      <c r="AI8" s="199">
        <v>0</v>
      </c>
      <c r="AJ8" s="200">
        <v>0</v>
      </c>
      <c r="AK8" s="199">
        <v>0</v>
      </c>
      <c r="AL8" s="199">
        <v>0</v>
      </c>
      <c r="AM8" s="199">
        <v>0</v>
      </c>
      <c r="AN8" s="200">
        <v>0</v>
      </c>
    </row>
    <row r="9" spans="1:40" ht="14.95" customHeight="1" thickBot="1" x14ac:dyDescent="0.35">
      <c r="A9" s="191" t="s">
        <v>405</v>
      </c>
      <c r="B9" s="192" t="s">
        <v>180</v>
      </c>
      <c r="C9" s="192" t="s">
        <v>36</v>
      </c>
      <c r="D9" s="192" t="s">
        <v>406</v>
      </c>
      <c r="E9" s="193" t="s">
        <v>1</v>
      </c>
      <c r="F9" s="193">
        <v>29</v>
      </c>
      <c r="G9" s="193">
        <v>12</v>
      </c>
      <c r="H9" s="193" t="s">
        <v>69</v>
      </c>
      <c r="I9" s="193" t="s">
        <v>69</v>
      </c>
      <c r="J9" s="193">
        <v>5</v>
      </c>
      <c r="K9" s="193">
        <v>2</v>
      </c>
      <c r="L9" s="193">
        <v>0</v>
      </c>
      <c r="M9" s="193">
        <v>0</v>
      </c>
      <c r="N9" s="193">
        <v>0</v>
      </c>
      <c r="O9" s="193">
        <v>0</v>
      </c>
      <c r="P9" s="193" t="s">
        <v>69</v>
      </c>
      <c r="Q9" s="193" t="s">
        <v>69</v>
      </c>
      <c r="R9" s="193">
        <v>2</v>
      </c>
      <c r="S9" s="194">
        <v>9000</v>
      </c>
      <c r="T9" s="203" t="s">
        <v>347</v>
      </c>
      <c r="U9" s="196" t="s">
        <v>194</v>
      </c>
      <c r="V9" s="194" t="s">
        <v>156</v>
      </c>
      <c r="W9" s="194" t="s">
        <v>165</v>
      </c>
      <c r="X9" s="198" t="s">
        <v>200</v>
      </c>
      <c r="Y9" s="199">
        <v>1</v>
      </c>
      <c r="Z9" s="199">
        <v>1</v>
      </c>
      <c r="AA9" s="199">
        <v>0</v>
      </c>
      <c r="AB9" s="200">
        <v>0</v>
      </c>
      <c r="AC9" s="199">
        <v>1</v>
      </c>
      <c r="AD9" s="199">
        <v>1</v>
      </c>
      <c r="AE9" s="199">
        <v>0</v>
      </c>
      <c r="AF9" s="200">
        <v>0</v>
      </c>
      <c r="AG9" s="199">
        <v>0</v>
      </c>
      <c r="AH9" s="199">
        <v>0</v>
      </c>
      <c r="AI9" s="199">
        <v>0</v>
      </c>
      <c r="AJ9" s="200">
        <v>0</v>
      </c>
      <c r="AK9" s="199">
        <v>0</v>
      </c>
      <c r="AL9" s="199">
        <v>0</v>
      </c>
      <c r="AM9" s="199">
        <v>0</v>
      </c>
      <c r="AN9" s="200">
        <v>0</v>
      </c>
    </row>
    <row r="10" spans="1:40" ht="14.95" customHeight="1" thickBot="1" x14ac:dyDescent="0.35">
      <c r="A10" s="210" t="s">
        <v>435</v>
      </c>
      <c r="B10" s="211" t="s">
        <v>427</v>
      </c>
      <c r="C10" s="211" t="s">
        <v>29</v>
      </c>
      <c r="D10" s="211" t="s">
        <v>436</v>
      </c>
      <c r="E10" s="207" t="s">
        <v>1</v>
      </c>
      <c r="F10" s="207">
        <v>42</v>
      </c>
      <c r="G10" s="207">
        <v>7</v>
      </c>
      <c r="H10" s="207">
        <v>1</v>
      </c>
      <c r="I10" s="207">
        <v>0</v>
      </c>
      <c r="J10" s="207">
        <v>6</v>
      </c>
      <c r="K10" s="207">
        <v>6</v>
      </c>
      <c r="L10" s="207">
        <v>0</v>
      </c>
      <c r="M10" s="207">
        <v>0</v>
      </c>
      <c r="N10" s="207">
        <v>1</v>
      </c>
      <c r="O10" s="207">
        <v>0</v>
      </c>
      <c r="P10" s="207">
        <v>0</v>
      </c>
      <c r="Q10" s="207">
        <v>0</v>
      </c>
      <c r="R10" s="207">
        <v>1</v>
      </c>
      <c r="S10" s="212"/>
      <c r="T10" s="215" t="s">
        <v>437</v>
      </c>
      <c r="U10" s="213" t="s">
        <v>240</v>
      </c>
      <c r="V10" s="212" t="s">
        <v>224</v>
      </c>
      <c r="W10" s="212" t="s">
        <v>173</v>
      </c>
      <c r="X10" s="214" t="s">
        <v>438</v>
      </c>
      <c r="Y10" s="147">
        <v>1</v>
      </c>
      <c r="Z10" s="147">
        <v>1</v>
      </c>
      <c r="AA10" s="147">
        <v>0</v>
      </c>
      <c r="AB10" s="208">
        <v>0</v>
      </c>
      <c r="AC10" s="147">
        <v>0</v>
      </c>
      <c r="AD10" s="147">
        <v>0</v>
      </c>
      <c r="AE10" s="147">
        <v>0</v>
      </c>
      <c r="AF10" s="208">
        <v>0</v>
      </c>
      <c r="AG10" s="147">
        <v>0</v>
      </c>
      <c r="AH10" s="147">
        <v>0</v>
      </c>
      <c r="AI10" s="147">
        <v>0</v>
      </c>
      <c r="AJ10" s="208">
        <v>0</v>
      </c>
      <c r="AK10" s="147">
        <v>1</v>
      </c>
      <c r="AL10" s="147">
        <v>1</v>
      </c>
      <c r="AM10" s="147">
        <v>0</v>
      </c>
      <c r="AN10" s="208">
        <v>0</v>
      </c>
    </row>
    <row r="11" spans="1:40" ht="14.95" customHeight="1" thickBot="1" x14ac:dyDescent="0.35">
      <c r="A11" s="210" t="s">
        <v>448</v>
      </c>
      <c r="B11" s="211" t="s">
        <v>427</v>
      </c>
      <c r="C11" s="211" t="s">
        <v>36</v>
      </c>
      <c r="D11" s="211" t="s">
        <v>449</v>
      </c>
      <c r="E11" s="207" t="s">
        <v>1</v>
      </c>
      <c r="F11" s="207">
        <v>45</v>
      </c>
      <c r="G11" s="207">
        <v>12</v>
      </c>
      <c r="H11" s="207">
        <v>1</v>
      </c>
      <c r="I11" s="207">
        <v>0</v>
      </c>
      <c r="J11" s="207">
        <v>7</v>
      </c>
      <c r="K11" s="207">
        <v>5</v>
      </c>
      <c r="L11" s="207">
        <v>0</v>
      </c>
      <c r="M11" s="207">
        <v>0</v>
      </c>
      <c r="N11" s="207">
        <v>1</v>
      </c>
      <c r="O11" s="207">
        <v>0</v>
      </c>
      <c r="P11" s="207">
        <v>0</v>
      </c>
      <c r="Q11" s="207">
        <v>0</v>
      </c>
      <c r="R11" s="207">
        <v>2</v>
      </c>
      <c r="S11" s="212"/>
      <c r="T11" s="215" t="s">
        <v>451</v>
      </c>
      <c r="U11" s="212" t="s">
        <v>173</v>
      </c>
      <c r="V11" s="212" t="s">
        <v>224</v>
      </c>
      <c r="W11" s="213" t="s">
        <v>240</v>
      </c>
      <c r="X11" s="214" t="s">
        <v>452</v>
      </c>
      <c r="Y11" s="147">
        <v>1</v>
      </c>
      <c r="Z11" s="147">
        <v>1</v>
      </c>
      <c r="AA11" s="147">
        <v>0</v>
      </c>
      <c r="AB11" s="208">
        <v>0</v>
      </c>
      <c r="AC11" s="147">
        <v>0</v>
      </c>
      <c r="AD11" s="147">
        <v>0</v>
      </c>
      <c r="AE11" s="147">
        <v>0</v>
      </c>
      <c r="AF11" s="208">
        <v>0</v>
      </c>
      <c r="AG11" s="147">
        <v>0</v>
      </c>
      <c r="AH11" s="147">
        <v>0</v>
      </c>
      <c r="AI11" s="147">
        <v>0</v>
      </c>
      <c r="AJ11" s="208">
        <v>0</v>
      </c>
      <c r="AK11" s="147">
        <v>1</v>
      </c>
      <c r="AL11" s="147">
        <v>1</v>
      </c>
      <c r="AM11" s="147">
        <v>0</v>
      </c>
      <c r="AN11" s="208">
        <v>0</v>
      </c>
    </row>
    <row r="12" spans="1:40" ht="14.95" customHeight="1" thickBot="1" x14ac:dyDescent="0.35">
      <c r="A12" s="176" t="s">
        <v>478</v>
      </c>
      <c r="B12" s="178" t="s">
        <v>427</v>
      </c>
      <c r="C12" s="178" t="s">
        <v>73</v>
      </c>
      <c r="D12" s="178" t="s">
        <v>470</v>
      </c>
      <c r="E12" s="179" t="s">
        <v>1</v>
      </c>
      <c r="F12" s="179">
        <v>33</v>
      </c>
      <c r="G12" s="179">
        <v>12</v>
      </c>
      <c r="H12" s="179">
        <v>1</v>
      </c>
      <c r="I12" s="179">
        <v>0</v>
      </c>
      <c r="J12" s="179">
        <v>5</v>
      </c>
      <c r="K12" s="179">
        <v>4</v>
      </c>
      <c r="L12" s="179">
        <v>0</v>
      </c>
      <c r="M12" s="179">
        <v>0</v>
      </c>
      <c r="N12" s="179">
        <v>0</v>
      </c>
      <c r="O12" s="179">
        <v>0</v>
      </c>
      <c r="P12" s="179">
        <v>0</v>
      </c>
      <c r="Q12" s="179">
        <v>0</v>
      </c>
      <c r="R12" s="179">
        <v>2</v>
      </c>
      <c r="S12" s="379"/>
      <c r="T12" s="184" t="s">
        <v>485</v>
      </c>
      <c r="U12" s="185" t="s">
        <v>155</v>
      </c>
      <c r="V12" s="183" t="s">
        <v>224</v>
      </c>
      <c r="W12" s="183" t="s">
        <v>175</v>
      </c>
      <c r="X12" s="445" t="s">
        <v>194</v>
      </c>
      <c r="Y12" s="181">
        <v>1</v>
      </c>
      <c r="Z12" s="181">
        <v>1</v>
      </c>
      <c r="AA12" s="181">
        <v>0</v>
      </c>
      <c r="AB12" s="182">
        <v>0</v>
      </c>
      <c r="AC12" s="181">
        <v>0</v>
      </c>
      <c r="AD12" s="181">
        <v>0</v>
      </c>
      <c r="AE12" s="181">
        <v>0</v>
      </c>
      <c r="AF12" s="182">
        <v>0</v>
      </c>
      <c r="AG12" s="181">
        <v>1</v>
      </c>
      <c r="AH12" s="181">
        <v>1</v>
      </c>
      <c r="AI12" s="181">
        <v>0</v>
      </c>
      <c r="AJ12" s="182">
        <v>0</v>
      </c>
      <c r="AK12" s="181">
        <v>0</v>
      </c>
      <c r="AL12" s="181">
        <v>0</v>
      </c>
      <c r="AM12" s="181">
        <v>0</v>
      </c>
      <c r="AN12" s="182">
        <v>0</v>
      </c>
    </row>
    <row r="13" spans="1:40" ht="14.95" thickBot="1" x14ac:dyDescent="0.3">
      <c r="A13" s="117"/>
      <c r="B13" s="118"/>
      <c r="C13" s="553" t="s">
        <v>71</v>
      </c>
      <c r="D13" s="554"/>
      <c r="E13" s="555"/>
      <c r="F13" s="434">
        <f>SUM(F3:F7)</f>
        <v>271</v>
      </c>
      <c r="G13" s="434">
        <f t="shared" ref="G13:R13" si="0">SUM(G3:G7)</f>
        <v>48</v>
      </c>
      <c r="H13" s="434">
        <f t="shared" si="0"/>
        <v>5</v>
      </c>
      <c r="I13" s="434">
        <f t="shared" si="0"/>
        <v>0</v>
      </c>
      <c r="J13" s="434">
        <f t="shared" si="0"/>
        <v>45</v>
      </c>
      <c r="K13" s="434">
        <f t="shared" si="0"/>
        <v>22</v>
      </c>
      <c r="L13" s="434">
        <f t="shared" si="0"/>
        <v>0</v>
      </c>
      <c r="M13" s="434">
        <f t="shared" si="0"/>
        <v>0</v>
      </c>
      <c r="N13" s="434">
        <f t="shared" si="0"/>
        <v>2</v>
      </c>
      <c r="O13" s="434">
        <f t="shared" si="0"/>
        <v>0</v>
      </c>
      <c r="P13" s="434">
        <f t="shared" si="0"/>
        <v>1</v>
      </c>
      <c r="Q13" s="434">
        <f t="shared" si="0"/>
        <v>0</v>
      </c>
      <c r="R13" s="434">
        <f t="shared" si="0"/>
        <v>7</v>
      </c>
      <c r="S13" s="446"/>
      <c r="T13" s="446"/>
      <c r="U13" s="446"/>
      <c r="V13" s="446"/>
      <c r="W13" s="436"/>
      <c r="X13" s="437" t="s">
        <v>71</v>
      </c>
      <c r="Y13" s="434">
        <f t="shared" ref="Y13:AN13" si="1">SUM(Y3:Y7)</f>
        <v>5</v>
      </c>
      <c r="Z13" s="434">
        <f t="shared" si="1"/>
        <v>5</v>
      </c>
      <c r="AA13" s="434">
        <f t="shared" si="1"/>
        <v>0</v>
      </c>
      <c r="AB13" s="434">
        <f t="shared" si="1"/>
        <v>0</v>
      </c>
      <c r="AC13" s="438">
        <f t="shared" si="1"/>
        <v>3</v>
      </c>
      <c r="AD13" s="438">
        <f t="shared" si="1"/>
        <v>3</v>
      </c>
      <c r="AE13" s="438">
        <f t="shared" si="1"/>
        <v>0</v>
      </c>
      <c r="AF13" s="438">
        <f t="shared" si="1"/>
        <v>0</v>
      </c>
      <c r="AG13" s="439">
        <f t="shared" si="1"/>
        <v>2</v>
      </c>
      <c r="AH13" s="439">
        <f t="shared" si="1"/>
        <v>2</v>
      </c>
      <c r="AI13" s="439">
        <f t="shared" si="1"/>
        <v>0</v>
      </c>
      <c r="AJ13" s="439">
        <f t="shared" si="1"/>
        <v>0</v>
      </c>
      <c r="AK13" s="434">
        <f t="shared" si="1"/>
        <v>0</v>
      </c>
      <c r="AL13" s="434">
        <f t="shared" si="1"/>
        <v>0</v>
      </c>
      <c r="AM13" s="434">
        <f t="shared" si="1"/>
        <v>0</v>
      </c>
      <c r="AN13" s="434">
        <f t="shared" si="1"/>
        <v>0</v>
      </c>
    </row>
    <row r="14" spans="1:40" ht="14.95" thickBot="1" x14ac:dyDescent="0.3">
      <c r="A14" s="117"/>
      <c r="B14" s="118"/>
      <c r="C14" s="519" t="s">
        <v>78</v>
      </c>
      <c r="D14" s="520"/>
      <c r="E14" s="521"/>
      <c r="F14" s="225">
        <f>SUM(F8:F9)</f>
        <v>79</v>
      </c>
      <c r="G14" s="225">
        <f>SUM(G8:G9)</f>
        <v>36</v>
      </c>
      <c r="H14" s="225" t="s">
        <v>69</v>
      </c>
      <c r="I14" s="225" t="s">
        <v>69</v>
      </c>
      <c r="J14" s="225">
        <f t="shared" ref="J14:O14" si="2">SUM(J8:J9)</f>
        <v>13</v>
      </c>
      <c r="K14" s="225">
        <f t="shared" si="2"/>
        <v>7</v>
      </c>
      <c r="L14" s="225">
        <f t="shared" si="2"/>
        <v>0</v>
      </c>
      <c r="M14" s="225">
        <f t="shared" si="2"/>
        <v>0</v>
      </c>
      <c r="N14" s="225">
        <f t="shared" si="2"/>
        <v>0</v>
      </c>
      <c r="O14" s="225">
        <f t="shared" si="2"/>
        <v>0</v>
      </c>
      <c r="P14" s="225" t="s">
        <v>69</v>
      </c>
      <c r="Q14" s="225" t="s">
        <v>69</v>
      </c>
      <c r="R14" s="225">
        <f>SUM(R8:R9)</f>
        <v>6</v>
      </c>
      <c r="S14" s="231"/>
      <c r="T14" s="231"/>
      <c r="U14" s="231"/>
      <c r="V14" s="231"/>
      <c r="W14" s="223"/>
      <c r="X14" s="230" t="s">
        <v>78</v>
      </c>
      <c r="Y14" s="225">
        <f t="shared" ref="Y14:AN14" si="3">SUM(Y8:Y9)</f>
        <v>2</v>
      </c>
      <c r="Z14" s="225">
        <f t="shared" si="3"/>
        <v>2</v>
      </c>
      <c r="AA14" s="225">
        <f t="shared" si="3"/>
        <v>0</v>
      </c>
      <c r="AB14" s="225">
        <f t="shared" si="3"/>
        <v>0</v>
      </c>
      <c r="AC14" s="226">
        <f t="shared" si="3"/>
        <v>2</v>
      </c>
      <c r="AD14" s="226">
        <f t="shared" si="3"/>
        <v>2</v>
      </c>
      <c r="AE14" s="226">
        <f t="shared" si="3"/>
        <v>0</v>
      </c>
      <c r="AF14" s="226">
        <f t="shared" si="3"/>
        <v>0</v>
      </c>
      <c r="AG14" s="227">
        <f t="shared" si="3"/>
        <v>0</v>
      </c>
      <c r="AH14" s="227">
        <f t="shared" si="3"/>
        <v>0</v>
      </c>
      <c r="AI14" s="227">
        <f t="shared" si="3"/>
        <v>0</v>
      </c>
      <c r="AJ14" s="227">
        <f t="shared" si="3"/>
        <v>0</v>
      </c>
      <c r="AK14" s="225">
        <f t="shared" si="3"/>
        <v>0</v>
      </c>
      <c r="AL14" s="225">
        <f t="shared" si="3"/>
        <v>0</v>
      </c>
      <c r="AM14" s="225">
        <f t="shared" si="3"/>
        <v>0</v>
      </c>
      <c r="AN14" s="225">
        <f t="shared" si="3"/>
        <v>0</v>
      </c>
    </row>
    <row r="15" spans="1:40" ht="14.95" thickBot="1" x14ac:dyDescent="0.3">
      <c r="A15" s="117"/>
      <c r="B15" s="118"/>
      <c r="C15" s="409" t="s">
        <v>427</v>
      </c>
      <c r="D15" s="410"/>
      <c r="E15" s="411"/>
      <c r="F15" s="430">
        <f>SUM(F10:F12)</f>
        <v>120</v>
      </c>
      <c r="G15" s="430">
        <f t="shared" ref="G15:R15" si="4">SUM(G10:G12)</f>
        <v>31</v>
      </c>
      <c r="H15" s="430">
        <f t="shared" si="4"/>
        <v>3</v>
      </c>
      <c r="I15" s="430">
        <f t="shared" si="4"/>
        <v>0</v>
      </c>
      <c r="J15" s="430">
        <f t="shared" si="4"/>
        <v>18</v>
      </c>
      <c r="K15" s="430">
        <f t="shared" si="4"/>
        <v>15</v>
      </c>
      <c r="L15" s="430">
        <f t="shared" si="4"/>
        <v>0</v>
      </c>
      <c r="M15" s="430">
        <f t="shared" si="4"/>
        <v>0</v>
      </c>
      <c r="N15" s="430">
        <f t="shared" si="4"/>
        <v>2</v>
      </c>
      <c r="O15" s="430">
        <f t="shared" si="4"/>
        <v>0</v>
      </c>
      <c r="P15" s="430">
        <f t="shared" si="4"/>
        <v>0</v>
      </c>
      <c r="Q15" s="430">
        <f t="shared" si="4"/>
        <v>0</v>
      </c>
      <c r="R15" s="430">
        <f t="shared" si="4"/>
        <v>5</v>
      </c>
      <c r="S15" s="365"/>
      <c r="T15" s="365"/>
      <c r="U15" s="365"/>
      <c r="V15" s="365"/>
      <c r="W15" s="116"/>
      <c r="X15" s="150" t="s">
        <v>427</v>
      </c>
      <c r="Y15" s="430">
        <f t="shared" ref="Y15:AN15" si="5">SUM(Y10:Y12)</f>
        <v>3</v>
      </c>
      <c r="Z15" s="430">
        <f t="shared" si="5"/>
        <v>3</v>
      </c>
      <c r="AA15" s="430">
        <f t="shared" si="5"/>
        <v>0</v>
      </c>
      <c r="AB15" s="430">
        <f t="shared" si="5"/>
        <v>0</v>
      </c>
      <c r="AC15" s="432">
        <f t="shared" si="5"/>
        <v>0</v>
      </c>
      <c r="AD15" s="432">
        <f t="shared" si="5"/>
        <v>0</v>
      </c>
      <c r="AE15" s="432">
        <f t="shared" si="5"/>
        <v>0</v>
      </c>
      <c r="AF15" s="432">
        <f t="shared" si="5"/>
        <v>0</v>
      </c>
      <c r="AG15" s="433">
        <f t="shared" si="5"/>
        <v>1</v>
      </c>
      <c r="AH15" s="433">
        <f t="shared" si="5"/>
        <v>1</v>
      </c>
      <c r="AI15" s="433">
        <f t="shared" si="5"/>
        <v>0</v>
      </c>
      <c r="AJ15" s="433">
        <f t="shared" si="5"/>
        <v>0</v>
      </c>
      <c r="AK15" s="430">
        <f t="shared" si="5"/>
        <v>2</v>
      </c>
      <c r="AL15" s="430">
        <f t="shared" si="5"/>
        <v>2</v>
      </c>
      <c r="AM15" s="430">
        <f t="shared" si="5"/>
        <v>0</v>
      </c>
      <c r="AN15" s="430">
        <f t="shared" si="5"/>
        <v>0</v>
      </c>
    </row>
    <row r="16" spans="1:40" ht="14.95" thickBot="1" x14ac:dyDescent="0.3">
      <c r="A16" s="117"/>
      <c r="B16" s="118"/>
      <c r="C16" s="515" t="s">
        <v>70</v>
      </c>
      <c r="D16" s="516"/>
      <c r="E16" s="517"/>
      <c r="F16" s="142">
        <f t="shared" ref="F16:R16" si="6">SUM(F3:F12)</f>
        <v>470</v>
      </c>
      <c r="G16" s="142">
        <f t="shared" si="6"/>
        <v>115</v>
      </c>
      <c r="H16" s="142">
        <f t="shared" si="6"/>
        <v>8</v>
      </c>
      <c r="I16" s="142">
        <f t="shared" si="6"/>
        <v>0</v>
      </c>
      <c r="J16" s="142">
        <f t="shared" si="6"/>
        <v>76</v>
      </c>
      <c r="K16" s="142">
        <f t="shared" si="6"/>
        <v>44</v>
      </c>
      <c r="L16" s="142">
        <f t="shared" si="6"/>
        <v>0</v>
      </c>
      <c r="M16" s="142">
        <f t="shared" si="6"/>
        <v>0</v>
      </c>
      <c r="N16" s="142">
        <f t="shared" si="6"/>
        <v>4</v>
      </c>
      <c r="O16" s="142">
        <f t="shared" si="6"/>
        <v>0</v>
      </c>
      <c r="P16" s="142">
        <f t="shared" si="6"/>
        <v>1</v>
      </c>
      <c r="Q16" s="142">
        <f t="shared" si="6"/>
        <v>0</v>
      </c>
      <c r="R16" s="142">
        <f t="shared" si="6"/>
        <v>18</v>
      </c>
      <c r="S16" s="220"/>
      <c r="T16" s="220"/>
      <c r="U16" s="220"/>
      <c r="V16" s="220"/>
      <c r="W16" s="12"/>
      <c r="X16" s="147" t="s">
        <v>70</v>
      </c>
      <c r="Y16" s="142">
        <f t="shared" ref="Y16:AN16" si="7">SUM(Y3:Y12)</f>
        <v>10</v>
      </c>
      <c r="Z16" s="142">
        <f t="shared" si="7"/>
        <v>10</v>
      </c>
      <c r="AA16" s="142">
        <f t="shared" si="7"/>
        <v>0</v>
      </c>
      <c r="AB16" s="142">
        <f t="shared" si="7"/>
        <v>0</v>
      </c>
      <c r="AC16" s="140">
        <f t="shared" si="7"/>
        <v>5</v>
      </c>
      <c r="AD16" s="140">
        <f t="shared" si="7"/>
        <v>5</v>
      </c>
      <c r="AE16" s="140">
        <f t="shared" si="7"/>
        <v>0</v>
      </c>
      <c r="AF16" s="140">
        <f t="shared" si="7"/>
        <v>0</v>
      </c>
      <c r="AG16" s="141">
        <f t="shared" si="7"/>
        <v>3</v>
      </c>
      <c r="AH16" s="141">
        <f t="shared" si="7"/>
        <v>3</v>
      </c>
      <c r="AI16" s="141">
        <f t="shared" si="7"/>
        <v>0</v>
      </c>
      <c r="AJ16" s="141">
        <f t="shared" si="7"/>
        <v>0</v>
      </c>
      <c r="AK16" s="142">
        <f t="shared" si="7"/>
        <v>2</v>
      </c>
      <c r="AL16" s="142">
        <f t="shared" si="7"/>
        <v>2</v>
      </c>
      <c r="AM16" s="142">
        <f t="shared" si="7"/>
        <v>0</v>
      </c>
      <c r="AN16" s="142">
        <f t="shared" si="7"/>
        <v>0</v>
      </c>
    </row>
    <row r="17" spans="1:40" x14ac:dyDescent="0.25">
      <c r="A17" s="518" t="s">
        <v>80</v>
      </c>
      <c r="B17" s="490"/>
      <c r="C17" s="490"/>
      <c r="D17" s="490"/>
      <c r="E17" s="490"/>
      <c r="F17" s="490"/>
      <c r="G17" s="490"/>
      <c r="H17" s="490"/>
      <c r="I17" s="490"/>
      <c r="J17" s="490"/>
      <c r="K17" s="490"/>
      <c r="L17" s="490"/>
      <c r="M17" s="490"/>
      <c r="N17" s="490"/>
      <c r="O17" s="490"/>
      <c r="P17" s="490"/>
      <c r="Q17" s="490"/>
      <c r="R17" s="490"/>
      <c r="S17" s="490"/>
      <c r="T17" s="490"/>
      <c r="U17" s="490"/>
      <c r="V17" s="490"/>
      <c r="W17" s="490"/>
      <c r="X17" s="490"/>
      <c r="Y17" s="490"/>
      <c r="Z17" s="490"/>
      <c r="AA17" s="490"/>
      <c r="AB17" s="490"/>
      <c r="AC17" s="490"/>
      <c r="AD17" s="490"/>
      <c r="AE17" s="490"/>
      <c r="AF17" s="490"/>
      <c r="AG17" s="490"/>
      <c r="AH17" s="490"/>
      <c r="AI17" s="490"/>
      <c r="AJ17" s="490"/>
      <c r="AK17" s="490"/>
      <c r="AL17" s="490"/>
      <c r="AM17" s="490"/>
      <c r="AN17" s="490"/>
    </row>
    <row r="18" spans="1:40" x14ac:dyDescent="0.25">
      <c r="A18" s="237" t="s">
        <v>140</v>
      </c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</row>
    <row r="19" spans="1:40" x14ac:dyDescent="0.25">
      <c r="A19" t="s">
        <v>153</v>
      </c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</row>
    <row r="20" spans="1:40" x14ac:dyDescent="0.25">
      <c r="A20" t="s">
        <v>407</v>
      </c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</row>
    <row r="21" spans="1:40" x14ac:dyDescent="0.25">
      <c r="A21" t="s">
        <v>450</v>
      </c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</row>
    <row r="22" spans="1:40" x14ac:dyDescent="0.25">
      <c r="A22" t="s">
        <v>484</v>
      </c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</row>
    <row r="23" spans="1:40" x14ac:dyDescent="0.25">
      <c r="A23" s="73" t="s">
        <v>267</v>
      </c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</row>
    <row r="24" spans="1:40" x14ac:dyDescent="0.25">
      <c r="A24" t="s">
        <v>266</v>
      </c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</row>
    <row r="25" spans="1:40" x14ac:dyDescent="0.25">
      <c r="A25" s="440"/>
      <c r="B25" s="73" t="s">
        <v>40</v>
      </c>
    </row>
    <row r="26" spans="1:40" x14ac:dyDescent="0.25">
      <c r="A26" s="441"/>
      <c r="B26" s="73" t="s">
        <v>38</v>
      </c>
    </row>
    <row r="27" spans="1:40" x14ac:dyDescent="0.25">
      <c r="A27" s="442"/>
      <c r="B27" s="73" t="s">
        <v>39</v>
      </c>
    </row>
    <row r="28" spans="1:40" x14ac:dyDescent="0.25">
      <c r="A28" s="237" t="s">
        <v>28</v>
      </c>
    </row>
  </sheetData>
  <mergeCells count="14">
    <mergeCell ref="E1:G1"/>
    <mergeCell ref="H1:I1"/>
    <mergeCell ref="A17:AN17"/>
    <mergeCell ref="Y1:AB1"/>
    <mergeCell ref="AC1:AF1"/>
    <mergeCell ref="AG1:AJ1"/>
    <mergeCell ref="AK1:AN1"/>
    <mergeCell ref="C13:E13"/>
    <mergeCell ref="P1:R1"/>
    <mergeCell ref="C14:E14"/>
    <mergeCell ref="C16:E16"/>
    <mergeCell ref="J1:M1"/>
    <mergeCell ref="N1:O1"/>
    <mergeCell ref="A1:C1"/>
  </mergeCells>
  <pageMargins left="0.7" right="0.7" top="0.75" bottom="0.75" header="0.3" footer="0.3"/>
  <pageSetup paperSize="9" orientation="portrait" r:id="rId1"/>
  <ignoredErrors>
    <ignoredError sqref="F13:Q13 F15:R15 F14:R14 Y13:AN15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670E3-2EB6-4729-8DEA-491A8AA8D143}">
  <dimension ref="A1:AM25"/>
  <sheetViews>
    <sheetView zoomScaleNormal="100" workbookViewId="0">
      <selection activeCell="J10" sqref="J10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125" customWidth="1"/>
    <col min="5" max="18" width="3.75" customWidth="1"/>
    <col min="19" max="19" width="6.25" customWidth="1"/>
    <col min="20" max="20" width="22.125" bestFit="1" customWidth="1"/>
    <col min="21" max="21" width="18.125" bestFit="1" customWidth="1"/>
    <col min="22" max="22" width="20.125" bestFit="1" customWidth="1"/>
    <col min="23" max="23" width="20.75" customWidth="1"/>
    <col min="24" max="39" width="3.75" customWidth="1"/>
  </cols>
  <sheetData>
    <row r="1" spans="1:39" ht="14.95" customHeight="1" thickBot="1" x14ac:dyDescent="0.3">
      <c r="A1" s="568" t="s">
        <v>120</v>
      </c>
      <c r="B1" s="569"/>
      <c r="C1" s="569"/>
      <c r="D1" s="268"/>
      <c r="E1" s="570" t="s">
        <v>24</v>
      </c>
      <c r="F1" s="571"/>
      <c r="G1" s="572"/>
      <c r="H1" s="570" t="s">
        <v>76</v>
      </c>
      <c r="I1" s="572"/>
      <c r="J1" s="573" t="s">
        <v>6</v>
      </c>
      <c r="K1" s="574"/>
      <c r="L1" s="574"/>
      <c r="M1" s="575"/>
      <c r="N1" s="573" t="s">
        <v>7</v>
      </c>
      <c r="O1" s="575"/>
      <c r="P1" s="573" t="s">
        <v>25</v>
      </c>
      <c r="Q1" s="574"/>
      <c r="R1" s="575"/>
      <c r="S1" s="269" t="s">
        <v>9</v>
      </c>
      <c r="T1" s="270" t="s">
        <v>10</v>
      </c>
      <c r="U1" s="270" t="s">
        <v>11</v>
      </c>
      <c r="V1" s="270" t="s">
        <v>26</v>
      </c>
      <c r="W1" s="270" t="s">
        <v>27</v>
      </c>
      <c r="X1" s="565" t="s">
        <v>20</v>
      </c>
      <c r="Y1" s="566"/>
      <c r="Z1" s="566"/>
      <c r="AA1" s="567"/>
      <c r="AB1" s="565" t="s">
        <v>56</v>
      </c>
      <c r="AC1" s="566"/>
      <c r="AD1" s="566"/>
      <c r="AE1" s="567"/>
      <c r="AF1" s="565" t="s">
        <v>57</v>
      </c>
      <c r="AG1" s="566"/>
      <c r="AH1" s="566"/>
      <c r="AI1" s="567"/>
      <c r="AJ1" s="565" t="s">
        <v>58</v>
      </c>
      <c r="AK1" s="566"/>
      <c r="AL1" s="566"/>
      <c r="AM1" s="567"/>
    </row>
    <row r="2" spans="1:39" ht="14.95" customHeight="1" thickBot="1" x14ac:dyDescent="0.3">
      <c r="A2" s="271" t="s">
        <v>19</v>
      </c>
      <c r="B2" s="272" t="s">
        <v>18</v>
      </c>
      <c r="C2" s="273" t="s">
        <v>17</v>
      </c>
      <c r="D2" s="273" t="s">
        <v>37</v>
      </c>
      <c r="E2" s="274" t="s">
        <v>16</v>
      </c>
      <c r="F2" s="274" t="s">
        <v>4</v>
      </c>
      <c r="G2" s="274" t="s">
        <v>5</v>
      </c>
      <c r="H2" s="275" t="s">
        <v>12</v>
      </c>
      <c r="I2" s="275" t="s">
        <v>3</v>
      </c>
      <c r="J2" s="275" t="s">
        <v>12</v>
      </c>
      <c r="K2" s="275" t="s">
        <v>13</v>
      </c>
      <c r="L2" s="275" t="s">
        <v>2</v>
      </c>
      <c r="M2" s="275" t="s">
        <v>14</v>
      </c>
      <c r="N2" s="275" t="s">
        <v>15</v>
      </c>
      <c r="O2" s="275" t="s">
        <v>16</v>
      </c>
      <c r="P2" s="275" t="s">
        <v>21</v>
      </c>
      <c r="Q2" s="275" t="s">
        <v>22</v>
      </c>
      <c r="R2" s="275" t="s">
        <v>12</v>
      </c>
      <c r="S2" s="277"/>
      <c r="T2" s="278"/>
      <c r="U2" s="276"/>
      <c r="V2" s="270"/>
      <c r="W2" s="279"/>
      <c r="X2" s="280" t="s">
        <v>0</v>
      </c>
      <c r="Y2" s="280" t="s">
        <v>1</v>
      </c>
      <c r="Z2" s="280" t="s">
        <v>2</v>
      </c>
      <c r="AA2" s="280" t="s">
        <v>3</v>
      </c>
      <c r="AB2" s="280" t="s">
        <v>0</v>
      </c>
      <c r="AC2" s="280" t="s">
        <v>1</v>
      </c>
      <c r="AD2" s="280" t="s">
        <v>2</v>
      </c>
      <c r="AE2" s="280" t="s">
        <v>3</v>
      </c>
      <c r="AF2" s="280" t="s">
        <v>0</v>
      </c>
      <c r="AG2" s="280" t="s">
        <v>1</v>
      </c>
      <c r="AH2" s="280" t="s">
        <v>2</v>
      </c>
      <c r="AI2" s="280" t="s">
        <v>3</v>
      </c>
      <c r="AJ2" s="280" t="s">
        <v>0</v>
      </c>
      <c r="AK2" s="280" t="s">
        <v>1</v>
      </c>
      <c r="AL2" s="280" t="s">
        <v>2</v>
      </c>
      <c r="AM2" s="280" t="s">
        <v>3</v>
      </c>
    </row>
    <row r="3" spans="1:39" ht="14.95" customHeight="1" thickBot="1" x14ac:dyDescent="0.3">
      <c r="A3" s="176" t="s">
        <v>279</v>
      </c>
      <c r="B3" s="178" t="s">
        <v>180</v>
      </c>
      <c r="C3" s="178" t="s">
        <v>29</v>
      </c>
      <c r="D3" s="178" t="s">
        <v>280</v>
      </c>
      <c r="E3" s="179" t="s">
        <v>3</v>
      </c>
      <c r="F3" s="179">
        <v>5</v>
      </c>
      <c r="G3" s="179">
        <v>22</v>
      </c>
      <c r="H3" s="179" t="s">
        <v>69</v>
      </c>
      <c r="I3" s="179" t="s">
        <v>69</v>
      </c>
      <c r="J3" s="179">
        <v>1</v>
      </c>
      <c r="K3" s="179">
        <v>0</v>
      </c>
      <c r="L3" s="179">
        <v>0</v>
      </c>
      <c r="M3" s="179">
        <v>0</v>
      </c>
      <c r="N3" s="179">
        <v>0</v>
      </c>
      <c r="O3" s="179">
        <v>0</v>
      </c>
      <c r="P3" s="179" t="s">
        <v>69</v>
      </c>
      <c r="Q3" s="179" t="s">
        <v>69</v>
      </c>
      <c r="R3" s="179">
        <v>4</v>
      </c>
      <c r="S3" s="187" t="s">
        <v>285</v>
      </c>
      <c r="T3" s="185" t="s">
        <v>173</v>
      </c>
      <c r="U3" s="183" t="s">
        <v>282</v>
      </c>
      <c r="V3" s="180" t="s">
        <v>283</v>
      </c>
      <c r="W3" s="186" t="s">
        <v>284</v>
      </c>
      <c r="X3" s="181">
        <v>1</v>
      </c>
      <c r="Y3" s="181">
        <v>0</v>
      </c>
      <c r="Z3" s="181">
        <v>0</v>
      </c>
      <c r="AA3" s="182">
        <v>1</v>
      </c>
      <c r="AB3" s="181">
        <v>0</v>
      </c>
      <c r="AC3" s="181">
        <v>0</v>
      </c>
      <c r="AD3" s="181">
        <v>0</v>
      </c>
      <c r="AE3" s="182">
        <v>0</v>
      </c>
      <c r="AF3" s="181">
        <v>1</v>
      </c>
      <c r="AG3" s="181">
        <v>0</v>
      </c>
      <c r="AH3" s="181">
        <v>0</v>
      </c>
      <c r="AI3" s="182">
        <v>1</v>
      </c>
      <c r="AJ3" s="181">
        <v>0</v>
      </c>
      <c r="AK3" s="181">
        <v>0</v>
      </c>
      <c r="AL3" s="181">
        <v>0</v>
      </c>
      <c r="AM3" s="182">
        <v>0</v>
      </c>
    </row>
    <row r="4" spans="1:39" ht="14.95" customHeight="1" thickBot="1" x14ac:dyDescent="0.35">
      <c r="A4" s="210" t="s">
        <v>304</v>
      </c>
      <c r="B4" s="211" t="s">
        <v>305</v>
      </c>
      <c r="C4" s="211" t="s">
        <v>306</v>
      </c>
      <c r="D4" s="211" t="s">
        <v>316</v>
      </c>
      <c r="E4" s="207" t="s">
        <v>1</v>
      </c>
      <c r="F4" s="207">
        <v>77</v>
      </c>
      <c r="G4" s="207">
        <v>0</v>
      </c>
      <c r="H4" s="207">
        <v>1</v>
      </c>
      <c r="I4" s="207">
        <v>0</v>
      </c>
      <c r="J4" s="207">
        <v>13</v>
      </c>
      <c r="K4" s="207">
        <v>6</v>
      </c>
      <c r="L4" s="207">
        <v>0</v>
      </c>
      <c r="M4" s="207">
        <v>0</v>
      </c>
      <c r="N4" s="207">
        <v>1</v>
      </c>
      <c r="O4" s="207">
        <v>0</v>
      </c>
      <c r="P4" s="207">
        <v>0</v>
      </c>
      <c r="Q4" s="207">
        <v>0</v>
      </c>
      <c r="R4" s="207">
        <v>0</v>
      </c>
      <c r="S4" s="215" t="s">
        <v>154</v>
      </c>
      <c r="T4" s="213" t="s">
        <v>307</v>
      </c>
      <c r="U4" s="212"/>
      <c r="V4" s="209"/>
      <c r="W4" s="214"/>
      <c r="X4" s="147">
        <v>1</v>
      </c>
      <c r="Y4" s="147">
        <v>1</v>
      </c>
      <c r="Z4" s="147">
        <v>0</v>
      </c>
      <c r="AA4" s="208">
        <v>0</v>
      </c>
      <c r="AB4" s="147">
        <v>0</v>
      </c>
      <c r="AC4" s="147">
        <v>0</v>
      </c>
      <c r="AD4" s="147">
        <v>0</v>
      </c>
      <c r="AE4" s="208">
        <v>0</v>
      </c>
      <c r="AF4" s="147">
        <v>0</v>
      </c>
      <c r="AG4" s="147">
        <v>0</v>
      </c>
      <c r="AH4" s="147">
        <v>0</v>
      </c>
      <c r="AI4" s="208">
        <v>0</v>
      </c>
      <c r="AJ4" s="147">
        <v>1</v>
      </c>
      <c r="AK4" s="147">
        <v>1</v>
      </c>
      <c r="AL4" s="147">
        <v>0</v>
      </c>
      <c r="AM4" s="208">
        <v>0</v>
      </c>
    </row>
    <row r="5" spans="1:39" ht="14.95" customHeight="1" thickBot="1" x14ac:dyDescent="0.35">
      <c r="A5" s="210" t="s">
        <v>315</v>
      </c>
      <c r="B5" s="211" t="s">
        <v>305</v>
      </c>
      <c r="C5" s="211" t="s">
        <v>309</v>
      </c>
      <c r="D5" s="211" t="s">
        <v>316</v>
      </c>
      <c r="E5" s="207" t="s">
        <v>1</v>
      </c>
      <c r="F5" s="207">
        <v>45</v>
      </c>
      <c r="G5" s="207">
        <v>12</v>
      </c>
      <c r="H5" s="207">
        <v>1</v>
      </c>
      <c r="I5" s="207">
        <v>0</v>
      </c>
      <c r="J5" s="207">
        <v>7</v>
      </c>
      <c r="K5" s="207">
        <v>5</v>
      </c>
      <c r="L5" s="207">
        <v>0</v>
      </c>
      <c r="M5" s="207">
        <v>0</v>
      </c>
      <c r="N5" s="207">
        <v>0</v>
      </c>
      <c r="O5" s="207">
        <v>0</v>
      </c>
      <c r="P5" s="207">
        <v>0</v>
      </c>
      <c r="Q5" s="207">
        <v>0</v>
      </c>
      <c r="R5" s="207">
        <v>2</v>
      </c>
      <c r="S5" s="215" t="s">
        <v>317</v>
      </c>
      <c r="T5" s="213" t="s">
        <v>307</v>
      </c>
      <c r="U5" s="212"/>
      <c r="V5" s="213"/>
      <c r="W5" s="209"/>
      <c r="X5" s="147">
        <v>1</v>
      </c>
      <c r="Y5" s="147">
        <v>1</v>
      </c>
      <c r="Z5" s="147">
        <v>0</v>
      </c>
      <c r="AA5" s="208">
        <v>0</v>
      </c>
      <c r="AB5" s="147">
        <v>0</v>
      </c>
      <c r="AC5" s="147">
        <v>0</v>
      </c>
      <c r="AD5" s="147">
        <v>0</v>
      </c>
      <c r="AE5" s="208">
        <v>0</v>
      </c>
      <c r="AF5" s="147">
        <v>0</v>
      </c>
      <c r="AG5" s="147">
        <v>0</v>
      </c>
      <c r="AH5" s="147">
        <v>0</v>
      </c>
      <c r="AI5" s="208">
        <v>0</v>
      </c>
      <c r="AJ5" s="147">
        <v>1</v>
      </c>
      <c r="AK5" s="147">
        <v>1</v>
      </c>
      <c r="AL5" s="147">
        <v>0</v>
      </c>
      <c r="AM5" s="208">
        <v>0</v>
      </c>
    </row>
    <row r="6" spans="1:39" ht="14.95" customHeight="1" thickBot="1" x14ac:dyDescent="0.35">
      <c r="A6" s="210">
        <v>45081</v>
      </c>
      <c r="B6" s="211" t="s">
        <v>305</v>
      </c>
      <c r="C6" s="211" t="s">
        <v>308</v>
      </c>
      <c r="D6" s="211" t="s">
        <v>316</v>
      </c>
      <c r="E6" s="207" t="s">
        <v>3</v>
      </c>
      <c r="F6" s="207">
        <v>18</v>
      </c>
      <c r="G6" s="207">
        <v>19</v>
      </c>
      <c r="H6" s="207">
        <v>0</v>
      </c>
      <c r="I6" s="207">
        <v>1</v>
      </c>
      <c r="J6" s="207">
        <v>3</v>
      </c>
      <c r="K6" s="207">
        <v>0</v>
      </c>
      <c r="L6" s="207">
        <v>0</v>
      </c>
      <c r="M6" s="207">
        <v>1</v>
      </c>
      <c r="N6" s="207">
        <v>0</v>
      </c>
      <c r="O6" s="207">
        <v>0</v>
      </c>
      <c r="P6" s="207">
        <v>0</v>
      </c>
      <c r="Q6" s="207">
        <v>0</v>
      </c>
      <c r="R6" s="207">
        <v>1</v>
      </c>
      <c r="S6" s="340" t="s">
        <v>318</v>
      </c>
      <c r="T6" s="213" t="s">
        <v>307</v>
      </c>
      <c r="U6" s="212"/>
      <c r="V6" s="209"/>
      <c r="W6" s="214"/>
      <c r="X6" s="147">
        <v>1</v>
      </c>
      <c r="Y6" s="147">
        <v>0</v>
      </c>
      <c r="Z6" s="147">
        <v>0</v>
      </c>
      <c r="AA6" s="208">
        <v>1</v>
      </c>
      <c r="AB6" s="147">
        <v>0</v>
      </c>
      <c r="AC6" s="147">
        <v>0</v>
      </c>
      <c r="AD6" s="147">
        <v>0</v>
      </c>
      <c r="AE6" s="208">
        <v>0</v>
      </c>
      <c r="AF6" s="147">
        <v>0</v>
      </c>
      <c r="AG6" s="147">
        <v>0</v>
      </c>
      <c r="AH6" s="147">
        <v>0</v>
      </c>
      <c r="AI6" s="208">
        <v>0</v>
      </c>
      <c r="AJ6" s="147">
        <v>1</v>
      </c>
      <c r="AK6" s="147">
        <v>0</v>
      </c>
      <c r="AL6" s="147">
        <v>0</v>
      </c>
      <c r="AM6" s="208">
        <v>1</v>
      </c>
    </row>
    <row r="7" spans="1:39" ht="14.95" customHeight="1" thickBot="1" x14ac:dyDescent="0.3">
      <c r="A7" s="176" t="s">
        <v>370</v>
      </c>
      <c r="B7" s="178" t="s">
        <v>180</v>
      </c>
      <c r="C7" s="178" t="s">
        <v>310</v>
      </c>
      <c r="D7" s="178" t="s">
        <v>372</v>
      </c>
      <c r="E7" s="179" t="s">
        <v>3</v>
      </c>
      <c r="F7" s="179">
        <v>24</v>
      </c>
      <c r="G7" s="179">
        <v>29</v>
      </c>
      <c r="H7" s="179" t="s">
        <v>69</v>
      </c>
      <c r="I7" s="179" t="s">
        <v>69</v>
      </c>
      <c r="J7" s="179">
        <v>4</v>
      </c>
      <c r="K7" s="179">
        <v>2</v>
      </c>
      <c r="L7" s="179">
        <v>0</v>
      </c>
      <c r="M7" s="179">
        <v>0</v>
      </c>
      <c r="N7" s="179">
        <v>2</v>
      </c>
      <c r="O7" s="179">
        <v>0</v>
      </c>
      <c r="P7" s="179" t="s">
        <v>69</v>
      </c>
      <c r="Q7" s="179" t="s">
        <v>69</v>
      </c>
      <c r="R7" s="179">
        <v>5</v>
      </c>
      <c r="S7" s="190" t="s">
        <v>373</v>
      </c>
      <c r="T7" s="185" t="s">
        <v>307</v>
      </c>
      <c r="U7" s="183" t="s">
        <v>374</v>
      </c>
      <c r="V7" s="180" t="s">
        <v>375</v>
      </c>
      <c r="W7" s="186" t="s">
        <v>376</v>
      </c>
      <c r="X7" s="181">
        <v>1</v>
      </c>
      <c r="Y7" s="181">
        <v>0</v>
      </c>
      <c r="Z7" s="181">
        <v>0</v>
      </c>
      <c r="AA7" s="182">
        <v>1</v>
      </c>
      <c r="AB7" s="181">
        <v>0</v>
      </c>
      <c r="AC7" s="181">
        <v>0</v>
      </c>
      <c r="AD7" s="181">
        <v>0</v>
      </c>
      <c r="AE7" s="182">
        <v>0</v>
      </c>
      <c r="AF7" s="181">
        <v>1</v>
      </c>
      <c r="AG7" s="181">
        <v>0</v>
      </c>
      <c r="AH7" s="181">
        <v>0</v>
      </c>
      <c r="AI7" s="182">
        <v>1</v>
      </c>
      <c r="AJ7" s="181">
        <v>0</v>
      </c>
      <c r="AK7" s="181">
        <v>0</v>
      </c>
      <c r="AL7" s="181">
        <v>0</v>
      </c>
      <c r="AM7" s="182">
        <v>0</v>
      </c>
    </row>
    <row r="8" spans="1:39" ht="14.95" customHeight="1" thickBot="1" x14ac:dyDescent="0.3">
      <c r="A8" s="176" t="s">
        <v>382</v>
      </c>
      <c r="B8" s="178" t="s">
        <v>180</v>
      </c>
      <c r="C8" s="178" t="s">
        <v>310</v>
      </c>
      <c r="D8" s="178" t="s">
        <v>383</v>
      </c>
      <c r="E8" s="179" t="s">
        <v>3</v>
      </c>
      <c r="F8" s="179">
        <v>36</v>
      </c>
      <c r="G8" s="179">
        <v>41</v>
      </c>
      <c r="H8" s="179" t="s">
        <v>69</v>
      </c>
      <c r="I8" s="179" t="s">
        <v>69</v>
      </c>
      <c r="J8" s="179">
        <v>6</v>
      </c>
      <c r="K8" s="179">
        <v>3</v>
      </c>
      <c r="L8" s="179">
        <v>0</v>
      </c>
      <c r="M8" s="179">
        <v>0</v>
      </c>
      <c r="N8" s="179">
        <v>1</v>
      </c>
      <c r="O8" s="179">
        <v>0</v>
      </c>
      <c r="P8" s="179" t="s">
        <v>69</v>
      </c>
      <c r="Q8" s="179" t="s">
        <v>69</v>
      </c>
      <c r="R8" s="179">
        <v>6</v>
      </c>
      <c r="S8" s="187" t="s">
        <v>386</v>
      </c>
      <c r="T8" s="185" t="s">
        <v>325</v>
      </c>
      <c r="U8" s="183" t="s">
        <v>282</v>
      </c>
      <c r="V8" s="183" t="s">
        <v>375</v>
      </c>
      <c r="W8" s="186" t="s">
        <v>385</v>
      </c>
      <c r="X8" s="181">
        <v>1</v>
      </c>
      <c r="Y8" s="181">
        <v>0</v>
      </c>
      <c r="Z8" s="181">
        <v>0</v>
      </c>
      <c r="AA8" s="182">
        <v>1</v>
      </c>
      <c r="AB8" s="181">
        <v>0</v>
      </c>
      <c r="AC8" s="181">
        <v>0</v>
      </c>
      <c r="AD8" s="181">
        <v>0</v>
      </c>
      <c r="AE8" s="182">
        <v>0</v>
      </c>
      <c r="AF8" s="181">
        <v>1</v>
      </c>
      <c r="AG8" s="181">
        <v>0</v>
      </c>
      <c r="AH8" s="181">
        <v>0</v>
      </c>
      <c r="AI8" s="182">
        <v>1</v>
      </c>
      <c r="AJ8" s="181">
        <v>0</v>
      </c>
      <c r="AK8" s="181">
        <v>0</v>
      </c>
      <c r="AL8" s="181">
        <v>0</v>
      </c>
      <c r="AM8" s="182">
        <v>0</v>
      </c>
    </row>
    <row r="9" spans="1:39" ht="14.95" customHeight="1" thickBot="1" x14ac:dyDescent="0.3">
      <c r="A9" s="210" t="s">
        <v>426</v>
      </c>
      <c r="B9" s="211" t="s">
        <v>427</v>
      </c>
      <c r="C9" s="211" t="s">
        <v>338</v>
      </c>
      <c r="D9" s="211" t="s">
        <v>523</v>
      </c>
      <c r="E9" s="207" t="s">
        <v>1</v>
      </c>
      <c r="F9" s="207">
        <v>67</v>
      </c>
      <c r="G9" s="207">
        <v>13</v>
      </c>
      <c r="H9" s="207">
        <v>1</v>
      </c>
      <c r="I9" s="207">
        <v>0</v>
      </c>
      <c r="J9" s="207">
        <v>11</v>
      </c>
      <c r="K9" s="207">
        <v>6</v>
      </c>
      <c r="L9" s="207">
        <v>0</v>
      </c>
      <c r="M9" s="207">
        <v>0</v>
      </c>
      <c r="N9" s="207">
        <v>1</v>
      </c>
      <c r="O9" s="207">
        <v>0</v>
      </c>
      <c r="P9" s="207">
        <v>0</v>
      </c>
      <c r="Q9" s="207">
        <v>0</v>
      </c>
      <c r="R9" s="207">
        <v>1</v>
      </c>
      <c r="S9" s="419" t="s">
        <v>517</v>
      </c>
      <c r="T9" s="213" t="s">
        <v>334</v>
      </c>
      <c r="U9" s="212" t="s">
        <v>328</v>
      </c>
      <c r="V9" s="212" t="s">
        <v>200</v>
      </c>
      <c r="W9" s="214" t="s">
        <v>518</v>
      </c>
      <c r="X9" s="147">
        <v>1</v>
      </c>
      <c r="Y9" s="147">
        <v>1</v>
      </c>
      <c r="Z9" s="147">
        <v>0</v>
      </c>
      <c r="AA9" s="208">
        <v>0</v>
      </c>
      <c r="AB9" s="147">
        <v>0</v>
      </c>
      <c r="AC9" s="147">
        <v>0</v>
      </c>
      <c r="AD9" s="147">
        <v>0</v>
      </c>
      <c r="AE9" s="208">
        <v>0</v>
      </c>
      <c r="AF9" s="147">
        <v>0</v>
      </c>
      <c r="AG9" s="147">
        <v>0</v>
      </c>
      <c r="AH9" s="147">
        <v>0</v>
      </c>
      <c r="AI9" s="208">
        <v>0</v>
      </c>
      <c r="AJ9" s="147">
        <v>1</v>
      </c>
      <c r="AK9" s="147">
        <v>1</v>
      </c>
      <c r="AL9" s="147">
        <v>0</v>
      </c>
      <c r="AM9" s="208">
        <v>0</v>
      </c>
    </row>
    <row r="10" spans="1:39" ht="14.95" customHeight="1" thickBot="1" x14ac:dyDescent="0.3">
      <c r="A10" s="210" t="s">
        <v>435</v>
      </c>
      <c r="B10" s="211" t="s">
        <v>427</v>
      </c>
      <c r="C10" s="211" t="s">
        <v>74</v>
      </c>
      <c r="D10" s="211" t="s">
        <v>523</v>
      </c>
      <c r="E10" s="207" t="s">
        <v>3</v>
      </c>
      <c r="F10" s="207">
        <v>19</v>
      </c>
      <c r="G10" s="207">
        <v>26</v>
      </c>
      <c r="H10" s="207">
        <v>0</v>
      </c>
      <c r="I10" s="207">
        <v>1</v>
      </c>
      <c r="J10" s="207">
        <v>3</v>
      </c>
      <c r="K10" s="207">
        <v>2</v>
      </c>
      <c r="L10" s="207">
        <v>0</v>
      </c>
      <c r="M10" s="207">
        <v>0</v>
      </c>
      <c r="N10" s="207">
        <v>1</v>
      </c>
      <c r="O10" s="207">
        <v>0</v>
      </c>
      <c r="P10" s="207">
        <v>0</v>
      </c>
      <c r="Q10" s="207">
        <v>0</v>
      </c>
      <c r="R10" s="207">
        <v>3</v>
      </c>
      <c r="S10" s="221" t="s">
        <v>354</v>
      </c>
      <c r="T10" s="213" t="s">
        <v>307</v>
      </c>
      <c r="U10" s="212" t="s">
        <v>328</v>
      </c>
      <c r="V10" s="212" t="s">
        <v>334</v>
      </c>
      <c r="W10" s="214" t="s">
        <v>165</v>
      </c>
      <c r="X10" s="147">
        <v>1</v>
      </c>
      <c r="Y10" s="147">
        <v>0</v>
      </c>
      <c r="Z10" s="147">
        <v>0</v>
      </c>
      <c r="AA10" s="208">
        <v>1</v>
      </c>
      <c r="AB10" s="147">
        <v>0</v>
      </c>
      <c r="AC10" s="147">
        <v>0</v>
      </c>
      <c r="AD10" s="147">
        <v>0</v>
      </c>
      <c r="AE10" s="208">
        <v>0</v>
      </c>
      <c r="AF10" s="147">
        <v>0</v>
      </c>
      <c r="AG10" s="147">
        <v>0</v>
      </c>
      <c r="AH10" s="147">
        <v>0</v>
      </c>
      <c r="AI10" s="208">
        <v>0</v>
      </c>
      <c r="AJ10" s="147">
        <v>1</v>
      </c>
      <c r="AK10" s="147">
        <v>0</v>
      </c>
      <c r="AL10" s="147">
        <v>0</v>
      </c>
      <c r="AM10" s="208">
        <v>1</v>
      </c>
    </row>
    <row r="11" spans="1:39" ht="14.95" customHeight="1" thickBot="1" x14ac:dyDescent="0.35">
      <c r="A11" s="210" t="s">
        <v>448</v>
      </c>
      <c r="B11" s="211" t="s">
        <v>427</v>
      </c>
      <c r="C11" s="211" t="s">
        <v>297</v>
      </c>
      <c r="D11" s="211" t="s">
        <v>523</v>
      </c>
      <c r="E11" s="207" t="s">
        <v>1</v>
      </c>
      <c r="F11" s="207">
        <v>118</v>
      </c>
      <c r="G11" s="207">
        <v>0</v>
      </c>
      <c r="H11" s="207">
        <v>1</v>
      </c>
      <c r="I11" s="207">
        <v>0</v>
      </c>
      <c r="J11" s="207">
        <v>18</v>
      </c>
      <c r="K11" s="207">
        <v>14</v>
      </c>
      <c r="L11" s="207">
        <v>0</v>
      </c>
      <c r="M11" s="207">
        <v>0</v>
      </c>
      <c r="N11" s="207">
        <v>1</v>
      </c>
      <c r="O11" s="207">
        <v>0</v>
      </c>
      <c r="P11" s="207">
        <v>0</v>
      </c>
      <c r="Q11" s="207">
        <v>0</v>
      </c>
      <c r="R11" s="207">
        <v>0</v>
      </c>
      <c r="S11" s="215" t="s">
        <v>532</v>
      </c>
      <c r="T11" s="213" t="s">
        <v>334</v>
      </c>
      <c r="U11" s="212" t="s">
        <v>255</v>
      </c>
      <c r="V11" s="212" t="s">
        <v>375</v>
      </c>
      <c r="W11" s="214" t="s">
        <v>518</v>
      </c>
      <c r="X11" s="147">
        <v>1</v>
      </c>
      <c r="Y11" s="147">
        <v>1</v>
      </c>
      <c r="Z11" s="147">
        <v>0</v>
      </c>
      <c r="AA11" s="208">
        <v>0</v>
      </c>
      <c r="AB11" s="147">
        <v>0</v>
      </c>
      <c r="AC11" s="147">
        <v>0</v>
      </c>
      <c r="AD11" s="147">
        <v>0</v>
      </c>
      <c r="AE11" s="208">
        <v>0</v>
      </c>
      <c r="AF11" s="147">
        <v>0</v>
      </c>
      <c r="AG11" s="147">
        <v>0</v>
      </c>
      <c r="AH11" s="147">
        <v>0</v>
      </c>
      <c r="AI11" s="208">
        <v>0</v>
      </c>
      <c r="AJ11" s="147">
        <v>1</v>
      </c>
      <c r="AK11" s="147">
        <v>1</v>
      </c>
      <c r="AL11" s="147">
        <v>0</v>
      </c>
      <c r="AM11" s="208">
        <v>0</v>
      </c>
    </row>
    <row r="12" spans="1:39" ht="14.95" thickBot="1" x14ac:dyDescent="0.3">
      <c r="A12" s="117"/>
      <c r="B12" s="118"/>
      <c r="C12" s="519" t="s">
        <v>78</v>
      </c>
      <c r="D12" s="520"/>
      <c r="E12" s="521"/>
      <c r="F12" s="225">
        <f>SUM(F3+F7+F8)</f>
        <v>65</v>
      </c>
      <c r="G12" s="225">
        <f>SUM(G3+G7+G8)</f>
        <v>92</v>
      </c>
      <c r="H12" s="225" t="s">
        <v>69</v>
      </c>
      <c r="I12" s="225" t="s">
        <v>69</v>
      </c>
      <c r="J12" s="225">
        <f t="shared" ref="J12:O12" si="0">SUM(J3+J7+J8)</f>
        <v>11</v>
      </c>
      <c r="K12" s="225">
        <f t="shared" si="0"/>
        <v>5</v>
      </c>
      <c r="L12" s="225">
        <f t="shared" si="0"/>
        <v>0</v>
      </c>
      <c r="M12" s="225">
        <f t="shared" si="0"/>
        <v>0</v>
      </c>
      <c r="N12" s="225">
        <f t="shared" si="0"/>
        <v>3</v>
      </c>
      <c r="O12" s="225">
        <f t="shared" si="0"/>
        <v>0</v>
      </c>
      <c r="P12" s="225" t="s">
        <v>69</v>
      </c>
      <c r="Q12" s="225" t="s">
        <v>69</v>
      </c>
      <c r="R12" s="225">
        <f>SUM(R3+R7+R8)</f>
        <v>15</v>
      </c>
      <c r="S12" s="231"/>
      <c r="T12" s="231"/>
      <c r="U12" s="231"/>
      <c r="V12" s="223"/>
      <c r="W12" s="230" t="s">
        <v>78</v>
      </c>
      <c r="X12" s="225">
        <f t="shared" ref="X12:AM12" si="1">SUM(X3+X7+X8)</f>
        <v>3</v>
      </c>
      <c r="Y12" s="225">
        <f t="shared" si="1"/>
        <v>0</v>
      </c>
      <c r="Z12" s="225">
        <f t="shared" si="1"/>
        <v>0</v>
      </c>
      <c r="AA12" s="225">
        <f t="shared" si="1"/>
        <v>3</v>
      </c>
      <c r="AB12" s="226">
        <f t="shared" si="1"/>
        <v>0</v>
      </c>
      <c r="AC12" s="226">
        <f t="shared" si="1"/>
        <v>0</v>
      </c>
      <c r="AD12" s="226">
        <f t="shared" si="1"/>
        <v>0</v>
      </c>
      <c r="AE12" s="226">
        <f t="shared" si="1"/>
        <v>0</v>
      </c>
      <c r="AF12" s="227">
        <f t="shared" si="1"/>
        <v>3</v>
      </c>
      <c r="AG12" s="227">
        <f t="shared" si="1"/>
        <v>0</v>
      </c>
      <c r="AH12" s="227">
        <f t="shared" si="1"/>
        <v>0</v>
      </c>
      <c r="AI12" s="227">
        <f t="shared" si="1"/>
        <v>3</v>
      </c>
      <c r="AJ12" s="225">
        <f t="shared" si="1"/>
        <v>0</v>
      </c>
      <c r="AK12" s="225">
        <f t="shared" si="1"/>
        <v>0</v>
      </c>
      <c r="AL12" s="225">
        <f t="shared" si="1"/>
        <v>0</v>
      </c>
      <c r="AM12" s="225">
        <f t="shared" si="1"/>
        <v>0</v>
      </c>
    </row>
    <row r="13" spans="1:39" ht="14.95" thickBot="1" x14ac:dyDescent="0.3">
      <c r="A13" s="117"/>
      <c r="B13" s="118"/>
      <c r="C13" s="561" t="s">
        <v>103</v>
      </c>
      <c r="D13" s="562"/>
      <c r="E13" s="563"/>
      <c r="F13" s="123">
        <f t="shared" ref="F13:R13" si="2">SUM(F4:F6)</f>
        <v>140</v>
      </c>
      <c r="G13" s="123">
        <f t="shared" si="2"/>
        <v>31</v>
      </c>
      <c r="H13" s="123">
        <f t="shared" si="2"/>
        <v>2</v>
      </c>
      <c r="I13" s="123">
        <f t="shared" si="2"/>
        <v>1</v>
      </c>
      <c r="J13" s="123">
        <f t="shared" si="2"/>
        <v>23</v>
      </c>
      <c r="K13" s="123">
        <f t="shared" si="2"/>
        <v>11</v>
      </c>
      <c r="L13" s="123">
        <f t="shared" si="2"/>
        <v>0</v>
      </c>
      <c r="M13" s="123">
        <f t="shared" si="2"/>
        <v>1</v>
      </c>
      <c r="N13" s="123">
        <f t="shared" si="2"/>
        <v>1</v>
      </c>
      <c r="O13" s="123">
        <f t="shared" si="2"/>
        <v>0</v>
      </c>
      <c r="P13" s="123">
        <f t="shared" si="2"/>
        <v>0</v>
      </c>
      <c r="Q13" s="123">
        <f t="shared" si="2"/>
        <v>0</v>
      </c>
      <c r="R13" s="123">
        <f t="shared" si="2"/>
        <v>3</v>
      </c>
      <c r="S13" s="342"/>
      <c r="T13" s="342"/>
      <c r="U13" s="342"/>
      <c r="V13" s="120"/>
      <c r="W13" s="149" t="s">
        <v>103</v>
      </c>
      <c r="X13" s="123">
        <f t="shared" ref="X13:AM13" si="3">SUM(X4:X6)</f>
        <v>3</v>
      </c>
      <c r="Y13" s="123">
        <f t="shared" si="3"/>
        <v>2</v>
      </c>
      <c r="Z13" s="123">
        <f t="shared" si="3"/>
        <v>0</v>
      </c>
      <c r="AA13" s="123">
        <f t="shared" si="3"/>
        <v>1</v>
      </c>
      <c r="AB13" s="121">
        <f t="shared" si="3"/>
        <v>0</v>
      </c>
      <c r="AC13" s="121">
        <f t="shared" si="3"/>
        <v>0</v>
      </c>
      <c r="AD13" s="121">
        <f t="shared" si="3"/>
        <v>0</v>
      </c>
      <c r="AE13" s="121">
        <f t="shared" si="3"/>
        <v>0</v>
      </c>
      <c r="AF13" s="122">
        <f t="shared" si="3"/>
        <v>0</v>
      </c>
      <c r="AG13" s="122">
        <f t="shared" si="3"/>
        <v>0</v>
      </c>
      <c r="AH13" s="122">
        <f t="shared" si="3"/>
        <v>0</v>
      </c>
      <c r="AI13" s="122">
        <f t="shared" si="3"/>
        <v>0</v>
      </c>
      <c r="AJ13" s="123">
        <f t="shared" si="3"/>
        <v>3</v>
      </c>
      <c r="AK13" s="123">
        <f t="shared" si="3"/>
        <v>2</v>
      </c>
      <c r="AL13" s="123">
        <f t="shared" si="3"/>
        <v>0</v>
      </c>
      <c r="AM13" s="123">
        <f t="shared" si="3"/>
        <v>1</v>
      </c>
    </row>
    <row r="14" spans="1:39" ht="14.95" thickBot="1" x14ac:dyDescent="0.3">
      <c r="A14" s="117"/>
      <c r="B14" s="118"/>
      <c r="C14" s="409" t="s">
        <v>427</v>
      </c>
      <c r="D14" s="462"/>
      <c r="E14" s="463"/>
      <c r="F14" s="430">
        <f>SUM(F9:F11)</f>
        <v>204</v>
      </c>
      <c r="G14" s="430">
        <f t="shared" ref="G14:R14" si="4">SUM(G9:G11)</f>
        <v>39</v>
      </c>
      <c r="H14" s="430">
        <f t="shared" si="4"/>
        <v>2</v>
      </c>
      <c r="I14" s="430">
        <f t="shared" si="4"/>
        <v>1</v>
      </c>
      <c r="J14" s="430">
        <f t="shared" si="4"/>
        <v>32</v>
      </c>
      <c r="K14" s="430">
        <f t="shared" si="4"/>
        <v>22</v>
      </c>
      <c r="L14" s="430">
        <f t="shared" si="4"/>
        <v>0</v>
      </c>
      <c r="M14" s="430">
        <f t="shared" si="4"/>
        <v>0</v>
      </c>
      <c r="N14" s="430">
        <f t="shared" si="4"/>
        <v>3</v>
      </c>
      <c r="O14" s="430">
        <f t="shared" si="4"/>
        <v>0</v>
      </c>
      <c r="P14" s="430">
        <f t="shared" si="4"/>
        <v>0</v>
      </c>
      <c r="Q14" s="430">
        <f t="shared" si="4"/>
        <v>0</v>
      </c>
      <c r="R14" s="430">
        <f t="shared" si="4"/>
        <v>4</v>
      </c>
      <c r="S14" s="365"/>
      <c r="T14" s="365"/>
      <c r="U14" s="365"/>
      <c r="V14" s="116"/>
      <c r="W14" s="150" t="s">
        <v>427</v>
      </c>
      <c r="X14" s="430">
        <f t="shared" ref="X14:AM14" si="5">SUM(X9:X11)</f>
        <v>3</v>
      </c>
      <c r="Y14" s="430">
        <f t="shared" si="5"/>
        <v>2</v>
      </c>
      <c r="Z14" s="430">
        <f t="shared" si="5"/>
        <v>0</v>
      </c>
      <c r="AA14" s="430">
        <f t="shared" si="5"/>
        <v>1</v>
      </c>
      <c r="AB14" s="432">
        <f t="shared" si="5"/>
        <v>0</v>
      </c>
      <c r="AC14" s="432">
        <f t="shared" si="5"/>
        <v>0</v>
      </c>
      <c r="AD14" s="432">
        <f t="shared" si="5"/>
        <v>0</v>
      </c>
      <c r="AE14" s="432">
        <f t="shared" si="5"/>
        <v>0</v>
      </c>
      <c r="AF14" s="433">
        <f t="shared" si="5"/>
        <v>0</v>
      </c>
      <c r="AG14" s="433">
        <f t="shared" si="5"/>
        <v>0</v>
      </c>
      <c r="AH14" s="433">
        <f t="shared" si="5"/>
        <v>0</v>
      </c>
      <c r="AI14" s="433">
        <f t="shared" si="5"/>
        <v>0</v>
      </c>
      <c r="AJ14" s="430">
        <f t="shared" si="5"/>
        <v>3</v>
      </c>
      <c r="AK14" s="430">
        <f t="shared" si="5"/>
        <v>2</v>
      </c>
      <c r="AL14" s="430">
        <f t="shared" si="5"/>
        <v>0</v>
      </c>
      <c r="AM14" s="430">
        <f t="shared" si="5"/>
        <v>1</v>
      </c>
    </row>
    <row r="15" spans="1:39" ht="14.95" thickBot="1" x14ac:dyDescent="0.3">
      <c r="A15" s="117"/>
      <c r="B15" s="118"/>
      <c r="C15" s="515" t="s">
        <v>70</v>
      </c>
      <c r="D15" s="516"/>
      <c r="E15" s="517"/>
      <c r="F15" s="142">
        <f t="shared" ref="F15:R15" si="6">SUM(F3:F11)</f>
        <v>409</v>
      </c>
      <c r="G15" s="142">
        <f t="shared" si="6"/>
        <v>162</v>
      </c>
      <c r="H15" s="142">
        <f t="shared" si="6"/>
        <v>4</v>
      </c>
      <c r="I15" s="142">
        <f t="shared" si="6"/>
        <v>2</v>
      </c>
      <c r="J15" s="142">
        <f t="shared" si="6"/>
        <v>66</v>
      </c>
      <c r="K15" s="142">
        <f t="shared" si="6"/>
        <v>38</v>
      </c>
      <c r="L15" s="142">
        <f t="shared" si="6"/>
        <v>0</v>
      </c>
      <c r="M15" s="142">
        <f t="shared" si="6"/>
        <v>1</v>
      </c>
      <c r="N15" s="142">
        <f t="shared" si="6"/>
        <v>7</v>
      </c>
      <c r="O15" s="142">
        <f t="shared" si="6"/>
        <v>0</v>
      </c>
      <c r="P15" s="142">
        <f t="shared" si="6"/>
        <v>0</v>
      </c>
      <c r="Q15" s="142">
        <f t="shared" si="6"/>
        <v>0</v>
      </c>
      <c r="R15" s="142">
        <f t="shared" si="6"/>
        <v>22</v>
      </c>
      <c r="S15" s="220"/>
      <c r="T15" s="220"/>
      <c r="U15" s="220"/>
      <c r="V15" s="12"/>
      <c r="W15" s="147" t="s">
        <v>70</v>
      </c>
      <c r="X15" s="142">
        <f t="shared" ref="X15:AM15" si="7">SUM(X3:X11)</f>
        <v>9</v>
      </c>
      <c r="Y15" s="142">
        <f t="shared" si="7"/>
        <v>4</v>
      </c>
      <c r="Z15" s="142">
        <f t="shared" si="7"/>
        <v>0</v>
      </c>
      <c r="AA15" s="142">
        <f t="shared" si="7"/>
        <v>5</v>
      </c>
      <c r="AB15" s="140">
        <f t="shared" si="7"/>
        <v>0</v>
      </c>
      <c r="AC15" s="140">
        <f t="shared" si="7"/>
        <v>0</v>
      </c>
      <c r="AD15" s="140">
        <f t="shared" si="7"/>
        <v>0</v>
      </c>
      <c r="AE15" s="140">
        <f t="shared" si="7"/>
        <v>0</v>
      </c>
      <c r="AF15" s="141">
        <f t="shared" si="7"/>
        <v>3</v>
      </c>
      <c r="AG15" s="141">
        <f t="shared" si="7"/>
        <v>0</v>
      </c>
      <c r="AH15" s="141">
        <f t="shared" si="7"/>
        <v>0</v>
      </c>
      <c r="AI15" s="141">
        <f t="shared" si="7"/>
        <v>3</v>
      </c>
      <c r="AJ15" s="142">
        <f t="shared" si="7"/>
        <v>6</v>
      </c>
      <c r="AK15" s="142">
        <f t="shared" si="7"/>
        <v>4</v>
      </c>
      <c r="AL15" s="142">
        <f t="shared" si="7"/>
        <v>0</v>
      </c>
      <c r="AM15" s="142">
        <f t="shared" si="7"/>
        <v>2</v>
      </c>
    </row>
    <row r="16" spans="1:39" x14ac:dyDescent="0.25">
      <c r="A16" s="564" t="s">
        <v>53</v>
      </c>
      <c r="B16" s="490"/>
      <c r="C16" s="490"/>
      <c r="D16" s="490"/>
      <c r="E16" s="490"/>
      <c r="F16" s="490"/>
      <c r="G16" s="490"/>
      <c r="H16" s="490"/>
      <c r="I16" s="490"/>
      <c r="J16" s="490"/>
      <c r="K16" s="490"/>
      <c r="L16" s="490"/>
      <c r="M16" s="490"/>
      <c r="N16" s="490"/>
      <c r="O16" s="490"/>
      <c r="P16" s="490"/>
      <c r="Q16" s="490"/>
      <c r="R16" s="490"/>
      <c r="S16" s="490"/>
      <c r="T16" s="490"/>
      <c r="U16" s="490"/>
      <c r="V16" s="490"/>
      <c r="W16" s="490"/>
      <c r="X16" s="490"/>
      <c r="Y16" s="490"/>
      <c r="Z16" s="490"/>
      <c r="AA16" s="490"/>
      <c r="AB16" s="490"/>
      <c r="AC16" s="490"/>
      <c r="AD16" s="490"/>
      <c r="AE16" s="490"/>
      <c r="AF16" s="490"/>
      <c r="AG16" s="490"/>
      <c r="AH16" s="490"/>
      <c r="AI16" s="490"/>
      <c r="AJ16" s="490"/>
      <c r="AK16" s="490"/>
      <c r="AL16" s="490"/>
      <c r="AM16" s="490"/>
    </row>
    <row r="17" spans="1:39" x14ac:dyDescent="0.25">
      <c r="A17" s="518" t="s">
        <v>533</v>
      </c>
      <c r="B17" s="490"/>
      <c r="C17" s="490"/>
      <c r="D17" s="490"/>
      <c r="E17" s="490"/>
      <c r="F17" s="490"/>
      <c r="G17" s="490"/>
      <c r="H17" s="490"/>
      <c r="I17" s="490"/>
      <c r="J17" s="490"/>
      <c r="K17" s="490"/>
      <c r="L17" s="490"/>
      <c r="M17" s="490"/>
      <c r="N17" s="490"/>
      <c r="O17" s="490"/>
      <c r="P17" s="490"/>
      <c r="Q17" s="490"/>
      <c r="R17" s="490"/>
      <c r="S17" s="490"/>
      <c r="T17" s="490"/>
      <c r="U17" s="490"/>
      <c r="V17" s="490"/>
      <c r="W17" s="490"/>
      <c r="X17" s="490"/>
      <c r="Y17" s="490"/>
      <c r="Z17" s="490"/>
      <c r="AA17" s="490"/>
      <c r="AB17" s="490"/>
      <c r="AC17" s="490"/>
      <c r="AD17" s="490"/>
      <c r="AE17" s="490"/>
      <c r="AF17" s="490"/>
      <c r="AG17" s="490"/>
      <c r="AH17" s="490"/>
      <c r="AI17" s="490"/>
      <c r="AJ17" s="490"/>
      <c r="AK17" s="490"/>
      <c r="AL17" s="490"/>
      <c r="AM17" s="490"/>
    </row>
    <row r="18" spans="1:39" x14ac:dyDescent="0.25">
      <c r="A18" s="405" t="s">
        <v>381</v>
      </c>
    </row>
    <row r="19" spans="1:39" x14ac:dyDescent="0.25">
      <c r="A19" t="s">
        <v>525</v>
      </c>
    </row>
    <row r="21" spans="1:39" x14ac:dyDescent="0.25">
      <c r="A21" t="s">
        <v>77</v>
      </c>
    </row>
    <row r="22" spans="1:39" x14ac:dyDescent="0.25">
      <c r="A22" s="440"/>
      <c r="B22" s="73" t="s">
        <v>40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</row>
    <row r="23" spans="1:39" x14ac:dyDescent="0.25">
      <c r="A23" s="441"/>
      <c r="B23" s="73" t="s">
        <v>38</v>
      </c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</row>
    <row r="24" spans="1:39" x14ac:dyDescent="0.25">
      <c r="A24" s="442"/>
      <c r="B24" s="73" t="s">
        <v>39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</row>
    <row r="25" spans="1:39" x14ac:dyDescent="0.25">
      <c r="A25" s="237" t="s">
        <v>28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</row>
  </sheetData>
  <mergeCells count="15">
    <mergeCell ref="C15:E15"/>
    <mergeCell ref="A17:AM17"/>
    <mergeCell ref="C13:E13"/>
    <mergeCell ref="A16:AM16"/>
    <mergeCell ref="X1:AA1"/>
    <mergeCell ref="AB1:AE1"/>
    <mergeCell ref="AF1:AI1"/>
    <mergeCell ref="AJ1:AM1"/>
    <mergeCell ref="C12:E12"/>
    <mergeCell ref="A1:C1"/>
    <mergeCell ref="E1:G1"/>
    <mergeCell ref="H1:I1"/>
    <mergeCell ref="J1:M1"/>
    <mergeCell ref="N1:O1"/>
    <mergeCell ref="P1:R1"/>
  </mergeCells>
  <pageMargins left="0.7" right="0.7" top="0.75" bottom="0.75" header="0.3" footer="0.3"/>
  <pageSetup paperSize="9" orientation="portrait" r:id="rId1"/>
  <ignoredErrors>
    <ignoredError sqref="S10" twoDigitTextYear="1"/>
    <ignoredError sqref="F13:G13 J13:R13 X13:AM13 F14:AM14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N24"/>
  <sheetViews>
    <sheetView zoomScaleNormal="100" workbookViewId="0">
      <pane ySplit="2" topLeftCell="A3" activePane="bottomLeft" state="frozen"/>
      <selection pane="bottomLeft" activeCell="B19" sqref="B19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5" bestFit="1" customWidth="1"/>
    <col min="5" max="18" width="3.75" customWidth="1"/>
    <col min="19" max="20" width="6.25" customWidth="1"/>
    <col min="21" max="21" width="26.25" bestFit="1" customWidth="1"/>
    <col min="22" max="22" width="21.875" bestFit="1" customWidth="1"/>
    <col min="23" max="23" width="26.25" bestFit="1" customWidth="1"/>
    <col min="24" max="24" width="20.75" bestFit="1" customWidth="1"/>
    <col min="25" max="40" width="3.75" customWidth="1"/>
  </cols>
  <sheetData>
    <row r="1" spans="1:40" ht="14.95" customHeight="1" thickBot="1" x14ac:dyDescent="0.3">
      <c r="A1" s="585" t="s">
        <v>121</v>
      </c>
      <c r="B1" s="586"/>
      <c r="C1" s="586"/>
      <c r="D1" s="74"/>
      <c r="E1" s="587" t="s">
        <v>24</v>
      </c>
      <c r="F1" s="588"/>
      <c r="G1" s="589"/>
      <c r="H1" s="587" t="s">
        <v>23</v>
      </c>
      <c r="I1" s="589"/>
      <c r="J1" s="582" t="s">
        <v>6</v>
      </c>
      <c r="K1" s="584"/>
      <c r="L1" s="584"/>
      <c r="M1" s="583"/>
      <c r="N1" s="582" t="s">
        <v>7</v>
      </c>
      <c r="O1" s="583"/>
      <c r="P1" s="582" t="s">
        <v>25</v>
      </c>
      <c r="Q1" s="584"/>
      <c r="R1" s="583"/>
      <c r="S1" s="143" t="s">
        <v>8</v>
      </c>
      <c r="T1" s="143" t="s">
        <v>9</v>
      </c>
      <c r="U1" s="76" t="s">
        <v>10</v>
      </c>
      <c r="V1" s="75" t="s">
        <v>11</v>
      </c>
      <c r="W1" s="77" t="s">
        <v>26</v>
      </c>
      <c r="X1" s="78" t="s">
        <v>27</v>
      </c>
      <c r="Y1" s="579" t="s">
        <v>20</v>
      </c>
      <c r="Z1" s="580"/>
      <c r="AA1" s="580"/>
      <c r="AB1" s="581"/>
      <c r="AC1" s="579" t="s">
        <v>56</v>
      </c>
      <c r="AD1" s="580"/>
      <c r="AE1" s="580"/>
      <c r="AF1" s="581"/>
      <c r="AG1" s="579" t="s">
        <v>57</v>
      </c>
      <c r="AH1" s="580"/>
      <c r="AI1" s="580"/>
      <c r="AJ1" s="581"/>
      <c r="AK1" s="579" t="s">
        <v>58</v>
      </c>
      <c r="AL1" s="580"/>
      <c r="AM1" s="580"/>
      <c r="AN1" s="581"/>
    </row>
    <row r="2" spans="1:40" ht="14.95" customHeight="1" thickBot="1" x14ac:dyDescent="0.3">
      <c r="A2" s="79" t="s">
        <v>19</v>
      </c>
      <c r="B2" s="80" t="s">
        <v>18</v>
      </c>
      <c r="C2" s="81" t="s">
        <v>17</v>
      </c>
      <c r="D2" s="81" t="s">
        <v>37</v>
      </c>
      <c r="E2" s="82" t="s">
        <v>16</v>
      </c>
      <c r="F2" s="82" t="s">
        <v>4</v>
      </c>
      <c r="G2" s="82" t="s">
        <v>5</v>
      </c>
      <c r="H2" s="83" t="s">
        <v>12</v>
      </c>
      <c r="I2" s="83" t="s">
        <v>3</v>
      </c>
      <c r="J2" s="83" t="s">
        <v>12</v>
      </c>
      <c r="K2" s="83" t="s">
        <v>13</v>
      </c>
      <c r="L2" s="83" t="s">
        <v>2</v>
      </c>
      <c r="M2" s="83" t="s">
        <v>14</v>
      </c>
      <c r="N2" s="83" t="s">
        <v>15</v>
      </c>
      <c r="O2" s="83" t="s">
        <v>16</v>
      </c>
      <c r="P2" s="83" t="s">
        <v>21</v>
      </c>
      <c r="Q2" s="83" t="s">
        <v>22</v>
      </c>
      <c r="R2" s="83" t="s">
        <v>12</v>
      </c>
      <c r="S2" s="84"/>
      <c r="T2" s="85"/>
      <c r="U2" s="86"/>
      <c r="V2" s="84"/>
      <c r="W2" s="87"/>
      <c r="X2" s="88"/>
      <c r="Y2" s="128" t="s">
        <v>0</v>
      </c>
      <c r="Z2" s="128" t="s">
        <v>1</v>
      </c>
      <c r="AA2" s="128" t="s">
        <v>2</v>
      </c>
      <c r="AB2" s="128" t="s">
        <v>3</v>
      </c>
      <c r="AC2" s="128" t="s">
        <v>0</v>
      </c>
      <c r="AD2" s="128" t="s">
        <v>1</v>
      </c>
      <c r="AE2" s="128" t="s">
        <v>2</v>
      </c>
      <c r="AF2" s="128" t="s">
        <v>3</v>
      </c>
      <c r="AG2" s="128" t="s">
        <v>0</v>
      </c>
      <c r="AH2" s="128" t="s">
        <v>1</v>
      </c>
      <c r="AI2" s="128" t="s">
        <v>2</v>
      </c>
      <c r="AJ2" s="128" t="s">
        <v>3</v>
      </c>
      <c r="AK2" s="128" t="s">
        <v>0</v>
      </c>
      <c r="AL2" s="128" t="s">
        <v>1</v>
      </c>
      <c r="AM2" s="128" t="s">
        <v>2</v>
      </c>
      <c r="AN2" s="128" t="s">
        <v>3</v>
      </c>
    </row>
    <row r="3" spans="1:40" ht="14.95" customHeight="1" thickBot="1" x14ac:dyDescent="0.35">
      <c r="A3" s="176" t="s">
        <v>136</v>
      </c>
      <c r="B3" s="178" t="s">
        <v>41</v>
      </c>
      <c r="C3" s="178" t="s">
        <v>32</v>
      </c>
      <c r="D3" s="178" t="s">
        <v>91</v>
      </c>
      <c r="E3" s="179" t="s">
        <v>1</v>
      </c>
      <c r="F3" s="179">
        <v>22</v>
      </c>
      <c r="G3" s="179">
        <v>12</v>
      </c>
      <c r="H3" s="179">
        <v>0</v>
      </c>
      <c r="I3" s="179">
        <v>0</v>
      </c>
      <c r="J3" s="179">
        <v>3</v>
      </c>
      <c r="K3" s="179">
        <v>2</v>
      </c>
      <c r="L3" s="179">
        <v>0</v>
      </c>
      <c r="M3" s="179">
        <v>1</v>
      </c>
      <c r="N3" s="179">
        <v>1</v>
      </c>
      <c r="O3" s="179">
        <v>0</v>
      </c>
      <c r="P3" s="179">
        <v>0</v>
      </c>
      <c r="Q3" s="179">
        <v>0</v>
      </c>
      <c r="R3" s="179">
        <v>2</v>
      </c>
      <c r="S3" s="183"/>
      <c r="T3" s="184" t="s">
        <v>177</v>
      </c>
      <c r="U3" s="185" t="s">
        <v>173</v>
      </c>
      <c r="V3" s="183" t="s">
        <v>174</v>
      </c>
      <c r="W3" s="180" t="s">
        <v>175</v>
      </c>
      <c r="X3" s="186" t="s">
        <v>176</v>
      </c>
      <c r="Y3" s="181">
        <v>1</v>
      </c>
      <c r="Z3" s="181">
        <v>1</v>
      </c>
      <c r="AA3" s="181">
        <v>0</v>
      </c>
      <c r="AB3" s="182">
        <v>0</v>
      </c>
      <c r="AC3" s="181">
        <v>0</v>
      </c>
      <c r="AD3" s="181">
        <v>0</v>
      </c>
      <c r="AE3" s="181">
        <v>0</v>
      </c>
      <c r="AF3" s="182">
        <v>0</v>
      </c>
      <c r="AG3" s="181">
        <v>1</v>
      </c>
      <c r="AH3" s="181">
        <v>1</v>
      </c>
      <c r="AI3" s="181">
        <v>0</v>
      </c>
      <c r="AJ3" s="182">
        <v>0</v>
      </c>
      <c r="AK3" s="181">
        <v>0</v>
      </c>
      <c r="AL3" s="181">
        <v>0</v>
      </c>
      <c r="AM3" s="181">
        <v>0</v>
      </c>
      <c r="AN3" s="182">
        <v>0</v>
      </c>
    </row>
    <row r="4" spans="1:40" ht="14.95" customHeight="1" thickBot="1" x14ac:dyDescent="0.35">
      <c r="A4" s="176" t="s">
        <v>131</v>
      </c>
      <c r="B4" s="178" t="s">
        <v>41</v>
      </c>
      <c r="C4" s="178" t="s">
        <v>35</v>
      </c>
      <c r="D4" s="178" t="s">
        <v>92</v>
      </c>
      <c r="E4" s="179" t="s">
        <v>1</v>
      </c>
      <c r="F4" s="179">
        <v>53</v>
      </c>
      <c r="G4" s="179">
        <v>3</v>
      </c>
      <c r="H4" s="179">
        <v>1</v>
      </c>
      <c r="I4" s="179">
        <v>0</v>
      </c>
      <c r="J4" s="179">
        <v>9</v>
      </c>
      <c r="K4" s="179">
        <v>4</v>
      </c>
      <c r="L4" s="179">
        <v>0</v>
      </c>
      <c r="M4" s="179">
        <v>0</v>
      </c>
      <c r="N4" s="179">
        <v>0</v>
      </c>
      <c r="O4" s="179">
        <v>1</v>
      </c>
      <c r="P4" s="179">
        <v>0</v>
      </c>
      <c r="Q4" s="179">
        <v>0</v>
      </c>
      <c r="R4" s="179">
        <v>0</v>
      </c>
      <c r="S4" s="183">
        <v>5214</v>
      </c>
      <c r="T4" s="184" t="s">
        <v>209</v>
      </c>
      <c r="U4" s="180" t="s">
        <v>175</v>
      </c>
      <c r="V4" s="183" t="s">
        <v>206</v>
      </c>
      <c r="W4" s="180" t="s">
        <v>207</v>
      </c>
      <c r="X4" s="186" t="s">
        <v>208</v>
      </c>
      <c r="Y4" s="181">
        <v>1</v>
      </c>
      <c r="Z4" s="181">
        <v>1</v>
      </c>
      <c r="AA4" s="181">
        <v>0</v>
      </c>
      <c r="AB4" s="182">
        <v>0</v>
      </c>
      <c r="AC4" s="181">
        <v>0</v>
      </c>
      <c r="AD4" s="181">
        <v>0</v>
      </c>
      <c r="AE4" s="181">
        <v>0</v>
      </c>
      <c r="AF4" s="182">
        <v>0</v>
      </c>
      <c r="AG4" s="181">
        <v>1</v>
      </c>
      <c r="AH4" s="181">
        <v>1</v>
      </c>
      <c r="AI4" s="181">
        <v>0</v>
      </c>
      <c r="AJ4" s="182">
        <v>0</v>
      </c>
      <c r="AK4" s="181">
        <v>0</v>
      </c>
      <c r="AL4" s="181">
        <v>0</v>
      </c>
      <c r="AM4" s="181">
        <v>0</v>
      </c>
      <c r="AN4" s="182">
        <v>0</v>
      </c>
    </row>
    <row r="5" spans="1:40" ht="14.95" customHeight="1" thickBot="1" x14ac:dyDescent="0.35">
      <c r="A5" s="191" t="s">
        <v>144</v>
      </c>
      <c r="B5" s="192" t="s">
        <v>41</v>
      </c>
      <c r="C5" s="192" t="s">
        <v>34</v>
      </c>
      <c r="D5" s="192" t="s">
        <v>145</v>
      </c>
      <c r="E5" s="193" t="s">
        <v>1</v>
      </c>
      <c r="F5" s="193">
        <v>55</v>
      </c>
      <c r="G5" s="193">
        <v>0</v>
      </c>
      <c r="H5" s="193">
        <v>1</v>
      </c>
      <c r="I5" s="193">
        <v>0</v>
      </c>
      <c r="J5" s="193">
        <v>9</v>
      </c>
      <c r="K5" s="193">
        <v>5</v>
      </c>
      <c r="L5" s="193">
        <v>0</v>
      </c>
      <c r="M5" s="193">
        <v>0</v>
      </c>
      <c r="N5" s="193">
        <v>0</v>
      </c>
      <c r="O5" s="193">
        <v>0</v>
      </c>
      <c r="P5" s="193">
        <v>0</v>
      </c>
      <c r="Q5" s="193">
        <v>0</v>
      </c>
      <c r="R5" s="193">
        <v>0</v>
      </c>
      <c r="S5" s="194"/>
      <c r="T5" s="203" t="s">
        <v>239</v>
      </c>
      <c r="U5" s="196" t="s">
        <v>240</v>
      </c>
      <c r="V5" s="194" t="s">
        <v>218</v>
      </c>
      <c r="W5" s="197" t="s">
        <v>241</v>
      </c>
      <c r="X5" s="198" t="s">
        <v>176</v>
      </c>
      <c r="Y5" s="199">
        <v>1</v>
      </c>
      <c r="Z5" s="199">
        <v>1</v>
      </c>
      <c r="AA5" s="199">
        <v>0</v>
      </c>
      <c r="AB5" s="200">
        <v>0</v>
      </c>
      <c r="AC5" s="199">
        <v>1</v>
      </c>
      <c r="AD5" s="199">
        <v>1</v>
      </c>
      <c r="AE5" s="199">
        <v>0</v>
      </c>
      <c r="AF5" s="200">
        <v>0</v>
      </c>
      <c r="AG5" s="199">
        <v>0</v>
      </c>
      <c r="AH5" s="199">
        <v>0</v>
      </c>
      <c r="AI5" s="199">
        <v>0</v>
      </c>
      <c r="AJ5" s="200">
        <v>0</v>
      </c>
      <c r="AK5" s="199">
        <v>0</v>
      </c>
      <c r="AL5" s="199">
        <v>0</v>
      </c>
      <c r="AM5" s="199">
        <v>0</v>
      </c>
      <c r="AN5" s="200">
        <v>0</v>
      </c>
    </row>
    <row r="6" spans="1:40" ht="14.95" customHeight="1" thickBot="1" x14ac:dyDescent="0.35">
      <c r="A6" s="191" t="s">
        <v>147</v>
      </c>
      <c r="B6" s="192" t="s">
        <v>41</v>
      </c>
      <c r="C6" s="192" t="s">
        <v>31</v>
      </c>
      <c r="D6" s="192" t="s">
        <v>148</v>
      </c>
      <c r="E6" s="193" t="s">
        <v>1</v>
      </c>
      <c r="F6" s="193">
        <v>39</v>
      </c>
      <c r="G6" s="193">
        <v>14</v>
      </c>
      <c r="H6" s="193">
        <v>1</v>
      </c>
      <c r="I6" s="193">
        <v>0</v>
      </c>
      <c r="J6" s="193">
        <v>6</v>
      </c>
      <c r="K6" s="193">
        <v>3</v>
      </c>
      <c r="L6" s="193">
        <v>0</v>
      </c>
      <c r="M6" s="193">
        <v>0</v>
      </c>
      <c r="N6" s="193">
        <v>0</v>
      </c>
      <c r="O6" s="193">
        <v>0</v>
      </c>
      <c r="P6" s="193">
        <v>0</v>
      </c>
      <c r="Q6" s="193">
        <v>0</v>
      </c>
      <c r="R6" s="193">
        <v>2</v>
      </c>
      <c r="S6" s="194">
        <v>18604</v>
      </c>
      <c r="T6" s="203" t="s">
        <v>254</v>
      </c>
      <c r="U6" s="196" t="s">
        <v>182</v>
      </c>
      <c r="V6" s="194" t="s">
        <v>255</v>
      </c>
      <c r="W6" s="197" t="s">
        <v>176</v>
      </c>
      <c r="X6" s="198" t="s">
        <v>226</v>
      </c>
      <c r="Y6" s="199">
        <v>1</v>
      </c>
      <c r="Z6" s="199">
        <v>1</v>
      </c>
      <c r="AA6" s="199">
        <v>0</v>
      </c>
      <c r="AB6" s="200">
        <v>0</v>
      </c>
      <c r="AC6" s="199">
        <v>1</v>
      </c>
      <c r="AD6" s="199">
        <v>1</v>
      </c>
      <c r="AE6" s="199">
        <v>0</v>
      </c>
      <c r="AF6" s="200">
        <v>0</v>
      </c>
      <c r="AG6" s="199">
        <v>0</v>
      </c>
      <c r="AH6" s="199">
        <v>0</v>
      </c>
      <c r="AI6" s="199">
        <v>0</v>
      </c>
      <c r="AJ6" s="200">
        <v>0</v>
      </c>
      <c r="AK6" s="199">
        <v>0</v>
      </c>
      <c r="AL6" s="199">
        <v>0</v>
      </c>
      <c r="AM6" s="199">
        <v>0</v>
      </c>
      <c r="AN6" s="200">
        <v>0</v>
      </c>
    </row>
    <row r="7" spans="1:40" ht="14.95" customHeight="1" thickBot="1" x14ac:dyDescent="0.3">
      <c r="A7" s="176" t="s">
        <v>151</v>
      </c>
      <c r="B7" s="178" t="s">
        <v>41</v>
      </c>
      <c r="C7" s="178" t="s">
        <v>30</v>
      </c>
      <c r="D7" s="178" t="s">
        <v>152</v>
      </c>
      <c r="E7" s="179" t="s">
        <v>3</v>
      </c>
      <c r="F7" s="179">
        <v>33</v>
      </c>
      <c r="G7" s="179">
        <v>38</v>
      </c>
      <c r="H7" s="179">
        <v>1</v>
      </c>
      <c r="I7" s="179">
        <v>1</v>
      </c>
      <c r="J7" s="179">
        <v>5</v>
      </c>
      <c r="K7" s="179">
        <v>4</v>
      </c>
      <c r="L7" s="179">
        <v>0</v>
      </c>
      <c r="M7" s="179">
        <v>0</v>
      </c>
      <c r="N7" s="179">
        <v>2</v>
      </c>
      <c r="O7" s="179">
        <v>0</v>
      </c>
      <c r="P7" s="179">
        <v>1</v>
      </c>
      <c r="Q7" s="179">
        <v>0</v>
      </c>
      <c r="R7" s="179">
        <v>6</v>
      </c>
      <c r="S7" s="180">
        <v>58498</v>
      </c>
      <c r="T7" s="189" t="s">
        <v>269</v>
      </c>
      <c r="U7" s="180" t="s">
        <v>155</v>
      </c>
      <c r="V7" s="180" t="s">
        <v>206</v>
      </c>
      <c r="W7" s="180" t="s">
        <v>240</v>
      </c>
      <c r="X7" s="186" t="s">
        <v>268</v>
      </c>
      <c r="Y7" s="181">
        <v>1</v>
      </c>
      <c r="Z7" s="181">
        <v>0</v>
      </c>
      <c r="AA7" s="181">
        <v>0</v>
      </c>
      <c r="AB7" s="182">
        <v>1</v>
      </c>
      <c r="AC7" s="181">
        <v>0</v>
      </c>
      <c r="AD7" s="181">
        <v>0</v>
      </c>
      <c r="AE7" s="181">
        <v>0</v>
      </c>
      <c r="AF7" s="182">
        <v>0</v>
      </c>
      <c r="AG7" s="181">
        <v>1</v>
      </c>
      <c r="AH7" s="181">
        <v>0</v>
      </c>
      <c r="AI7" s="181">
        <v>0</v>
      </c>
      <c r="AJ7" s="182">
        <v>1</v>
      </c>
      <c r="AK7" s="181">
        <v>0</v>
      </c>
      <c r="AL7" s="181">
        <v>0</v>
      </c>
      <c r="AM7" s="181">
        <v>0</v>
      </c>
      <c r="AN7" s="182">
        <v>0</v>
      </c>
    </row>
    <row r="8" spans="1:40" ht="14.95" customHeight="1" thickBot="1" x14ac:dyDescent="0.35">
      <c r="A8" s="176" t="s">
        <v>440</v>
      </c>
      <c r="B8" s="178" t="s">
        <v>427</v>
      </c>
      <c r="C8" s="178" t="s">
        <v>73</v>
      </c>
      <c r="D8" s="178" t="s">
        <v>436</v>
      </c>
      <c r="E8" s="179" t="s">
        <v>1</v>
      </c>
      <c r="F8" s="179">
        <v>18</v>
      </c>
      <c r="G8" s="179">
        <v>17</v>
      </c>
      <c r="H8" s="179">
        <v>0</v>
      </c>
      <c r="I8" s="179">
        <v>0</v>
      </c>
      <c r="J8" s="179">
        <v>2</v>
      </c>
      <c r="K8" s="179">
        <v>1</v>
      </c>
      <c r="L8" s="179">
        <v>0</v>
      </c>
      <c r="M8" s="179">
        <v>2</v>
      </c>
      <c r="N8" s="179">
        <v>0</v>
      </c>
      <c r="O8" s="179">
        <v>0</v>
      </c>
      <c r="P8" s="179">
        <v>0</v>
      </c>
      <c r="Q8" s="179">
        <v>1</v>
      </c>
      <c r="R8" s="179">
        <v>2</v>
      </c>
      <c r="S8" s="180"/>
      <c r="T8" s="349" t="s">
        <v>177</v>
      </c>
      <c r="U8" s="180" t="s">
        <v>175</v>
      </c>
      <c r="V8" s="180" t="s">
        <v>163</v>
      </c>
      <c r="W8" s="180" t="s">
        <v>155</v>
      </c>
      <c r="X8" s="186" t="s">
        <v>194</v>
      </c>
      <c r="Y8" s="181">
        <v>1</v>
      </c>
      <c r="Z8" s="181">
        <v>1</v>
      </c>
      <c r="AA8" s="181">
        <v>0</v>
      </c>
      <c r="AB8" s="182">
        <v>0</v>
      </c>
      <c r="AC8" s="181">
        <v>0</v>
      </c>
      <c r="AD8" s="181">
        <v>0</v>
      </c>
      <c r="AE8" s="181">
        <v>0</v>
      </c>
      <c r="AF8" s="182">
        <v>0</v>
      </c>
      <c r="AG8" s="181">
        <v>1</v>
      </c>
      <c r="AH8" s="181">
        <v>1</v>
      </c>
      <c r="AI8" s="181">
        <v>0</v>
      </c>
      <c r="AJ8" s="182">
        <v>0</v>
      </c>
      <c r="AK8" s="181">
        <v>0</v>
      </c>
      <c r="AL8" s="181">
        <v>0</v>
      </c>
      <c r="AM8" s="181">
        <v>0</v>
      </c>
      <c r="AN8" s="181">
        <v>0</v>
      </c>
    </row>
    <row r="9" spans="1:40" ht="14.95" customHeight="1" thickBot="1" x14ac:dyDescent="0.3">
      <c r="A9" s="210" t="s">
        <v>458</v>
      </c>
      <c r="B9" s="211" t="s">
        <v>427</v>
      </c>
      <c r="C9" s="211" t="s">
        <v>29</v>
      </c>
      <c r="D9" s="211" t="s">
        <v>449</v>
      </c>
      <c r="E9" s="207" t="s">
        <v>3</v>
      </c>
      <c r="F9" s="207">
        <v>20</v>
      </c>
      <c r="G9" s="207">
        <v>29</v>
      </c>
      <c r="H9" s="207">
        <v>0</v>
      </c>
      <c r="I9" s="207">
        <v>0</v>
      </c>
      <c r="J9" s="207">
        <v>3</v>
      </c>
      <c r="K9" s="207">
        <v>1</v>
      </c>
      <c r="L9" s="207">
        <v>0</v>
      </c>
      <c r="M9" s="207">
        <v>1</v>
      </c>
      <c r="N9" s="207">
        <v>0</v>
      </c>
      <c r="O9" s="207">
        <v>0</v>
      </c>
      <c r="P9" s="207">
        <v>1</v>
      </c>
      <c r="Q9" s="207">
        <v>0</v>
      </c>
      <c r="R9" s="207">
        <v>4</v>
      </c>
      <c r="S9" s="209"/>
      <c r="T9" s="236" t="s">
        <v>217</v>
      </c>
      <c r="U9" s="209" t="s">
        <v>155</v>
      </c>
      <c r="V9" s="209" t="s">
        <v>163</v>
      </c>
      <c r="W9" s="209" t="s">
        <v>240</v>
      </c>
      <c r="X9" s="214" t="s">
        <v>452</v>
      </c>
      <c r="Y9" s="147">
        <v>1</v>
      </c>
      <c r="Z9" s="147">
        <v>0</v>
      </c>
      <c r="AA9" s="147">
        <v>0</v>
      </c>
      <c r="AB9" s="208">
        <v>1</v>
      </c>
      <c r="AC9" s="147">
        <v>0</v>
      </c>
      <c r="AD9" s="147">
        <v>0</v>
      </c>
      <c r="AE9" s="147">
        <v>0</v>
      </c>
      <c r="AF9" s="208">
        <v>0</v>
      </c>
      <c r="AG9" s="147">
        <v>0</v>
      </c>
      <c r="AH9" s="147">
        <v>0</v>
      </c>
      <c r="AI9" s="147">
        <v>0</v>
      </c>
      <c r="AJ9" s="208">
        <v>0</v>
      </c>
      <c r="AK9" s="147">
        <v>1</v>
      </c>
      <c r="AL9" s="147">
        <v>0</v>
      </c>
      <c r="AM9" s="147">
        <v>0</v>
      </c>
      <c r="AN9" s="147">
        <v>1</v>
      </c>
    </row>
    <row r="10" spans="1:40" ht="14.95" customHeight="1" thickBot="1" x14ac:dyDescent="0.35">
      <c r="A10" s="232" t="s">
        <v>478</v>
      </c>
      <c r="B10" s="233" t="s">
        <v>427</v>
      </c>
      <c r="C10" s="233" t="s">
        <v>36</v>
      </c>
      <c r="D10" s="233" t="s">
        <v>470</v>
      </c>
      <c r="E10" s="148" t="s">
        <v>3</v>
      </c>
      <c r="F10" s="207">
        <v>20</v>
      </c>
      <c r="G10" s="207">
        <v>29</v>
      </c>
      <c r="H10" s="207">
        <v>0</v>
      </c>
      <c r="I10" s="207">
        <v>0</v>
      </c>
      <c r="J10" s="207">
        <v>2</v>
      </c>
      <c r="K10" s="207">
        <v>2</v>
      </c>
      <c r="L10" s="207">
        <v>0</v>
      </c>
      <c r="M10" s="207">
        <v>2</v>
      </c>
      <c r="N10" s="207">
        <v>1</v>
      </c>
      <c r="O10" s="207">
        <v>0</v>
      </c>
      <c r="P10" s="207">
        <v>1</v>
      </c>
      <c r="Q10" s="207">
        <v>0</v>
      </c>
      <c r="R10" s="207">
        <v>4</v>
      </c>
      <c r="S10" s="209"/>
      <c r="T10" s="366" t="s">
        <v>249</v>
      </c>
      <c r="U10" s="209" t="s">
        <v>173</v>
      </c>
      <c r="V10" s="209" t="s">
        <v>282</v>
      </c>
      <c r="W10" s="209" t="s">
        <v>240</v>
      </c>
      <c r="X10" s="209" t="s">
        <v>472</v>
      </c>
      <c r="Y10" s="147">
        <v>1</v>
      </c>
      <c r="Z10" s="147">
        <v>0</v>
      </c>
      <c r="AA10" s="147">
        <v>0</v>
      </c>
      <c r="AB10" s="208">
        <v>1</v>
      </c>
      <c r="AC10" s="147">
        <v>0</v>
      </c>
      <c r="AD10" s="147">
        <v>0</v>
      </c>
      <c r="AE10" s="147">
        <v>0</v>
      </c>
      <c r="AF10" s="208">
        <v>0</v>
      </c>
      <c r="AG10" s="147">
        <v>0</v>
      </c>
      <c r="AH10" s="147">
        <v>0</v>
      </c>
      <c r="AI10" s="147">
        <v>0</v>
      </c>
      <c r="AJ10" s="208">
        <v>0</v>
      </c>
      <c r="AK10" s="147">
        <v>1</v>
      </c>
      <c r="AL10" s="147">
        <v>0</v>
      </c>
      <c r="AM10" s="147">
        <v>0</v>
      </c>
      <c r="AN10" s="208">
        <v>1</v>
      </c>
    </row>
    <row r="11" spans="1:40" ht="14.95" thickBot="1" x14ac:dyDescent="0.3">
      <c r="A11" s="117"/>
      <c r="B11" s="118"/>
      <c r="C11" s="553" t="s">
        <v>71</v>
      </c>
      <c r="D11" s="554"/>
      <c r="E11" s="555"/>
      <c r="F11" s="434">
        <f>SUM(F3:F7)</f>
        <v>202</v>
      </c>
      <c r="G11" s="434">
        <f t="shared" ref="G11:R11" si="0">SUM(G3:G7)</f>
        <v>67</v>
      </c>
      <c r="H11" s="434">
        <f t="shared" si="0"/>
        <v>4</v>
      </c>
      <c r="I11" s="434">
        <f t="shared" si="0"/>
        <v>1</v>
      </c>
      <c r="J11" s="434">
        <f t="shared" si="0"/>
        <v>32</v>
      </c>
      <c r="K11" s="434">
        <f t="shared" si="0"/>
        <v>18</v>
      </c>
      <c r="L11" s="434">
        <f t="shared" si="0"/>
        <v>0</v>
      </c>
      <c r="M11" s="434">
        <f t="shared" si="0"/>
        <v>1</v>
      </c>
      <c r="N11" s="434">
        <f t="shared" si="0"/>
        <v>3</v>
      </c>
      <c r="O11" s="434">
        <f t="shared" si="0"/>
        <v>1</v>
      </c>
      <c r="P11" s="434">
        <f t="shared" si="0"/>
        <v>1</v>
      </c>
      <c r="Q11" s="434">
        <f t="shared" si="0"/>
        <v>0</v>
      </c>
      <c r="R11" s="434">
        <f t="shared" si="0"/>
        <v>10</v>
      </c>
      <c r="S11" s="435"/>
      <c r="T11" s="435"/>
      <c r="U11" s="435"/>
      <c r="V11" s="435"/>
      <c r="W11" s="436"/>
      <c r="X11" s="437" t="s">
        <v>71</v>
      </c>
      <c r="Y11" s="434">
        <f t="shared" ref="Y11:AN11" si="1">SUM(Y3:Y7)</f>
        <v>5</v>
      </c>
      <c r="Z11" s="434">
        <f t="shared" si="1"/>
        <v>4</v>
      </c>
      <c r="AA11" s="434">
        <f t="shared" si="1"/>
        <v>0</v>
      </c>
      <c r="AB11" s="434">
        <f t="shared" si="1"/>
        <v>1</v>
      </c>
      <c r="AC11" s="438">
        <f t="shared" si="1"/>
        <v>2</v>
      </c>
      <c r="AD11" s="438">
        <f t="shared" si="1"/>
        <v>2</v>
      </c>
      <c r="AE11" s="438">
        <f t="shared" si="1"/>
        <v>0</v>
      </c>
      <c r="AF11" s="438">
        <f t="shared" si="1"/>
        <v>0</v>
      </c>
      <c r="AG11" s="439">
        <f t="shared" si="1"/>
        <v>3</v>
      </c>
      <c r="AH11" s="439">
        <f t="shared" si="1"/>
        <v>2</v>
      </c>
      <c r="AI11" s="439">
        <f t="shared" si="1"/>
        <v>0</v>
      </c>
      <c r="AJ11" s="439">
        <f t="shared" si="1"/>
        <v>1</v>
      </c>
      <c r="AK11" s="434">
        <f t="shared" si="1"/>
        <v>0</v>
      </c>
      <c r="AL11" s="434">
        <f t="shared" si="1"/>
        <v>0</v>
      </c>
      <c r="AM11" s="434">
        <f t="shared" si="1"/>
        <v>0</v>
      </c>
      <c r="AN11" s="434">
        <f t="shared" si="1"/>
        <v>0</v>
      </c>
    </row>
    <row r="12" spans="1:40" ht="14.95" thickBot="1" x14ac:dyDescent="0.3">
      <c r="A12" s="117"/>
      <c r="B12" s="118"/>
      <c r="C12" s="576" t="s">
        <v>427</v>
      </c>
      <c r="D12" s="577"/>
      <c r="E12" s="578"/>
      <c r="F12" s="430">
        <f>SUM(F8:F10)</f>
        <v>58</v>
      </c>
      <c r="G12" s="430">
        <f t="shared" ref="G12:R12" si="2">SUM(G8:G10)</f>
        <v>75</v>
      </c>
      <c r="H12" s="430">
        <f t="shared" si="2"/>
        <v>0</v>
      </c>
      <c r="I12" s="430">
        <f t="shared" si="2"/>
        <v>0</v>
      </c>
      <c r="J12" s="430">
        <f t="shared" si="2"/>
        <v>7</v>
      </c>
      <c r="K12" s="430">
        <f t="shared" si="2"/>
        <v>4</v>
      </c>
      <c r="L12" s="430">
        <f t="shared" si="2"/>
        <v>0</v>
      </c>
      <c r="M12" s="430">
        <f t="shared" si="2"/>
        <v>5</v>
      </c>
      <c r="N12" s="430">
        <f t="shared" si="2"/>
        <v>1</v>
      </c>
      <c r="O12" s="430">
        <f t="shared" si="2"/>
        <v>0</v>
      </c>
      <c r="P12" s="430">
        <f t="shared" si="2"/>
        <v>2</v>
      </c>
      <c r="Q12" s="430">
        <f t="shared" si="2"/>
        <v>1</v>
      </c>
      <c r="R12" s="430">
        <f t="shared" si="2"/>
        <v>10</v>
      </c>
      <c r="S12" s="431"/>
      <c r="T12" s="431"/>
      <c r="U12" s="431"/>
      <c r="V12" s="431"/>
      <c r="W12" s="116"/>
      <c r="X12" s="150" t="s">
        <v>427</v>
      </c>
      <c r="Y12" s="430">
        <f t="shared" ref="Y12:AN12" si="3">SUM(Y8:Y10)</f>
        <v>3</v>
      </c>
      <c r="Z12" s="430">
        <f t="shared" si="3"/>
        <v>1</v>
      </c>
      <c r="AA12" s="430">
        <f t="shared" si="3"/>
        <v>0</v>
      </c>
      <c r="AB12" s="430">
        <f t="shared" si="3"/>
        <v>2</v>
      </c>
      <c r="AC12" s="432">
        <f t="shared" si="3"/>
        <v>0</v>
      </c>
      <c r="AD12" s="432">
        <f t="shared" si="3"/>
        <v>0</v>
      </c>
      <c r="AE12" s="432">
        <f t="shared" si="3"/>
        <v>0</v>
      </c>
      <c r="AF12" s="432">
        <f t="shared" si="3"/>
        <v>0</v>
      </c>
      <c r="AG12" s="433">
        <f t="shared" si="3"/>
        <v>1</v>
      </c>
      <c r="AH12" s="433">
        <f t="shared" si="3"/>
        <v>1</v>
      </c>
      <c r="AI12" s="433">
        <f t="shared" si="3"/>
        <v>0</v>
      </c>
      <c r="AJ12" s="433">
        <f t="shared" si="3"/>
        <v>0</v>
      </c>
      <c r="AK12" s="430">
        <f t="shared" si="3"/>
        <v>2</v>
      </c>
      <c r="AL12" s="430">
        <f t="shared" si="3"/>
        <v>0</v>
      </c>
      <c r="AM12" s="430">
        <f t="shared" si="3"/>
        <v>0</v>
      </c>
      <c r="AN12" s="430">
        <f t="shared" si="3"/>
        <v>2</v>
      </c>
    </row>
    <row r="13" spans="1:40" ht="14.95" thickBot="1" x14ac:dyDescent="0.3">
      <c r="A13" s="117"/>
      <c r="B13" s="118"/>
      <c r="C13" s="515" t="s">
        <v>70</v>
      </c>
      <c r="D13" s="516"/>
      <c r="E13" s="517"/>
      <c r="F13" s="142">
        <f t="shared" ref="F13:R13" si="4">SUM(F3:F10)</f>
        <v>260</v>
      </c>
      <c r="G13" s="142">
        <f t="shared" si="4"/>
        <v>142</v>
      </c>
      <c r="H13" s="171">
        <f t="shared" si="4"/>
        <v>4</v>
      </c>
      <c r="I13" s="142">
        <f t="shared" si="4"/>
        <v>1</v>
      </c>
      <c r="J13" s="142">
        <f t="shared" si="4"/>
        <v>39</v>
      </c>
      <c r="K13" s="142">
        <f t="shared" si="4"/>
        <v>22</v>
      </c>
      <c r="L13" s="142">
        <f t="shared" si="4"/>
        <v>0</v>
      </c>
      <c r="M13" s="142">
        <f t="shared" si="4"/>
        <v>6</v>
      </c>
      <c r="N13" s="142">
        <f t="shared" si="4"/>
        <v>4</v>
      </c>
      <c r="O13" s="142">
        <f t="shared" si="4"/>
        <v>1</v>
      </c>
      <c r="P13" s="142">
        <f t="shared" si="4"/>
        <v>3</v>
      </c>
      <c r="Q13" s="142">
        <f t="shared" si="4"/>
        <v>1</v>
      </c>
      <c r="R13" s="142">
        <f t="shared" si="4"/>
        <v>20</v>
      </c>
      <c r="S13" s="139"/>
      <c r="T13" s="139"/>
      <c r="U13" s="139"/>
      <c r="V13" s="139"/>
      <c r="W13" s="12"/>
      <c r="X13" s="147" t="s">
        <v>70</v>
      </c>
      <c r="Y13" s="142">
        <f t="shared" ref="Y13:AN13" si="5">SUM(Y3:Y10)</f>
        <v>8</v>
      </c>
      <c r="Z13" s="142">
        <f t="shared" si="5"/>
        <v>5</v>
      </c>
      <c r="AA13" s="142">
        <f t="shared" si="5"/>
        <v>0</v>
      </c>
      <c r="AB13" s="142">
        <f t="shared" si="5"/>
        <v>3</v>
      </c>
      <c r="AC13" s="140">
        <f t="shared" si="5"/>
        <v>2</v>
      </c>
      <c r="AD13" s="140">
        <f t="shared" si="5"/>
        <v>2</v>
      </c>
      <c r="AE13" s="140">
        <f t="shared" si="5"/>
        <v>0</v>
      </c>
      <c r="AF13" s="140">
        <f t="shared" si="5"/>
        <v>0</v>
      </c>
      <c r="AG13" s="141">
        <f t="shared" si="5"/>
        <v>4</v>
      </c>
      <c r="AH13" s="141">
        <f t="shared" si="5"/>
        <v>3</v>
      </c>
      <c r="AI13" s="141">
        <f t="shared" si="5"/>
        <v>0</v>
      </c>
      <c r="AJ13" s="141">
        <f t="shared" si="5"/>
        <v>1</v>
      </c>
      <c r="AK13" s="142">
        <f t="shared" si="5"/>
        <v>2</v>
      </c>
      <c r="AL13" s="142">
        <f t="shared" si="5"/>
        <v>0</v>
      </c>
      <c r="AM13" s="142">
        <f t="shared" si="5"/>
        <v>0</v>
      </c>
      <c r="AN13" s="142">
        <f t="shared" si="5"/>
        <v>2</v>
      </c>
    </row>
    <row r="14" spans="1:40" x14ac:dyDescent="0.25">
      <c r="A14" s="518" t="s">
        <v>482</v>
      </c>
      <c r="B14" s="490"/>
      <c r="C14" s="490"/>
      <c r="D14" s="490"/>
      <c r="E14" s="490"/>
      <c r="F14" s="490"/>
      <c r="G14" s="490"/>
      <c r="H14" s="490"/>
      <c r="I14" s="490"/>
      <c r="J14" s="490"/>
      <c r="K14" s="490"/>
      <c r="L14" s="490"/>
      <c r="M14" s="490"/>
      <c r="N14" s="490"/>
      <c r="O14" s="490"/>
      <c r="P14" s="490"/>
      <c r="Q14" s="490"/>
      <c r="R14" s="490"/>
      <c r="S14" s="490"/>
      <c r="T14" s="490"/>
      <c r="U14" s="490"/>
      <c r="V14" s="490"/>
      <c r="W14" s="490"/>
      <c r="X14" s="490"/>
      <c r="Y14" s="490"/>
      <c r="Z14" s="490"/>
      <c r="AA14" s="490"/>
      <c r="AB14" s="490"/>
      <c r="AC14" s="490"/>
      <c r="AD14" s="490"/>
      <c r="AE14" s="490"/>
      <c r="AF14" s="490"/>
      <c r="AG14" s="490"/>
      <c r="AH14" s="490"/>
      <c r="AI14" s="490"/>
      <c r="AJ14" s="490"/>
      <c r="AK14" s="490"/>
      <c r="AL14" s="490"/>
      <c r="AM14" s="490"/>
      <c r="AN14" s="490"/>
    </row>
    <row r="15" spans="1:40" x14ac:dyDescent="0.25">
      <c r="A15" t="s">
        <v>137</v>
      </c>
      <c r="F15" s="13"/>
      <c r="G15" s="13"/>
      <c r="H15" s="12"/>
      <c r="I15" s="13"/>
      <c r="J15" s="13"/>
      <c r="K15" s="13"/>
      <c r="L15" s="13"/>
      <c r="M15" s="13"/>
      <c r="N15" s="13"/>
      <c r="O15" s="13"/>
      <c r="P15" s="13"/>
      <c r="Q15" s="13"/>
      <c r="R15" s="13"/>
    </row>
    <row r="16" spans="1:40" x14ac:dyDescent="0.25">
      <c r="A16" t="s">
        <v>149</v>
      </c>
      <c r="F16" s="13"/>
      <c r="G16" s="13"/>
      <c r="H16" s="12"/>
      <c r="I16" s="13"/>
      <c r="J16" s="13"/>
      <c r="K16" s="13"/>
      <c r="L16" s="13"/>
      <c r="M16" s="13"/>
      <c r="N16" s="13"/>
      <c r="O16" s="13"/>
      <c r="P16" s="13"/>
      <c r="Q16" s="13"/>
      <c r="R16" s="13"/>
    </row>
    <row r="17" spans="1:40" x14ac:dyDescent="0.25">
      <c r="A17" t="s">
        <v>460</v>
      </c>
      <c r="F17" s="13"/>
      <c r="G17" s="13"/>
      <c r="H17" s="12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40" x14ac:dyDescent="0.25">
      <c r="A18" t="s">
        <v>479</v>
      </c>
      <c r="F18" s="13"/>
      <c r="G18" s="13"/>
      <c r="H18" s="12"/>
      <c r="I18" s="13"/>
      <c r="J18" s="13"/>
      <c r="K18" s="13"/>
      <c r="L18" s="13"/>
      <c r="M18" s="13"/>
      <c r="N18" s="13"/>
      <c r="O18" s="13"/>
      <c r="P18" s="13"/>
      <c r="Q18" s="13"/>
      <c r="R18" s="13"/>
    </row>
    <row r="19" spans="1:40" x14ac:dyDescent="0.25">
      <c r="F19" s="13"/>
      <c r="G19" s="13"/>
      <c r="H19" s="12"/>
      <c r="I19" s="13"/>
      <c r="J19" s="13"/>
      <c r="K19" s="13"/>
      <c r="L19" s="13"/>
      <c r="M19" s="13"/>
      <c r="N19" s="13"/>
      <c r="O19" s="13"/>
      <c r="P19" s="13"/>
      <c r="Q19" s="13"/>
      <c r="R19" s="13"/>
    </row>
    <row r="20" spans="1:40" x14ac:dyDescent="0.25">
      <c r="A20" s="518" t="s">
        <v>77</v>
      </c>
      <c r="B20" s="490"/>
      <c r="C20" s="490"/>
      <c r="D20" s="490"/>
      <c r="E20" s="490"/>
      <c r="F20" s="490"/>
      <c r="G20" s="490"/>
      <c r="H20" s="490"/>
      <c r="I20" s="490"/>
      <c r="J20" s="490"/>
      <c r="K20" s="490"/>
      <c r="L20" s="490"/>
      <c r="M20" s="490"/>
      <c r="N20" s="490"/>
      <c r="O20" s="490"/>
      <c r="P20" s="490"/>
      <c r="Q20" s="490"/>
      <c r="R20" s="490"/>
      <c r="S20" s="490"/>
      <c r="T20" s="490"/>
      <c r="U20" s="490"/>
      <c r="V20" s="490"/>
      <c r="W20" s="490"/>
      <c r="X20" s="490"/>
      <c r="Y20" s="490"/>
      <c r="Z20" s="490"/>
      <c r="AA20" s="490"/>
      <c r="AB20" s="490"/>
      <c r="AC20" s="490"/>
      <c r="AD20" s="490"/>
      <c r="AE20" s="490"/>
      <c r="AF20" s="490"/>
      <c r="AG20" s="490"/>
      <c r="AH20" s="490"/>
      <c r="AI20" s="490"/>
      <c r="AJ20" s="490"/>
      <c r="AK20" s="490"/>
      <c r="AL20" s="490"/>
      <c r="AM20" s="490"/>
      <c r="AN20" s="490"/>
    </row>
    <row r="21" spans="1:40" x14ac:dyDescent="0.25">
      <c r="A21" s="440"/>
      <c r="B21" s="73" t="s">
        <v>40</v>
      </c>
      <c r="C21" s="73"/>
    </row>
    <row r="22" spans="1:40" x14ac:dyDescent="0.25">
      <c r="A22" s="441"/>
      <c r="B22" s="73" t="s">
        <v>38</v>
      </c>
      <c r="C22" s="73"/>
    </row>
    <row r="23" spans="1:40" x14ac:dyDescent="0.25">
      <c r="A23" s="442"/>
      <c r="B23" s="73" t="s">
        <v>39</v>
      </c>
      <c r="C23" s="73"/>
    </row>
    <row r="24" spans="1:40" x14ac:dyDescent="0.25">
      <c r="A24" s="14" t="s">
        <v>28</v>
      </c>
    </row>
  </sheetData>
  <mergeCells count="15">
    <mergeCell ref="A20:AN20"/>
    <mergeCell ref="C12:E12"/>
    <mergeCell ref="C13:E13"/>
    <mergeCell ref="A14:AN14"/>
    <mergeCell ref="Y1:AB1"/>
    <mergeCell ref="AC1:AF1"/>
    <mergeCell ref="AG1:AJ1"/>
    <mergeCell ref="AK1:AN1"/>
    <mergeCell ref="N1:O1"/>
    <mergeCell ref="P1:R1"/>
    <mergeCell ref="A1:C1"/>
    <mergeCell ref="E1:G1"/>
    <mergeCell ref="H1:I1"/>
    <mergeCell ref="J1:M1"/>
    <mergeCell ref="C11:E1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N23"/>
  <sheetViews>
    <sheetView workbookViewId="0">
      <pane ySplit="2" topLeftCell="A3" activePane="bottomLeft" state="frozen"/>
      <selection pane="bottomLeft" activeCell="A10" sqref="A10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125" customWidth="1"/>
    <col min="5" max="13" width="3.75" customWidth="1"/>
    <col min="14" max="14" width="4.125" customWidth="1"/>
    <col min="15" max="18" width="3.75" customWidth="1"/>
    <col min="19" max="20" width="6.25" customWidth="1"/>
    <col min="21" max="21" width="30.5" customWidth="1"/>
    <col min="22" max="22" width="22.25" customWidth="1"/>
    <col min="23" max="23" width="21.75" customWidth="1"/>
    <col min="24" max="24" width="30.5" customWidth="1"/>
    <col min="25" max="40" width="3.75" customWidth="1"/>
  </cols>
  <sheetData>
    <row r="1" spans="1:40" ht="14.95" customHeight="1" thickBot="1" x14ac:dyDescent="0.3">
      <c r="A1" s="590" t="s">
        <v>122</v>
      </c>
      <c r="B1" s="591"/>
      <c r="C1" s="591"/>
      <c r="D1" s="43"/>
      <c r="E1" s="592" t="s">
        <v>24</v>
      </c>
      <c r="F1" s="593"/>
      <c r="G1" s="594"/>
      <c r="H1" s="592" t="s">
        <v>23</v>
      </c>
      <c r="I1" s="594"/>
      <c r="J1" s="595" t="s">
        <v>6</v>
      </c>
      <c r="K1" s="596"/>
      <c r="L1" s="596"/>
      <c r="M1" s="597"/>
      <c r="N1" s="595" t="s">
        <v>7</v>
      </c>
      <c r="O1" s="597"/>
      <c r="P1" s="595" t="s">
        <v>25</v>
      </c>
      <c r="Q1" s="596"/>
      <c r="R1" s="597"/>
      <c r="S1" s="144" t="s">
        <v>8</v>
      </c>
      <c r="T1" s="144" t="s">
        <v>9</v>
      </c>
      <c r="U1" s="18" t="s">
        <v>10</v>
      </c>
      <c r="V1" s="17" t="s">
        <v>11</v>
      </c>
      <c r="W1" s="19" t="s">
        <v>26</v>
      </c>
      <c r="X1" s="47" t="s">
        <v>27</v>
      </c>
      <c r="Y1" s="600" t="s">
        <v>20</v>
      </c>
      <c r="Z1" s="580"/>
      <c r="AA1" s="580"/>
      <c r="AB1" s="581"/>
      <c r="AC1" s="600" t="s">
        <v>56</v>
      </c>
      <c r="AD1" s="580"/>
      <c r="AE1" s="580"/>
      <c r="AF1" s="581"/>
      <c r="AG1" s="600" t="s">
        <v>57</v>
      </c>
      <c r="AH1" s="580"/>
      <c r="AI1" s="580"/>
      <c r="AJ1" s="581"/>
      <c r="AK1" s="600" t="s">
        <v>58</v>
      </c>
      <c r="AL1" s="580"/>
      <c r="AM1" s="580"/>
      <c r="AN1" s="581"/>
    </row>
    <row r="2" spans="1:40" ht="14.95" customHeight="1" thickBot="1" x14ac:dyDescent="0.3">
      <c r="A2" s="20" t="s">
        <v>19</v>
      </c>
      <c r="B2" s="21" t="s">
        <v>18</v>
      </c>
      <c r="C2" s="22" t="s">
        <v>17</v>
      </c>
      <c r="D2" s="22" t="s">
        <v>37</v>
      </c>
      <c r="E2" s="23" t="s">
        <v>16</v>
      </c>
      <c r="F2" s="23" t="s">
        <v>4</v>
      </c>
      <c r="G2" s="23" t="s">
        <v>5</v>
      </c>
      <c r="H2" s="24" t="s">
        <v>12</v>
      </c>
      <c r="I2" s="24" t="s">
        <v>3</v>
      </c>
      <c r="J2" s="24" t="s">
        <v>12</v>
      </c>
      <c r="K2" s="24" t="s">
        <v>13</v>
      </c>
      <c r="L2" s="24" t="s">
        <v>2</v>
      </c>
      <c r="M2" s="24" t="s">
        <v>14</v>
      </c>
      <c r="N2" s="24" t="s">
        <v>15</v>
      </c>
      <c r="O2" s="24" t="s">
        <v>16</v>
      </c>
      <c r="P2" s="24" t="s">
        <v>21</v>
      </c>
      <c r="Q2" s="24" t="s">
        <v>22</v>
      </c>
      <c r="R2" s="24" t="s">
        <v>12</v>
      </c>
      <c r="S2" s="25"/>
      <c r="T2" s="26"/>
      <c r="U2" s="27"/>
      <c r="V2" s="25"/>
      <c r="W2" s="28"/>
      <c r="X2" s="29"/>
      <c r="Y2" s="125" t="s">
        <v>0</v>
      </c>
      <c r="Z2" s="125" t="s">
        <v>1</v>
      </c>
      <c r="AA2" s="125" t="s">
        <v>2</v>
      </c>
      <c r="AB2" s="125" t="s">
        <v>3</v>
      </c>
      <c r="AC2" s="125" t="s">
        <v>0</v>
      </c>
      <c r="AD2" s="125" t="s">
        <v>1</v>
      </c>
      <c r="AE2" s="125" t="s">
        <v>2</v>
      </c>
      <c r="AF2" s="125" t="s">
        <v>3</v>
      </c>
      <c r="AG2" s="125" t="s">
        <v>0</v>
      </c>
      <c r="AH2" s="125" t="s">
        <v>1</v>
      </c>
      <c r="AI2" s="125" t="s">
        <v>2</v>
      </c>
      <c r="AJ2" s="125" t="s">
        <v>3</v>
      </c>
      <c r="AK2" s="125" t="s">
        <v>0</v>
      </c>
      <c r="AL2" s="125" t="s">
        <v>1</v>
      </c>
      <c r="AM2" s="125" t="s">
        <v>2</v>
      </c>
      <c r="AN2" s="125" t="s">
        <v>3</v>
      </c>
    </row>
    <row r="3" spans="1:40" ht="14.95" customHeight="1" thickBot="1" x14ac:dyDescent="0.3">
      <c r="A3" s="176" t="s">
        <v>134</v>
      </c>
      <c r="B3" s="188" t="s">
        <v>41</v>
      </c>
      <c r="C3" s="178" t="s">
        <v>31</v>
      </c>
      <c r="D3" s="178" t="s">
        <v>72</v>
      </c>
      <c r="E3" s="179" t="s">
        <v>3</v>
      </c>
      <c r="F3" s="179">
        <v>5</v>
      </c>
      <c r="G3" s="179">
        <v>31</v>
      </c>
      <c r="H3" s="179">
        <v>0</v>
      </c>
      <c r="I3" s="179">
        <v>0</v>
      </c>
      <c r="J3" s="179">
        <v>1</v>
      </c>
      <c r="K3" s="179">
        <v>0</v>
      </c>
      <c r="L3" s="179">
        <v>0</v>
      </c>
      <c r="M3" s="179">
        <v>0</v>
      </c>
      <c r="N3" s="179">
        <v>1</v>
      </c>
      <c r="O3" s="179">
        <v>0</v>
      </c>
      <c r="P3" s="179">
        <v>1</v>
      </c>
      <c r="Q3" s="179">
        <v>0</v>
      </c>
      <c r="R3" s="179">
        <v>5</v>
      </c>
      <c r="S3" s="183">
        <v>4962</v>
      </c>
      <c r="T3" s="187" t="s">
        <v>166</v>
      </c>
      <c r="U3" s="185" t="s">
        <v>205</v>
      </c>
      <c r="V3" s="183" t="s">
        <v>163</v>
      </c>
      <c r="W3" s="180" t="s">
        <v>164</v>
      </c>
      <c r="X3" s="186" t="s">
        <v>165</v>
      </c>
      <c r="Y3" s="181">
        <v>1</v>
      </c>
      <c r="Z3" s="181">
        <v>0</v>
      </c>
      <c r="AA3" s="181">
        <v>0</v>
      </c>
      <c r="AB3" s="182">
        <v>1</v>
      </c>
      <c r="AC3" s="181">
        <v>0</v>
      </c>
      <c r="AD3" s="181">
        <v>0</v>
      </c>
      <c r="AE3" s="181">
        <v>0</v>
      </c>
      <c r="AF3" s="182">
        <v>0</v>
      </c>
      <c r="AG3" s="181">
        <v>1</v>
      </c>
      <c r="AH3" s="181">
        <v>0</v>
      </c>
      <c r="AI3" s="181">
        <v>0</v>
      </c>
      <c r="AJ3" s="182">
        <v>1</v>
      </c>
      <c r="AK3" s="181">
        <v>0</v>
      </c>
      <c r="AL3" s="181">
        <v>0</v>
      </c>
      <c r="AM3" s="181">
        <v>0</v>
      </c>
      <c r="AN3" s="182">
        <v>0</v>
      </c>
    </row>
    <row r="4" spans="1:40" ht="14.95" customHeight="1" thickBot="1" x14ac:dyDescent="0.3">
      <c r="A4" s="191" t="s">
        <v>131</v>
      </c>
      <c r="B4" s="192" t="s">
        <v>41</v>
      </c>
      <c r="C4" s="192" t="s">
        <v>33</v>
      </c>
      <c r="D4" s="192" t="s">
        <v>92</v>
      </c>
      <c r="E4" s="193" t="s">
        <v>3</v>
      </c>
      <c r="F4" s="193">
        <v>3</v>
      </c>
      <c r="G4" s="193">
        <v>53</v>
      </c>
      <c r="H4" s="193">
        <v>0</v>
      </c>
      <c r="I4" s="193">
        <v>0</v>
      </c>
      <c r="J4" s="193">
        <v>0</v>
      </c>
      <c r="K4" s="193">
        <v>0</v>
      </c>
      <c r="L4" s="193">
        <v>0</v>
      </c>
      <c r="M4" s="193">
        <v>1</v>
      </c>
      <c r="N4" s="193">
        <v>1</v>
      </c>
      <c r="O4" s="193">
        <v>0</v>
      </c>
      <c r="P4" s="193">
        <v>1</v>
      </c>
      <c r="Q4" s="193">
        <v>0</v>
      </c>
      <c r="R4" s="193">
        <v>9</v>
      </c>
      <c r="S4" s="194">
        <v>5214</v>
      </c>
      <c r="T4" s="195" t="s">
        <v>204</v>
      </c>
      <c r="U4" s="196" t="s">
        <v>175</v>
      </c>
      <c r="V4" s="194" t="s">
        <v>206</v>
      </c>
      <c r="W4" s="197" t="s">
        <v>207</v>
      </c>
      <c r="X4" s="198" t="s">
        <v>208</v>
      </c>
      <c r="Y4" s="199">
        <v>1</v>
      </c>
      <c r="Z4" s="199">
        <v>0</v>
      </c>
      <c r="AA4" s="199">
        <v>0</v>
      </c>
      <c r="AB4" s="200">
        <v>1</v>
      </c>
      <c r="AC4" s="199">
        <v>1</v>
      </c>
      <c r="AD4" s="199">
        <v>0</v>
      </c>
      <c r="AE4" s="199">
        <v>0</v>
      </c>
      <c r="AF4" s="200">
        <v>1</v>
      </c>
      <c r="AG4" s="199">
        <v>0</v>
      </c>
      <c r="AH4" s="199">
        <v>0</v>
      </c>
      <c r="AI4" s="199">
        <v>0</v>
      </c>
      <c r="AJ4" s="200">
        <v>0</v>
      </c>
      <c r="AK4" s="199">
        <v>0</v>
      </c>
      <c r="AL4" s="199">
        <v>0</v>
      </c>
      <c r="AM4" s="199">
        <v>0</v>
      </c>
      <c r="AN4" s="200">
        <v>0</v>
      </c>
    </row>
    <row r="5" spans="1:40" ht="14.95" customHeight="1" thickBot="1" x14ac:dyDescent="0.3">
      <c r="A5" s="176" t="s">
        <v>142</v>
      </c>
      <c r="B5" s="178" t="s">
        <v>41</v>
      </c>
      <c r="C5" s="178" t="s">
        <v>32</v>
      </c>
      <c r="D5" s="178" t="s">
        <v>91</v>
      </c>
      <c r="E5" s="179" t="s">
        <v>3</v>
      </c>
      <c r="F5" s="179">
        <v>7</v>
      </c>
      <c r="G5" s="179">
        <v>24</v>
      </c>
      <c r="H5" s="179">
        <v>0</v>
      </c>
      <c r="I5" s="179">
        <v>0</v>
      </c>
      <c r="J5" s="179">
        <v>1</v>
      </c>
      <c r="K5" s="179">
        <v>0</v>
      </c>
      <c r="L5" s="179">
        <v>0</v>
      </c>
      <c r="M5" s="179">
        <v>0</v>
      </c>
      <c r="N5" s="179">
        <v>0</v>
      </c>
      <c r="O5" s="179">
        <v>0</v>
      </c>
      <c r="P5" s="179">
        <v>0</v>
      </c>
      <c r="Q5" s="179">
        <v>0</v>
      </c>
      <c r="R5" s="179">
        <v>3</v>
      </c>
      <c r="S5" s="183"/>
      <c r="T5" s="187" t="s">
        <v>237</v>
      </c>
      <c r="U5" s="185" t="s">
        <v>196</v>
      </c>
      <c r="V5" s="183" t="s">
        <v>163</v>
      </c>
      <c r="W5" s="180" t="s">
        <v>165</v>
      </c>
      <c r="X5" s="186" t="s">
        <v>226</v>
      </c>
      <c r="Y5" s="181">
        <v>1</v>
      </c>
      <c r="Z5" s="181">
        <v>0</v>
      </c>
      <c r="AA5" s="181">
        <v>0</v>
      </c>
      <c r="AB5" s="182">
        <v>1</v>
      </c>
      <c r="AC5" s="181">
        <v>0</v>
      </c>
      <c r="AD5" s="181">
        <v>0</v>
      </c>
      <c r="AE5" s="181">
        <v>0</v>
      </c>
      <c r="AF5" s="182">
        <v>0</v>
      </c>
      <c r="AG5" s="181">
        <v>1</v>
      </c>
      <c r="AH5" s="181">
        <v>0</v>
      </c>
      <c r="AI5" s="181">
        <v>0</v>
      </c>
      <c r="AJ5" s="182">
        <v>1</v>
      </c>
      <c r="AK5" s="181">
        <v>0</v>
      </c>
      <c r="AL5" s="181">
        <v>0</v>
      </c>
      <c r="AM5" s="181">
        <v>0</v>
      </c>
      <c r="AN5" s="182">
        <v>0</v>
      </c>
    </row>
    <row r="6" spans="1:40" ht="14.95" customHeight="1" thickBot="1" x14ac:dyDescent="0.3">
      <c r="A6" s="191" t="s">
        <v>146</v>
      </c>
      <c r="B6" s="192" t="s">
        <v>41</v>
      </c>
      <c r="C6" s="192" t="s">
        <v>30</v>
      </c>
      <c r="D6" s="192" t="s">
        <v>92</v>
      </c>
      <c r="E6" s="193" t="s">
        <v>3</v>
      </c>
      <c r="F6" s="193">
        <v>0</v>
      </c>
      <c r="G6" s="193">
        <v>48</v>
      </c>
      <c r="H6" s="193">
        <v>0</v>
      </c>
      <c r="I6" s="193">
        <v>0</v>
      </c>
      <c r="J6" s="193">
        <v>0</v>
      </c>
      <c r="K6" s="193">
        <v>0</v>
      </c>
      <c r="L6" s="193">
        <v>0</v>
      </c>
      <c r="M6" s="193">
        <v>0</v>
      </c>
      <c r="N6" s="193">
        <v>0</v>
      </c>
      <c r="O6" s="193">
        <v>0</v>
      </c>
      <c r="P6" s="193">
        <v>1</v>
      </c>
      <c r="Q6" s="193">
        <v>0</v>
      </c>
      <c r="R6" s="193">
        <v>8</v>
      </c>
      <c r="S6" s="194">
        <v>3000</v>
      </c>
      <c r="T6" s="195" t="s">
        <v>247</v>
      </c>
      <c r="U6" s="196" t="s">
        <v>240</v>
      </c>
      <c r="V6" s="194" t="s">
        <v>224</v>
      </c>
      <c r="W6" s="197" t="s">
        <v>219</v>
      </c>
      <c r="X6" s="198" t="s">
        <v>184</v>
      </c>
      <c r="Y6" s="199">
        <v>1</v>
      </c>
      <c r="Z6" s="199">
        <v>0</v>
      </c>
      <c r="AA6" s="199">
        <v>0</v>
      </c>
      <c r="AB6" s="200">
        <v>1</v>
      </c>
      <c r="AC6" s="199">
        <v>1</v>
      </c>
      <c r="AD6" s="199">
        <v>0</v>
      </c>
      <c r="AE6" s="199">
        <v>0</v>
      </c>
      <c r="AF6" s="200">
        <v>1</v>
      </c>
      <c r="AG6" s="199">
        <v>0</v>
      </c>
      <c r="AH6" s="199">
        <v>0</v>
      </c>
      <c r="AI6" s="199">
        <v>0</v>
      </c>
      <c r="AJ6" s="199">
        <v>0</v>
      </c>
      <c r="AK6" s="199">
        <v>0</v>
      </c>
      <c r="AL6" s="199">
        <v>0</v>
      </c>
      <c r="AM6" s="199">
        <v>0</v>
      </c>
      <c r="AN6" s="199">
        <v>0</v>
      </c>
    </row>
    <row r="7" spans="1:40" ht="14.95" customHeight="1" thickBot="1" x14ac:dyDescent="0.3">
      <c r="A7" s="176" t="s">
        <v>151</v>
      </c>
      <c r="B7" s="178" t="s">
        <v>41</v>
      </c>
      <c r="C7" s="178" t="s">
        <v>34</v>
      </c>
      <c r="D7" s="178" t="s">
        <v>90</v>
      </c>
      <c r="E7" s="179" t="s">
        <v>3</v>
      </c>
      <c r="F7" s="179">
        <v>10</v>
      </c>
      <c r="G7" s="179">
        <v>36</v>
      </c>
      <c r="H7" s="179">
        <v>0</v>
      </c>
      <c r="I7" s="179">
        <v>0</v>
      </c>
      <c r="J7" s="179">
        <v>1</v>
      </c>
      <c r="K7" s="179">
        <v>1</v>
      </c>
      <c r="L7" s="179">
        <v>0</v>
      </c>
      <c r="M7" s="179">
        <v>1</v>
      </c>
      <c r="N7" s="179">
        <v>0</v>
      </c>
      <c r="O7" s="179">
        <v>0</v>
      </c>
      <c r="P7" s="179">
        <v>1</v>
      </c>
      <c r="Q7" s="179">
        <v>0</v>
      </c>
      <c r="R7" s="179">
        <v>6</v>
      </c>
      <c r="S7" s="180">
        <v>4862</v>
      </c>
      <c r="T7" s="189" t="s">
        <v>262</v>
      </c>
      <c r="U7" s="180" t="s">
        <v>207</v>
      </c>
      <c r="V7" s="180" t="s">
        <v>255</v>
      </c>
      <c r="W7" s="180" t="s">
        <v>241</v>
      </c>
      <c r="X7" s="186" t="s">
        <v>176</v>
      </c>
      <c r="Y7" s="181">
        <v>1</v>
      </c>
      <c r="Z7" s="181">
        <v>0</v>
      </c>
      <c r="AA7" s="181">
        <v>0</v>
      </c>
      <c r="AB7" s="182">
        <v>1</v>
      </c>
      <c r="AC7" s="181">
        <v>0</v>
      </c>
      <c r="AD7" s="181">
        <v>0</v>
      </c>
      <c r="AE7" s="181">
        <v>0</v>
      </c>
      <c r="AF7" s="182">
        <v>0</v>
      </c>
      <c r="AG7" s="181">
        <v>1</v>
      </c>
      <c r="AH7" s="181">
        <v>0</v>
      </c>
      <c r="AI7" s="181">
        <v>0</v>
      </c>
      <c r="AJ7" s="181">
        <v>1</v>
      </c>
      <c r="AK7" s="181">
        <v>0</v>
      </c>
      <c r="AL7" s="181">
        <v>0</v>
      </c>
      <c r="AM7" s="181">
        <v>0</v>
      </c>
      <c r="AN7" s="181">
        <v>0</v>
      </c>
    </row>
    <row r="8" spans="1:40" ht="14.95" customHeight="1" thickBot="1" x14ac:dyDescent="0.35">
      <c r="A8" s="210" t="s">
        <v>426</v>
      </c>
      <c r="B8" s="211" t="s">
        <v>427</v>
      </c>
      <c r="C8" s="211" t="s">
        <v>297</v>
      </c>
      <c r="D8" s="211" t="s">
        <v>523</v>
      </c>
      <c r="E8" s="207" t="s">
        <v>1</v>
      </c>
      <c r="F8" s="207">
        <v>109</v>
      </c>
      <c r="G8" s="207">
        <v>0</v>
      </c>
      <c r="H8" s="207">
        <v>1</v>
      </c>
      <c r="I8" s="207">
        <v>0</v>
      </c>
      <c r="J8" s="207">
        <v>17</v>
      </c>
      <c r="K8" s="207">
        <v>12</v>
      </c>
      <c r="L8" s="207">
        <v>0</v>
      </c>
      <c r="M8" s="207">
        <v>0</v>
      </c>
      <c r="N8" s="207">
        <v>0</v>
      </c>
      <c r="O8" s="207">
        <v>0</v>
      </c>
      <c r="P8" s="207">
        <v>0</v>
      </c>
      <c r="Q8" s="207">
        <v>0</v>
      </c>
      <c r="R8" s="207">
        <v>0</v>
      </c>
      <c r="S8" s="209"/>
      <c r="T8" s="235" t="s">
        <v>522</v>
      </c>
      <c r="U8" s="209" t="s">
        <v>164</v>
      </c>
      <c r="V8" s="209" t="s">
        <v>255</v>
      </c>
      <c r="W8" s="209" t="s">
        <v>375</v>
      </c>
      <c r="X8" s="214" t="s">
        <v>307</v>
      </c>
      <c r="Y8" s="147">
        <v>1</v>
      </c>
      <c r="Z8" s="147">
        <v>1</v>
      </c>
      <c r="AA8" s="147">
        <v>0</v>
      </c>
      <c r="AB8" s="208">
        <v>0</v>
      </c>
      <c r="AC8" s="147">
        <v>0</v>
      </c>
      <c r="AD8" s="147">
        <v>0</v>
      </c>
      <c r="AE8" s="147">
        <v>0</v>
      </c>
      <c r="AF8" s="208">
        <v>0</v>
      </c>
      <c r="AG8" s="147">
        <v>0</v>
      </c>
      <c r="AH8" s="147">
        <v>0</v>
      </c>
      <c r="AI8" s="147">
        <v>0</v>
      </c>
      <c r="AJ8" s="147">
        <v>0</v>
      </c>
      <c r="AK8" s="147">
        <v>1</v>
      </c>
      <c r="AL8" s="147">
        <v>1</v>
      </c>
      <c r="AM8" s="147">
        <v>0</v>
      </c>
      <c r="AN8" s="147">
        <v>0</v>
      </c>
    </row>
    <row r="9" spans="1:40" ht="14.95" customHeight="1" thickBot="1" x14ac:dyDescent="0.35">
      <c r="A9" s="232" t="s">
        <v>440</v>
      </c>
      <c r="B9" s="233" t="s">
        <v>427</v>
      </c>
      <c r="C9" s="233" t="s">
        <v>338</v>
      </c>
      <c r="D9" s="233" t="s">
        <v>523</v>
      </c>
      <c r="E9" s="207" t="s">
        <v>1</v>
      </c>
      <c r="F9" s="207">
        <v>64</v>
      </c>
      <c r="G9" s="207">
        <v>3</v>
      </c>
      <c r="H9" s="207">
        <v>1</v>
      </c>
      <c r="I9" s="207">
        <v>0</v>
      </c>
      <c r="J9" s="207">
        <v>10</v>
      </c>
      <c r="K9" s="207">
        <v>7</v>
      </c>
      <c r="L9" s="207">
        <v>0</v>
      </c>
      <c r="M9" s="207">
        <v>0</v>
      </c>
      <c r="N9" s="207">
        <v>0</v>
      </c>
      <c r="O9" s="207">
        <v>0</v>
      </c>
      <c r="P9" s="207">
        <v>0</v>
      </c>
      <c r="Q9" s="207">
        <v>0</v>
      </c>
      <c r="R9" s="207">
        <v>0</v>
      </c>
      <c r="S9" s="209"/>
      <c r="T9" s="235" t="s">
        <v>529</v>
      </c>
      <c r="U9" s="209" t="s">
        <v>375</v>
      </c>
      <c r="V9" s="209" t="s">
        <v>255</v>
      </c>
      <c r="W9" s="209" t="s">
        <v>530</v>
      </c>
      <c r="X9" s="209" t="s">
        <v>518</v>
      </c>
      <c r="Y9" s="147">
        <v>1</v>
      </c>
      <c r="Z9" s="147">
        <v>1</v>
      </c>
      <c r="AA9" s="147">
        <v>0</v>
      </c>
      <c r="AB9" s="208">
        <v>0</v>
      </c>
      <c r="AC9" s="147">
        <v>0</v>
      </c>
      <c r="AD9" s="147">
        <v>0</v>
      </c>
      <c r="AE9" s="147">
        <v>0</v>
      </c>
      <c r="AF9" s="208">
        <v>0</v>
      </c>
      <c r="AG9" s="147">
        <v>0</v>
      </c>
      <c r="AH9" s="147">
        <v>0</v>
      </c>
      <c r="AI9" s="147">
        <v>0</v>
      </c>
      <c r="AJ9" s="147">
        <v>0</v>
      </c>
      <c r="AK9" s="147">
        <v>1</v>
      </c>
      <c r="AL9" s="147">
        <v>1</v>
      </c>
      <c r="AM9" s="147">
        <v>0</v>
      </c>
      <c r="AN9" s="147">
        <v>0</v>
      </c>
    </row>
    <row r="10" spans="1:40" ht="14.95" customHeight="1" thickBot="1" x14ac:dyDescent="0.3">
      <c r="A10" s="232" t="s">
        <v>458</v>
      </c>
      <c r="B10" s="233" t="s">
        <v>427</v>
      </c>
      <c r="C10" s="251" t="s">
        <v>74</v>
      </c>
      <c r="D10" s="233" t="s">
        <v>523</v>
      </c>
      <c r="E10" s="148" t="s">
        <v>1</v>
      </c>
      <c r="F10" s="207">
        <v>15</v>
      </c>
      <c r="G10" s="207">
        <v>13</v>
      </c>
      <c r="H10" s="207">
        <v>0</v>
      </c>
      <c r="I10" s="207">
        <v>0</v>
      </c>
      <c r="J10" s="207">
        <v>2</v>
      </c>
      <c r="K10" s="207">
        <v>1</v>
      </c>
      <c r="L10" s="207">
        <v>0</v>
      </c>
      <c r="M10" s="207">
        <v>1</v>
      </c>
      <c r="N10" s="207">
        <v>2</v>
      </c>
      <c r="O10" s="207">
        <v>0</v>
      </c>
      <c r="P10" s="207">
        <v>0</v>
      </c>
      <c r="Q10" s="207">
        <v>1</v>
      </c>
      <c r="R10" s="207">
        <v>1</v>
      </c>
      <c r="S10" s="209"/>
      <c r="T10" s="471" t="s">
        <v>537</v>
      </c>
      <c r="U10" s="209" t="s">
        <v>164</v>
      </c>
      <c r="V10" s="209" t="s">
        <v>255</v>
      </c>
      <c r="W10" s="209" t="s">
        <v>307</v>
      </c>
      <c r="X10" s="209" t="s">
        <v>518</v>
      </c>
      <c r="Y10" s="147">
        <v>1</v>
      </c>
      <c r="Z10" s="147">
        <v>1</v>
      </c>
      <c r="AA10" s="147">
        <v>0</v>
      </c>
      <c r="AB10" s="208">
        <v>0</v>
      </c>
      <c r="AC10" s="147">
        <v>0</v>
      </c>
      <c r="AD10" s="147">
        <v>0</v>
      </c>
      <c r="AE10" s="147">
        <v>0</v>
      </c>
      <c r="AF10" s="208">
        <v>0</v>
      </c>
      <c r="AG10" s="147">
        <v>0</v>
      </c>
      <c r="AH10" s="147">
        <v>0</v>
      </c>
      <c r="AI10" s="147">
        <v>0</v>
      </c>
      <c r="AJ10" s="147">
        <v>0</v>
      </c>
      <c r="AK10" s="147">
        <v>1</v>
      </c>
      <c r="AL10" s="147">
        <v>1</v>
      </c>
      <c r="AM10" s="147">
        <v>0</v>
      </c>
      <c r="AN10" s="147">
        <v>0</v>
      </c>
    </row>
    <row r="11" spans="1:40" ht="15.8" customHeight="1" thickBot="1" x14ac:dyDescent="0.3">
      <c r="A11" s="117"/>
      <c r="B11" s="118"/>
      <c r="C11" s="525" t="s">
        <v>71</v>
      </c>
      <c r="D11" s="526"/>
      <c r="E11" s="527"/>
      <c r="F11" s="456">
        <f>SUM(F3:F7)</f>
        <v>25</v>
      </c>
      <c r="G11" s="456">
        <f t="shared" ref="G11" si="0">SUM(G3:G7)</f>
        <v>192</v>
      </c>
      <c r="H11" s="456">
        <f t="shared" ref="H11:R11" si="1">SUM(H3:H8)</f>
        <v>1</v>
      </c>
      <c r="I11" s="456">
        <f t="shared" si="1"/>
        <v>0</v>
      </c>
      <c r="J11" s="456">
        <f t="shared" si="1"/>
        <v>20</v>
      </c>
      <c r="K11" s="456">
        <f t="shared" si="1"/>
        <v>13</v>
      </c>
      <c r="L11" s="456">
        <f t="shared" si="1"/>
        <v>0</v>
      </c>
      <c r="M11" s="456">
        <f t="shared" si="1"/>
        <v>2</v>
      </c>
      <c r="N11" s="456">
        <f t="shared" si="1"/>
        <v>2</v>
      </c>
      <c r="O11" s="456">
        <f t="shared" si="1"/>
        <v>0</v>
      </c>
      <c r="P11" s="456">
        <f t="shared" si="1"/>
        <v>4</v>
      </c>
      <c r="Q11" s="456">
        <f t="shared" si="1"/>
        <v>0</v>
      </c>
      <c r="R11" s="456">
        <f t="shared" si="1"/>
        <v>31</v>
      </c>
      <c r="W11" s="116"/>
      <c r="X11" s="470" t="s">
        <v>71</v>
      </c>
      <c r="Y11" s="456">
        <f t="shared" ref="Y11:AN11" si="2">SUM(Y3:Y8)</f>
        <v>6</v>
      </c>
      <c r="Z11" s="456">
        <f t="shared" si="2"/>
        <v>1</v>
      </c>
      <c r="AA11" s="456">
        <f t="shared" si="2"/>
        <v>0</v>
      </c>
      <c r="AB11" s="456">
        <f t="shared" si="2"/>
        <v>5</v>
      </c>
      <c r="AC11" s="460">
        <f t="shared" si="2"/>
        <v>2</v>
      </c>
      <c r="AD11" s="460">
        <f t="shared" si="2"/>
        <v>0</v>
      </c>
      <c r="AE11" s="460">
        <f t="shared" si="2"/>
        <v>0</v>
      </c>
      <c r="AF11" s="460">
        <f t="shared" si="2"/>
        <v>2</v>
      </c>
      <c r="AG11" s="461">
        <f t="shared" si="2"/>
        <v>3</v>
      </c>
      <c r="AH11" s="461">
        <f t="shared" si="2"/>
        <v>0</v>
      </c>
      <c r="AI11" s="461">
        <f t="shared" si="2"/>
        <v>0</v>
      </c>
      <c r="AJ11" s="461">
        <f t="shared" si="2"/>
        <v>3</v>
      </c>
      <c r="AK11" s="456">
        <f t="shared" si="2"/>
        <v>1</v>
      </c>
      <c r="AL11" s="456">
        <f t="shared" si="2"/>
        <v>1</v>
      </c>
      <c r="AM11" s="456">
        <f t="shared" si="2"/>
        <v>0</v>
      </c>
      <c r="AN11" s="456">
        <f t="shared" si="2"/>
        <v>0</v>
      </c>
    </row>
    <row r="12" spans="1:40" ht="15.8" customHeight="1" thickBot="1" x14ac:dyDescent="0.3">
      <c r="A12" s="228"/>
      <c r="B12" s="229"/>
      <c r="C12" s="576" t="s">
        <v>427</v>
      </c>
      <c r="D12" s="598"/>
      <c r="E12" s="599"/>
      <c r="F12" s="430">
        <f>SUM(F8:F10)</f>
        <v>188</v>
      </c>
      <c r="G12" s="430">
        <f t="shared" ref="G12:R12" si="3">SUM(G8:G10)</f>
        <v>16</v>
      </c>
      <c r="H12" s="430">
        <f t="shared" si="3"/>
        <v>2</v>
      </c>
      <c r="I12" s="430">
        <f t="shared" si="3"/>
        <v>0</v>
      </c>
      <c r="J12" s="430">
        <f t="shared" si="3"/>
        <v>29</v>
      </c>
      <c r="K12" s="430">
        <f t="shared" si="3"/>
        <v>20</v>
      </c>
      <c r="L12" s="430">
        <f t="shared" si="3"/>
        <v>0</v>
      </c>
      <c r="M12" s="430">
        <f t="shared" si="3"/>
        <v>1</v>
      </c>
      <c r="N12" s="430">
        <f t="shared" si="3"/>
        <v>2</v>
      </c>
      <c r="O12" s="430">
        <f t="shared" si="3"/>
        <v>0</v>
      </c>
      <c r="P12" s="430">
        <f t="shared" si="3"/>
        <v>0</v>
      </c>
      <c r="Q12" s="430">
        <f t="shared" si="3"/>
        <v>1</v>
      </c>
      <c r="R12" s="430">
        <f t="shared" si="3"/>
        <v>1</v>
      </c>
      <c r="S12" s="431"/>
      <c r="T12" s="431"/>
      <c r="U12" s="431"/>
      <c r="V12" s="431"/>
      <c r="W12" s="116"/>
      <c r="X12" s="151" t="s">
        <v>427</v>
      </c>
      <c r="Y12" s="430">
        <f t="shared" ref="Y12:AN12" si="4">SUM(Y8:Y10)</f>
        <v>3</v>
      </c>
      <c r="Z12" s="430">
        <f t="shared" si="4"/>
        <v>3</v>
      </c>
      <c r="AA12" s="430">
        <f t="shared" si="4"/>
        <v>0</v>
      </c>
      <c r="AB12" s="430">
        <f t="shared" si="4"/>
        <v>0</v>
      </c>
      <c r="AC12" s="432">
        <f t="shared" si="4"/>
        <v>0</v>
      </c>
      <c r="AD12" s="432">
        <f t="shared" si="4"/>
        <v>0</v>
      </c>
      <c r="AE12" s="432">
        <f t="shared" si="4"/>
        <v>0</v>
      </c>
      <c r="AF12" s="432">
        <f t="shared" si="4"/>
        <v>0</v>
      </c>
      <c r="AG12" s="433">
        <f t="shared" si="4"/>
        <v>0</v>
      </c>
      <c r="AH12" s="433">
        <f t="shared" si="4"/>
        <v>0</v>
      </c>
      <c r="AI12" s="433">
        <f t="shared" si="4"/>
        <v>0</v>
      </c>
      <c r="AJ12" s="433">
        <f t="shared" si="4"/>
        <v>0</v>
      </c>
      <c r="AK12" s="430">
        <f t="shared" si="4"/>
        <v>3</v>
      </c>
      <c r="AL12" s="430">
        <f t="shared" si="4"/>
        <v>3</v>
      </c>
      <c r="AM12" s="430">
        <f t="shared" si="4"/>
        <v>0</v>
      </c>
      <c r="AN12" s="430">
        <f t="shared" si="4"/>
        <v>0</v>
      </c>
    </row>
    <row r="13" spans="1:40" ht="14.95" thickBot="1" x14ac:dyDescent="0.3">
      <c r="A13" s="117"/>
      <c r="B13" s="118"/>
      <c r="C13" s="515" t="s">
        <v>70</v>
      </c>
      <c r="D13" s="516"/>
      <c r="E13" s="517"/>
      <c r="F13" s="142">
        <f t="shared" ref="F13:R13" si="5">SUM(F3:F10)</f>
        <v>213</v>
      </c>
      <c r="G13" s="142">
        <f t="shared" si="5"/>
        <v>208</v>
      </c>
      <c r="H13" s="142">
        <f t="shared" si="5"/>
        <v>2</v>
      </c>
      <c r="I13" s="142">
        <f t="shared" si="5"/>
        <v>0</v>
      </c>
      <c r="J13" s="142">
        <f t="shared" si="5"/>
        <v>32</v>
      </c>
      <c r="K13" s="142">
        <f t="shared" si="5"/>
        <v>21</v>
      </c>
      <c r="L13" s="142">
        <f t="shared" si="5"/>
        <v>0</v>
      </c>
      <c r="M13" s="142">
        <f t="shared" si="5"/>
        <v>3</v>
      </c>
      <c r="N13" s="142">
        <f t="shared" si="5"/>
        <v>4</v>
      </c>
      <c r="O13" s="142">
        <f t="shared" si="5"/>
        <v>0</v>
      </c>
      <c r="P13" s="142">
        <f t="shared" si="5"/>
        <v>4</v>
      </c>
      <c r="Q13" s="142">
        <f t="shared" si="5"/>
        <v>1</v>
      </c>
      <c r="R13" s="142">
        <f t="shared" si="5"/>
        <v>32</v>
      </c>
      <c r="S13" s="139"/>
      <c r="T13" s="139"/>
      <c r="U13" s="139"/>
      <c r="V13" s="139"/>
      <c r="W13" s="12"/>
      <c r="X13" s="147" t="s">
        <v>70</v>
      </c>
      <c r="Y13" s="142">
        <f t="shared" ref="Y13:AN13" si="6">SUM(Y3:Y10)</f>
        <v>8</v>
      </c>
      <c r="Z13" s="142">
        <f t="shared" si="6"/>
        <v>3</v>
      </c>
      <c r="AA13" s="142">
        <f t="shared" si="6"/>
        <v>0</v>
      </c>
      <c r="AB13" s="142">
        <f t="shared" si="6"/>
        <v>5</v>
      </c>
      <c r="AC13" s="140">
        <f t="shared" si="6"/>
        <v>2</v>
      </c>
      <c r="AD13" s="140">
        <f t="shared" si="6"/>
        <v>0</v>
      </c>
      <c r="AE13" s="140">
        <f t="shared" si="6"/>
        <v>0</v>
      </c>
      <c r="AF13" s="140">
        <f t="shared" si="6"/>
        <v>2</v>
      </c>
      <c r="AG13" s="141">
        <f t="shared" si="6"/>
        <v>3</v>
      </c>
      <c r="AH13" s="141">
        <f t="shared" si="6"/>
        <v>0</v>
      </c>
      <c r="AI13" s="141">
        <f t="shared" si="6"/>
        <v>0</v>
      </c>
      <c r="AJ13" s="141">
        <f t="shared" si="6"/>
        <v>3</v>
      </c>
      <c r="AK13" s="142">
        <f t="shared" si="6"/>
        <v>3</v>
      </c>
      <c r="AL13" s="142">
        <f t="shared" si="6"/>
        <v>3</v>
      </c>
      <c r="AM13" s="142">
        <f t="shared" si="6"/>
        <v>0</v>
      </c>
      <c r="AN13" s="142">
        <f t="shared" si="6"/>
        <v>0</v>
      </c>
    </row>
    <row r="14" spans="1:40" x14ac:dyDescent="0.25">
      <c r="A14" s="518" t="s">
        <v>80</v>
      </c>
      <c r="B14" s="490"/>
      <c r="C14" s="490"/>
      <c r="D14" s="490"/>
      <c r="E14" s="490"/>
      <c r="F14" s="490"/>
      <c r="G14" s="490"/>
      <c r="H14" s="490"/>
      <c r="I14" s="490"/>
      <c r="J14" s="490"/>
      <c r="K14" s="490"/>
      <c r="L14" s="490"/>
      <c r="M14" s="490"/>
      <c r="N14" s="490"/>
      <c r="O14" s="490"/>
      <c r="P14" s="490"/>
      <c r="Q14" s="490"/>
      <c r="R14" s="490"/>
    </row>
    <row r="15" spans="1:40" x14ac:dyDescent="0.25">
      <c r="A15" t="s">
        <v>143</v>
      </c>
      <c r="F15" s="13"/>
      <c r="G15" s="13"/>
      <c r="H15" s="12"/>
      <c r="I15" s="13"/>
      <c r="J15" s="13"/>
      <c r="K15" s="13"/>
      <c r="L15" s="13"/>
      <c r="M15" s="13"/>
      <c r="N15" s="13"/>
      <c r="O15" s="13"/>
      <c r="P15" s="13"/>
      <c r="Q15" s="13"/>
      <c r="R15" s="13"/>
    </row>
    <row r="16" spans="1:40" x14ac:dyDescent="0.25">
      <c r="A16" t="s">
        <v>524</v>
      </c>
      <c r="F16" s="13"/>
      <c r="G16" s="13"/>
      <c r="H16" s="12"/>
      <c r="I16" s="13"/>
      <c r="J16" s="13"/>
      <c r="K16" s="13"/>
      <c r="L16" s="13"/>
      <c r="M16" s="13"/>
      <c r="N16" s="13"/>
      <c r="O16" s="13"/>
      <c r="P16" s="13"/>
      <c r="Q16" s="13"/>
      <c r="R16" s="13"/>
    </row>
    <row r="19" spans="1:3" x14ac:dyDescent="0.25">
      <c r="A19" t="s">
        <v>77</v>
      </c>
    </row>
    <row r="20" spans="1:3" x14ac:dyDescent="0.25">
      <c r="A20" s="440"/>
      <c r="B20" s="73" t="s">
        <v>40</v>
      </c>
      <c r="C20" s="73"/>
    </row>
    <row r="21" spans="1:3" x14ac:dyDescent="0.25">
      <c r="A21" s="441"/>
      <c r="B21" s="73" t="s">
        <v>38</v>
      </c>
      <c r="C21" s="73"/>
    </row>
    <row r="22" spans="1:3" x14ac:dyDescent="0.25">
      <c r="A22" s="442"/>
      <c r="B22" s="73" t="s">
        <v>39</v>
      </c>
      <c r="C22" s="73"/>
    </row>
    <row r="23" spans="1:3" x14ac:dyDescent="0.25">
      <c r="A23" s="14" t="s">
        <v>28</v>
      </c>
    </row>
  </sheetData>
  <mergeCells count="14">
    <mergeCell ref="Y1:AB1"/>
    <mergeCell ref="AC1:AF1"/>
    <mergeCell ref="AG1:AJ1"/>
    <mergeCell ref="AK1:AN1"/>
    <mergeCell ref="P1:R1"/>
    <mergeCell ref="C11:E11"/>
    <mergeCell ref="C13:E13"/>
    <mergeCell ref="A14:R14"/>
    <mergeCell ref="A1:C1"/>
    <mergeCell ref="E1:G1"/>
    <mergeCell ref="H1:I1"/>
    <mergeCell ref="J1:M1"/>
    <mergeCell ref="N1:O1"/>
    <mergeCell ref="C12:E12"/>
  </mergeCells>
  <pageMargins left="0.7" right="0.7" top="0.75" bottom="0.75" header="0.3" footer="0.3"/>
  <pageSetup paperSize="9" orientation="portrait" r:id="rId1"/>
  <ignoredErrors>
    <ignoredError sqref="C11:AN13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N26"/>
  <sheetViews>
    <sheetView topLeftCell="Q1" zoomScaleNormal="100" workbookViewId="0">
      <pane ySplit="2" topLeftCell="A3" activePane="bottomLeft" state="frozen"/>
      <selection pane="bottomLeft" activeCell="A15" sqref="A15:AN15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25" customWidth="1"/>
    <col min="5" max="5" width="3.75" customWidth="1"/>
    <col min="6" max="7" width="4" bestFit="1" customWidth="1"/>
    <col min="8" max="18" width="3.75" customWidth="1"/>
    <col min="19" max="20" width="6.25" customWidth="1"/>
    <col min="21" max="21" width="24.125" bestFit="1" customWidth="1"/>
    <col min="22" max="22" width="22.5" bestFit="1" customWidth="1"/>
    <col min="23" max="23" width="20.625" bestFit="1" customWidth="1"/>
    <col min="24" max="24" width="19.75" bestFit="1" customWidth="1"/>
    <col min="25" max="40" width="3.75" customWidth="1"/>
  </cols>
  <sheetData>
    <row r="1" spans="1:40" ht="14.95" customHeight="1" thickBot="1" x14ac:dyDescent="0.3">
      <c r="A1" s="604" t="s">
        <v>123</v>
      </c>
      <c r="B1" s="605"/>
      <c r="C1" s="605"/>
      <c r="D1" s="154"/>
      <c r="E1" s="606" t="s">
        <v>24</v>
      </c>
      <c r="F1" s="607"/>
      <c r="G1" s="608"/>
      <c r="H1" s="606" t="s">
        <v>23</v>
      </c>
      <c r="I1" s="608"/>
      <c r="J1" s="601" t="s">
        <v>6</v>
      </c>
      <c r="K1" s="602"/>
      <c r="L1" s="602"/>
      <c r="M1" s="603"/>
      <c r="N1" s="601" t="s">
        <v>7</v>
      </c>
      <c r="O1" s="603"/>
      <c r="P1" s="601" t="s">
        <v>25</v>
      </c>
      <c r="Q1" s="602"/>
      <c r="R1" s="603"/>
      <c r="S1" s="155" t="s">
        <v>8</v>
      </c>
      <c r="T1" s="155" t="s">
        <v>9</v>
      </c>
      <c r="U1" s="156" t="s">
        <v>10</v>
      </c>
      <c r="V1" s="157" t="s">
        <v>11</v>
      </c>
      <c r="W1" s="158" t="s">
        <v>26</v>
      </c>
      <c r="X1" s="159" t="s">
        <v>27</v>
      </c>
      <c r="Y1" s="611" t="s">
        <v>20</v>
      </c>
      <c r="Z1" s="612"/>
      <c r="AA1" s="612"/>
      <c r="AB1" s="613"/>
      <c r="AC1" s="611" t="s">
        <v>56</v>
      </c>
      <c r="AD1" s="612"/>
      <c r="AE1" s="612"/>
      <c r="AF1" s="613"/>
      <c r="AG1" s="611" t="s">
        <v>57</v>
      </c>
      <c r="AH1" s="612"/>
      <c r="AI1" s="612"/>
      <c r="AJ1" s="613"/>
      <c r="AK1" s="611" t="s">
        <v>58</v>
      </c>
      <c r="AL1" s="612"/>
      <c r="AM1" s="612"/>
      <c r="AN1" s="613"/>
    </row>
    <row r="2" spans="1:40" ht="14.95" customHeight="1" thickBot="1" x14ac:dyDescent="0.3">
      <c r="A2" s="160" t="s">
        <v>19</v>
      </c>
      <c r="B2" s="161" t="s">
        <v>18</v>
      </c>
      <c r="C2" s="162" t="s">
        <v>17</v>
      </c>
      <c r="D2" s="162" t="s">
        <v>37</v>
      </c>
      <c r="E2" s="163" t="s">
        <v>16</v>
      </c>
      <c r="F2" s="163" t="s">
        <v>4</v>
      </c>
      <c r="G2" s="163" t="s">
        <v>5</v>
      </c>
      <c r="H2" s="164" t="s">
        <v>12</v>
      </c>
      <c r="I2" s="164" t="s">
        <v>3</v>
      </c>
      <c r="J2" s="164" t="s">
        <v>12</v>
      </c>
      <c r="K2" s="164" t="s">
        <v>13</v>
      </c>
      <c r="L2" s="164" t="s">
        <v>2</v>
      </c>
      <c r="M2" s="164" t="s">
        <v>14</v>
      </c>
      <c r="N2" s="164" t="s">
        <v>15</v>
      </c>
      <c r="O2" s="164" t="s">
        <v>16</v>
      </c>
      <c r="P2" s="164" t="s">
        <v>21</v>
      </c>
      <c r="Q2" s="164" t="s">
        <v>22</v>
      </c>
      <c r="R2" s="164" t="s">
        <v>12</v>
      </c>
      <c r="S2" s="165"/>
      <c r="T2" s="166"/>
      <c r="U2" s="167"/>
      <c r="V2" s="165"/>
      <c r="W2" s="168"/>
      <c r="X2" s="169"/>
      <c r="Y2" s="170" t="s">
        <v>0</v>
      </c>
      <c r="Z2" s="170" t="s">
        <v>1</v>
      </c>
      <c r="AA2" s="170" t="s">
        <v>2</v>
      </c>
      <c r="AB2" s="170" t="s">
        <v>3</v>
      </c>
      <c r="AC2" s="170" t="s">
        <v>0</v>
      </c>
      <c r="AD2" s="170" t="s">
        <v>1</v>
      </c>
      <c r="AE2" s="170" t="s">
        <v>2</v>
      </c>
      <c r="AF2" s="170" t="s">
        <v>3</v>
      </c>
      <c r="AG2" s="170" t="s">
        <v>0</v>
      </c>
      <c r="AH2" s="170" t="s">
        <v>1</v>
      </c>
      <c r="AI2" s="170" t="s">
        <v>2</v>
      </c>
      <c r="AJ2" s="170" t="s">
        <v>3</v>
      </c>
      <c r="AK2" s="170" t="s">
        <v>0</v>
      </c>
      <c r="AL2" s="170" t="s">
        <v>1</v>
      </c>
      <c r="AM2" s="170" t="s">
        <v>2</v>
      </c>
      <c r="AN2" s="170" t="s">
        <v>3</v>
      </c>
    </row>
    <row r="3" spans="1:40" ht="14.95" customHeight="1" thickBot="1" x14ac:dyDescent="0.3">
      <c r="A3" s="191" t="s">
        <v>136</v>
      </c>
      <c r="B3" s="204" t="s">
        <v>41</v>
      </c>
      <c r="C3" s="192" t="s">
        <v>33</v>
      </c>
      <c r="D3" s="192" t="s">
        <v>91</v>
      </c>
      <c r="E3" s="193" t="s">
        <v>3</v>
      </c>
      <c r="F3" s="193">
        <v>12</v>
      </c>
      <c r="G3" s="193">
        <v>22</v>
      </c>
      <c r="H3" s="193">
        <v>0</v>
      </c>
      <c r="I3" s="193">
        <v>0</v>
      </c>
      <c r="J3" s="193">
        <v>2</v>
      </c>
      <c r="K3" s="193">
        <v>1</v>
      </c>
      <c r="L3" s="193">
        <v>0</v>
      </c>
      <c r="M3" s="193">
        <v>0</v>
      </c>
      <c r="N3" s="193">
        <v>0</v>
      </c>
      <c r="O3" s="193">
        <v>0</v>
      </c>
      <c r="P3" s="193">
        <v>0</v>
      </c>
      <c r="Q3" s="193">
        <v>0</v>
      </c>
      <c r="R3" s="193">
        <v>3</v>
      </c>
      <c r="S3" s="194"/>
      <c r="T3" s="195" t="s">
        <v>172</v>
      </c>
      <c r="U3" s="196" t="s">
        <v>173</v>
      </c>
      <c r="V3" s="194" t="s">
        <v>174</v>
      </c>
      <c r="W3" s="197" t="s">
        <v>175</v>
      </c>
      <c r="X3" s="198" t="s">
        <v>176</v>
      </c>
      <c r="Y3" s="199">
        <v>1</v>
      </c>
      <c r="Z3" s="199">
        <v>0</v>
      </c>
      <c r="AA3" s="199">
        <v>0</v>
      </c>
      <c r="AB3" s="200">
        <v>1</v>
      </c>
      <c r="AC3" s="199">
        <v>1</v>
      </c>
      <c r="AD3" s="199">
        <v>0</v>
      </c>
      <c r="AE3" s="199">
        <v>0</v>
      </c>
      <c r="AF3" s="200">
        <v>1</v>
      </c>
      <c r="AG3" s="199">
        <v>0</v>
      </c>
      <c r="AH3" s="199">
        <v>0</v>
      </c>
      <c r="AI3" s="199">
        <v>0</v>
      </c>
      <c r="AJ3" s="200">
        <v>0</v>
      </c>
      <c r="AK3" s="199">
        <v>0</v>
      </c>
      <c r="AL3" s="199">
        <v>0</v>
      </c>
      <c r="AM3" s="199">
        <v>0</v>
      </c>
      <c r="AN3" s="200">
        <v>0</v>
      </c>
    </row>
    <row r="4" spans="1:40" ht="14.95" customHeight="1" thickBot="1" x14ac:dyDescent="0.3">
      <c r="A4" s="176" t="s">
        <v>138</v>
      </c>
      <c r="B4" s="178" t="s">
        <v>41</v>
      </c>
      <c r="C4" s="178" t="s">
        <v>30</v>
      </c>
      <c r="D4" s="178" t="s">
        <v>139</v>
      </c>
      <c r="E4" s="179" t="s">
        <v>3</v>
      </c>
      <c r="F4" s="179">
        <v>5</v>
      </c>
      <c r="G4" s="179">
        <v>68</v>
      </c>
      <c r="H4" s="179">
        <v>0</v>
      </c>
      <c r="I4" s="179">
        <v>0</v>
      </c>
      <c r="J4" s="179">
        <v>1</v>
      </c>
      <c r="K4" s="179">
        <v>0</v>
      </c>
      <c r="L4" s="179">
        <v>0</v>
      </c>
      <c r="M4" s="179">
        <v>0</v>
      </c>
      <c r="N4" s="179">
        <v>0</v>
      </c>
      <c r="O4" s="179">
        <v>0</v>
      </c>
      <c r="P4" s="179">
        <v>1</v>
      </c>
      <c r="Q4" s="179">
        <v>0</v>
      </c>
      <c r="R4" s="179">
        <v>12</v>
      </c>
      <c r="S4" s="183">
        <v>12947</v>
      </c>
      <c r="T4" s="187" t="s">
        <v>227</v>
      </c>
      <c r="U4" s="185" t="s">
        <v>188</v>
      </c>
      <c r="V4" s="183" t="s">
        <v>224</v>
      </c>
      <c r="W4" s="180" t="s">
        <v>225</v>
      </c>
      <c r="X4" s="186" t="s">
        <v>226</v>
      </c>
      <c r="Y4" s="181">
        <v>1</v>
      </c>
      <c r="Z4" s="181">
        <v>0</v>
      </c>
      <c r="AA4" s="181">
        <v>0</v>
      </c>
      <c r="AB4" s="182">
        <v>1</v>
      </c>
      <c r="AC4" s="181">
        <v>0</v>
      </c>
      <c r="AD4" s="181">
        <v>0</v>
      </c>
      <c r="AE4" s="181">
        <v>0</v>
      </c>
      <c r="AF4" s="182">
        <v>0</v>
      </c>
      <c r="AG4" s="181">
        <v>1</v>
      </c>
      <c r="AH4" s="181">
        <v>0</v>
      </c>
      <c r="AI4" s="181">
        <v>0</v>
      </c>
      <c r="AJ4" s="182">
        <v>1</v>
      </c>
      <c r="AK4" s="181">
        <v>0</v>
      </c>
      <c r="AL4" s="181">
        <v>0</v>
      </c>
      <c r="AM4" s="181">
        <v>0</v>
      </c>
      <c r="AN4" s="182">
        <v>0</v>
      </c>
    </row>
    <row r="5" spans="1:40" ht="14.95" customHeight="1" thickBot="1" x14ac:dyDescent="0.35">
      <c r="A5" s="191" t="s">
        <v>142</v>
      </c>
      <c r="B5" s="192" t="s">
        <v>41</v>
      </c>
      <c r="C5" s="192" t="s">
        <v>35</v>
      </c>
      <c r="D5" s="192" t="s">
        <v>91</v>
      </c>
      <c r="E5" s="193" t="s">
        <v>1</v>
      </c>
      <c r="F5" s="193">
        <v>24</v>
      </c>
      <c r="G5" s="193">
        <v>7</v>
      </c>
      <c r="H5" s="193">
        <v>0</v>
      </c>
      <c r="I5" s="193">
        <v>0</v>
      </c>
      <c r="J5" s="193">
        <v>3</v>
      </c>
      <c r="K5" s="193">
        <v>3</v>
      </c>
      <c r="L5" s="193">
        <v>0</v>
      </c>
      <c r="M5" s="193">
        <v>1</v>
      </c>
      <c r="N5" s="193">
        <v>0</v>
      </c>
      <c r="O5" s="193">
        <v>0</v>
      </c>
      <c r="P5" s="193">
        <v>0</v>
      </c>
      <c r="Q5" s="193">
        <v>0</v>
      </c>
      <c r="R5" s="193">
        <v>1</v>
      </c>
      <c r="S5" s="194"/>
      <c r="T5" s="203" t="s">
        <v>236</v>
      </c>
      <c r="U5" s="196" t="s">
        <v>196</v>
      </c>
      <c r="V5" s="194" t="s">
        <v>163</v>
      </c>
      <c r="W5" s="197" t="s">
        <v>165</v>
      </c>
      <c r="X5" s="198" t="s">
        <v>226</v>
      </c>
      <c r="Y5" s="199">
        <v>1</v>
      </c>
      <c r="Z5" s="199">
        <v>1</v>
      </c>
      <c r="AA5" s="199">
        <v>0</v>
      </c>
      <c r="AB5" s="200">
        <v>0</v>
      </c>
      <c r="AC5" s="199">
        <v>1</v>
      </c>
      <c r="AD5" s="199">
        <v>1</v>
      </c>
      <c r="AE5" s="199">
        <v>0</v>
      </c>
      <c r="AF5" s="200">
        <v>0</v>
      </c>
      <c r="AG5" s="199">
        <v>0</v>
      </c>
      <c r="AH5" s="199">
        <v>0</v>
      </c>
      <c r="AI5" s="199">
        <v>0</v>
      </c>
      <c r="AJ5" s="200">
        <v>0</v>
      </c>
      <c r="AK5" s="199">
        <v>0</v>
      </c>
      <c r="AL5" s="199">
        <v>0</v>
      </c>
      <c r="AM5" s="199">
        <v>0</v>
      </c>
      <c r="AN5" s="200">
        <v>0</v>
      </c>
    </row>
    <row r="6" spans="1:40" ht="14.95" customHeight="1" thickBot="1" x14ac:dyDescent="0.3">
      <c r="A6" s="176" t="s">
        <v>146</v>
      </c>
      <c r="B6" s="178" t="s">
        <v>41</v>
      </c>
      <c r="C6" s="178" t="s">
        <v>34</v>
      </c>
      <c r="D6" s="178" t="s">
        <v>90</v>
      </c>
      <c r="E6" s="179" t="s">
        <v>3</v>
      </c>
      <c r="F6" s="179">
        <v>21</v>
      </c>
      <c r="G6" s="179">
        <v>29</v>
      </c>
      <c r="H6" s="179">
        <v>0</v>
      </c>
      <c r="I6" s="179">
        <v>0</v>
      </c>
      <c r="J6" s="179">
        <v>3</v>
      </c>
      <c r="K6" s="179">
        <v>3</v>
      </c>
      <c r="L6" s="179">
        <v>0</v>
      </c>
      <c r="M6" s="179">
        <v>0</v>
      </c>
      <c r="N6" s="179">
        <v>1</v>
      </c>
      <c r="O6" s="179">
        <v>1</v>
      </c>
      <c r="P6" s="179">
        <v>1</v>
      </c>
      <c r="Q6" s="179">
        <v>0</v>
      </c>
      <c r="R6" s="179">
        <v>5</v>
      </c>
      <c r="S6" s="183"/>
      <c r="T6" s="190" t="s">
        <v>250</v>
      </c>
      <c r="U6" s="185" t="s">
        <v>196</v>
      </c>
      <c r="V6" s="183" t="s">
        <v>163</v>
      </c>
      <c r="W6" s="180" t="s">
        <v>231</v>
      </c>
      <c r="X6" s="186" t="s">
        <v>158</v>
      </c>
      <c r="Y6" s="181">
        <v>1</v>
      </c>
      <c r="Z6" s="181">
        <v>0</v>
      </c>
      <c r="AA6" s="181">
        <v>0</v>
      </c>
      <c r="AB6" s="182">
        <v>1</v>
      </c>
      <c r="AC6" s="181">
        <v>0</v>
      </c>
      <c r="AD6" s="181">
        <v>0</v>
      </c>
      <c r="AE6" s="181">
        <v>0</v>
      </c>
      <c r="AF6" s="182">
        <v>0</v>
      </c>
      <c r="AG6" s="181">
        <v>1</v>
      </c>
      <c r="AH6" s="181">
        <v>0</v>
      </c>
      <c r="AI6" s="181">
        <v>0</v>
      </c>
      <c r="AJ6" s="182">
        <v>1</v>
      </c>
      <c r="AK6" s="181">
        <v>0</v>
      </c>
      <c r="AL6" s="181">
        <v>0</v>
      </c>
      <c r="AM6" s="181">
        <v>0</v>
      </c>
      <c r="AN6" s="182">
        <v>0</v>
      </c>
    </row>
    <row r="7" spans="1:40" ht="14.95" customHeight="1" thickBot="1" x14ac:dyDescent="0.3">
      <c r="A7" s="191" t="s">
        <v>151</v>
      </c>
      <c r="B7" s="192" t="s">
        <v>41</v>
      </c>
      <c r="C7" s="192" t="s">
        <v>31</v>
      </c>
      <c r="D7" s="192" t="s">
        <v>91</v>
      </c>
      <c r="E7" s="193" t="s">
        <v>3</v>
      </c>
      <c r="F7" s="193">
        <v>10</v>
      </c>
      <c r="G7" s="193">
        <v>36</v>
      </c>
      <c r="H7" s="193">
        <v>0</v>
      </c>
      <c r="I7" s="193">
        <v>0</v>
      </c>
      <c r="J7" s="193">
        <v>1</v>
      </c>
      <c r="K7" s="193">
        <v>1</v>
      </c>
      <c r="L7" s="193">
        <v>0</v>
      </c>
      <c r="M7" s="193">
        <v>1</v>
      </c>
      <c r="N7" s="193">
        <v>0</v>
      </c>
      <c r="O7" s="193">
        <v>0</v>
      </c>
      <c r="P7" s="193">
        <v>1</v>
      </c>
      <c r="Q7" s="193">
        <v>0</v>
      </c>
      <c r="R7" s="193">
        <v>5</v>
      </c>
      <c r="S7" s="194">
        <v>3213</v>
      </c>
      <c r="T7" s="195" t="s">
        <v>273</v>
      </c>
      <c r="U7" s="196" t="s">
        <v>231</v>
      </c>
      <c r="V7" s="194" t="s">
        <v>174</v>
      </c>
      <c r="W7" s="197" t="s">
        <v>196</v>
      </c>
      <c r="X7" s="198" t="s">
        <v>274</v>
      </c>
      <c r="Y7" s="199">
        <v>1</v>
      </c>
      <c r="Z7" s="199">
        <v>0</v>
      </c>
      <c r="AA7" s="199">
        <v>0</v>
      </c>
      <c r="AB7" s="200">
        <v>1</v>
      </c>
      <c r="AC7" s="199">
        <v>1</v>
      </c>
      <c r="AD7" s="199">
        <v>0</v>
      </c>
      <c r="AE7" s="199">
        <v>0</v>
      </c>
      <c r="AF7" s="200">
        <v>1</v>
      </c>
      <c r="AG7" s="199">
        <v>0</v>
      </c>
      <c r="AH7" s="199">
        <v>0</v>
      </c>
      <c r="AI7" s="199">
        <v>0</v>
      </c>
      <c r="AJ7" s="200">
        <v>0</v>
      </c>
      <c r="AK7" s="199">
        <v>0</v>
      </c>
      <c r="AL7" s="199">
        <v>0</v>
      </c>
      <c r="AM7" s="199">
        <v>0</v>
      </c>
      <c r="AN7" s="200">
        <v>0</v>
      </c>
    </row>
    <row r="8" spans="1:40" ht="14.95" customHeight="1" thickBot="1" x14ac:dyDescent="0.35">
      <c r="A8" s="191" t="s">
        <v>365</v>
      </c>
      <c r="B8" s="192" t="s">
        <v>180</v>
      </c>
      <c r="C8" s="192" t="s">
        <v>74</v>
      </c>
      <c r="D8" s="192" t="s">
        <v>366</v>
      </c>
      <c r="E8" s="193" t="s">
        <v>1</v>
      </c>
      <c r="F8" s="193">
        <v>23</v>
      </c>
      <c r="G8" s="193">
        <v>0</v>
      </c>
      <c r="H8" s="193" t="s">
        <v>69</v>
      </c>
      <c r="I8" s="193" t="s">
        <v>69</v>
      </c>
      <c r="J8" s="193">
        <v>4</v>
      </c>
      <c r="K8" s="193">
        <v>0</v>
      </c>
      <c r="L8" s="193">
        <v>0</v>
      </c>
      <c r="M8" s="193">
        <v>1</v>
      </c>
      <c r="N8" s="193">
        <v>0</v>
      </c>
      <c r="O8" s="193">
        <v>0</v>
      </c>
      <c r="P8" s="193" t="s">
        <v>69</v>
      </c>
      <c r="Q8" s="193" t="s">
        <v>69</v>
      </c>
      <c r="R8" s="193">
        <v>0</v>
      </c>
      <c r="S8" s="194"/>
      <c r="T8" s="203" t="s">
        <v>368</v>
      </c>
      <c r="U8" s="196" t="s">
        <v>155</v>
      </c>
      <c r="V8" s="194" t="s">
        <v>218</v>
      </c>
      <c r="W8" s="194" t="s">
        <v>208</v>
      </c>
      <c r="X8" s="198" t="s">
        <v>200</v>
      </c>
      <c r="Y8" s="199">
        <v>1</v>
      </c>
      <c r="Z8" s="199">
        <v>1</v>
      </c>
      <c r="AA8" s="199">
        <v>0</v>
      </c>
      <c r="AB8" s="200">
        <v>0</v>
      </c>
      <c r="AC8" s="199">
        <v>1</v>
      </c>
      <c r="AD8" s="199">
        <v>1</v>
      </c>
      <c r="AE8" s="199">
        <v>0</v>
      </c>
      <c r="AF8" s="200">
        <v>0</v>
      </c>
      <c r="AG8" s="199">
        <v>0</v>
      </c>
      <c r="AH8" s="199">
        <v>0</v>
      </c>
      <c r="AI8" s="199">
        <v>0</v>
      </c>
      <c r="AJ8" s="200">
        <v>0</v>
      </c>
      <c r="AK8" s="199">
        <v>0</v>
      </c>
      <c r="AL8" s="199">
        <v>0</v>
      </c>
      <c r="AM8" s="199">
        <v>0</v>
      </c>
      <c r="AN8" s="200">
        <v>0</v>
      </c>
    </row>
    <row r="9" spans="1:40" ht="14.95" customHeight="1" thickBot="1" x14ac:dyDescent="0.3">
      <c r="A9" s="191" t="s">
        <v>405</v>
      </c>
      <c r="B9" s="192" t="s">
        <v>180</v>
      </c>
      <c r="C9" s="192" t="s">
        <v>310</v>
      </c>
      <c r="D9" s="192" t="s">
        <v>91</v>
      </c>
      <c r="E9" s="193" t="s">
        <v>3</v>
      </c>
      <c r="F9" s="193">
        <v>24</v>
      </c>
      <c r="G9" s="193">
        <v>25</v>
      </c>
      <c r="H9" s="193" t="s">
        <v>69</v>
      </c>
      <c r="I9" s="193" t="s">
        <v>69</v>
      </c>
      <c r="J9" s="193">
        <v>4</v>
      </c>
      <c r="K9" s="193">
        <v>2</v>
      </c>
      <c r="L9" s="193">
        <v>0</v>
      </c>
      <c r="M9" s="193">
        <v>0</v>
      </c>
      <c r="N9" s="193">
        <v>1</v>
      </c>
      <c r="O9" s="193">
        <v>0</v>
      </c>
      <c r="P9" s="193" t="s">
        <v>69</v>
      </c>
      <c r="Q9" s="193" t="s">
        <v>69</v>
      </c>
      <c r="R9" s="193">
        <v>4</v>
      </c>
      <c r="S9" s="194"/>
      <c r="T9" s="195" t="s">
        <v>415</v>
      </c>
      <c r="U9" s="196" t="s">
        <v>196</v>
      </c>
      <c r="V9" s="194" t="s">
        <v>218</v>
      </c>
      <c r="W9" s="194" t="s">
        <v>225</v>
      </c>
      <c r="X9" s="198" t="s">
        <v>377</v>
      </c>
      <c r="Y9" s="199">
        <v>1</v>
      </c>
      <c r="Z9" s="199">
        <v>0</v>
      </c>
      <c r="AA9" s="199">
        <v>0</v>
      </c>
      <c r="AB9" s="200">
        <v>1</v>
      </c>
      <c r="AC9" s="199">
        <v>1</v>
      </c>
      <c r="AD9" s="199">
        <v>0</v>
      </c>
      <c r="AE9" s="199">
        <v>0</v>
      </c>
      <c r="AF9" s="200">
        <v>1</v>
      </c>
      <c r="AG9" s="199">
        <v>0</v>
      </c>
      <c r="AH9" s="199">
        <v>0</v>
      </c>
      <c r="AI9" s="199">
        <v>0</v>
      </c>
      <c r="AJ9" s="200">
        <v>0</v>
      </c>
      <c r="AK9" s="199">
        <v>0</v>
      </c>
      <c r="AL9" s="199">
        <v>0</v>
      </c>
      <c r="AM9" s="199">
        <v>0</v>
      </c>
      <c r="AN9" s="200">
        <v>0</v>
      </c>
    </row>
    <row r="10" spans="1:40" ht="14.95" customHeight="1" thickBot="1" x14ac:dyDescent="0.35">
      <c r="A10" s="210" t="s">
        <v>426</v>
      </c>
      <c r="B10" s="211" t="s">
        <v>427</v>
      </c>
      <c r="C10" s="211" t="s">
        <v>310</v>
      </c>
      <c r="D10" s="211" t="s">
        <v>428</v>
      </c>
      <c r="E10" s="207" t="s">
        <v>1</v>
      </c>
      <c r="F10" s="207">
        <v>28</v>
      </c>
      <c r="G10" s="207">
        <v>15</v>
      </c>
      <c r="H10" s="207">
        <v>1</v>
      </c>
      <c r="I10" s="207">
        <v>0</v>
      </c>
      <c r="J10" s="207">
        <v>4</v>
      </c>
      <c r="K10" s="207">
        <v>4</v>
      </c>
      <c r="L10" s="207">
        <v>0</v>
      </c>
      <c r="M10" s="207">
        <v>0</v>
      </c>
      <c r="N10" s="207">
        <v>1</v>
      </c>
      <c r="O10" s="207">
        <v>0</v>
      </c>
      <c r="P10" s="207">
        <v>0</v>
      </c>
      <c r="Q10" s="207">
        <v>0</v>
      </c>
      <c r="R10" s="207">
        <v>3</v>
      </c>
      <c r="S10" s="212"/>
      <c r="T10" s="215" t="s">
        <v>488</v>
      </c>
      <c r="U10" s="213" t="s">
        <v>188</v>
      </c>
      <c r="V10" s="212" t="s">
        <v>391</v>
      </c>
      <c r="W10" s="209" t="s">
        <v>196</v>
      </c>
      <c r="X10" s="214" t="s">
        <v>393</v>
      </c>
      <c r="Y10" s="147">
        <v>1</v>
      </c>
      <c r="Z10" s="147">
        <v>1</v>
      </c>
      <c r="AA10" s="147">
        <v>0</v>
      </c>
      <c r="AB10" s="208">
        <v>0</v>
      </c>
      <c r="AC10" s="147">
        <v>1</v>
      </c>
      <c r="AD10" s="147">
        <v>1</v>
      </c>
      <c r="AE10" s="147">
        <v>0</v>
      </c>
      <c r="AF10" s="208">
        <v>0</v>
      </c>
      <c r="AG10" s="147">
        <v>0</v>
      </c>
      <c r="AH10" s="147">
        <v>0</v>
      </c>
      <c r="AI10" s="147">
        <v>0</v>
      </c>
      <c r="AJ10" s="208">
        <v>0</v>
      </c>
      <c r="AK10" s="147">
        <v>0</v>
      </c>
      <c r="AL10" s="147">
        <v>0</v>
      </c>
      <c r="AM10" s="147">
        <v>0</v>
      </c>
      <c r="AN10" s="208">
        <v>0</v>
      </c>
    </row>
    <row r="11" spans="1:40" ht="14.95" customHeight="1" thickBot="1" x14ac:dyDescent="0.35">
      <c r="A11" s="176" t="s">
        <v>435</v>
      </c>
      <c r="B11" s="178" t="s">
        <v>427</v>
      </c>
      <c r="C11" s="178" t="s">
        <v>186</v>
      </c>
      <c r="D11" s="178" t="s">
        <v>496</v>
      </c>
      <c r="E11" s="179" t="s">
        <v>1</v>
      </c>
      <c r="F11" s="179">
        <v>36</v>
      </c>
      <c r="G11" s="179">
        <v>18</v>
      </c>
      <c r="H11" s="179">
        <v>1</v>
      </c>
      <c r="I11" s="179">
        <v>0</v>
      </c>
      <c r="J11" s="179">
        <v>5</v>
      </c>
      <c r="K11" s="179">
        <v>4</v>
      </c>
      <c r="L11" s="179">
        <v>0</v>
      </c>
      <c r="M11" s="179">
        <v>1</v>
      </c>
      <c r="N11" s="179">
        <v>0</v>
      </c>
      <c r="O11" s="179">
        <v>0</v>
      </c>
      <c r="P11" s="179">
        <v>0</v>
      </c>
      <c r="Q11" s="179">
        <v>0</v>
      </c>
      <c r="R11" s="179">
        <v>2</v>
      </c>
      <c r="S11" s="183"/>
      <c r="T11" s="184" t="s">
        <v>199</v>
      </c>
      <c r="U11" s="185" t="s">
        <v>196</v>
      </c>
      <c r="V11" s="183" t="s">
        <v>218</v>
      </c>
      <c r="W11" s="185" t="s">
        <v>188</v>
      </c>
      <c r="X11" s="183" t="s">
        <v>157</v>
      </c>
      <c r="Y11" s="181">
        <v>1</v>
      </c>
      <c r="Z11" s="181">
        <v>1</v>
      </c>
      <c r="AA11" s="181">
        <v>0</v>
      </c>
      <c r="AB11" s="182">
        <v>0</v>
      </c>
      <c r="AC11" s="181">
        <v>0</v>
      </c>
      <c r="AD11" s="181">
        <v>0</v>
      </c>
      <c r="AE11" s="181">
        <v>0</v>
      </c>
      <c r="AF11" s="182">
        <v>0</v>
      </c>
      <c r="AG11" s="181">
        <v>1</v>
      </c>
      <c r="AH11" s="181">
        <v>1</v>
      </c>
      <c r="AI11" s="181">
        <v>0</v>
      </c>
      <c r="AJ11" s="182">
        <v>0</v>
      </c>
      <c r="AK11" s="181">
        <v>0</v>
      </c>
      <c r="AL11" s="181">
        <v>0</v>
      </c>
      <c r="AM11" s="181">
        <v>0</v>
      </c>
      <c r="AN11" s="182">
        <v>0</v>
      </c>
    </row>
    <row r="12" spans="1:40" ht="14.95" customHeight="1" thickBot="1" x14ac:dyDescent="0.35">
      <c r="A12" s="210" t="s">
        <v>458</v>
      </c>
      <c r="B12" s="211" t="s">
        <v>427</v>
      </c>
      <c r="C12" s="211" t="s">
        <v>55</v>
      </c>
      <c r="D12" s="211" t="s">
        <v>496</v>
      </c>
      <c r="E12" s="207" t="s">
        <v>1</v>
      </c>
      <c r="F12" s="207">
        <v>30</v>
      </c>
      <c r="G12" s="207">
        <v>8</v>
      </c>
      <c r="H12" s="207">
        <v>1</v>
      </c>
      <c r="I12" s="207">
        <v>0</v>
      </c>
      <c r="J12" s="207">
        <v>5</v>
      </c>
      <c r="K12" s="207">
        <v>1</v>
      </c>
      <c r="L12" s="207">
        <v>0</v>
      </c>
      <c r="M12" s="207">
        <v>1</v>
      </c>
      <c r="N12" s="207">
        <v>0</v>
      </c>
      <c r="O12" s="207">
        <v>0</v>
      </c>
      <c r="P12" s="207">
        <v>0</v>
      </c>
      <c r="Q12" s="207">
        <v>0</v>
      </c>
      <c r="R12" s="207">
        <v>1</v>
      </c>
      <c r="S12" s="209"/>
      <c r="T12" s="215" t="s">
        <v>514</v>
      </c>
      <c r="U12" s="212" t="s">
        <v>325</v>
      </c>
      <c r="V12" s="212" t="s">
        <v>218</v>
      </c>
      <c r="W12" s="212" t="s">
        <v>196</v>
      </c>
      <c r="X12" s="234" t="s">
        <v>393</v>
      </c>
      <c r="Y12" s="147">
        <v>1</v>
      </c>
      <c r="Z12" s="147">
        <v>1</v>
      </c>
      <c r="AA12" s="147">
        <v>0</v>
      </c>
      <c r="AB12" s="208">
        <v>0</v>
      </c>
      <c r="AC12" s="147">
        <v>0</v>
      </c>
      <c r="AD12" s="147">
        <v>0</v>
      </c>
      <c r="AE12" s="147">
        <v>0</v>
      </c>
      <c r="AF12" s="208">
        <v>0</v>
      </c>
      <c r="AG12" s="147">
        <v>0</v>
      </c>
      <c r="AH12" s="147">
        <v>0</v>
      </c>
      <c r="AI12" s="147">
        <v>0</v>
      </c>
      <c r="AJ12" s="208">
        <v>0</v>
      </c>
      <c r="AK12" s="147">
        <v>1</v>
      </c>
      <c r="AL12" s="147">
        <v>1</v>
      </c>
      <c r="AM12" s="147">
        <v>0</v>
      </c>
      <c r="AN12" s="208">
        <v>0</v>
      </c>
    </row>
    <row r="13" spans="1:40" ht="14.95" customHeight="1" thickBot="1" x14ac:dyDescent="0.3">
      <c r="A13" s="117"/>
      <c r="B13" s="118"/>
      <c r="C13" s="525" t="s">
        <v>71</v>
      </c>
      <c r="D13" s="526"/>
      <c r="E13" s="527"/>
      <c r="F13" s="456">
        <f t="shared" ref="F13:R13" si="0">SUM(F3:F7)</f>
        <v>72</v>
      </c>
      <c r="G13" s="456">
        <f t="shared" si="0"/>
        <v>162</v>
      </c>
      <c r="H13" s="456">
        <f t="shared" si="0"/>
        <v>0</v>
      </c>
      <c r="I13" s="456">
        <f t="shared" si="0"/>
        <v>0</v>
      </c>
      <c r="J13" s="456">
        <f t="shared" si="0"/>
        <v>10</v>
      </c>
      <c r="K13" s="456">
        <f t="shared" si="0"/>
        <v>8</v>
      </c>
      <c r="L13" s="456">
        <f t="shared" si="0"/>
        <v>0</v>
      </c>
      <c r="M13" s="456">
        <f t="shared" si="0"/>
        <v>2</v>
      </c>
      <c r="N13" s="456">
        <f t="shared" si="0"/>
        <v>1</v>
      </c>
      <c r="O13" s="456">
        <f t="shared" si="0"/>
        <v>1</v>
      </c>
      <c r="P13" s="456">
        <f t="shared" si="0"/>
        <v>3</v>
      </c>
      <c r="Q13" s="456">
        <f t="shared" si="0"/>
        <v>0</v>
      </c>
      <c r="R13" s="456">
        <f t="shared" si="0"/>
        <v>26</v>
      </c>
      <c r="S13" s="457"/>
      <c r="T13" s="457"/>
      <c r="U13" s="457"/>
      <c r="V13" s="457"/>
      <c r="W13" s="458"/>
      <c r="X13" s="459" t="s">
        <v>71</v>
      </c>
      <c r="Y13" s="456">
        <f t="shared" ref="Y13:AN13" si="1">SUM(Y3:Y7)</f>
        <v>5</v>
      </c>
      <c r="Z13" s="456">
        <f t="shared" si="1"/>
        <v>1</v>
      </c>
      <c r="AA13" s="456">
        <f t="shared" si="1"/>
        <v>0</v>
      </c>
      <c r="AB13" s="456">
        <f t="shared" si="1"/>
        <v>4</v>
      </c>
      <c r="AC13" s="460">
        <f t="shared" si="1"/>
        <v>3</v>
      </c>
      <c r="AD13" s="460">
        <f t="shared" si="1"/>
        <v>1</v>
      </c>
      <c r="AE13" s="460">
        <f t="shared" si="1"/>
        <v>0</v>
      </c>
      <c r="AF13" s="460">
        <f t="shared" si="1"/>
        <v>2</v>
      </c>
      <c r="AG13" s="461">
        <f t="shared" si="1"/>
        <v>2</v>
      </c>
      <c r="AH13" s="461">
        <f t="shared" si="1"/>
        <v>0</v>
      </c>
      <c r="AI13" s="461">
        <f t="shared" si="1"/>
        <v>0</v>
      </c>
      <c r="AJ13" s="461">
        <f t="shared" si="1"/>
        <v>2</v>
      </c>
      <c r="AK13" s="456">
        <f t="shared" si="1"/>
        <v>0</v>
      </c>
      <c r="AL13" s="456">
        <f t="shared" si="1"/>
        <v>0</v>
      </c>
      <c r="AM13" s="456">
        <f t="shared" si="1"/>
        <v>0</v>
      </c>
      <c r="AN13" s="456">
        <f t="shared" si="1"/>
        <v>0</v>
      </c>
    </row>
    <row r="14" spans="1:40" ht="14.95" thickBot="1" x14ac:dyDescent="0.3">
      <c r="A14" s="228"/>
      <c r="B14" s="229"/>
      <c r="C14" s="519" t="s">
        <v>78</v>
      </c>
      <c r="D14" s="609"/>
      <c r="E14" s="610"/>
      <c r="F14" s="225">
        <f>SUM(F8:F9)</f>
        <v>47</v>
      </c>
      <c r="G14" s="225">
        <f>SUM(G8:G9)</f>
        <v>25</v>
      </c>
      <c r="H14" s="225" t="s">
        <v>69</v>
      </c>
      <c r="I14" s="225" t="s">
        <v>69</v>
      </c>
      <c r="J14" s="225">
        <f t="shared" ref="J14:O14" si="2">SUM(J8:J9)</f>
        <v>8</v>
      </c>
      <c r="K14" s="225">
        <f t="shared" si="2"/>
        <v>2</v>
      </c>
      <c r="L14" s="225">
        <f t="shared" si="2"/>
        <v>0</v>
      </c>
      <c r="M14" s="225">
        <f t="shared" si="2"/>
        <v>1</v>
      </c>
      <c r="N14" s="225">
        <f t="shared" si="2"/>
        <v>1</v>
      </c>
      <c r="O14" s="225">
        <f t="shared" si="2"/>
        <v>0</v>
      </c>
      <c r="P14" s="225" t="s">
        <v>69</v>
      </c>
      <c r="Q14" s="225" t="s">
        <v>69</v>
      </c>
      <c r="R14" s="225">
        <f>SUM(R8:R9)</f>
        <v>4</v>
      </c>
      <c r="S14" s="222"/>
      <c r="T14" s="222"/>
      <c r="U14" s="222"/>
      <c r="V14" s="222"/>
      <c r="W14" s="223"/>
      <c r="X14" s="224" t="s">
        <v>78</v>
      </c>
      <c r="Y14" s="225">
        <f t="shared" ref="Y14:AN14" si="3">SUM(Y8:Y9)</f>
        <v>2</v>
      </c>
      <c r="Z14" s="225">
        <f t="shared" si="3"/>
        <v>1</v>
      </c>
      <c r="AA14" s="225">
        <f t="shared" si="3"/>
        <v>0</v>
      </c>
      <c r="AB14" s="225">
        <f t="shared" si="3"/>
        <v>1</v>
      </c>
      <c r="AC14" s="226">
        <f t="shared" si="3"/>
        <v>2</v>
      </c>
      <c r="AD14" s="226">
        <f t="shared" si="3"/>
        <v>1</v>
      </c>
      <c r="AE14" s="226">
        <f t="shared" si="3"/>
        <v>0</v>
      </c>
      <c r="AF14" s="226">
        <f t="shared" si="3"/>
        <v>1</v>
      </c>
      <c r="AG14" s="227">
        <f t="shared" si="3"/>
        <v>0</v>
      </c>
      <c r="AH14" s="227">
        <f t="shared" si="3"/>
        <v>0</v>
      </c>
      <c r="AI14" s="227">
        <f t="shared" si="3"/>
        <v>0</v>
      </c>
      <c r="AJ14" s="227">
        <f t="shared" si="3"/>
        <v>0</v>
      </c>
      <c r="AK14" s="225">
        <f t="shared" si="3"/>
        <v>0</v>
      </c>
      <c r="AL14" s="225">
        <f t="shared" si="3"/>
        <v>0</v>
      </c>
      <c r="AM14" s="225">
        <f t="shared" si="3"/>
        <v>0</v>
      </c>
      <c r="AN14" s="225">
        <f t="shared" si="3"/>
        <v>0</v>
      </c>
    </row>
    <row r="15" spans="1:40" ht="14.95" thickBot="1" x14ac:dyDescent="0.3">
      <c r="A15" s="228"/>
      <c r="B15" s="229"/>
      <c r="C15" s="409" t="s">
        <v>427</v>
      </c>
      <c r="D15" s="462"/>
      <c r="E15" s="463"/>
      <c r="F15" s="430">
        <f>SUM(F10:F12)</f>
        <v>94</v>
      </c>
      <c r="G15" s="430">
        <f t="shared" ref="G15:R15" si="4">SUM(G10:G12)</f>
        <v>41</v>
      </c>
      <c r="H15" s="430">
        <f t="shared" si="4"/>
        <v>3</v>
      </c>
      <c r="I15" s="430">
        <f t="shared" si="4"/>
        <v>0</v>
      </c>
      <c r="J15" s="430">
        <f t="shared" si="4"/>
        <v>14</v>
      </c>
      <c r="K15" s="430">
        <f t="shared" si="4"/>
        <v>9</v>
      </c>
      <c r="L15" s="430">
        <f t="shared" si="4"/>
        <v>0</v>
      </c>
      <c r="M15" s="430">
        <f t="shared" si="4"/>
        <v>2</v>
      </c>
      <c r="N15" s="430">
        <f t="shared" si="4"/>
        <v>1</v>
      </c>
      <c r="O15" s="430">
        <f t="shared" si="4"/>
        <v>0</v>
      </c>
      <c r="P15" s="430">
        <f t="shared" si="4"/>
        <v>0</v>
      </c>
      <c r="Q15" s="430">
        <f t="shared" si="4"/>
        <v>0</v>
      </c>
      <c r="R15" s="430">
        <f t="shared" si="4"/>
        <v>6</v>
      </c>
      <c r="S15" s="431"/>
      <c r="T15" s="431"/>
      <c r="U15" s="431"/>
      <c r="V15" s="431"/>
      <c r="W15" s="116"/>
      <c r="X15" s="151" t="s">
        <v>427</v>
      </c>
      <c r="Y15" s="430">
        <f t="shared" ref="Y15:AN15" si="5">SUM(Y10:Y12)</f>
        <v>3</v>
      </c>
      <c r="Z15" s="430">
        <f t="shared" si="5"/>
        <v>3</v>
      </c>
      <c r="AA15" s="430">
        <f t="shared" si="5"/>
        <v>0</v>
      </c>
      <c r="AB15" s="430">
        <f t="shared" si="5"/>
        <v>0</v>
      </c>
      <c r="AC15" s="432">
        <f t="shared" si="5"/>
        <v>1</v>
      </c>
      <c r="AD15" s="432">
        <f t="shared" si="5"/>
        <v>1</v>
      </c>
      <c r="AE15" s="432">
        <f t="shared" si="5"/>
        <v>0</v>
      </c>
      <c r="AF15" s="432">
        <f t="shared" si="5"/>
        <v>0</v>
      </c>
      <c r="AG15" s="433">
        <f t="shared" si="5"/>
        <v>1</v>
      </c>
      <c r="AH15" s="433">
        <f t="shared" si="5"/>
        <v>1</v>
      </c>
      <c r="AI15" s="433">
        <f t="shared" si="5"/>
        <v>0</v>
      </c>
      <c r="AJ15" s="433">
        <f t="shared" si="5"/>
        <v>0</v>
      </c>
      <c r="AK15" s="430">
        <f t="shared" si="5"/>
        <v>1</v>
      </c>
      <c r="AL15" s="430">
        <f t="shared" si="5"/>
        <v>1</v>
      </c>
      <c r="AM15" s="430">
        <f t="shared" si="5"/>
        <v>0</v>
      </c>
      <c r="AN15" s="430">
        <f t="shared" si="5"/>
        <v>0</v>
      </c>
    </row>
    <row r="16" spans="1:40" ht="14.95" thickBot="1" x14ac:dyDescent="0.3">
      <c r="A16" s="117"/>
      <c r="B16" s="118"/>
      <c r="C16" s="515" t="s">
        <v>70</v>
      </c>
      <c r="D16" s="516"/>
      <c r="E16" s="517"/>
      <c r="F16" s="142">
        <f t="shared" ref="F16:R16" si="6">SUM(F3:F12)</f>
        <v>213</v>
      </c>
      <c r="G16" s="142">
        <f t="shared" si="6"/>
        <v>228</v>
      </c>
      <c r="H16" s="142">
        <f t="shared" si="6"/>
        <v>3</v>
      </c>
      <c r="I16" s="142">
        <f t="shared" si="6"/>
        <v>0</v>
      </c>
      <c r="J16" s="142">
        <f t="shared" si="6"/>
        <v>32</v>
      </c>
      <c r="K16" s="142">
        <f t="shared" si="6"/>
        <v>19</v>
      </c>
      <c r="L16" s="142">
        <f t="shared" si="6"/>
        <v>0</v>
      </c>
      <c r="M16" s="142">
        <f t="shared" si="6"/>
        <v>5</v>
      </c>
      <c r="N16" s="142">
        <f t="shared" si="6"/>
        <v>3</v>
      </c>
      <c r="O16" s="142">
        <f t="shared" si="6"/>
        <v>1</v>
      </c>
      <c r="P16" s="142">
        <f t="shared" si="6"/>
        <v>3</v>
      </c>
      <c r="Q16" s="142">
        <f t="shared" si="6"/>
        <v>0</v>
      </c>
      <c r="R16" s="142">
        <f t="shared" si="6"/>
        <v>36</v>
      </c>
      <c r="S16" s="139"/>
      <c r="T16" s="139"/>
      <c r="U16" s="139"/>
      <c r="V16" s="139"/>
      <c r="W16" s="12"/>
      <c r="X16" s="147" t="s">
        <v>70</v>
      </c>
      <c r="Y16" s="142">
        <f t="shared" ref="Y16:AN16" si="7">SUM(Y3:Y12)</f>
        <v>10</v>
      </c>
      <c r="Z16" s="142">
        <f t="shared" si="7"/>
        <v>5</v>
      </c>
      <c r="AA16" s="142">
        <f t="shared" si="7"/>
        <v>0</v>
      </c>
      <c r="AB16" s="142">
        <f t="shared" si="7"/>
        <v>5</v>
      </c>
      <c r="AC16" s="140">
        <f t="shared" si="7"/>
        <v>6</v>
      </c>
      <c r="AD16" s="140">
        <f t="shared" si="7"/>
        <v>3</v>
      </c>
      <c r="AE16" s="140">
        <f t="shared" si="7"/>
        <v>0</v>
      </c>
      <c r="AF16" s="140">
        <f t="shared" si="7"/>
        <v>3</v>
      </c>
      <c r="AG16" s="141">
        <f t="shared" si="7"/>
        <v>3</v>
      </c>
      <c r="AH16" s="141">
        <f t="shared" si="7"/>
        <v>1</v>
      </c>
      <c r="AI16" s="141">
        <f t="shared" si="7"/>
        <v>0</v>
      </c>
      <c r="AJ16" s="141">
        <f t="shared" si="7"/>
        <v>2</v>
      </c>
      <c r="AK16" s="142">
        <f t="shared" si="7"/>
        <v>1</v>
      </c>
      <c r="AL16" s="142">
        <f t="shared" si="7"/>
        <v>1</v>
      </c>
      <c r="AM16" s="142">
        <f t="shared" si="7"/>
        <v>0</v>
      </c>
      <c r="AN16" s="142">
        <f t="shared" si="7"/>
        <v>0</v>
      </c>
    </row>
    <row r="17" spans="1:18" x14ac:dyDescent="0.25">
      <c r="A17" s="518" t="s">
        <v>80</v>
      </c>
      <c r="B17" s="490"/>
      <c r="C17" s="490"/>
      <c r="D17" s="490"/>
      <c r="E17" s="490"/>
      <c r="F17" s="490"/>
      <c r="G17" s="490"/>
      <c r="H17" s="490"/>
      <c r="I17" s="490"/>
      <c r="J17" s="490"/>
      <c r="K17" s="490"/>
      <c r="L17" s="490"/>
      <c r="M17" s="490"/>
      <c r="N17" s="490"/>
      <c r="O17" s="490"/>
      <c r="P17" s="490"/>
      <c r="Q17" s="490"/>
      <c r="R17" s="490"/>
    </row>
    <row r="18" spans="1:18" x14ac:dyDescent="0.25">
      <c r="A18" t="s">
        <v>141</v>
      </c>
      <c r="F18" s="13"/>
      <c r="G18" s="13"/>
      <c r="H18" s="12"/>
      <c r="I18" s="13"/>
      <c r="J18" s="13"/>
      <c r="K18" s="13"/>
      <c r="L18" s="13"/>
      <c r="M18" s="13"/>
      <c r="N18" s="13"/>
      <c r="O18" s="13"/>
      <c r="P18" s="13"/>
      <c r="Q18" s="13"/>
      <c r="R18" s="13"/>
    </row>
    <row r="19" spans="1:18" x14ac:dyDescent="0.25">
      <c r="A19" t="s">
        <v>367</v>
      </c>
      <c r="F19" s="13"/>
      <c r="G19" s="13"/>
      <c r="H19" s="12"/>
      <c r="I19" s="13"/>
      <c r="J19" s="13"/>
      <c r="K19" s="13"/>
      <c r="L19" s="13"/>
      <c r="M19" s="13"/>
      <c r="N19" s="13"/>
      <c r="O19" s="13"/>
      <c r="P19" s="13"/>
      <c r="Q19" s="13"/>
      <c r="R19" s="13"/>
    </row>
    <row r="20" spans="1:18" x14ac:dyDescent="0.25">
      <c r="A20" s="206" t="s">
        <v>501</v>
      </c>
      <c r="F20" s="13"/>
      <c r="G20" s="13"/>
      <c r="H20" s="12"/>
      <c r="I20" s="13"/>
      <c r="J20" s="13"/>
      <c r="K20" s="13"/>
      <c r="L20" s="13"/>
      <c r="M20" s="13"/>
      <c r="N20" s="13"/>
      <c r="O20" s="13"/>
      <c r="P20" s="13"/>
      <c r="Q20" s="13"/>
      <c r="R20" s="13"/>
    </row>
    <row r="21" spans="1:18" x14ac:dyDescent="0.25">
      <c r="A21" s="206"/>
      <c r="F21" s="13"/>
      <c r="G21" s="13"/>
      <c r="H21" s="12"/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1:18" x14ac:dyDescent="0.25">
      <c r="A22" t="s">
        <v>85</v>
      </c>
    </row>
    <row r="23" spans="1:18" x14ac:dyDescent="0.25">
      <c r="A23" s="440"/>
      <c r="B23" s="73" t="s">
        <v>40</v>
      </c>
      <c r="C23" s="73"/>
    </row>
    <row r="24" spans="1:18" x14ac:dyDescent="0.25">
      <c r="A24" s="441"/>
      <c r="B24" s="73" t="s">
        <v>38</v>
      </c>
      <c r="C24" s="73"/>
    </row>
    <row r="25" spans="1:18" x14ac:dyDescent="0.25">
      <c r="A25" s="442"/>
      <c r="B25" s="73" t="s">
        <v>39</v>
      </c>
      <c r="C25" s="73"/>
    </row>
    <row r="26" spans="1:18" x14ac:dyDescent="0.25">
      <c r="A26" s="152" t="s">
        <v>28</v>
      </c>
    </row>
  </sheetData>
  <mergeCells count="14">
    <mergeCell ref="Y1:AB1"/>
    <mergeCell ref="AC1:AF1"/>
    <mergeCell ref="AG1:AJ1"/>
    <mergeCell ref="AK1:AN1"/>
    <mergeCell ref="C13:E13"/>
    <mergeCell ref="A17:R17"/>
    <mergeCell ref="C16:E16"/>
    <mergeCell ref="P1:R1"/>
    <mergeCell ref="A1:C1"/>
    <mergeCell ref="E1:G1"/>
    <mergeCell ref="H1:I1"/>
    <mergeCell ref="J1:M1"/>
    <mergeCell ref="N1:O1"/>
    <mergeCell ref="C14:E14"/>
  </mergeCells>
  <pageMargins left="0.7" right="0.7" top="0.75" bottom="0.75" header="0.3" footer="0.3"/>
  <pageSetup paperSize="9" orientation="portrait" r:id="rId1"/>
  <ignoredErrors>
    <ignoredError sqref="T9" twoDigitTextYear="1"/>
    <ignoredError sqref="Y15 F14 F15:R15 F13:R13 G14:R14" formulaRange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E7C5A-F628-40BC-9697-E8083126C3E9}">
  <dimension ref="A1:AM26"/>
  <sheetViews>
    <sheetView workbookViewId="0">
      <selection activeCell="T17" sqref="T17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125" customWidth="1"/>
    <col min="5" max="18" width="3.75" customWidth="1"/>
    <col min="19" max="19" width="6.25" customWidth="1"/>
    <col min="20" max="20" width="22.75" bestFit="1" customWidth="1"/>
    <col min="21" max="21" width="22.25" bestFit="1" customWidth="1"/>
    <col min="22" max="22" width="22.125" bestFit="1" customWidth="1"/>
    <col min="23" max="23" width="20.25" bestFit="1" customWidth="1"/>
    <col min="24" max="39" width="3.75" customWidth="1"/>
  </cols>
  <sheetData>
    <row r="1" spans="1:39" ht="14.95" customHeight="1" thickBot="1" x14ac:dyDescent="0.3">
      <c r="A1" s="617" t="s">
        <v>124</v>
      </c>
      <c r="B1" s="618"/>
      <c r="C1" s="618"/>
      <c r="D1" s="282"/>
      <c r="E1" s="619" t="s">
        <v>24</v>
      </c>
      <c r="F1" s="620"/>
      <c r="G1" s="621"/>
      <c r="H1" s="619" t="s">
        <v>76</v>
      </c>
      <c r="I1" s="621"/>
      <c r="J1" s="622" t="s">
        <v>6</v>
      </c>
      <c r="K1" s="623"/>
      <c r="L1" s="623"/>
      <c r="M1" s="624"/>
      <c r="N1" s="622" t="s">
        <v>7</v>
      </c>
      <c r="O1" s="624"/>
      <c r="P1" s="622" t="s">
        <v>25</v>
      </c>
      <c r="Q1" s="623"/>
      <c r="R1" s="624"/>
      <c r="S1" s="283" t="s">
        <v>9</v>
      </c>
      <c r="T1" s="284" t="s">
        <v>10</v>
      </c>
      <c r="U1" s="284" t="s">
        <v>11</v>
      </c>
      <c r="V1" s="284" t="s">
        <v>26</v>
      </c>
      <c r="W1" s="284" t="s">
        <v>27</v>
      </c>
      <c r="X1" s="614" t="s">
        <v>20</v>
      </c>
      <c r="Y1" s="615"/>
      <c r="Z1" s="615"/>
      <c r="AA1" s="616"/>
      <c r="AB1" s="614" t="s">
        <v>56</v>
      </c>
      <c r="AC1" s="615"/>
      <c r="AD1" s="615"/>
      <c r="AE1" s="616"/>
      <c r="AF1" s="614" t="s">
        <v>57</v>
      </c>
      <c r="AG1" s="615"/>
      <c r="AH1" s="615"/>
      <c r="AI1" s="616"/>
      <c r="AJ1" s="614" t="s">
        <v>58</v>
      </c>
      <c r="AK1" s="615"/>
      <c r="AL1" s="615"/>
      <c r="AM1" s="616"/>
    </row>
    <row r="2" spans="1:39" ht="14.95" customHeight="1" thickBot="1" x14ac:dyDescent="0.3">
      <c r="A2" s="285" t="s">
        <v>19</v>
      </c>
      <c r="B2" s="286" t="s">
        <v>18</v>
      </c>
      <c r="C2" s="287" t="s">
        <v>17</v>
      </c>
      <c r="D2" s="287" t="s">
        <v>37</v>
      </c>
      <c r="E2" s="288" t="s">
        <v>16</v>
      </c>
      <c r="F2" s="288" t="s">
        <v>4</v>
      </c>
      <c r="G2" s="288" t="s">
        <v>5</v>
      </c>
      <c r="H2" s="289" t="s">
        <v>12</v>
      </c>
      <c r="I2" s="289" t="s">
        <v>3</v>
      </c>
      <c r="J2" s="289" t="s">
        <v>12</v>
      </c>
      <c r="K2" s="289" t="s">
        <v>13</v>
      </c>
      <c r="L2" s="289" t="s">
        <v>2</v>
      </c>
      <c r="M2" s="289" t="s">
        <v>14</v>
      </c>
      <c r="N2" s="289" t="s">
        <v>15</v>
      </c>
      <c r="O2" s="289" t="s">
        <v>16</v>
      </c>
      <c r="P2" s="289" t="s">
        <v>21</v>
      </c>
      <c r="Q2" s="289" t="s">
        <v>22</v>
      </c>
      <c r="R2" s="289" t="s">
        <v>12</v>
      </c>
      <c r="S2" s="291"/>
      <c r="T2" s="292"/>
      <c r="U2" s="290"/>
      <c r="V2" s="284"/>
      <c r="W2" s="293"/>
      <c r="X2" s="294" t="s">
        <v>0</v>
      </c>
      <c r="Y2" s="294" t="s">
        <v>1</v>
      </c>
      <c r="Z2" s="294" t="s">
        <v>2</v>
      </c>
      <c r="AA2" s="294" t="s">
        <v>3</v>
      </c>
      <c r="AB2" s="294" t="s">
        <v>0</v>
      </c>
      <c r="AC2" s="294" t="s">
        <v>1</v>
      </c>
      <c r="AD2" s="294" t="s">
        <v>2</v>
      </c>
      <c r="AE2" s="294" t="s">
        <v>3</v>
      </c>
      <c r="AF2" s="294" t="s">
        <v>0</v>
      </c>
      <c r="AG2" s="294" t="s">
        <v>1</v>
      </c>
      <c r="AH2" s="294" t="s">
        <v>2</v>
      </c>
      <c r="AI2" s="294" t="s">
        <v>3</v>
      </c>
      <c r="AJ2" s="294" t="s">
        <v>0</v>
      </c>
      <c r="AK2" s="294" t="s">
        <v>1</v>
      </c>
      <c r="AL2" s="294" t="s">
        <v>2</v>
      </c>
      <c r="AM2" s="294" t="s">
        <v>3</v>
      </c>
    </row>
    <row r="3" spans="1:39" ht="17" thickBot="1" x14ac:dyDescent="0.35">
      <c r="A3" s="176" t="s">
        <v>304</v>
      </c>
      <c r="B3" s="178" t="s">
        <v>289</v>
      </c>
      <c r="C3" s="178" t="s">
        <v>297</v>
      </c>
      <c r="D3" s="178" t="s">
        <v>311</v>
      </c>
      <c r="E3" s="179" t="s">
        <v>1</v>
      </c>
      <c r="F3" s="179">
        <v>72</v>
      </c>
      <c r="G3" s="179">
        <v>0</v>
      </c>
      <c r="H3" s="179">
        <v>1</v>
      </c>
      <c r="I3" s="179">
        <v>0</v>
      </c>
      <c r="J3" s="179">
        <v>11</v>
      </c>
      <c r="K3" s="179">
        <v>7</v>
      </c>
      <c r="L3" s="179">
        <v>0</v>
      </c>
      <c r="M3" s="179">
        <v>1</v>
      </c>
      <c r="N3" s="179">
        <v>0</v>
      </c>
      <c r="O3" s="179">
        <v>0</v>
      </c>
      <c r="P3" s="179">
        <v>0</v>
      </c>
      <c r="Q3" s="179">
        <v>0</v>
      </c>
      <c r="R3" s="179">
        <v>0</v>
      </c>
      <c r="S3" s="184" t="s">
        <v>312</v>
      </c>
      <c r="T3" s="185" t="s">
        <v>313</v>
      </c>
      <c r="U3" s="183"/>
      <c r="V3" s="180"/>
      <c r="W3" s="186"/>
      <c r="X3" s="181">
        <v>1</v>
      </c>
      <c r="Y3" s="181">
        <v>1</v>
      </c>
      <c r="Z3" s="181">
        <v>0</v>
      </c>
      <c r="AA3" s="182">
        <v>0</v>
      </c>
      <c r="AB3" s="181">
        <v>0</v>
      </c>
      <c r="AC3" s="181">
        <v>0</v>
      </c>
      <c r="AD3" s="181">
        <v>0</v>
      </c>
      <c r="AE3" s="182">
        <v>0</v>
      </c>
      <c r="AF3" s="181">
        <v>1</v>
      </c>
      <c r="AG3" s="181">
        <v>1</v>
      </c>
      <c r="AH3" s="181">
        <v>0</v>
      </c>
      <c r="AI3" s="182">
        <v>0</v>
      </c>
      <c r="AJ3" s="181">
        <v>0</v>
      </c>
      <c r="AK3" s="181">
        <v>0</v>
      </c>
      <c r="AL3" s="181">
        <v>0</v>
      </c>
      <c r="AM3" s="182">
        <v>0</v>
      </c>
    </row>
    <row r="4" spans="1:39" ht="14.95" thickBot="1" x14ac:dyDescent="0.3">
      <c r="A4" s="176" t="s">
        <v>378</v>
      </c>
      <c r="B4" s="178" t="s">
        <v>180</v>
      </c>
      <c r="C4" s="178" t="s">
        <v>74</v>
      </c>
      <c r="D4" s="178" t="s">
        <v>132</v>
      </c>
      <c r="E4" s="179" t="s">
        <v>1</v>
      </c>
      <c r="F4" s="179">
        <v>44</v>
      </c>
      <c r="G4" s="179">
        <v>12</v>
      </c>
      <c r="H4" s="179" t="s">
        <v>69</v>
      </c>
      <c r="I4" s="179" t="s">
        <v>69</v>
      </c>
      <c r="J4" s="179"/>
      <c r="K4" s="179"/>
      <c r="L4" s="179"/>
      <c r="M4" s="179"/>
      <c r="N4" s="179"/>
      <c r="O4" s="179"/>
      <c r="P4" s="179"/>
      <c r="Q4" s="179"/>
      <c r="R4" s="179"/>
      <c r="S4" s="281" t="s">
        <v>342</v>
      </c>
      <c r="T4" s="180" t="s">
        <v>189</v>
      </c>
      <c r="U4" s="183" t="s">
        <v>359</v>
      </c>
      <c r="V4" s="180" t="s">
        <v>379</v>
      </c>
      <c r="W4" s="186" t="s">
        <v>380</v>
      </c>
      <c r="X4" s="181">
        <v>1</v>
      </c>
      <c r="Y4" s="181">
        <v>1</v>
      </c>
      <c r="Z4" s="181">
        <v>0</v>
      </c>
      <c r="AA4" s="182">
        <v>0</v>
      </c>
      <c r="AB4" s="181">
        <v>0</v>
      </c>
      <c r="AC4" s="181">
        <v>0</v>
      </c>
      <c r="AD4" s="181">
        <v>0</v>
      </c>
      <c r="AE4" s="182">
        <v>0</v>
      </c>
      <c r="AF4" s="181">
        <v>1</v>
      </c>
      <c r="AG4" s="181">
        <v>1</v>
      </c>
      <c r="AH4" s="181">
        <v>0</v>
      </c>
      <c r="AI4" s="182">
        <v>0</v>
      </c>
      <c r="AJ4" s="181">
        <v>0</v>
      </c>
      <c r="AK4" s="181">
        <v>0</v>
      </c>
      <c r="AL4" s="181">
        <v>0</v>
      </c>
      <c r="AM4" s="182">
        <v>0</v>
      </c>
    </row>
    <row r="5" spans="1:39" ht="14.95" thickBot="1" x14ac:dyDescent="0.3">
      <c r="A5" s="176" t="s">
        <v>351</v>
      </c>
      <c r="B5" s="178" t="s">
        <v>180</v>
      </c>
      <c r="C5" s="178" t="s">
        <v>74</v>
      </c>
      <c r="D5" s="178" t="s">
        <v>352</v>
      </c>
      <c r="E5" s="179" t="s">
        <v>1</v>
      </c>
      <c r="F5" s="179">
        <v>27</v>
      </c>
      <c r="G5" s="179">
        <v>19</v>
      </c>
      <c r="H5" s="179" t="s">
        <v>69</v>
      </c>
      <c r="I5" s="179" t="s">
        <v>69</v>
      </c>
      <c r="J5" s="179"/>
      <c r="K5" s="179"/>
      <c r="L5" s="179"/>
      <c r="M5" s="179"/>
      <c r="N5" s="179"/>
      <c r="O5" s="179"/>
      <c r="P5" s="179"/>
      <c r="Q5" s="179"/>
      <c r="R5" s="179"/>
      <c r="S5" s="190" t="s">
        <v>354</v>
      </c>
      <c r="T5" s="185" t="s">
        <v>377</v>
      </c>
      <c r="U5" s="183" t="s">
        <v>359</v>
      </c>
      <c r="V5" s="185" t="s">
        <v>190</v>
      </c>
      <c r="W5" s="180" t="s">
        <v>189</v>
      </c>
      <c r="X5" s="181">
        <v>1</v>
      </c>
      <c r="Y5" s="181">
        <v>1</v>
      </c>
      <c r="Z5" s="181">
        <v>0</v>
      </c>
      <c r="AA5" s="182">
        <v>0</v>
      </c>
      <c r="AB5" s="181">
        <v>0</v>
      </c>
      <c r="AC5" s="181">
        <v>0</v>
      </c>
      <c r="AD5" s="181">
        <v>0</v>
      </c>
      <c r="AE5" s="182">
        <v>0</v>
      </c>
      <c r="AF5" s="181">
        <v>1</v>
      </c>
      <c r="AG5" s="181">
        <v>1</v>
      </c>
      <c r="AH5" s="181">
        <v>0</v>
      </c>
      <c r="AI5" s="182">
        <v>0</v>
      </c>
      <c r="AJ5" s="181">
        <v>0</v>
      </c>
      <c r="AK5" s="181">
        <v>0</v>
      </c>
      <c r="AL5" s="181">
        <v>0</v>
      </c>
      <c r="AM5" s="182">
        <v>0</v>
      </c>
    </row>
    <row r="6" spans="1:39" ht="17" thickBot="1" x14ac:dyDescent="0.35">
      <c r="A6" s="191" t="s">
        <v>370</v>
      </c>
      <c r="B6" s="192" t="s">
        <v>180</v>
      </c>
      <c r="C6" s="192" t="s">
        <v>277</v>
      </c>
      <c r="D6" s="192" t="s">
        <v>372</v>
      </c>
      <c r="E6" s="193" t="s">
        <v>1</v>
      </c>
      <c r="F6" s="193">
        <v>29</v>
      </c>
      <c r="G6" s="193">
        <v>24</v>
      </c>
      <c r="H6" s="193" t="s">
        <v>69</v>
      </c>
      <c r="I6" s="193" t="s">
        <v>69</v>
      </c>
      <c r="J6" s="193">
        <v>5</v>
      </c>
      <c r="K6" s="193">
        <v>2</v>
      </c>
      <c r="L6" s="193">
        <v>0</v>
      </c>
      <c r="M6" s="193">
        <v>0</v>
      </c>
      <c r="N6" s="193">
        <v>0</v>
      </c>
      <c r="O6" s="193">
        <v>0</v>
      </c>
      <c r="P6" s="193" t="s">
        <v>69</v>
      </c>
      <c r="Q6" s="193" t="s">
        <v>69</v>
      </c>
      <c r="R6" s="193">
        <v>4</v>
      </c>
      <c r="S6" s="203" t="s">
        <v>373</v>
      </c>
      <c r="T6" s="196" t="s">
        <v>307</v>
      </c>
      <c r="U6" s="194" t="s">
        <v>374</v>
      </c>
      <c r="V6" s="197" t="s">
        <v>375</v>
      </c>
      <c r="W6" s="198" t="s">
        <v>376</v>
      </c>
      <c r="X6" s="199">
        <v>1</v>
      </c>
      <c r="Y6" s="199">
        <v>1</v>
      </c>
      <c r="Z6" s="199">
        <v>0</v>
      </c>
      <c r="AA6" s="200">
        <v>0</v>
      </c>
      <c r="AB6" s="199">
        <v>1</v>
      </c>
      <c r="AC6" s="199">
        <v>1</v>
      </c>
      <c r="AD6" s="199">
        <v>0</v>
      </c>
      <c r="AE6" s="200">
        <v>0</v>
      </c>
      <c r="AF6" s="199">
        <v>0</v>
      </c>
      <c r="AG6" s="199">
        <v>0</v>
      </c>
      <c r="AH6" s="199">
        <v>0</v>
      </c>
      <c r="AI6" s="200">
        <v>0</v>
      </c>
      <c r="AJ6" s="199">
        <v>0</v>
      </c>
      <c r="AK6" s="199">
        <v>0</v>
      </c>
      <c r="AL6" s="199">
        <v>0</v>
      </c>
      <c r="AM6" s="200">
        <v>0</v>
      </c>
    </row>
    <row r="7" spans="1:39" ht="17" thickBot="1" x14ac:dyDescent="0.35">
      <c r="A7" s="191" t="s">
        <v>382</v>
      </c>
      <c r="B7" s="192" t="s">
        <v>180</v>
      </c>
      <c r="C7" s="192" t="s">
        <v>277</v>
      </c>
      <c r="D7" s="192" t="s">
        <v>383</v>
      </c>
      <c r="E7" s="193" t="s">
        <v>1</v>
      </c>
      <c r="F7" s="193">
        <v>41</v>
      </c>
      <c r="G7" s="193">
        <v>36</v>
      </c>
      <c r="H7" s="193" t="s">
        <v>69</v>
      </c>
      <c r="I7" s="193" t="s">
        <v>69</v>
      </c>
      <c r="J7" s="193">
        <v>6</v>
      </c>
      <c r="K7" s="193">
        <v>4</v>
      </c>
      <c r="L7" s="193">
        <v>0</v>
      </c>
      <c r="M7" s="193">
        <v>1</v>
      </c>
      <c r="N7" s="193">
        <v>0</v>
      </c>
      <c r="O7" s="193">
        <v>0</v>
      </c>
      <c r="P7" s="193" t="s">
        <v>69</v>
      </c>
      <c r="Q7" s="193" t="s">
        <v>69</v>
      </c>
      <c r="R7" s="193">
        <v>6</v>
      </c>
      <c r="S7" s="203" t="s">
        <v>384</v>
      </c>
      <c r="T7" s="196" t="s">
        <v>325</v>
      </c>
      <c r="U7" s="194" t="s">
        <v>282</v>
      </c>
      <c r="V7" s="197" t="s">
        <v>375</v>
      </c>
      <c r="W7" s="198" t="s">
        <v>385</v>
      </c>
      <c r="X7" s="199">
        <v>1</v>
      </c>
      <c r="Y7" s="199">
        <v>1</v>
      </c>
      <c r="Z7" s="199">
        <v>0</v>
      </c>
      <c r="AA7" s="200">
        <v>0</v>
      </c>
      <c r="AB7" s="199">
        <v>1</v>
      </c>
      <c r="AC7" s="199">
        <v>1</v>
      </c>
      <c r="AD7" s="199">
        <v>0</v>
      </c>
      <c r="AE7" s="200">
        <v>0</v>
      </c>
      <c r="AF7" s="199">
        <v>0</v>
      </c>
      <c r="AG7" s="199">
        <v>0</v>
      </c>
      <c r="AH7" s="199">
        <v>0</v>
      </c>
      <c r="AI7" s="200">
        <v>0</v>
      </c>
      <c r="AJ7" s="199">
        <v>0</v>
      </c>
      <c r="AK7" s="199">
        <v>0</v>
      </c>
      <c r="AL7" s="199">
        <v>0</v>
      </c>
      <c r="AM7" s="200">
        <v>0</v>
      </c>
    </row>
    <row r="8" spans="1:39" ht="17" thickBot="1" x14ac:dyDescent="0.35">
      <c r="A8" s="176" t="s">
        <v>405</v>
      </c>
      <c r="B8" s="178" t="s">
        <v>180</v>
      </c>
      <c r="C8" s="178" t="s">
        <v>32</v>
      </c>
      <c r="D8" s="178" t="s">
        <v>91</v>
      </c>
      <c r="E8" s="179" t="s">
        <v>1</v>
      </c>
      <c r="F8" s="179">
        <v>25</v>
      </c>
      <c r="G8" s="179">
        <v>24</v>
      </c>
      <c r="H8" s="179" t="s">
        <v>69</v>
      </c>
      <c r="I8" s="179" t="s">
        <v>69</v>
      </c>
      <c r="J8" s="179">
        <v>4</v>
      </c>
      <c r="K8" s="179">
        <v>1</v>
      </c>
      <c r="L8" s="179">
        <v>0</v>
      </c>
      <c r="M8" s="179">
        <v>1</v>
      </c>
      <c r="N8" s="179">
        <v>0</v>
      </c>
      <c r="O8" s="179">
        <v>0</v>
      </c>
      <c r="P8" s="179" t="s">
        <v>69</v>
      </c>
      <c r="Q8" s="179" t="s">
        <v>69</v>
      </c>
      <c r="R8" s="179">
        <v>4</v>
      </c>
      <c r="S8" s="184" t="s">
        <v>416</v>
      </c>
      <c r="T8" s="185" t="s">
        <v>196</v>
      </c>
      <c r="U8" s="183" t="s">
        <v>218</v>
      </c>
      <c r="V8" s="180" t="s">
        <v>225</v>
      </c>
      <c r="W8" s="186" t="s">
        <v>377</v>
      </c>
      <c r="X8" s="181">
        <v>1</v>
      </c>
      <c r="Y8" s="181">
        <v>1</v>
      </c>
      <c r="Z8" s="181">
        <v>0</v>
      </c>
      <c r="AA8" s="182">
        <v>0</v>
      </c>
      <c r="AB8" s="181">
        <v>0</v>
      </c>
      <c r="AC8" s="181">
        <v>0</v>
      </c>
      <c r="AD8" s="181">
        <v>0</v>
      </c>
      <c r="AE8" s="182">
        <v>0</v>
      </c>
      <c r="AF8" s="181">
        <v>1</v>
      </c>
      <c r="AG8" s="181">
        <v>1</v>
      </c>
      <c r="AH8" s="181">
        <v>0</v>
      </c>
      <c r="AI8" s="182">
        <v>0</v>
      </c>
      <c r="AJ8" s="181">
        <v>0</v>
      </c>
      <c r="AK8" s="181">
        <v>0</v>
      </c>
      <c r="AL8" s="181">
        <v>0</v>
      </c>
      <c r="AM8" s="182">
        <v>0</v>
      </c>
    </row>
    <row r="9" spans="1:39" ht="14.95" customHeight="1" thickBot="1" x14ac:dyDescent="0.3">
      <c r="A9" s="210" t="s">
        <v>426</v>
      </c>
      <c r="B9" s="211" t="s">
        <v>427</v>
      </c>
      <c r="C9" s="211" t="s">
        <v>32</v>
      </c>
      <c r="D9" s="211" t="s">
        <v>428</v>
      </c>
      <c r="E9" s="207" t="s">
        <v>3</v>
      </c>
      <c r="F9" s="207">
        <v>15</v>
      </c>
      <c r="G9" s="207">
        <v>28</v>
      </c>
      <c r="H9" s="207">
        <v>0</v>
      </c>
      <c r="I9" s="207">
        <v>0</v>
      </c>
      <c r="J9" s="207">
        <v>3</v>
      </c>
      <c r="K9" s="207">
        <v>0</v>
      </c>
      <c r="L9" s="207">
        <v>0</v>
      </c>
      <c r="M9" s="207">
        <v>0</v>
      </c>
      <c r="N9" s="207">
        <v>0</v>
      </c>
      <c r="O9" s="207">
        <v>0</v>
      </c>
      <c r="P9" s="207">
        <v>1</v>
      </c>
      <c r="Q9" s="207">
        <v>0</v>
      </c>
      <c r="R9" s="207">
        <v>4</v>
      </c>
      <c r="S9" s="221" t="s">
        <v>489</v>
      </c>
      <c r="T9" s="213" t="s">
        <v>188</v>
      </c>
      <c r="U9" s="212" t="s">
        <v>391</v>
      </c>
      <c r="V9" s="212" t="s">
        <v>196</v>
      </c>
      <c r="W9" s="214" t="s">
        <v>393</v>
      </c>
      <c r="X9" s="147">
        <v>1</v>
      </c>
      <c r="Y9" s="147">
        <v>0</v>
      </c>
      <c r="Z9" s="147">
        <v>0</v>
      </c>
      <c r="AA9" s="208">
        <v>1</v>
      </c>
      <c r="AB9" s="147">
        <v>0</v>
      </c>
      <c r="AC9" s="147">
        <v>0</v>
      </c>
      <c r="AD9" s="147">
        <v>0</v>
      </c>
      <c r="AE9" s="208">
        <v>0</v>
      </c>
      <c r="AF9" s="147">
        <v>0</v>
      </c>
      <c r="AG9" s="147">
        <v>0</v>
      </c>
      <c r="AH9" s="147">
        <v>0</v>
      </c>
      <c r="AI9" s="208">
        <v>0</v>
      </c>
      <c r="AJ9" s="147">
        <v>1</v>
      </c>
      <c r="AK9" s="147">
        <v>0</v>
      </c>
      <c r="AL9" s="147">
        <v>0</v>
      </c>
      <c r="AM9" s="208">
        <v>1</v>
      </c>
    </row>
    <row r="10" spans="1:39" ht="17" thickBot="1" x14ac:dyDescent="0.35">
      <c r="A10" s="210" t="s">
        <v>435</v>
      </c>
      <c r="B10" s="211" t="s">
        <v>427</v>
      </c>
      <c r="C10" s="211" t="s">
        <v>308</v>
      </c>
      <c r="D10" s="211" t="s">
        <v>496</v>
      </c>
      <c r="E10" s="207" t="s">
        <v>1</v>
      </c>
      <c r="F10" s="207">
        <v>32</v>
      </c>
      <c r="G10" s="207">
        <v>10</v>
      </c>
      <c r="H10" s="207">
        <v>1</v>
      </c>
      <c r="I10" s="207">
        <v>0</v>
      </c>
      <c r="J10" s="207">
        <v>4</v>
      </c>
      <c r="K10" s="207">
        <v>3</v>
      </c>
      <c r="L10" s="207">
        <v>0</v>
      </c>
      <c r="M10" s="207">
        <v>2</v>
      </c>
      <c r="N10" s="207">
        <v>0</v>
      </c>
      <c r="O10" s="207">
        <v>0</v>
      </c>
      <c r="P10" s="207">
        <v>0</v>
      </c>
      <c r="Q10" s="207">
        <v>0</v>
      </c>
      <c r="R10" s="207">
        <v>1</v>
      </c>
      <c r="S10" s="215" t="s">
        <v>507</v>
      </c>
      <c r="T10" s="213" t="s">
        <v>414</v>
      </c>
      <c r="U10" s="212" t="s">
        <v>218</v>
      </c>
      <c r="V10" s="212" t="s">
        <v>325</v>
      </c>
      <c r="W10" s="214" t="s">
        <v>393</v>
      </c>
      <c r="X10" s="147">
        <v>1</v>
      </c>
      <c r="Y10" s="147">
        <v>1</v>
      </c>
      <c r="Z10" s="147">
        <v>0</v>
      </c>
      <c r="AA10" s="208">
        <v>0</v>
      </c>
      <c r="AB10" s="147">
        <v>0</v>
      </c>
      <c r="AC10" s="147">
        <v>0</v>
      </c>
      <c r="AD10" s="147">
        <v>0</v>
      </c>
      <c r="AE10" s="208">
        <v>0</v>
      </c>
      <c r="AF10" s="147">
        <v>0</v>
      </c>
      <c r="AG10" s="147">
        <v>0</v>
      </c>
      <c r="AH10" s="147">
        <v>0</v>
      </c>
      <c r="AI10" s="208">
        <v>0</v>
      </c>
      <c r="AJ10" s="147">
        <v>1</v>
      </c>
      <c r="AK10" s="147">
        <v>1</v>
      </c>
      <c r="AL10" s="147">
        <v>0</v>
      </c>
      <c r="AM10" s="208">
        <v>0</v>
      </c>
    </row>
    <row r="11" spans="1:39" ht="14.95" thickBot="1" x14ac:dyDescent="0.3">
      <c r="A11" s="210" t="s">
        <v>448</v>
      </c>
      <c r="B11" s="211" t="s">
        <v>427</v>
      </c>
      <c r="C11" s="211" t="s">
        <v>34</v>
      </c>
      <c r="D11" s="211" t="s">
        <v>496</v>
      </c>
      <c r="E11" s="207" t="s">
        <v>3</v>
      </c>
      <c r="F11" s="207">
        <v>7</v>
      </c>
      <c r="G11" s="207">
        <v>38</v>
      </c>
      <c r="H11" s="207">
        <v>0</v>
      </c>
      <c r="I11" s="207">
        <v>0</v>
      </c>
      <c r="J11" s="207">
        <v>1</v>
      </c>
      <c r="K11" s="207">
        <v>1</v>
      </c>
      <c r="L11" s="207">
        <v>0</v>
      </c>
      <c r="M11" s="207">
        <v>0</v>
      </c>
      <c r="N11" s="207">
        <v>1</v>
      </c>
      <c r="O11" s="207">
        <v>0</v>
      </c>
      <c r="P11" s="207">
        <v>1</v>
      </c>
      <c r="Q11" s="207">
        <v>0</v>
      </c>
      <c r="R11" s="207">
        <v>6</v>
      </c>
      <c r="S11" s="341" t="s">
        <v>510</v>
      </c>
      <c r="T11" s="213" t="s">
        <v>188</v>
      </c>
      <c r="U11" s="212" t="s">
        <v>391</v>
      </c>
      <c r="V11" s="212" t="s">
        <v>414</v>
      </c>
      <c r="W11" s="214" t="s">
        <v>393</v>
      </c>
      <c r="X11" s="147">
        <v>1</v>
      </c>
      <c r="Y11" s="147">
        <v>0</v>
      </c>
      <c r="Z11" s="147">
        <v>0</v>
      </c>
      <c r="AA11" s="208">
        <v>1</v>
      </c>
      <c r="AB11" s="147">
        <v>0</v>
      </c>
      <c r="AC11" s="147">
        <v>0</v>
      </c>
      <c r="AD11" s="147">
        <v>0</v>
      </c>
      <c r="AE11" s="208">
        <v>0</v>
      </c>
      <c r="AF11" s="147">
        <v>0</v>
      </c>
      <c r="AG11" s="147">
        <v>0</v>
      </c>
      <c r="AH11" s="147">
        <v>0</v>
      </c>
      <c r="AI11" s="208">
        <v>0</v>
      </c>
      <c r="AJ11" s="147">
        <v>1</v>
      </c>
      <c r="AK11" s="147">
        <v>0</v>
      </c>
      <c r="AL11" s="147">
        <v>0</v>
      </c>
      <c r="AM11" s="208">
        <v>1</v>
      </c>
    </row>
    <row r="12" spans="1:39" ht="14.95" thickBot="1" x14ac:dyDescent="0.3">
      <c r="A12" s="117"/>
      <c r="B12" s="118"/>
      <c r="C12" s="519" t="s">
        <v>78</v>
      </c>
      <c r="D12" s="520"/>
      <c r="E12" s="521"/>
      <c r="F12" s="450">
        <f>SUM(F4:F8)</f>
        <v>166</v>
      </c>
      <c r="G12" s="450">
        <f t="shared" ref="G12:R12" si="0">SUM(G4:G8)</f>
        <v>115</v>
      </c>
      <c r="H12" s="450">
        <f t="shared" si="0"/>
        <v>0</v>
      </c>
      <c r="I12" s="450">
        <f t="shared" si="0"/>
        <v>0</v>
      </c>
      <c r="J12" s="450">
        <f t="shared" si="0"/>
        <v>15</v>
      </c>
      <c r="K12" s="450">
        <f t="shared" si="0"/>
        <v>7</v>
      </c>
      <c r="L12" s="450">
        <f t="shared" si="0"/>
        <v>0</v>
      </c>
      <c r="M12" s="450">
        <f t="shared" si="0"/>
        <v>2</v>
      </c>
      <c r="N12" s="450">
        <f t="shared" si="0"/>
        <v>0</v>
      </c>
      <c r="O12" s="450">
        <f t="shared" si="0"/>
        <v>0</v>
      </c>
      <c r="P12" s="450">
        <f t="shared" si="0"/>
        <v>0</v>
      </c>
      <c r="Q12" s="450">
        <f t="shared" si="0"/>
        <v>0</v>
      </c>
      <c r="R12" s="450">
        <f t="shared" si="0"/>
        <v>14</v>
      </c>
      <c r="S12" s="231"/>
      <c r="T12" s="231"/>
      <c r="U12" s="231"/>
      <c r="V12" s="223"/>
      <c r="W12" s="230" t="s">
        <v>78</v>
      </c>
      <c r="X12" s="450">
        <f t="shared" ref="X12:AM12" si="1">SUM(X4:X8)</f>
        <v>5</v>
      </c>
      <c r="Y12" s="450">
        <f t="shared" si="1"/>
        <v>5</v>
      </c>
      <c r="Z12" s="450">
        <f t="shared" si="1"/>
        <v>0</v>
      </c>
      <c r="AA12" s="450">
        <f t="shared" si="1"/>
        <v>0</v>
      </c>
      <c r="AB12" s="451">
        <f t="shared" si="1"/>
        <v>2</v>
      </c>
      <c r="AC12" s="451">
        <f t="shared" si="1"/>
        <v>2</v>
      </c>
      <c r="AD12" s="451">
        <f t="shared" si="1"/>
        <v>0</v>
      </c>
      <c r="AE12" s="451">
        <f t="shared" si="1"/>
        <v>0</v>
      </c>
      <c r="AF12" s="452">
        <f t="shared" si="1"/>
        <v>3</v>
      </c>
      <c r="AG12" s="452">
        <f t="shared" si="1"/>
        <v>3</v>
      </c>
      <c r="AH12" s="452">
        <f t="shared" si="1"/>
        <v>0</v>
      </c>
      <c r="AI12" s="452">
        <f t="shared" si="1"/>
        <v>0</v>
      </c>
      <c r="AJ12" s="450">
        <f t="shared" si="1"/>
        <v>0</v>
      </c>
      <c r="AK12" s="450">
        <f t="shared" si="1"/>
        <v>0</v>
      </c>
      <c r="AL12" s="450">
        <f t="shared" si="1"/>
        <v>0</v>
      </c>
      <c r="AM12" s="450">
        <f t="shared" si="1"/>
        <v>0</v>
      </c>
    </row>
    <row r="13" spans="1:39" ht="14.95" thickBot="1" x14ac:dyDescent="0.3">
      <c r="A13" s="481"/>
      <c r="B13" s="482"/>
      <c r="C13" s="453" t="s">
        <v>539</v>
      </c>
      <c r="D13" s="454"/>
      <c r="E13" s="455"/>
      <c r="F13" s="483">
        <f>F3</f>
        <v>72</v>
      </c>
      <c r="G13" s="483">
        <f t="shared" ref="G13:R13" si="2">G3</f>
        <v>0</v>
      </c>
      <c r="H13" s="483">
        <f t="shared" si="2"/>
        <v>1</v>
      </c>
      <c r="I13" s="483">
        <f t="shared" si="2"/>
        <v>0</v>
      </c>
      <c r="J13" s="483">
        <f t="shared" si="2"/>
        <v>11</v>
      </c>
      <c r="K13" s="483">
        <f t="shared" si="2"/>
        <v>7</v>
      </c>
      <c r="L13" s="483">
        <f t="shared" si="2"/>
        <v>0</v>
      </c>
      <c r="M13" s="483">
        <f t="shared" si="2"/>
        <v>1</v>
      </c>
      <c r="N13" s="483">
        <f t="shared" si="2"/>
        <v>0</v>
      </c>
      <c r="O13" s="483">
        <f t="shared" si="2"/>
        <v>0</v>
      </c>
      <c r="P13" s="483">
        <f t="shared" si="2"/>
        <v>0</v>
      </c>
      <c r="Q13" s="483">
        <f t="shared" si="2"/>
        <v>0</v>
      </c>
      <c r="R13" s="483">
        <f t="shared" si="2"/>
        <v>0</v>
      </c>
      <c r="S13" s="480"/>
      <c r="T13" s="480"/>
      <c r="U13" s="480"/>
      <c r="V13" s="458"/>
      <c r="W13" s="470" t="s">
        <v>539</v>
      </c>
      <c r="X13" s="483">
        <f t="shared" ref="X13:AM13" si="3">X3</f>
        <v>1</v>
      </c>
      <c r="Y13" s="483">
        <f t="shared" si="3"/>
        <v>1</v>
      </c>
      <c r="Z13" s="483">
        <f t="shared" si="3"/>
        <v>0</v>
      </c>
      <c r="AA13" s="483">
        <f t="shared" si="3"/>
        <v>0</v>
      </c>
      <c r="AB13" s="484">
        <f t="shared" si="3"/>
        <v>0</v>
      </c>
      <c r="AC13" s="484">
        <f t="shared" si="3"/>
        <v>0</v>
      </c>
      <c r="AD13" s="484">
        <f t="shared" si="3"/>
        <v>0</v>
      </c>
      <c r="AE13" s="484">
        <f t="shared" si="3"/>
        <v>0</v>
      </c>
      <c r="AF13" s="485">
        <f t="shared" si="3"/>
        <v>1</v>
      </c>
      <c r="AG13" s="485">
        <f t="shared" si="3"/>
        <v>1</v>
      </c>
      <c r="AH13" s="485">
        <f t="shared" si="3"/>
        <v>0</v>
      </c>
      <c r="AI13" s="485">
        <f t="shared" si="3"/>
        <v>0</v>
      </c>
      <c r="AJ13" s="483">
        <f t="shared" si="3"/>
        <v>0</v>
      </c>
      <c r="AK13" s="483">
        <f t="shared" si="3"/>
        <v>0</v>
      </c>
      <c r="AL13" s="483">
        <f t="shared" si="3"/>
        <v>0</v>
      </c>
      <c r="AM13" s="483">
        <f t="shared" si="3"/>
        <v>0</v>
      </c>
    </row>
    <row r="14" spans="1:39" ht="14.95" thickBot="1" x14ac:dyDescent="0.3">
      <c r="A14" s="228"/>
      <c r="B14" s="229"/>
      <c r="C14" s="409" t="s">
        <v>427</v>
      </c>
      <c r="D14" s="462"/>
      <c r="E14" s="463"/>
      <c r="F14" s="430">
        <f>SUM(F9:F11)</f>
        <v>54</v>
      </c>
      <c r="G14" s="430">
        <f t="shared" ref="G14:R14" si="4">SUM(G9:G11)</f>
        <v>76</v>
      </c>
      <c r="H14" s="430">
        <f t="shared" si="4"/>
        <v>1</v>
      </c>
      <c r="I14" s="430">
        <f t="shared" si="4"/>
        <v>0</v>
      </c>
      <c r="J14" s="430">
        <f t="shared" si="4"/>
        <v>8</v>
      </c>
      <c r="K14" s="430">
        <f t="shared" si="4"/>
        <v>4</v>
      </c>
      <c r="L14" s="430">
        <f t="shared" si="4"/>
        <v>0</v>
      </c>
      <c r="M14" s="430">
        <f t="shared" si="4"/>
        <v>2</v>
      </c>
      <c r="N14" s="430">
        <f t="shared" si="4"/>
        <v>1</v>
      </c>
      <c r="O14" s="430">
        <f t="shared" si="4"/>
        <v>0</v>
      </c>
      <c r="P14" s="430">
        <f t="shared" si="4"/>
        <v>2</v>
      </c>
      <c r="Q14" s="430">
        <f t="shared" si="4"/>
        <v>0</v>
      </c>
      <c r="R14" s="430">
        <f t="shared" si="4"/>
        <v>11</v>
      </c>
      <c r="S14" s="431"/>
      <c r="T14" s="431"/>
      <c r="U14" s="431"/>
      <c r="V14" s="431"/>
      <c r="W14" s="151" t="s">
        <v>427</v>
      </c>
      <c r="X14" s="430">
        <f>SUM(X9:X11)</f>
        <v>3</v>
      </c>
      <c r="Y14" s="430">
        <f t="shared" ref="Y14:AM14" si="5">SUM(Y9:Y11)</f>
        <v>1</v>
      </c>
      <c r="Z14" s="430">
        <f t="shared" si="5"/>
        <v>0</v>
      </c>
      <c r="AA14" s="430">
        <f t="shared" si="5"/>
        <v>2</v>
      </c>
      <c r="AB14" s="432">
        <f t="shared" si="5"/>
        <v>0</v>
      </c>
      <c r="AC14" s="432">
        <f t="shared" si="5"/>
        <v>0</v>
      </c>
      <c r="AD14" s="432">
        <f t="shared" si="5"/>
        <v>0</v>
      </c>
      <c r="AE14" s="432">
        <f t="shared" si="5"/>
        <v>0</v>
      </c>
      <c r="AF14" s="433">
        <f t="shared" si="5"/>
        <v>0</v>
      </c>
      <c r="AG14" s="433">
        <f t="shared" si="5"/>
        <v>0</v>
      </c>
      <c r="AH14" s="433">
        <f t="shared" si="5"/>
        <v>0</v>
      </c>
      <c r="AI14" s="433">
        <f t="shared" si="5"/>
        <v>0</v>
      </c>
      <c r="AJ14" s="430">
        <f t="shared" si="5"/>
        <v>3</v>
      </c>
      <c r="AK14" s="430">
        <f t="shared" si="5"/>
        <v>1</v>
      </c>
      <c r="AL14" s="430">
        <f t="shared" si="5"/>
        <v>0</v>
      </c>
      <c r="AM14" s="430">
        <f t="shared" si="5"/>
        <v>2</v>
      </c>
    </row>
    <row r="15" spans="1:39" ht="14.95" thickBot="1" x14ac:dyDescent="0.3">
      <c r="A15" s="117"/>
      <c r="B15" s="118"/>
      <c r="C15" s="515" t="s">
        <v>70</v>
      </c>
      <c r="D15" s="516"/>
      <c r="E15" s="517"/>
      <c r="F15" s="142">
        <f t="shared" ref="F15:R15" si="6">SUM(F3:F11)</f>
        <v>292</v>
      </c>
      <c r="G15" s="142">
        <f t="shared" si="6"/>
        <v>191</v>
      </c>
      <c r="H15" s="142">
        <f t="shared" si="6"/>
        <v>2</v>
      </c>
      <c r="I15" s="142">
        <f t="shared" si="6"/>
        <v>0</v>
      </c>
      <c r="J15" s="142">
        <f t="shared" si="6"/>
        <v>34</v>
      </c>
      <c r="K15" s="142">
        <f t="shared" si="6"/>
        <v>18</v>
      </c>
      <c r="L15" s="142">
        <f t="shared" si="6"/>
        <v>0</v>
      </c>
      <c r="M15" s="142">
        <f t="shared" si="6"/>
        <v>5</v>
      </c>
      <c r="N15" s="142">
        <f t="shared" si="6"/>
        <v>1</v>
      </c>
      <c r="O15" s="142">
        <f t="shared" si="6"/>
        <v>0</v>
      </c>
      <c r="P15" s="142">
        <f t="shared" si="6"/>
        <v>2</v>
      </c>
      <c r="Q15" s="142">
        <f t="shared" si="6"/>
        <v>0</v>
      </c>
      <c r="R15" s="142">
        <f t="shared" si="6"/>
        <v>25</v>
      </c>
      <c r="S15" s="220"/>
      <c r="T15" s="220"/>
      <c r="U15" s="220"/>
      <c r="V15" s="12"/>
      <c r="W15" s="147" t="s">
        <v>70</v>
      </c>
      <c r="X15" s="142">
        <f t="shared" ref="X15:AM15" si="7">SUM(X3:X11)</f>
        <v>9</v>
      </c>
      <c r="Y15" s="142">
        <f t="shared" si="7"/>
        <v>7</v>
      </c>
      <c r="Z15" s="142">
        <f t="shared" si="7"/>
        <v>0</v>
      </c>
      <c r="AA15" s="142">
        <f t="shared" si="7"/>
        <v>2</v>
      </c>
      <c r="AB15" s="140">
        <f t="shared" si="7"/>
        <v>2</v>
      </c>
      <c r="AC15" s="140">
        <f t="shared" si="7"/>
        <v>2</v>
      </c>
      <c r="AD15" s="140">
        <f t="shared" si="7"/>
        <v>0</v>
      </c>
      <c r="AE15" s="140">
        <f t="shared" si="7"/>
        <v>0</v>
      </c>
      <c r="AF15" s="141">
        <f t="shared" si="7"/>
        <v>4</v>
      </c>
      <c r="AG15" s="141">
        <f t="shared" si="7"/>
        <v>4</v>
      </c>
      <c r="AH15" s="141">
        <f t="shared" si="7"/>
        <v>0</v>
      </c>
      <c r="AI15" s="141">
        <f t="shared" si="7"/>
        <v>0</v>
      </c>
      <c r="AJ15" s="142">
        <f t="shared" si="7"/>
        <v>3</v>
      </c>
      <c r="AK15" s="142">
        <f t="shared" si="7"/>
        <v>1</v>
      </c>
      <c r="AL15" s="142">
        <f t="shared" si="7"/>
        <v>0</v>
      </c>
      <c r="AM15" s="142">
        <f t="shared" si="7"/>
        <v>2</v>
      </c>
    </row>
    <row r="16" spans="1:39" x14ac:dyDescent="0.25">
      <c r="A16" s="518" t="s">
        <v>511</v>
      </c>
      <c r="B16" s="490"/>
      <c r="C16" s="490"/>
      <c r="D16" s="490"/>
      <c r="E16" s="490"/>
      <c r="F16" s="490"/>
      <c r="G16" s="490"/>
      <c r="H16" s="490"/>
      <c r="I16" s="490"/>
      <c r="J16" s="490"/>
      <c r="K16" s="490"/>
      <c r="L16" s="490"/>
      <c r="M16" s="490"/>
      <c r="N16" s="490"/>
      <c r="O16" s="490"/>
      <c r="P16" s="490"/>
      <c r="Q16" s="490"/>
      <c r="R16" s="490"/>
      <c r="S16" s="490"/>
      <c r="T16" s="490"/>
      <c r="U16" s="490"/>
      <c r="V16" s="490"/>
      <c r="W16" s="490"/>
      <c r="X16" s="490"/>
      <c r="Y16" s="490"/>
      <c r="Z16" s="490"/>
      <c r="AA16" s="490"/>
      <c r="AB16" s="490"/>
      <c r="AC16" s="490"/>
      <c r="AD16" s="490"/>
      <c r="AE16" s="490"/>
      <c r="AF16" s="490"/>
      <c r="AG16" s="490"/>
      <c r="AH16" s="490"/>
      <c r="AI16" s="490"/>
      <c r="AJ16" s="490"/>
      <c r="AK16" s="490"/>
      <c r="AL16" s="490"/>
      <c r="AM16" s="490"/>
    </row>
    <row r="17" spans="1:39" x14ac:dyDescent="0.25">
      <c r="A17" s="398" t="s">
        <v>353</v>
      </c>
    </row>
    <row r="18" spans="1:39" x14ac:dyDescent="0.25">
      <c r="A18" t="s">
        <v>371</v>
      </c>
    </row>
    <row r="19" spans="1:39" x14ac:dyDescent="0.25">
      <c r="A19" t="s">
        <v>417</v>
      </c>
    </row>
    <row r="20" spans="1:39" x14ac:dyDescent="0.25">
      <c r="A20" t="s">
        <v>506</v>
      </c>
    </row>
    <row r="22" spans="1:39" x14ac:dyDescent="0.25">
      <c r="A22" t="s">
        <v>77</v>
      </c>
    </row>
    <row r="23" spans="1:39" x14ac:dyDescent="0.25">
      <c r="A23" s="440"/>
      <c r="B23" s="73" t="s">
        <v>40</v>
      </c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</row>
    <row r="24" spans="1:39" x14ac:dyDescent="0.25">
      <c r="A24" s="441"/>
      <c r="B24" s="73" t="s">
        <v>38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</row>
    <row r="25" spans="1:39" x14ac:dyDescent="0.25">
      <c r="A25" s="442"/>
      <c r="B25" s="73" t="s">
        <v>39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</row>
    <row r="26" spans="1:39" x14ac:dyDescent="0.25">
      <c r="A26" s="237" t="s">
        <v>28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</row>
  </sheetData>
  <mergeCells count="13">
    <mergeCell ref="C15:E15"/>
    <mergeCell ref="A16:AM16"/>
    <mergeCell ref="X1:AA1"/>
    <mergeCell ref="AB1:AE1"/>
    <mergeCell ref="AF1:AI1"/>
    <mergeCell ref="AJ1:AM1"/>
    <mergeCell ref="C12:E12"/>
    <mergeCell ref="A1:C1"/>
    <mergeCell ref="E1:G1"/>
    <mergeCell ref="H1:I1"/>
    <mergeCell ref="J1:M1"/>
    <mergeCell ref="N1:O1"/>
    <mergeCell ref="P1:R1"/>
  </mergeCells>
  <pageMargins left="0.7" right="0.7" top="0.75" bottom="0.75" header="0.3" footer="0.3"/>
  <pageSetup paperSize="9" orientation="portrait" r:id="rId1"/>
  <ignoredErrors>
    <ignoredError sqref="S5 S9" twoDigitTextYear="1"/>
    <ignoredError sqref="X12:AM12 F12:R12 X14:AM14 F14:W14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CDE93-AE69-4D04-A1BF-CDC2EE99770D}">
  <dimension ref="A1:AN22"/>
  <sheetViews>
    <sheetView zoomScaleNormal="100" workbookViewId="0">
      <selection activeCell="U6" sqref="U6:X6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125" customWidth="1"/>
    <col min="5" max="18" width="3.75" customWidth="1"/>
    <col min="19" max="20" width="6.25" customWidth="1"/>
    <col min="21" max="21" width="24.125" bestFit="1" customWidth="1"/>
    <col min="22" max="22" width="22.5" bestFit="1" customWidth="1"/>
    <col min="23" max="23" width="24.125" bestFit="1" customWidth="1"/>
    <col min="24" max="24" width="22.75" bestFit="1" customWidth="1"/>
    <col min="25" max="40" width="3.75" customWidth="1"/>
  </cols>
  <sheetData>
    <row r="1" spans="1:40" ht="14.95" customHeight="1" thickBot="1" x14ac:dyDescent="0.3">
      <c r="A1" s="628" t="s">
        <v>125</v>
      </c>
      <c r="B1" s="629"/>
      <c r="C1" s="629"/>
      <c r="D1" s="313"/>
      <c r="E1" s="630" t="s">
        <v>24</v>
      </c>
      <c r="F1" s="631"/>
      <c r="G1" s="632"/>
      <c r="H1" s="630" t="s">
        <v>76</v>
      </c>
      <c r="I1" s="632"/>
      <c r="J1" s="633" t="s">
        <v>6</v>
      </c>
      <c r="K1" s="634"/>
      <c r="L1" s="634"/>
      <c r="M1" s="635"/>
      <c r="N1" s="633" t="s">
        <v>7</v>
      </c>
      <c r="O1" s="635"/>
      <c r="P1" s="633" t="s">
        <v>25</v>
      </c>
      <c r="Q1" s="634"/>
      <c r="R1" s="635"/>
      <c r="S1" s="314" t="s">
        <v>8</v>
      </c>
      <c r="T1" s="314" t="s">
        <v>9</v>
      </c>
      <c r="U1" s="315" t="s">
        <v>10</v>
      </c>
      <c r="V1" s="315" t="s">
        <v>11</v>
      </c>
      <c r="W1" s="315" t="s">
        <v>26</v>
      </c>
      <c r="X1" s="315" t="s">
        <v>27</v>
      </c>
      <c r="Y1" s="625" t="s">
        <v>20</v>
      </c>
      <c r="Z1" s="626"/>
      <c r="AA1" s="626"/>
      <c r="AB1" s="627"/>
      <c r="AC1" s="625" t="s">
        <v>56</v>
      </c>
      <c r="AD1" s="626"/>
      <c r="AE1" s="626"/>
      <c r="AF1" s="627"/>
      <c r="AG1" s="625" t="s">
        <v>57</v>
      </c>
      <c r="AH1" s="626"/>
      <c r="AI1" s="626"/>
      <c r="AJ1" s="627"/>
      <c r="AK1" s="625" t="s">
        <v>58</v>
      </c>
      <c r="AL1" s="626"/>
      <c r="AM1" s="626"/>
      <c r="AN1" s="627"/>
    </row>
    <row r="2" spans="1:40" ht="14.95" customHeight="1" thickBot="1" x14ac:dyDescent="0.3">
      <c r="A2" s="316" t="s">
        <v>19</v>
      </c>
      <c r="B2" s="317" t="s">
        <v>18</v>
      </c>
      <c r="C2" s="318" t="s">
        <v>17</v>
      </c>
      <c r="D2" s="318" t="s">
        <v>37</v>
      </c>
      <c r="E2" s="319" t="s">
        <v>16</v>
      </c>
      <c r="F2" s="319" t="s">
        <v>4</v>
      </c>
      <c r="G2" s="319" t="s">
        <v>5</v>
      </c>
      <c r="H2" s="320" t="s">
        <v>12</v>
      </c>
      <c r="I2" s="320" t="s">
        <v>3</v>
      </c>
      <c r="J2" s="320" t="s">
        <v>12</v>
      </c>
      <c r="K2" s="320" t="s">
        <v>13</v>
      </c>
      <c r="L2" s="320" t="s">
        <v>2</v>
      </c>
      <c r="M2" s="320" t="s">
        <v>14</v>
      </c>
      <c r="N2" s="320" t="s">
        <v>15</v>
      </c>
      <c r="O2" s="320" t="s">
        <v>16</v>
      </c>
      <c r="P2" s="320" t="s">
        <v>21</v>
      </c>
      <c r="Q2" s="320" t="s">
        <v>22</v>
      </c>
      <c r="R2" s="320" t="s">
        <v>12</v>
      </c>
      <c r="S2" s="321"/>
      <c r="T2" s="322"/>
      <c r="U2" s="323"/>
      <c r="V2" s="321"/>
      <c r="W2" s="315"/>
      <c r="X2" s="324"/>
      <c r="Y2" s="325" t="s">
        <v>0</v>
      </c>
      <c r="Z2" s="325" t="s">
        <v>1</v>
      </c>
      <c r="AA2" s="325" t="s">
        <v>2</v>
      </c>
      <c r="AB2" s="325" t="s">
        <v>3</v>
      </c>
      <c r="AC2" s="325" t="s">
        <v>0</v>
      </c>
      <c r="AD2" s="325" t="s">
        <v>1</v>
      </c>
      <c r="AE2" s="325" t="s">
        <v>2</v>
      </c>
      <c r="AF2" s="325" t="s">
        <v>3</v>
      </c>
      <c r="AG2" s="325" t="s">
        <v>0</v>
      </c>
      <c r="AH2" s="325" t="s">
        <v>1</v>
      </c>
      <c r="AI2" s="325" t="s">
        <v>2</v>
      </c>
      <c r="AJ2" s="325" t="s">
        <v>3</v>
      </c>
      <c r="AK2" s="325" t="s">
        <v>0</v>
      </c>
      <c r="AL2" s="325" t="s">
        <v>1</v>
      </c>
      <c r="AM2" s="325" t="s">
        <v>2</v>
      </c>
      <c r="AN2" s="325" t="s">
        <v>3</v>
      </c>
    </row>
    <row r="3" spans="1:40" ht="14.95" customHeight="1" thickBot="1" x14ac:dyDescent="0.35">
      <c r="A3" s="176" t="s">
        <v>326</v>
      </c>
      <c r="B3" s="178" t="s">
        <v>102</v>
      </c>
      <c r="C3" s="178" t="s">
        <v>29</v>
      </c>
      <c r="D3" s="178" t="s">
        <v>323</v>
      </c>
      <c r="E3" s="179" t="s">
        <v>1</v>
      </c>
      <c r="F3" s="179">
        <v>50</v>
      </c>
      <c r="G3" s="179">
        <v>0</v>
      </c>
      <c r="H3" s="179">
        <v>1</v>
      </c>
      <c r="I3" s="179">
        <v>0</v>
      </c>
      <c r="J3" s="179">
        <v>8</v>
      </c>
      <c r="K3" s="179">
        <v>5</v>
      </c>
      <c r="L3" s="179">
        <v>0</v>
      </c>
      <c r="M3" s="179">
        <v>0</v>
      </c>
      <c r="N3" s="179">
        <v>0</v>
      </c>
      <c r="O3" s="179">
        <v>0</v>
      </c>
      <c r="P3" s="179">
        <v>0</v>
      </c>
      <c r="Q3" s="179">
        <v>0</v>
      </c>
      <c r="R3" s="179">
        <v>0</v>
      </c>
      <c r="S3" s="183">
        <v>7055</v>
      </c>
      <c r="T3" s="184" t="s">
        <v>162</v>
      </c>
      <c r="U3" s="185" t="s">
        <v>155</v>
      </c>
      <c r="V3" s="183" t="s">
        <v>324</v>
      </c>
      <c r="W3" s="185" t="s">
        <v>194</v>
      </c>
      <c r="X3" s="180" t="s">
        <v>325</v>
      </c>
      <c r="Y3" s="181">
        <v>1</v>
      </c>
      <c r="Z3" s="181">
        <v>1</v>
      </c>
      <c r="AA3" s="181">
        <v>0</v>
      </c>
      <c r="AB3" s="182">
        <v>0</v>
      </c>
      <c r="AC3" s="181">
        <v>0</v>
      </c>
      <c r="AD3" s="181">
        <v>0</v>
      </c>
      <c r="AE3" s="181">
        <v>0</v>
      </c>
      <c r="AF3" s="182">
        <v>0</v>
      </c>
      <c r="AG3" s="181">
        <v>1</v>
      </c>
      <c r="AH3" s="181">
        <v>1</v>
      </c>
      <c r="AI3" s="181">
        <v>0</v>
      </c>
      <c r="AJ3" s="182">
        <v>0</v>
      </c>
      <c r="AK3" s="181">
        <v>0</v>
      </c>
      <c r="AL3" s="181">
        <v>0</v>
      </c>
      <c r="AM3" s="181">
        <v>0</v>
      </c>
      <c r="AN3" s="182">
        <v>0</v>
      </c>
    </row>
    <row r="4" spans="1:40" ht="14.95" customHeight="1" thickBot="1" x14ac:dyDescent="0.35">
      <c r="A4" s="176" t="s">
        <v>332</v>
      </c>
      <c r="B4" s="178" t="s">
        <v>102</v>
      </c>
      <c r="C4" s="178" t="s">
        <v>36</v>
      </c>
      <c r="D4" s="178" t="s">
        <v>320</v>
      </c>
      <c r="E4" s="179" t="s">
        <v>1</v>
      </c>
      <c r="F4" s="179">
        <v>52</v>
      </c>
      <c r="G4" s="179">
        <v>21</v>
      </c>
      <c r="H4" s="179">
        <v>1</v>
      </c>
      <c r="I4" s="179">
        <v>0</v>
      </c>
      <c r="J4" s="179">
        <v>8</v>
      </c>
      <c r="K4" s="179">
        <v>6</v>
      </c>
      <c r="L4" s="179">
        <v>0</v>
      </c>
      <c r="M4" s="179">
        <v>0</v>
      </c>
      <c r="N4" s="179">
        <v>0</v>
      </c>
      <c r="O4" s="179">
        <v>0</v>
      </c>
      <c r="P4" s="179">
        <v>0</v>
      </c>
      <c r="Q4" s="179">
        <v>0</v>
      </c>
      <c r="R4" s="179">
        <v>3</v>
      </c>
      <c r="S4" s="183"/>
      <c r="T4" s="184" t="s">
        <v>336</v>
      </c>
      <c r="U4" s="185" t="s">
        <v>207</v>
      </c>
      <c r="V4" s="183" t="s">
        <v>224</v>
      </c>
      <c r="W4" s="180" t="s">
        <v>334</v>
      </c>
      <c r="X4" s="186" t="s">
        <v>335</v>
      </c>
      <c r="Y4" s="181">
        <v>1</v>
      </c>
      <c r="Z4" s="181">
        <v>1</v>
      </c>
      <c r="AA4" s="181">
        <v>0</v>
      </c>
      <c r="AB4" s="182">
        <v>0</v>
      </c>
      <c r="AC4" s="181">
        <v>0</v>
      </c>
      <c r="AD4" s="181">
        <v>0</v>
      </c>
      <c r="AE4" s="181">
        <v>0</v>
      </c>
      <c r="AF4" s="182">
        <v>0</v>
      </c>
      <c r="AG4" s="181">
        <v>1</v>
      </c>
      <c r="AH4" s="181">
        <v>1</v>
      </c>
      <c r="AI4" s="181">
        <v>0</v>
      </c>
      <c r="AJ4" s="182">
        <v>0</v>
      </c>
      <c r="AK4" s="181">
        <v>0</v>
      </c>
      <c r="AL4" s="181">
        <v>0</v>
      </c>
      <c r="AM4" s="181">
        <v>0</v>
      </c>
      <c r="AN4" s="182">
        <v>0</v>
      </c>
    </row>
    <row r="5" spans="1:40" ht="14.95" customHeight="1" thickBot="1" x14ac:dyDescent="0.3">
      <c r="A5" s="355" t="s">
        <v>343</v>
      </c>
      <c r="B5" s="356" t="s">
        <v>102</v>
      </c>
      <c r="C5" s="356" t="s">
        <v>55</v>
      </c>
      <c r="D5" s="356" t="s">
        <v>320</v>
      </c>
      <c r="E5" s="357" t="s">
        <v>1</v>
      </c>
      <c r="F5" s="357">
        <v>39</v>
      </c>
      <c r="G5" s="357">
        <v>17</v>
      </c>
      <c r="H5" s="357">
        <v>1</v>
      </c>
      <c r="I5" s="357">
        <v>0</v>
      </c>
      <c r="J5" s="357">
        <v>6</v>
      </c>
      <c r="K5" s="357">
        <v>3</v>
      </c>
      <c r="L5" s="357">
        <v>0</v>
      </c>
      <c r="M5" s="357">
        <v>1</v>
      </c>
      <c r="N5" s="357">
        <v>1</v>
      </c>
      <c r="O5" s="357">
        <v>1</v>
      </c>
      <c r="P5" s="357">
        <v>0</v>
      </c>
      <c r="Q5" s="357">
        <v>0</v>
      </c>
      <c r="R5" s="357">
        <v>2</v>
      </c>
      <c r="S5" s="358"/>
      <c r="T5" s="364" t="s">
        <v>345</v>
      </c>
      <c r="U5" s="359" t="s">
        <v>331</v>
      </c>
      <c r="V5" s="358" t="s">
        <v>346</v>
      </c>
      <c r="W5" s="360" t="s">
        <v>329</v>
      </c>
      <c r="X5" s="363" t="s">
        <v>330</v>
      </c>
      <c r="Y5" s="361">
        <v>1</v>
      </c>
      <c r="Z5" s="361">
        <v>1</v>
      </c>
      <c r="AA5" s="361">
        <v>0</v>
      </c>
      <c r="AB5" s="362">
        <v>0</v>
      </c>
      <c r="AC5" s="361">
        <v>0</v>
      </c>
      <c r="AD5" s="361">
        <v>0</v>
      </c>
      <c r="AE5" s="361">
        <v>0</v>
      </c>
      <c r="AF5" s="362">
        <v>0</v>
      </c>
      <c r="AG5" s="361">
        <v>0</v>
      </c>
      <c r="AH5" s="361">
        <v>0</v>
      </c>
      <c r="AI5" s="361">
        <v>0</v>
      </c>
      <c r="AJ5" s="362">
        <v>0</v>
      </c>
      <c r="AK5" s="361">
        <v>1</v>
      </c>
      <c r="AL5" s="361">
        <v>1</v>
      </c>
      <c r="AM5" s="361">
        <v>0</v>
      </c>
      <c r="AN5" s="362">
        <v>0</v>
      </c>
    </row>
    <row r="6" spans="1:40" ht="14.95" customHeight="1" thickBot="1" x14ac:dyDescent="0.35">
      <c r="A6" s="191" t="s">
        <v>398</v>
      </c>
      <c r="B6" s="192" t="s">
        <v>540</v>
      </c>
      <c r="C6" s="192" t="s">
        <v>29</v>
      </c>
      <c r="D6" s="192" t="s">
        <v>542</v>
      </c>
      <c r="E6" s="193" t="s">
        <v>1</v>
      </c>
      <c r="F6" s="193">
        <v>43</v>
      </c>
      <c r="G6" s="193">
        <v>3</v>
      </c>
      <c r="H6" s="193" t="s">
        <v>69</v>
      </c>
      <c r="I6" s="193" t="s">
        <v>69</v>
      </c>
      <c r="J6" s="193">
        <v>7</v>
      </c>
      <c r="K6" s="193">
        <v>4</v>
      </c>
      <c r="L6" s="193">
        <v>0</v>
      </c>
      <c r="M6" s="193">
        <v>0</v>
      </c>
      <c r="N6" s="193">
        <v>0</v>
      </c>
      <c r="O6" s="193">
        <v>0</v>
      </c>
      <c r="P6" s="193" t="s">
        <v>69</v>
      </c>
      <c r="Q6" s="193" t="s">
        <v>69</v>
      </c>
      <c r="R6" s="193">
        <v>0</v>
      </c>
      <c r="S6" s="194"/>
      <c r="T6" s="203" t="s">
        <v>154</v>
      </c>
      <c r="U6" s="196" t="s">
        <v>188</v>
      </c>
      <c r="V6" s="194" t="s">
        <v>544</v>
      </c>
      <c r="W6" s="196" t="s">
        <v>325</v>
      </c>
      <c r="X6" s="198" t="s">
        <v>545</v>
      </c>
      <c r="Y6" s="199">
        <v>1</v>
      </c>
      <c r="Z6" s="199">
        <v>1</v>
      </c>
      <c r="AA6" s="199">
        <v>0</v>
      </c>
      <c r="AB6" s="200">
        <v>0</v>
      </c>
      <c r="AC6" s="199">
        <v>1</v>
      </c>
      <c r="AD6" s="199">
        <v>1</v>
      </c>
      <c r="AE6" s="199">
        <v>0</v>
      </c>
      <c r="AF6" s="200">
        <v>0</v>
      </c>
      <c r="AG6" s="199">
        <v>0</v>
      </c>
      <c r="AH6" s="199">
        <v>0</v>
      </c>
      <c r="AI6" s="199">
        <v>0</v>
      </c>
      <c r="AJ6" s="200">
        <v>0</v>
      </c>
      <c r="AK6" s="199">
        <v>0</v>
      </c>
      <c r="AL6" s="199">
        <v>0</v>
      </c>
      <c r="AM6" s="199">
        <v>0</v>
      </c>
      <c r="AN6" s="200">
        <v>0</v>
      </c>
    </row>
    <row r="7" spans="1:40" ht="14.95" customHeight="1" thickBot="1" x14ac:dyDescent="0.3">
      <c r="A7" s="191" t="s">
        <v>440</v>
      </c>
      <c r="B7" s="192" t="s">
        <v>427</v>
      </c>
      <c r="C7" s="192" t="s">
        <v>33</v>
      </c>
      <c r="D7" s="192" t="s">
        <v>436</v>
      </c>
      <c r="E7" s="193" t="s">
        <v>3</v>
      </c>
      <c r="F7" s="193">
        <v>17</v>
      </c>
      <c r="G7" s="193">
        <v>18</v>
      </c>
      <c r="H7" s="193">
        <v>0</v>
      </c>
      <c r="I7" s="193">
        <v>1</v>
      </c>
      <c r="J7" s="193">
        <v>2</v>
      </c>
      <c r="K7" s="193">
        <v>2</v>
      </c>
      <c r="L7" s="193">
        <v>0</v>
      </c>
      <c r="M7" s="193">
        <v>1</v>
      </c>
      <c r="N7" s="193">
        <v>0</v>
      </c>
      <c r="O7" s="193">
        <v>1</v>
      </c>
      <c r="P7" s="193">
        <v>0</v>
      </c>
      <c r="Q7" s="193">
        <v>0</v>
      </c>
      <c r="R7" s="193">
        <v>2</v>
      </c>
      <c r="S7" s="194"/>
      <c r="T7" s="195" t="s">
        <v>172</v>
      </c>
      <c r="U7" s="197" t="s">
        <v>175</v>
      </c>
      <c r="V7" s="194" t="s">
        <v>163</v>
      </c>
      <c r="W7" s="196" t="s">
        <v>155</v>
      </c>
      <c r="X7" s="198" t="s">
        <v>194</v>
      </c>
      <c r="Y7" s="199">
        <v>1</v>
      </c>
      <c r="Z7" s="199">
        <v>0</v>
      </c>
      <c r="AA7" s="199">
        <v>0</v>
      </c>
      <c r="AB7" s="200">
        <v>1</v>
      </c>
      <c r="AC7" s="199">
        <v>1</v>
      </c>
      <c r="AD7" s="199">
        <v>0</v>
      </c>
      <c r="AE7" s="199">
        <v>0</v>
      </c>
      <c r="AF7" s="200">
        <v>1</v>
      </c>
      <c r="AG7" s="199">
        <v>0</v>
      </c>
      <c r="AH7" s="199">
        <v>0</v>
      </c>
      <c r="AI7" s="199">
        <v>0</v>
      </c>
      <c r="AJ7" s="200">
        <v>0</v>
      </c>
      <c r="AK7" s="199">
        <v>0</v>
      </c>
      <c r="AL7" s="199">
        <v>0</v>
      </c>
      <c r="AM7" s="199">
        <v>0</v>
      </c>
      <c r="AN7" s="200">
        <v>0</v>
      </c>
    </row>
    <row r="8" spans="1:40" ht="14.95" customHeight="1" thickBot="1" x14ac:dyDescent="0.35">
      <c r="A8" s="191" t="s">
        <v>458</v>
      </c>
      <c r="B8" s="192" t="s">
        <v>427</v>
      </c>
      <c r="C8" s="192" t="s">
        <v>31</v>
      </c>
      <c r="D8" s="192" t="s">
        <v>449</v>
      </c>
      <c r="E8" s="193" t="s">
        <v>1</v>
      </c>
      <c r="F8" s="193">
        <v>70</v>
      </c>
      <c r="G8" s="193">
        <v>7</v>
      </c>
      <c r="H8" s="193">
        <v>1</v>
      </c>
      <c r="I8" s="193">
        <v>0</v>
      </c>
      <c r="J8" s="193">
        <v>12</v>
      </c>
      <c r="K8" s="193">
        <v>5</v>
      </c>
      <c r="L8" s="193">
        <v>0</v>
      </c>
      <c r="M8" s="193">
        <v>0</v>
      </c>
      <c r="N8" s="193">
        <v>0</v>
      </c>
      <c r="O8" s="193">
        <v>0</v>
      </c>
      <c r="P8" s="193">
        <v>0</v>
      </c>
      <c r="Q8" s="193">
        <v>0</v>
      </c>
      <c r="R8" s="193">
        <v>1</v>
      </c>
      <c r="S8" s="194"/>
      <c r="T8" s="203" t="s">
        <v>248</v>
      </c>
      <c r="U8" s="196" t="s">
        <v>194</v>
      </c>
      <c r="V8" s="194" t="s">
        <v>282</v>
      </c>
      <c r="W8" s="197" t="s">
        <v>175</v>
      </c>
      <c r="X8" s="198" t="s">
        <v>207</v>
      </c>
      <c r="Y8" s="199">
        <v>1</v>
      </c>
      <c r="Z8" s="199">
        <v>1</v>
      </c>
      <c r="AA8" s="199">
        <v>0</v>
      </c>
      <c r="AB8" s="200">
        <v>0</v>
      </c>
      <c r="AC8" s="199">
        <v>1</v>
      </c>
      <c r="AD8" s="199">
        <v>1</v>
      </c>
      <c r="AE8" s="199">
        <v>0</v>
      </c>
      <c r="AF8" s="200">
        <v>0</v>
      </c>
      <c r="AG8" s="199">
        <v>0</v>
      </c>
      <c r="AH8" s="199">
        <v>0</v>
      </c>
      <c r="AI8" s="199">
        <v>0</v>
      </c>
      <c r="AJ8" s="200">
        <v>0</v>
      </c>
      <c r="AK8" s="199">
        <v>0</v>
      </c>
      <c r="AL8" s="199">
        <v>0</v>
      </c>
      <c r="AM8" s="199">
        <v>0</v>
      </c>
      <c r="AN8" s="200">
        <v>0</v>
      </c>
    </row>
    <row r="9" spans="1:40" ht="14.95" customHeight="1" thickBot="1" x14ac:dyDescent="0.3">
      <c r="A9" s="191" t="s">
        <v>478</v>
      </c>
      <c r="B9" s="192" t="s">
        <v>427</v>
      </c>
      <c r="C9" s="192" t="s">
        <v>30</v>
      </c>
      <c r="D9" s="192" t="s">
        <v>470</v>
      </c>
      <c r="E9" s="193" t="s">
        <v>3</v>
      </c>
      <c r="F9" s="193">
        <v>12</v>
      </c>
      <c r="G9" s="193">
        <v>33</v>
      </c>
      <c r="H9" s="193">
        <v>0</v>
      </c>
      <c r="I9" s="193">
        <v>0</v>
      </c>
      <c r="J9" s="193">
        <v>2</v>
      </c>
      <c r="K9" s="193">
        <v>1</v>
      </c>
      <c r="L9" s="193">
        <v>0</v>
      </c>
      <c r="M9" s="193">
        <v>0</v>
      </c>
      <c r="N9" s="193">
        <v>0</v>
      </c>
      <c r="O9" s="193">
        <v>0</v>
      </c>
      <c r="P9" s="193">
        <v>1</v>
      </c>
      <c r="Q9" s="193">
        <v>0</v>
      </c>
      <c r="R9" s="193">
        <v>5</v>
      </c>
      <c r="S9" s="194"/>
      <c r="T9" s="195" t="s">
        <v>486</v>
      </c>
      <c r="U9" s="196" t="s">
        <v>155</v>
      </c>
      <c r="V9" s="194" t="s">
        <v>224</v>
      </c>
      <c r="W9" s="196" t="s">
        <v>175</v>
      </c>
      <c r="X9" s="198" t="s">
        <v>194</v>
      </c>
      <c r="Y9" s="199">
        <v>1</v>
      </c>
      <c r="Z9" s="199">
        <v>0</v>
      </c>
      <c r="AA9" s="199">
        <v>0</v>
      </c>
      <c r="AB9" s="200">
        <v>1</v>
      </c>
      <c r="AC9" s="199">
        <v>1</v>
      </c>
      <c r="AD9" s="199">
        <v>0</v>
      </c>
      <c r="AE9" s="199">
        <v>0</v>
      </c>
      <c r="AF9" s="200">
        <v>1</v>
      </c>
      <c r="AG9" s="199">
        <v>0</v>
      </c>
      <c r="AH9" s="199">
        <v>0</v>
      </c>
      <c r="AI9" s="199">
        <v>0</v>
      </c>
      <c r="AJ9" s="200">
        <v>0</v>
      </c>
      <c r="AK9" s="199">
        <v>0</v>
      </c>
      <c r="AL9" s="199">
        <v>0</v>
      </c>
      <c r="AM9" s="199">
        <v>0</v>
      </c>
      <c r="AN9" s="200">
        <v>0</v>
      </c>
    </row>
    <row r="10" spans="1:40" ht="14.95" customHeight="1" thickBot="1" x14ac:dyDescent="0.3">
      <c r="A10" s="117"/>
      <c r="B10" s="118"/>
      <c r="C10" s="553" t="s">
        <v>100</v>
      </c>
      <c r="D10" s="554"/>
      <c r="E10" s="555"/>
      <c r="F10" s="434">
        <f t="shared" ref="F10:R10" si="0">SUM(F3:F5)</f>
        <v>141</v>
      </c>
      <c r="G10" s="434">
        <f t="shared" si="0"/>
        <v>38</v>
      </c>
      <c r="H10" s="434">
        <f t="shared" si="0"/>
        <v>3</v>
      </c>
      <c r="I10" s="434">
        <f t="shared" si="0"/>
        <v>0</v>
      </c>
      <c r="J10" s="434">
        <f t="shared" si="0"/>
        <v>22</v>
      </c>
      <c r="K10" s="434">
        <f t="shared" si="0"/>
        <v>14</v>
      </c>
      <c r="L10" s="434">
        <f t="shared" si="0"/>
        <v>0</v>
      </c>
      <c r="M10" s="434">
        <f t="shared" si="0"/>
        <v>1</v>
      </c>
      <c r="N10" s="434">
        <f t="shared" si="0"/>
        <v>1</v>
      </c>
      <c r="O10" s="434">
        <f t="shared" si="0"/>
        <v>1</v>
      </c>
      <c r="P10" s="434">
        <f t="shared" si="0"/>
        <v>0</v>
      </c>
      <c r="Q10" s="434">
        <f t="shared" si="0"/>
        <v>0</v>
      </c>
      <c r="R10" s="434">
        <f t="shared" si="0"/>
        <v>5</v>
      </c>
      <c r="S10" s="446"/>
      <c r="T10" s="446"/>
      <c r="U10" s="446"/>
      <c r="V10" s="446"/>
      <c r="W10" s="436"/>
      <c r="X10" s="437" t="s">
        <v>100</v>
      </c>
      <c r="Y10" s="434">
        <f t="shared" ref="Y10:AN10" si="1">SUM(Y3:Y5)</f>
        <v>3</v>
      </c>
      <c r="Z10" s="434">
        <f t="shared" si="1"/>
        <v>3</v>
      </c>
      <c r="AA10" s="434">
        <f t="shared" si="1"/>
        <v>0</v>
      </c>
      <c r="AB10" s="434">
        <f t="shared" si="1"/>
        <v>0</v>
      </c>
      <c r="AC10" s="438">
        <f t="shared" si="1"/>
        <v>0</v>
      </c>
      <c r="AD10" s="438">
        <f t="shared" si="1"/>
        <v>0</v>
      </c>
      <c r="AE10" s="438">
        <f t="shared" si="1"/>
        <v>0</v>
      </c>
      <c r="AF10" s="438">
        <f t="shared" si="1"/>
        <v>0</v>
      </c>
      <c r="AG10" s="439">
        <f t="shared" si="1"/>
        <v>2</v>
      </c>
      <c r="AH10" s="439">
        <f t="shared" si="1"/>
        <v>2</v>
      </c>
      <c r="AI10" s="439">
        <f t="shared" si="1"/>
        <v>0</v>
      </c>
      <c r="AJ10" s="439">
        <f t="shared" si="1"/>
        <v>0</v>
      </c>
      <c r="AK10" s="434">
        <f t="shared" si="1"/>
        <v>1</v>
      </c>
      <c r="AL10" s="434">
        <f t="shared" si="1"/>
        <v>1</v>
      </c>
      <c r="AM10" s="434">
        <f t="shared" si="1"/>
        <v>0</v>
      </c>
      <c r="AN10" s="434">
        <f t="shared" si="1"/>
        <v>0</v>
      </c>
    </row>
    <row r="11" spans="1:40" ht="14.95" customHeight="1" thickBot="1" x14ac:dyDescent="0.3">
      <c r="A11" s="117"/>
      <c r="B11" s="118"/>
      <c r="C11" s="519" t="s">
        <v>78</v>
      </c>
      <c r="D11" s="609"/>
      <c r="E11" s="610"/>
      <c r="F11" s="225">
        <f>F6</f>
        <v>43</v>
      </c>
      <c r="G11" s="225">
        <f>G6</f>
        <v>3</v>
      </c>
      <c r="H11" s="225" t="s">
        <v>69</v>
      </c>
      <c r="I11" s="225" t="s">
        <v>69</v>
      </c>
      <c r="J11" s="225">
        <f t="shared" ref="J11:O11" si="2">J6</f>
        <v>7</v>
      </c>
      <c r="K11" s="225">
        <f t="shared" si="2"/>
        <v>4</v>
      </c>
      <c r="L11" s="225">
        <f t="shared" si="2"/>
        <v>0</v>
      </c>
      <c r="M11" s="225">
        <f t="shared" si="2"/>
        <v>0</v>
      </c>
      <c r="N11" s="225">
        <f t="shared" si="2"/>
        <v>0</v>
      </c>
      <c r="O11" s="225">
        <f t="shared" si="2"/>
        <v>0</v>
      </c>
      <c r="P11" s="225" t="s">
        <v>69</v>
      </c>
      <c r="Q11" s="225" t="s">
        <v>69</v>
      </c>
      <c r="R11" s="225">
        <f>R6</f>
        <v>0</v>
      </c>
      <c r="S11" s="231"/>
      <c r="T11" s="231"/>
      <c r="U11" s="231"/>
      <c r="V11" s="231"/>
      <c r="W11" s="223"/>
      <c r="X11" s="230" t="s">
        <v>78</v>
      </c>
      <c r="Y11" s="225">
        <f t="shared" ref="Y11:AN11" si="3">Y6</f>
        <v>1</v>
      </c>
      <c r="Z11" s="225">
        <f t="shared" si="3"/>
        <v>1</v>
      </c>
      <c r="AA11" s="225">
        <f t="shared" si="3"/>
        <v>0</v>
      </c>
      <c r="AB11" s="225">
        <f t="shared" si="3"/>
        <v>0</v>
      </c>
      <c r="AC11" s="226">
        <f t="shared" si="3"/>
        <v>1</v>
      </c>
      <c r="AD11" s="226">
        <f t="shared" si="3"/>
        <v>1</v>
      </c>
      <c r="AE11" s="226">
        <f t="shared" si="3"/>
        <v>0</v>
      </c>
      <c r="AF11" s="226">
        <f t="shared" si="3"/>
        <v>0</v>
      </c>
      <c r="AG11" s="227">
        <f t="shared" si="3"/>
        <v>0</v>
      </c>
      <c r="AH11" s="227">
        <f t="shared" si="3"/>
        <v>0</v>
      </c>
      <c r="AI11" s="227">
        <f t="shared" si="3"/>
        <v>0</v>
      </c>
      <c r="AJ11" s="227">
        <f t="shared" si="3"/>
        <v>0</v>
      </c>
      <c r="AK11" s="225">
        <f t="shared" si="3"/>
        <v>0</v>
      </c>
      <c r="AL11" s="225">
        <f t="shared" si="3"/>
        <v>0</v>
      </c>
      <c r="AM11" s="225">
        <f t="shared" si="3"/>
        <v>0</v>
      </c>
      <c r="AN11" s="225">
        <f t="shared" si="3"/>
        <v>0</v>
      </c>
    </row>
    <row r="12" spans="1:40" ht="14.95" customHeight="1" thickBot="1" x14ac:dyDescent="0.3">
      <c r="A12" s="117"/>
      <c r="B12" s="118"/>
      <c r="C12" s="576" t="s">
        <v>427</v>
      </c>
      <c r="D12" s="577"/>
      <c r="E12" s="578"/>
      <c r="F12" s="430">
        <f>SUM(F7+F8+F9)</f>
        <v>99</v>
      </c>
      <c r="G12" s="430">
        <f>SUM(G7+G8+G9)</f>
        <v>58</v>
      </c>
      <c r="H12" s="430" t="s">
        <v>69</v>
      </c>
      <c r="I12" s="430" t="s">
        <v>69</v>
      </c>
      <c r="J12" s="430">
        <f t="shared" ref="J12:O12" si="4">SUM(J7+J8+J9)</f>
        <v>16</v>
      </c>
      <c r="K12" s="430">
        <f t="shared" si="4"/>
        <v>8</v>
      </c>
      <c r="L12" s="430">
        <f t="shared" si="4"/>
        <v>0</v>
      </c>
      <c r="M12" s="430">
        <f t="shared" si="4"/>
        <v>1</v>
      </c>
      <c r="N12" s="430">
        <f t="shared" si="4"/>
        <v>0</v>
      </c>
      <c r="O12" s="430">
        <f t="shared" si="4"/>
        <v>1</v>
      </c>
      <c r="P12" s="430" t="s">
        <v>69</v>
      </c>
      <c r="Q12" s="430" t="s">
        <v>69</v>
      </c>
      <c r="R12" s="430">
        <f>SUM(R7+R8+R9)</f>
        <v>8</v>
      </c>
      <c r="S12" s="365"/>
      <c r="T12" s="365"/>
      <c r="U12" s="365"/>
      <c r="V12" s="365"/>
      <c r="W12" s="116"/>
      <c r="X12" s="150" t="s">
        <v>427</v>
      </c>
      <c r="Y12" s="430">
        <f t="shared" ref="Y12:AN12" si="5">SUM(Y7+Y8+Y9)</f>
        <v>3</v>
      </c>
      <c r="Z12" s="430">
        <f t="shared" si="5"/>
        <v>1</v>
      </c>
      <c r="AA12" s="430">
        <f t="shared" si="5"/>
        <v>0</v>
      </c>
      <c r="AB12" s="430">
        <f t="shared" si="5"/>
        <v>2</v>
      </c>
      <c r="AC12" s="432">
        <f t="shared" si="5"/>
        <v>3</v>
      </c>
      <c r="AD12" s="432">
        <f t="shared" si="5"/>
        <v>1</v>
      </c>
      <c r="AE12" s="432">
        <f t="shared" si="5"/>
        <v>0</v>
      </c>
      <c r="AF12" s="432">
        <f t="shared" si="5"/>
        <v>2</v>
      </c>
      <c r="AG12" s="433">
        <f t="shared" si="5"/>
        <v>0</v>
      </c>
      <c r="AH12" s="433">
        <f t="shared" si="5"/>
        <v>0</v>
      </c>
      <c r="AI12" s="433">
        <f t="shared" si="5"/>
        <v>0</v>
      </c>
      <c r="AJ12" s="433">
        <f t="shared" si="5"/>
        <v>0</v>
      </c>
      <c r="AK12" s="430">
        <f t="shared" si="5"/>
        <v>0</v>
      </c>
      <c r="AL12" s="430">
        <f t="shared" si="5"/>
        <v>0</v>
      </c>
      <c r="AM12" s="430">
        <f t="shared" si="5"/>
        <v>0</v>
      </c>
      <c r="AN12" s="430">
        <f t="shared" si="5"/>
        <v>0</v>
      </c>
    </row>
    <row r="13" spans="1:40" ht="14.95" customHeight="1" thickBot="1" x14ac:dyDescent="0.3">
      <c r="A13" s="117"/>
      <c r="B13" s="118"/>
      <c r="C13" s="515" t="s">
        <v>70</v>
      </c>
      <c r="D13" s="516"/>
      <c r="E13" s="517"/>
      <c r="F13" s="142">
        <f t="shared" ref="F13:R13" si="6">SUM(F3:F9)</f>
        <v>283</v>
      </c>
      <c r="G13" s="142">
        <f t="shared" si="6"/>
        <v>99</v>
      </c>
      <c r="H13" s="142">
        <f t="shared" si="6"/>
        <v>4</v>
      </c>
      <c r="I13" s="142">
        <f t="shared" si="6"/>
        <v>1</v>
      </c>
      <c r="J13" s="142">
        <f t="shared" si="6"/>
        <v>45</v>
      </c>
      <c r="K13" s="142">
        <f t="shared" si="6"/>
        <v>26</v>
      </c>
      <c r="L13" s="142">
        <f t="shared" si="6"/>
        <v>0</v>
      </c>
      <c r="M13" s="142">
        <f t="shared" si="6"/>
        <v>2</v>
      </c>
      <c r="N13" s="142">
        <f t="shared" si="6"/>
        <v>1</v>
      </c>
      <c r="O13" s="142">
        <f t="shared" si="6"/>
        <v>2</v>
      </c>
      <c r="P13" s="142">
        <f t="shared" si="6"/>
        <v>1</v>
      </c>
      <c r="Q13" s="142">
        <f t="shared" si="6"/>
        <v>0</v>
      </c>
      <c r="R13" s="142">
        <f t="shared" si="6"/>
        <v>13</v>
      </c>
      <c r="S13" s="220"/>
      <c r="T13" s="220"/>
      <c r="U13" s="220"/>
      <c r="V13" s="220"/>
      <c r="W13" s="12"/>
      <c r="X13" s="147" t="s">
        <v>70</v>
      </c>
      <c r="Y13" s="142">
        <f t="shared" ref="Y13:AN13" si="7">SUM(Y3:Y9)</f>
        <v>7</v>
      </c>
      <c r="Z13" s="142">
        <f t="shared" si="7"/>
        <v>5</v>
      </c>
      <c r="AA13" s="142">
        <f t="shared" si="7"/>
        <v>0</v>
      </c>
      <c r="AB13" s="142">
        <f t="shared" si="7"/>
        <v>2</v>
      </c>
      <c r="AC13" s="140">
        <f t="shared" si="7"/>
        <v>4</v>
      </c>
      <c r="AD13" s="140">
        <f t="shared" si="7"/>
        <v>2</v>
      </c>
      <c r="AE13" s="140">
        <f t="shared" si="7"/>
        <v>0</v>
      </c>
      <c r="AF13" s="140">
        <f t="shared" si="7"/>
        <v>2</v>
      </c>
      <c r="AG13" s="141">
        <f t="shared" si="7"/>
        <v>2</v>
      </c>
      <c r="AH13" s="141">
        <f t="shared" si="7"/>
        <v>2</v>
      </c>
      <c r="AI13" s="141">
        <f t="shared" si="7"/>
        <v>0</v>
      </c>
      <c r="AJ13" s="141">
        <f t="shared" si="7"/>
        <v>0</v>
      </c>
      <c r="AK13" s="142">
        <f t="shared" si="7"/>
        <v>1</v>
      </c>
      <c r="AL13" s="142">
        <f t="shared" si="7"/>
        <v>1</v>
      </c>
      <c r="AM13" s="142">
        <f t="shared" si="7"/>
        <v>0</v>
      </c>
      <c r="AN13" s="142">
        <f t="shared" si="7"/>
        <v>0</v>
      </c>
    </row>
    <row r="14" spans="1:40" ht="14.95" customHeight="1" x14ac:dyDescent="0.25">
      <c r="A14" s="518" t="s">
        <v>541</v>
      </c>
      <c r="B14" s="490"/>
      <c r="C14" s="490"/>
      <c r="D14" s="490"/>
      <c r="E14" s="490"/>
      <c r="F14" s="490"/>
      <c r="G14" s="490"/>
      <c r="H14" s="490"/>
      <c r="I14" s="490"/>
      <c r="J14" s="490"/>
      <c r="K14" s="490"/>
      <c r="L14" s="490"/>
      <c r="M14" s="490"/>
      <c r="N14" s="490"/>
      <c r="O14" s="490"/>
      <c r="P14" s="490"/>
      <c r="Q14" s="490"/>
      <c r="R14" s="490"/>
      <c r="S14" s="490"/>
      <c r="T14" s="490"/>
      <c r="U14" s="490"/>
      <c r="V14" s="490"/>
      <c r="W14" s="490"/>
      <c r="X14" s="490"/>
      <c r="Y14" s="490"/>
      <c r="Z14" s="490"/>
      <c r="AA14" s="490"/>
      <c r="AB14" s="490"/>
      <c r="AC14" s="490"/>
      <c r="AD14" s="490"/>
      <c r="AE14" s="490"/>
      <c r="AF14" s="490"/>
      <c r="AG14" s="490"/>
      <c r="AH14" s="490"/>
      <c r="AI14" s="490"/>
      <c r="AJ14" s="490"/>
      <c r="AK14" s="490"/>
      <c r="AL14" s="490"/>
      <c r="AM14" s="490"/>
      <c r="AN14" s="490"/>
    </row>
    <row r="15" spans="1:40" ht="14.95" customHeight="1" x14ac:dyDescent="0.25">
      <c r="A15" s="478" t="s">
        <v>543</v>
      </c>
    </row>
    <row r="16" spans="1:40" ht="14.95" customHeight="1" x14ac:dyDescent="0.25">
      <c r="A16" t="s">
        <v>459</v>
      </c>
    </row>
    <row r="17" spans="1:40" ht="14.95" customHeight="1" x14ac:dyDescent="0.25">
      <c r="A17" t="s">
        <v>484</v>
      </c>
    </row>
    <row r="18" spans="1:40" ht="14.95" customHeight="1" x14ac:dyDescent="0.25">
      <c r="A18" t="s">
        <v>77</v>
      </c>
    </row>
    <row r="19" spans="1:40" ht="14.95" customHeight="1" x14ac:dyDescent="0.25">
      <c r="A19" s="440"/>
      <c r="B19" s="73" t="s">
        <v>40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</row>
    <row r="20" spans="1:40" ht="14.95" customHeight="1" x14ac:dyDescent="0.25">
      <c r="A20" s="441"/>
      <c r="B20" s="73" t="s">
        <v>38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</row>
    <row r="21" spans="1:40" ht="14.95" customHeight="1" x14ac:dyDescent="0.25">
      <c r="A21" s="442"/>
      <c r="B21" s="73" t="s">
        <v>39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</row>
    <row r="22" spans="1:40" ht="14.95" customHeight="1" x14ac:dyDescent="0.25">
      <c r="A22" s="237" t="s">
        <v>28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</row>
  </sheetData>
  <mergeCells count="15">
    <mergeCell ref="C13:E13"/>
    <mergeCell ref="A14:AN14"/>
    <mergeCell ref="C12:E12"/>
    <mergeCell ref="Y1:AB1"/>
    <mergeCell ref="AC1:AF1"/>
    <mergeCell ref="AG1:AJ1"/>
    <mergeCell ref="AK1:AN1"/>
    <mergeCell ref="C10:E10"/>
    <mergeCell ref="A1:C1"/>
    <mergeCell ref="E1:G1"/>
    <mergeCell ref="H1:I1"/>
    <mergeCell ref="J1:M1"/>
    <mergeCell ref="N1:O1"/>
    <mergeCell ref="P1:R1"/>
    <mergeCell ref="C11:E11"/>
  </mergeCells>
  <pageMargins left="0.7" right="0.7" top="0.75" bottom="0.75" header="0.3" footer="0.3"/>
  <pageSetup paperSize="9" orientation="portrait" r:id="rId1"/>
  <ignoredErrors>
    <ignoredError sqref="T7 T9 T5" twoDigitTextYear="1"/>
    <ignoredError sqref="F10:AN1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5"/>
  <sheetViews>
    <sheetView workbookViewId="0">
      <selection activeCell="T11" sqref="T11"/>
    </sheetView>
  </sheetViews>
  <sheetFormatPr defaultRowHeight="14.3" x14ac:dyDescent="0.25"/>
  <cols>
    <col min="1" max="2" width="4.75" customWidth="1"/>
    <col min="4" max="7" width="4.75" customWidth="1"/>
    <col min="8" max="10" width="6.75" customWidth="1"/>
    <col min="11" max="16" width="4.75" customWidth="1"/>
  </cols>
  <sheetData>
    <row r="1" spans="1:17" ht="14.95" thickBot="1" x14ac:dyDescent="0.3">
      <c r="A1" s="109" t="s">
        <v>42</v>
      </c>
      <c r="B1" s="110" t="s">
        <v>43</v>
      </c>
      <c r="C1" s="49"/>
      <c r="D1" s="49" t="s">
        <v>0</v>
      </c>
      <c r="E1" s="50" t="s">
        <v>1</v>
      </c>
      <c r="F1" s="49" t="s">
        <v>2</v>
      </c>
      <c r="G1" s="49" t="s">
        <v>3</v>
      </c>
      <c r="H1" s="49" t="s">
        <v>4</v>
      </c>
      <c r="I1" s="49" t="s">
        <v>5</v>
      </c>
      <c r="J1" s="50" t="s">
        <v>44</v>
      </c>
      <c r="K1" s="49" t="s">
        <v>21</v>
      </c>
      <c r="L1" s="49" t="s">
        <v>22</v>
      </c>
      <c r="M1" s="49" t="s">
        <v>59</v>
      </c>
      <c r="N1" s="49" t="s">
        <v>47</v>
      </c>
      <c r="O1" s="49" t="s">
        <v>48</v>
      </c>
      <c r="P1" s="50" t="s">
        <v>45</v>
      </c>
    </row>
    <row r="2" spans="1:17" ht="14.95" thickBot="1" x14ac:dyDescent="0.3">
      <c r="A2" s="153">
        <v>1</v>
      </c>
      <c r="B2" s="132" t="s">
        <v>46</v>
      </c>
      <c r="C2" s="107" t="s">
        <v>30</v>
      </c>
      <c r="D2" s="51">
        <f>Englandplayed</f>
        <v>5</v>
      </c>
      <c r="E2" s="52">
        <f>Englandwon</f>
        <v>5</v>
      </c>
      <c r="F2" s="51">
        <f>Englanddrawn</f>
        <v>0</v>
      </c>
      <c r="G2" s="51">
        <f>Englandlost</f>
        <v>0</v>
      </c>
      <c r="H2" s="51">
        <f>Englandptsscored</f>
        <v>271</v>
      </c>
      <c r="I2" s="51">
        <f>Englandptsagainst</f>
        <v>48</v>
      </c>
      <c r="J2" s="53">
        <f t="shared" ref="J2:J7" si="0">SUM(H2-I2)</f>
        <v>223</v>
      </c>
      <c r="K2" s="54">
        <f>Englandtrybonus</f>
        <v>5</v>
      </c>
      <c r="L2" s="54">
        <f>Englandlosingbonus</f>
        <v>0</v>
      </c>
      <c r="M2" s="54">
        <v>3</v>
      </c>
      <c r="N2" s="51">
        <f>Englandtriesscored</f>
        <v>45</v>
      </c>
      <c r="O2" s="51">
        <f>Englandtriesagainst</f>
        <v>7</v>
      </c>
      <c r="P2" s="53">
        <f t="shared" ref="P2:P7" si="1">SUM(E2*4)+(F2*2)+K2+L2+M2</f>
        <v>28</v>
      </c>
    </row>
    <row r="3" spans="1:17" ht="14.95" thickBot="1" x14ac:dyDescent="0.3">
      <c r="A3" s="111">
        <v>2</v>
      </c>
      <c r="B3" s="132" t="s">
        <v>46</v>
      </c>
      <c r="C3" s="106" t="s">
        <v>33</v>
      </c>
      <c r="D3" s="54">
        <f>Franceplayed</f>
        <v>5</v>
      </c>
      <c r="E3" s="53">
        <f>Francewon</f>
        <v>4</v>
      </c>
      <c r="F3" s="54">
        <f>Francedrawn</f>
        <v>0</v>
      </c>
      <c r="G3" s="54">
        <f>Francelost</f>
        <v>1</v>
      </c>
      <c r="H3" s="54">
        <f>Franceptsscored</f>
        <v>202</v>
      </c>
      <c r="I3" s="54">
        <f>Franceptsagainst</f>
        <v>67</v>
      </c>
      <c r="J3" s="53">
        <f t="shared" si="0"/>
        <v>135</v>
      </c>
      <c r="K3" s="54">
        <f>Francetrybonus</f>
        <v>4</v>
      </c>
      <c r="L3" s="54">
        <f>Francelosingbonus</f>
        <v>1</v>
      </c>
      <c r="M3" s="54">
        <v>0</v>
      </c>
      <c r="N3" s="54">
        <f>Francetriesscored</f>
        <v>32</v>
      </c>
      <c r="O3" s="54">
        <f>Francetriesagainst</f>
        <v>10</v>
      </c>
      <c r="P3" s="53">
        <f t="shared" si="1"/>
        <v>21</v>
      </c>
    </row>
    <row r="4" spans="1:17" ht="14.95" thickBot="1" x14ac:dyDescent="0.3">
      <c r="A4" s="111">
        <v>3</v>
      </c>
      <c r="B4" s="132" t="s">
        <v>46</v>
      </c>
      <c r="C4" s="58" t="s">
        <v>31</v>
      </c>
      <c r="D4" s="54">
        <f>Walesplayed</f>
        <v>5</v>
      </c>
      <c r="E4" s="53">
        <f>Waleswon</f>
        <v>3</v>
      </c>
      <c r="F4" s="54">
        <f>Walesdrawn</f>
        <v>0</v>
      </c>
      <c r="G4" s="54">
        <f>Waleslost</f>
        <v>2</v>
      </c>
      <c r="H4" s="54">
        <f>Walesptsscored</f>
        <v>118</v>
      </c>
      <c r="I4" s="54">
        <f>Walesptsagainst</f>
        <v>135</v>
      </c>
      <c r="J4" s="53">
        <f t="shared" si="0"/>
        <v>-17</v>
      </c>
      <c r="K4" s="54">
        <f>Walestrybonus</f>
        <v>3</v>
      </c>
      <c r="L4" s="54">
        <f>Waleslosingbonus</f>
        <v>0</v>
      </c>
      <c r="M4" s="54">
        <v>0</v>
      </c>
      <c r="N4" s="54">
        <f>Walestriesscored</f>
        <v>17</v>
      </c>
      <c r="O4" s="54">
        <f>Walestriesagainst</f>
        <v>20</v>
      </c>
      <c r="P4" s="53">
        <f t="shared" si="1"/>
        <v>15</v>
      </c>
    </row>
    <row r="5" spans="1:17" ht="14.95" thickBot="1" x14ac:dyDescent="0.3">
      <c r="A5" s="111">
        <v>4</v>
      </c>
      <c r="B5" s="132" t="s">
        <v>46</v>
      </c>
      <c r="C5" s="254" t="s">
        <v>34</v>
      </c>
      <c r="D5" s="54">
        <f>Scotlandplayed</f>
        <v>5</v>
      </c>
      <c r="E5" s="53">
        <f>Scotlandwon</f>
        <v>2</v>
      </c>
      <c r="F5" s="54">
        <f>Scotlanddrawn</f>
        <v>0</v>
      </c>
      <c r="G5" s="54">
        <f>Scotlandlost</f>
        <v>3</v>
      </c>
      <c r="H5" s="54">
        <f>Scotlandptsscored</f>
        <v>94</v>
      </c>
      <c r="I5" s="54">
        <f>Scotlandptsagainst</f>
        <v>178</v>
      </c>
      <c r="J5" s="53">
        <f t="shared" si="0"/>
        <v>-84</v>
      </c>
      <c r="K5" s="54">
        <f>Scotlandtrybonus</f>
        <v>2</v>
      </c>
      <c r="L5" s="54">
        <f>Scotlandlosingbonus</f>
        <v>0</v>
      </c>
      <c r="M5" s="54">
        <v>0</v>
      </c>
      <c r="N5" s="54">
        <f>Scotlandtriesscored</f>
        <v>15</v>
      </c>
      <c r="O5" s="54">
        <f>Scotlandtriesagainst</f>
        <v>28</v>
      </c>
      <c r="P5" s="53">
        <f t="shared" si="1"/>
        <v>10</v>
      </c>
    </row>
    <row r="6" spans="1:17" ht="14.95" thickBot="1" x14ac:dyDescent="0.3">
      <c r="A6" s="111">
        <v>5</v>
      </c>
      <c r="B6" s="132" t="s">
        <v>46</v>
      </c>
      <c r="C6" s="104" t="s">
        <v>32</v>
      </c>
      <c r="D6" s="54">
        <f>Italyplayed</f>
        <v>5</v>
      </c>
      <c r="E6" s="53">
        <f>Italywon</f>
        <v>1</v>
      </c>
      <c r="F6" s="54">
        <f>Italydrawn</f>
        <v>0</v>
      </c>
      <c r="G6" s="54">
        <f>Italylost</f>
        <v>4</v>
      </c>
      <c r="H6" s="54">
        <f>Italyptsscored</f>
        <v>72</v>
      </c>
      <c r="I6" s="54">
        <f>Italyptsagainst</f>
        <v>162</v>
      </c>
      <c r="J6" s="53">
        <f t="shared" si="0"/>
        <v>-90</v>
      </c>
      <c r="K6" s="54">
        <f>Italytrybonus</f>
        <v>0</v>
      </c>
      <c r="L6" s="54">
        <f>Italylosingbonus</f>
        <v>0</v>
      </c>
      <c r="M6" s="54">
        <v>0</v>
      </c>
      <c r="N6" s="54">
        <f>Italytriesscored</f>
        <v>10</v>
      </c>
      <c r="O6" s="54">
        <f>Italytriesagainst</f>
        <v>26</v>
      </c>
      <c r="P6" s="53">
        <f t="shared" si="1"/>
        <v>4</v>
      </c>
    </row>
    <row r="7" spans="1:17" ht="14.95" thickBot="1" x14ac:dyDescent="0.3">
      <c r="A7" s="111">
        <v>6</v>
      </c>
      <c r="B7" s="132" t="s">
        <v>46</v>
      </c>
      <c r="C7" s="59" t="s">
        <v>35</v>
      </c>
      <c r="D7" s="54">
        <f>Irelandplayed</f>
        <v>6</v>
      </c>
      <c r="E7" s="53">
        <f>Irelandwon</f>
        <v>1</v>
      </c>
      <c r="F7" s="54">
        <f>Irelanddrawn</f>
        <v>0</v>
      </c>
      <c r="G7" s="54">
        <f>Irelandlost</f>
        <v>5</v>
      </c>
      <c r="H7" s="54">
        <f>Irelandptsscored</f>
        <v>25</v>
      </c>
      <c r="I7" s="54">
        <f>Irelandptsagainst</f>
        <v>192</v>
      </c>
      <c r="J7" s="53">
        <f t="shared" si="0"/>
        <v>-167</v>
      </c>
      <c r="K7" s="54">
        <f>Irelandtrybonus</f>
        <v>1</v>
      </c>
      <c r="L7" s="54">
        <f>Irelandlosingbonus</f>
        <v>0</v>
      </c>
      <c r="M7" s="54">
        <v>0</v>
      </c>
      <c r="N7" s="54">
        <f>Irelandtriesscored</f>
        <v>20</v>
      </c>
      <c r="O7" s="54">
        <f>Irelandtriesagainst</f>
        <v>31</v>
      </c>
      <c r="P7" s="53">
        <f t="shared" si="1"/>
        <v>5</v>
      </c>
    </row>
    <row r="8" spans="1:17" x14ac:dyDescent="0.25">
      <c r="A8" s="55"/>
      <c r="B8" s="56"/>
      <c r="C8" s="60"/>
      <c r="D8" s="57"/>
      <c r="E8" s="57"/>
      <c r="F8" s="57"/>
      <c r="G8" s="57"/>
      <c r="H8" s="57">
        <f>SUM(H2:H7)</f>
        <v>782</v>
      </c>
      <c r="I8" s="57">
        <f>SUM(I2:I7)</f>
        <v>782</v>
      </c>
      <c r="J8" s="57"/>
      <c r="K8" s="57"/>
      <c r="L8" s="57"/>
      <c r="M8" s="57"/>
      <c r="N8" s="57">
        <f t="shared" ref="N8:O8" si="2">SUM(N2:N7)</f>
        <v>139</v>
      </c>
      <c r="O8" s="57">
        <f t="shared" si="2"/>
        <v>122</v>
      </c>
      <c r="P8" s="57"/>
      <c r="Q8" s="57" t="s">
        <v>53</v>
      </c>
    </row>
    <row r="9" spans="1:17" x14ac:dyDescent="0.25">
      <c r="A9" t="s">
        <v>60</v>
      </c>
    </row>
    <row r="10" spans="1:17" ht="15.8" customHeight="1" x14ac:dyDescent="0.25">
      <c r="A10" s="73" t="s">
        <v>81</v>
      </c>
    </row>
    <row r="11" spans="1:17" ht="15.8" customHeight="1" x14ac:dyDescent="0.25">
      <c r="A11" t="s">
        <v>82</v>
      </c>
    </row>
    <row r="12" spans="1:17" ht="15.8" customHeight="1" x14ac:dyDescent="0.25">
      <c r="A12" t="s">
        <v>75</v>
      </c>
    </row>
    <row r="13" spans="1:17" ht="15.8" customHeight="1" x14ac:dyDescent="0.25">
      <c r="A13" t="s">
        <v>83</v>
      </c>
    </row>
    <row r="14" spans="1:17" ht="15.8" customHeight="1" x14ac:dyDescent="0.25"/>
    <row r="15" spans="1:17" ht="15.8" customHeight="1" x14ac:dyDescent="0.25">
      <c r="A15" s="73" t="s">
        <v>259</v>
      </c>
    </row>
    <row r="16" spans="1:17" ht="15.8" customHeight="1" thickBot="1" x14ac:dyDescent="0.3"/>
    <row r="17" spans="1:16" ht="15.8" customHeight="1" thickBot="1" x14ac:dyDescent="0.3">
      <c r="A17" s="109" t="s">
        <v>42</v>
      </c>
      <c r="B17" s="110" t="s">
        <v>43</v>
      </c>
      <c r="C17" s="110"/>
      <c r="D17" s="110" t="s">
        <v>0</v>
      </c>
      <c r="E17" s="385" t="s">
        <v>1</v>
      </c>
      <c r="F17" s="110" t="s">
        <v>2</v>
      </c>
      <c r="G17" s="110" t="s">
        <v>3</v>
      </c>
      <c r="H17" s="110" t="s">
        <v>4</v>
      </c>
      <c r="I17" s="110" t="s">
        <v>5</v>
      </c>
      <c r="J17" s="385" t="s">
        <v>44</v>
      </c>
      <c r="K17" s="110" t="s">
        <v>21</v>
      </c>
      <c r="L17" s="110" t="s">
        <v>22</v>
      </c>
      <c r="M17" s="110" t="s">
        <v>59</v>
      </c>
      <c r="N17" s="110" t="s">
        <v>47</v>
      </c>
      <c r="O17" s="110" t="s">
        <v>48</v>
      </c>
      <c r="P17" s="385" t="s">
        <v>45</v>
      </c>
    </row>
    <row r="18" spans="1:16" ht="15.8" customHeight="1" thickBot="1" x14ac:dyDescent="0.3">
      <c r="A18" s="386">
        <v>1</v>
      </c>
      <c r="B18" s="132" t="s">
        <v>46</v>
      </c>
      <c r="C18" s="387" t="s">
        <v>30</v>
      </c>
      <c r="D18" s="388">
        <v>4</v>
      </c>
      <c r="E18" s="389">
        <v>4</v>
      </c>
      <c r="F18" s="388">
        <v>0</v>
      </c>
      <c r="G18" s="388">
        <v>0</v>
      </c>
      <c r="H18" s="388">
        <v>233</v>
      </c>
      <c r="I18" s="388">
        <v>15</v>
      </c>
      <c r="J18" s="389">
        <v>218</v>
      </c>
      <c r="K18" s="388">
        <v>4</v>
      </c>
      <c r="L18" s="388">
        <v>0</v>
      </c>
      <c r="M18" s="388">
        <v>0</v>
      </c>
      <c r="N18" s="388">
        <v>39</v>
      </c>
      <c r="O18" s="388">
        <v>2</v>
      </c>
      <c r="P18" s="389">
        <v>20</v>
      </c>
    </row>
    <row r="19" spans="1:16" ht="15.8" customHeight="1" thickBot="1" x14ac:dyDescent="0.3">
      <c r="A19" s="386">
        <v>2</v>
      </c>
      <c r="B19" s="132" t="s">
        <v>46</v>
      </c>
      <c r="C19" s="106" t="s">
        <v>33</v>
      </c>
      <c r="D19" s="388">
        <v>4</v>
      </c>
      <c r="E19" s="389">
        <v>4</v>
      </c>
      <c r="F19" s="388">
        <v>0</v>
      </c>
      <c r="G19" s="388">
        <v>0</v>
      </c>
      <c r="H19" s="388">
        <v>169</v>
      </c>
      <c r="I19" s="388">
        <v>29</v>
      </c>
      <c r="J19" s="389">
        <v>140</v>
      </c>
      <c r="K19" s="388">
        <v>3</v>
      </c>
      <c r="L19" s="388">
        <v>0</v>
      </c>
      <c r="M19" s="388">
        <v>0</v>
      </c>
      <c r="N19" s="388">
        <v>27</v>
      </c>
      <c r="O19" s="388">
        <v>4</v>
      </c>
      <c r="P19" s="389">
        <v>19</v>
      </c>
    </row>
    <row r="20" spans="1:16" ht="15.8" customHeight="1" thickBot="1" x14ac:dyDescent="0.3">
      <c r="A20" s="386">
        <v>3</v>
      </c>
      <c r="B20" s="132" t="s">
        <v>46</v>
      </c>
      <c r="C20" s="390" t="s">
        <v>31</v>
      </c>
      <c r="D20" s="388">
        <v>4</v>
      </c>
      <c r="E20" s="389">
        <v>2</v>
      </c>
      <c r="F20" s="388">
        <v>0</v>
      </c>
      <c r="G20" s="388">
        <v>2</v>
      </c>
      <c r="H20" s="388">
        <v>82</v>
      </c>
      <c r="I20" s="388">
        <v>125</v>
      </c>
      <c r="J20" s="389">
        <v>-43</v>
      </c>
      <c r="K20" s="388">
        <v>2</v>
      </c>
      <c r="L20" s="388">
        <v>0</v>
      </c>
      <c r="M20" s="388">
        <v>0</v>
      </c>
      <c r="N20" s="388">
        <v>12</v>
      </c>
      <c r="O20" s="388">
        <v>19</v>
      </c>
      <c r="P20" s="389">
        <v>10</v>
      </c>
    </row>
    <row r="21" spans="1:16" ht="15.8" customHeight="1" thickBot="1" x14ac:dyDescent="0.3">
      <c r="A21" s="386">
        <v>4</v>
      </c>
      <c r="B21" s="132" t="s">
        <v>258</v>
      </c>
      <c r="C21" s="391" t="s">
        <v>34</v>
      </c>
      <c r="D21" s="388">
        <v>4</v>
      </c>
      <c r="E21" s="389">
        <v>1</v>
      </c>
      <c r="F21" s="388">
        <v>0</v>
      </c>
      <c r="G21" s="388">
        <v>3</v>
      </c>
      <c r="H21" s="388">
        <v>58</v>
      </c>
      <c r="I21" s="388">
        <v>168</v>
      </c>
      <c r="J21" s="389">
        <v>-110</v>
      </c>
      <c r="K21" s="388">
        <v>1</v>
      </c>
      <c r="L21" s="388">
        <v>0</v>
      </c>
      <c r="M21" s="388">
        <v>0</v>
      </c>
      <c r="N21" s="388">
        <v>9</v>
      </c>
      <c r="O21" s="388">
        <v>27</v>
      </c>
      <c r="P21" s="389">
        <v>5</v>
      </c>
    </row>
    <row r="22" spans="1:16" ht="15.8" customHeight="1" thickBot="1" x14ac:dyDescent="0.3">
      <c r="A22" s="386">
        <v>5</v>
      </c>
      <c r="B22" s="132" t="s">
        <v>244</v>
      </c>
      <c r="C22" s="104" t="s">
        <v>32</v>
      </c>
      <c r="D22" s="388">
        <v>4</v>
      </c>
      <c r="E22" s="389">
        <v>1</v>
      </c>
      <c r="F22" s="388">
        <v>0</v>
      </c>
      <c r="G22" s="388">
        <v>3</v>
      </c>
      <c r="H22" s="388">
        <v>62</v>
      </c>
      <c r="I22" s="388">
        <v>126</v>
      </c>
      <c r="J22" s="389">
        <v>-64</v>
      </c>
      <c r="K22" s="388">
        <v>0</v>
      </c>
      <c r="L22" s="388">
        <v>0</v>
      </c>
      <c r="M22" s="388">
        <v>0</v>
      </c>
      <c r="N22" s="388">
        <v>9</v>
      </c>
      <c r="O22" s="388">
        <v>21</v>
      </c>
      <c r="P22" s="389">
        <v>4</v>
      </c>
    </row>
    <row r="23" spans="1:16" ht="15.8" customHeight="1" thickBot="1" x14ac:dyDescent="0.3">
      <c r="A23" s="386">
        <v>6</v>
      </c>
      <c r="B23" s="132" t="s">
        <v>244</v>
      </c>
      <c r="C23" s="392" t="s">
        <v>35</v>
      </c>
      <c r="D23" s="388">
        <v>4</v>
      </c>
      <c r="E23" s="389">
        <v>0</v>
      </c>
      <c r="F23" s="388">
        <v>0</v>
      </c>
      <c r="G23" s="388">
        <v>4</v>
      </c>
      <c r="H23" s="388">
        <v>15</v>
      </c>
      <c r="I23" s="388">
        <v>156</v>
      </c>
      <c r="J23" s="389">
        <v>-141</v>
      </c>
      <c r="K23" s="388">
        <v>0</v>
      </c>
      <c r="L23" s="388">
        <v>0</v>
      </c>
      <c r="M23" s="388">
        <v>0</v>
      </c>
      <c r="N23" s="388">
        <v>2</v>
      </c>
      <c r="O23" s="388">
        <v>25</v>
      </c>
      <c r="P23" s="389">
        <v>0</v>
      </c>
    </row>
    <row r="24" spans="1:16" ht="15.8" customHeight="1" x14ac:dyDescent="0.25"/>
    <row r="25" spans="1:16" ht="15.8" customHeight="1" x14ac:dyDescent="0.25">
      <c r="A25" s="73" t="s">
        <v>246</v>
      </c>
    </row>
    <row r="26" spans="1:16" ht="15.8" customHeight="1" thickBot="1" x14ac:dyDescent="0.3"/>
    <row r="27" spans="1:16" ht="15.8" customHeight="1" thickBot="1" x14ac:dyDescent="0.3">
      <c r="A27" s="109" t="s">
        <v>42</v>
      </c>
      <c r="B27" s="110" t="s">
        <v>43</v>
      </c>
      <c r="C27" s="110"/>
      <c r="D27" s="110" t="s">
        <v>0</v>
      </c>
      <c r="E27" s="385" t="s">
        <v>1</v>
      </c>
      <c r="F27" s="110" t="s">
        <v>2</v>
      </c>
      <c r="G27" s="110" t="s">
        <v>3</v>
      </c>
      <c r="H27" s="110" t="s">
        <v>4</v>
      </c>
      <c r="I27" s="110" t="s">
        <v>5</v>
      </c>
      <c r="J27" s="385" t="s">
        <v>44</v>
      </c>
      <c r="K27" s="110" t="s">
        <v>21</v>
      </c>
      <c r="L27" s="110" t="s">
        <v>22</v>
      </c>
      <c r="M27" s="110" t="s">
        <v>59</v>
      </c>
      <c r="N27" s="110" t="s">
        <v>47</v>
      </c>
      <c r="O27" s="110" t="s">
        <v>48</v>
      </c>
      <c r="P27" s="385" t="s">
        <v>45</v>
      </c>
    </row>
    <row r="28" spans="1:16" ht="15.8" customHeight="1" thickBot="1" x14ac:dyDescent="0.3">
      <c r="A28" s="386">
        <v>1</v>
      </c>
      <c r="B28" s="132" t="s">
        <v>46</v>
      </c>
      <c r="C28" s="387" t="s">
        <v>30</v>
      </c>
      <c r="D28" s="388">
        <v>3</v>
      </c>
      <c r="E28" s="389">
        <v>3</v>
      </c>
      <c r="F28" s="388">
        <v>0</v>
      </c>
      <c r="G28" s="388">
        <v>0</v>
      </c>
      <c r="H28" s="388">
        <v>185</v>
      </c>
      <c r="I28" s="388">
        <v>15</v>
      </c>
      <c r="J28" s="389">
        <v>170</v>
      </c>
      <c r="K28" s="388">
        <v>3</v>
      </c>
      <c r="L28" s="388">
        <v>0</v>
      </c>
      <c r="M28" s="388">
        <v>0</v>
      </c>
      <c r="N28" s="388">
        <v>31</v>
      </c>
      <c r="O28" s="388">
        <v>2</v>
      </c>
      <c r="P28" s="389">
        <v>15</v>
      </c>
    </row>
    <row r="29" spans="1:16" ht="15.8" customHeight="1" thickBot="1" x14ac:dyDescent="0.3">
      <c r="A29" s="386">
        <v>2</v>
      </c>
      <c r="B29" s="132" t="s">
        <v>243</v>
      </c>
      <c r="C29" s="106" t="s">
        <v>33</v>
      </c>
      <c r="D29" s="388">
        <v>3</v>
      </c>
      <c r="E29" s="389">
        <v>3</v>
      </c>
      <c r="F29" s="388">
        <v>0</v>
      </c>
      <c r="G29" s="388">
        <v>0</v>
      </c>
      <c r="H29" s="388">
        <v>130</v>
      </c>
      <c r="I29" s="388">
        <v>15</v>
      </c>
      <c r="J29" s="389">
        <v>115</v>
      </c>
      <c r="K29" s="388">
        <v>2</v>
      </c>
      <c r="L29" s="388">
        <v>0</v>
      </c>
      <c r="M29" s="388">
        <v>0</v>
      </c>
      <c r="N29" s="388">
        <v>21</v>
      </c>
      <c r="O29" s="388">
        <v>2</v>
      </c>
      <c r="P29" s="389">
        <v>14</v>
      </c>
    </row>
    <row r="30" spans="1:16" ht="15.8" customHeight="1" thickBot="1" x14ac:dyDescent="0.3">
      <c r="A30" s="386">
        <v>3</v>
      </c>
      <c r="B30" s="132" t="s">
        <v>244</v>
      </c>
      <c r="C30" s="390" t="s">
        <v>31</v>
      </c>
      <c r="D30" s="388">
        <v>3</v>
      </c>
      <c r="E30" s="389">
        <v>2</v>
      </c>
      <c r="F30" s="388">
        <v>0</v>
      </c>
      <c r="G30" s="388">
        <v>1</v>
      </c>
      <c r="H30" s="388">
        <v>68</v>
      </c>
      <c r="I30" s="388">
        <v>86</v>
      </c>
      <c r="J30" s="389">
        <v>-18</v>
      </c>
      <c r="K30" s="388">
        <v>2</v>
      </c>
      <c r="L30" s="388">
        <v>0</v>
      </c>
      <c r="M30" s="388">
        <v>0</v>
      </c>
      <c r="N30" s="388">
        <v>10</v>
      </c>
      <c r="O30" s="388">
        <v>13</v>
      </c>
      <c r="P30" s="389">
        <v>10</v>
      </c>
    </row>
    <row r="31" spans="1:16" ht="15.8" customHeight="1" thickBot="1" x14ac:dyDescent="0.3">
      <c r="A31" s="386">
        <v>4</v>
      </c>
      <c r="B31" s="132" t="s">
        <v>243</v>
      </c>
      <c r="C31" s="104" t="s">
        <v>32</v>
      </c>
      <c r="D31" s="388">
        <v>3</v>
      </c>
      <c r="E31" s="389">
        <v>1</v>
      </c>
      <c r="F31" s="388">
        <v>0</v>
      </c>
      <c r="G31" s="388">
        <v>2</v>
      </c>
      <c r="H31" s="388">
        <v>41</v>
      </c>
      <c r="I31" s="388">
        <v>97</v>
      </c>
      <c r="J31" s="389">
        <v>-56</v>
      </c>
      <c r="K31" s="388">
        <v>0</v>
      </c>
      <c r="L31" s="388">
        <v>0</v>
      </c>
      <c r="M31" s="388">
        <v>0</v>
      </c>
      <c r="N31" s="388">
        <v>6</v>
      </c>
      <c r="O31" s="388">
        <v>16</v>
      </c>
      <c r="P31" s="389">
        <v>4</v>
      </c>
    </row>
    <row r="32" spans="1:16" ht="15.8" customHeight="1" thickBot="1" x14ac:dyDescent="0.3">
      <c r="A32" s="386">
        <v>5</v>
      </c>
      <c r="B32" s="132" t="s">
        <v>243</v>
      </c>
      <c r="C32" s="392" t="s">
        <v>35</v>
      </c>
      <c r="D32" s="388">
        <v>3</v>
      </c>
      <c r="E32" s="389">
        <v>0</v>
      </c>
      <c r="F32" s="388">
        <v>0</v>
      </c>
      <c r="G32" s="388">
        <v>3</v>
      </c>
      <c r="H32" s="388">
        <v>15</v>
      </c>
      <c r="I32" s="388">
        <v>108</v>
      </c>
      <c r="J32" s="389">
        <v>-93</v>
      </c>
      <c r="K32" s="388">
        <v>0</v>
      </c>
      <c r="L32" s="388">
        <v>0</v>
      </c>
      <c r="M32" s="388">
        <v>0</v>
      </c>
      <c r="N32" s="388">
        <v>2</v>
      </c>
      <c r="O32" s="388">
        <v>17</v>
      </c>
      <c r="P32" s="389">
        <v>0</v>
      </c>
    </row>
    <row r="33" spans="1:16" ht="15.8" customHeight="1" thickBot="1" x14ac:dyDescent="0.3">
      <c r="A33" s="386">
        <v>6</v>
      </c>
      <c r="B33" s="132" t="s">
        <v>245</v>
      </c>
      <c r="C33" s="391" t="s">
        <v>34</v>
      </c>
      <c r="D33" s="388">
        <v>3</v>
      </c>
      <c r="E33" s="389">
        <v>0</v>
      </c>
      <c r="F33" s="388">
        <v>0</v>
      </c>
      <c r="G33" s="388">
        <v>3</v>
      </c>
      <c r="H33" s="388">
        <v>29</v>
      </c>
      <c r="I33" s="388">
        <v>147</v>
      </c>
      <c r="J33" s="389">
        <v>-118</v>
      </c>
      <c r="K33" s="388">
        <v>0</v>
      </c>
      <c r="L33" s="388">
        <v>0</v>
      </c>
      <c r="M33" s="388">
        <v>0</v>
      </c>
      <c r="N33" s="388">
        <v>4</v>
      </c>
      <c r="O33" s="388">
        <v>24</v>
      </c>
      <c r="P33" s="389">
        <v>0</v>
      </c>
    </row>
    <row r="34" spans="1:16" ht="15.8" customHeight="1" x14ac:dyDescent="0.25"/>
    <row r="35" spans="1:16" ht="15.8" customHeight="1" x14ac:dyDescent="0.25">
      <c r="A35" s="73" t="s">
        <v>228</v>
      </c>
    </row>
    <row r="36" spans="1:16" ht="15.8" customHeight="1" thickBot="1" x14ac:dyDescent="0.3"/>
    <row r="37" spans="1:16" ht="15.8" customHeight="1" thickBot="1" x14ac:dyDescent="0.3">
      <c r="A37" s="109" t="s">
        <v>42</v>
      </c>
      <c r="B37" s="110" t="s">
        <v>43</v>
      </c>
      <c r="C37" s="110"/>
      <c r="D37" s="110" t="s">
        <v>0</v>
      </c>
      <c r="E37" s="385" t="s">
        <v>1</v>
      </c>
      <c r="F37" s="110" t="s">
        <v>2</v>
      </c>
      <c r="G37" s="110" t="s">
        <v>3</v>
      </c>
      <c r="H37" s="110" t="s">
        <v>4</v>
      </c>
      <c r="I37" s="110" t="s">
        <v>5</v>
      </c>
      <c r="J37" s="385" t="s">
        <v>44</v>
      </c>
      <c r="K37" s="110" t="s">
        <v>21</v>
      </c>
      <c r="L37" s="110" t="s">
        <v>22</v>
      </c>
      <c r="M37" s="110" t="s">
        <v>59</v>
      </c>
      <c r="N37" s="110" t="s">
        <v>47</v>
      </c>
      <c r="O37" s="110" t="s">
        <v>48</v>
      </c>
      <c r="P37" s="385" t="s">
        <v>45</v>
      </c>
    </row>
    <row r="38" spans="1:16" ht="15.8" customHeight="1" thickBot="1" x14ac:dyDescent="0.3">
      <c r="A38" s="386">
        <v>1</v>
      </c>
      <c r="B38" s="132" t="s">
        <v>46</v>
      </c>
      <c r="C38" s="387" t="s">
        <v>30</v>
      </c>
      <c r="D38" s="388">
        <v>2</v>
      </c>
      <c r="E38" s="389">
        <v>2</v>
      </c>
      <c r="F38" s="388">
        <v>0</v>
      </c>
      <c r="G38" s="388">
        <v>0</v>
      </c>
      <c r="H38" s="388">
        <v>126</v>
      </c>
      <c r="I38" s="388">
        <v>12</v>
      </c>
      <c r="J38" s="389">
        <v>114</v>
      </c>
      <c r="K38" s="388">
        <v>2</v>
      </c>
      <c r="L38" s="388">
        <v>0</v>
      </c>
      <c r="M38" s="388">
        <v>0</v>
      </c>
      <c r="N38" s="388">
        <v>22</v>
      </c>
      <c r="O38" s="388">
        <v>2</v>
      </c>
      <c r="P38" s="389">
        <v>10</v>
      </c>
    </row>
    <row r="39" spans="1:16" ht="15.8" customHeight="1" thickBot="1" x14ac:dyDescent="0.3">
      <c r="A39" s="386">
        <v>2</v>
      </c>
      <c r="B39" s="132" t="s">
        <v>46</v>
      </c>
      <c r="C39" s="390" t="s">
        <v>31</v>
      </c>
      <c r="D39" s="388">
        <v>2</v>
      </c>
      <c r="E39" s="389">
        <v>2</v>
      </c>
      <c r="F39" s="388">
        <v>0</v>
      </c>
      <c r="G39" s="388">
        <v>0</v>
      </c>
      <c r="H39" s="388">
        <v>65</v>
      </c>
      <c r="I39" s="388">
        <v>27</v>
      </c>
      <c r="J39" s="389">
        <v>38</v>
      </c>
      <c r="K39" s="388">
        <v>2</v>
      </c>
      <c r="L39" s="388">
        <v>0</v>
      </c>
      <c r="M39" s="388">
        <v>0</v>
      </c>
      <c r="N39" s="388">
        <v>10</v>
      </c>
      <c r="O39" s="388">
        <v>4</v>
      </c>
      <c r="P39" s="389">
        <v>10</v>
      </c>
    </row>
    <row r="40" spans="1:16" ht="15.8" customHeight="1" thickBot="1" x14ac:dyDescent="0.3">
      <c r="A40" s="386">
        <v>3</v>
      </c>
      <c r="B40" s="132" t="s">
        <v>46</v>
      </c>
      <c r="C40" s="106" t="s">
        <v>33</v>
      </c>
      <c r="D40" s="388">
        <v>2</v>
      </c>
      <c r="E40" s="389">
        <v>2</v>
      </c>
      <c r="F40" s="388">
        <v>0</v>
      </c>
      <c r="G40" s="388">
        <v>0</v>
      </c>
      <c r="H40" s="388">
        <v>75</v>
      </c>
      <c r="I40" s="388">
        <v>15</v>
      </c>
      <c r="J40" s="389">
        <v>60</v>
      </c>
      <c r="K40" s="388">
        <v>1</v>
      </c>
      <c r="L40" s="388">
        <v>0</v>
      </c>
      <c r="M40" s="388">
        <v>0</v>
      </c>
      <c r="N40" s="388">
        <v>12</v>
      </c>
      <c r="O40" s="388">
        <v>2</v>
      </c>
      <c r="P40" s="389">
        <v>9</v>
      </c>
    </row>
    <row r="41" spans="1:16" ht="15.8" customHeight="1" thickBot="1" x14ac:dyDescent="0.3">
      <c r="A41" s="386">
        <v>4</v>
      </c>
      <c r="B41" s="132" t="s">
        <v>46</v>
      </c>
      <c r="C41" s="391" t="s">
        <v>34</v>
      </c>
      <c r="D41" s="388">
        <v>2</v>
      </c>
      <c r="E41" s="389">
        <v>0</v>
      </c>
      <c r="F41" s="388">
        <v>0</v>
      </c>
      <c r="G41" s="388">
        <v>2</v>
      </c>
      <c r="H41" s="388">
        <v>29</v>
      </c>
      <c r="I41" s="388">
        <v>92</v>
      </c>
      <c r="J41" s="389">
        <v>-63</v>
      </c>
      <c r="K41" s="388">
        <v>0</v>
      </c>
      <c r="L41" s="388">
        <v>0</v>
      </c>
      <c r="M41" s="388">
        <v>0</v>
      </c>
      <c r="N41" s="388">
        <v>4</v>
      </c>
      <c r="O41" s="388">
        <v>15</v>
      </c>
      <c r="P41" s="389">
        <v>0</v>
      </c>
    </row>
    <row r="42" spans="1:16" ht="15.8" customHeight="1" thickBot="1" x14ac:dyDescent="0.3">
      <c r="A42" s="386">
        <v>5</v>
      </c>
      <c r="B42" s="132" t="s">
        <v>46</v>
      </c>
      <c r="C42" s="104" t="s">
        <v>32</v>
      </c>
      <c r="D42" s="388">
        <v>2</v>
      </c>
      <c r="E42" s="389">
        <v>0</v>
      </c>
      <c r="F42" s="388">
        <v>0</v>
      </c>
      <c r="G42" s="388">
        <v>2</v>
      </c>
      <c r="H42" s="388">
        <v>17</v>
      </c>
      <c r="I42" s="388">
        <v>90</v>
      </c>
      <c r="J42" s="389">
        <v>-73</v>
      </c>
      <c r="K42" s="388">
        <v>0</v>
      </c>
      <c r="L42" s="388">
        <v>0</v>
      </c>
      <c r="M42" s="388">
        <v>0</v>
      </c>
      <c r="N42" s="388">
        <v>3</v>
      </c>
      <c r="O42" s="388">
        <v>15</v>
      </c>
      <c r="P42" s="389">
        <v>0</v>
      </c>
    </row>
    <row r="43" spans="1:16" ht="15.8" customHeight="1" thickBot="1" x14ac:dyDescent="0.3">
      <c r="A43" s="386">
        <v>6</v>
      </c>
      <c r="B43" s="132" t="s">
        <v>46</v>
      </c>
      <c r="C43" s="392" t="s">
        <v>35</v>
      </c>
      <c r="D43" s="388">
        <v>2</v>
      </c>
      <c r="E43" s="389">
        <v>0</v>
      </c>
      <c r="F43" s="388">
        <v>0</v>
      </c>
      <c r="G43" s="388">
        <v>2</v>
      </c>
      <c r="H43" s="388">
        <v>8</v>
      </c>
      <c r="I43" s="388">
        <v>84</v>
      </c>
      <c r="J43" s="389">
        <v>-76</v>
      </c>
      <c r="K43" s="388">
        <v>0</v>
      </c>
      <c r="L43" s="388">
        <v>0</v>
      </c>
      <c r="M43" s="388">
        <v>0</v>
      </c>
      <c r="N43" s="388">
        <v>1</v>
      </c>
      <c r="O43" s="388">
        <v>14</v>
      </c>
      <c r="P43" s="389">
        <v>0</v>
      </c>
    </row>
    <row r="44" spans="1:16" ht="16.5" customHeight="1" x14ac:dyDescent="0.25"/>
    <row r="45" spans="1:16" x14ac:dyDescent="0.25">
      <c r="A45" s="152" t="s">
        <v>28</v>
      </c>
    </row>
  </sheetData>
  <sortState xmlns:xlrd2="http://schemas.microsoft.com/office/spreadsheetml/2017/richdata2" ref="A2:P7">
    <sortCondition descending="1" ref="P2:P7"/>
    <sortCondition descending="1" ref="J2:J7"/>
    <sortCondition descending="1" ref="N2:N7"/>
    <sortCondition ref="C2:C7"/>
  </sortState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N26"/>
  <sheetViews>
    <sheetView topLeftCell="T1" workbookViewId="0">
      <selection activeCell="A14" sqref="A14:AN14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5" bestFit="1" customWidth="1"/>
    <col min="5" max="18" width="3.75" customWidth="1"/>
    <col min="19" max="20" width="6.25" customWidth="1"/>
    <col min="21" max="21" width="24.125" bestFit="1" customWidth="1"/>
    <col min="22" max="22" width="22.25" bestFit="1" customWidth="1"/>
    <col min="23" max="23" width="22.5" bestFit="1" customWidth="1"/>
    <col min="24" max="24" width="19.75" bestFit="1" customWidth="1"/>
    <col min="25" max="40" width="3.75" customWidth="1"/>
  </cols>
  <sheetData>
    <row r="1" spans="1:40" ht="14.95" customHeight="1" thickBot="1" x14ac:dyDescent="0.3">
      <c r="A1" s="642" t="s">
        <v>126</v>
      </c>
      <c r="B1" s="643"/>
      <c r="C1" s="643"/>
      <c r="D1" s="44"/>
      <c r="E1" s="640" t="s">
        <v>24</v>
      </c>
      <c r="F1" s="644"/>
      <c r="G1" s="641"/>
      <c r="H1" s="640" t="s">
        <v>23</v>
      </c>
      <c r="I1" s="641"/>
      <c r="J1" s="637" t="s">
        <v>6</v>
      </c>
      <c r="K1" s="638"/>
      <c r="L1" s="638"/>
      <c r="M1" s="639"/>
      <c r="N1" s="637" t="s">
        <v>7</v>
      </c>
      <c r="O1" s="639"/>
      <c r="P1" s="637" t="s">
        <v>25</v>
      </c>
      <c r="Q1" s="638"/>
      <c r="R1" s="639"/>
      <c r="S1" s="146" t="s">
        <v>8</v>
      </c>
      <c r="T1" s="146" t="s">
        <v>9</v>
      </c>
      <c r="U1" s="31" t="s">
        <v>10</v>
      </c>
      <c r="V1" s="30" t="s">
        <v>11</v>
      </c>
      <c r="W1" s="32" t="s">
        <v>26</v>
      </c>
      <c r="X1" s="243" t="s">
        <v>27</v>
      </c>
      <c r="Y1" s="636" t="s">
        <v>20</v>
      </c>
      <c r="Z1" s="580"/>
      <c r="AA1" s="580"/>
      <c r="AB1" s="581"/>
      <c r="AC1" s="636" t="s">
        <v>56</v>
      </c>
      <c r="AD1" s="580"/>
      <c r="AE1" s="580"/>
      <c r="AF1" s="581"/>
      <c r="AG1" s="636" t="s">
        <v>57</v>
      </c>
      <c r="AH1" s="580"/>
      <c r="AI1" s="580"/>
      <c r="AJ1" s="581"/>
      <c r="AK1" s="636" t="s">
        <v>58</v>
      </c>
      <c r="AL1" s="580"/>
      <c r="AM1" s="580"/>
      <c r="AN1" s="581"/>
    </row>
    <row r="2" spans="1:40" ht="14.95" customHeight="1" thickBot="1" x14ac:dyDescent="0.3">
      <c r="A2" s="33" t="s">
        <v>19</v>
      </c>
      <c r="B2" s="34" t="s">
        <v>18</v>
      </c>
      <c r="C2" s="35" t="s">
        <v>17</v>
      </c>
      <c r="D2" s="36" t="s">
        <v>37</v>
      </c>
      <c r="E2" s="36" t="s">
        <v>16</v>
      </c>
      <c r="F2" s="36" t="s">
        <v>4</v>
      </c>
      <c r="G2" s="36" t="s">
        <v>5</v>
      </c>
      <c r="H2" s="37" t="s">
        <v>12</v>
      </c>
      <c r="I2" s="37" t="s">
        <v>3</v>
      </c>
      <c r="J2" s="37" t="s">
        <v>12</v>
      </c>
      <c r="K2" s="37" t="s">
        <v>13</v>
      </c>
      <c r="L2" s="37" t="s">
        <v>2</v>
      </c>
      <c r="M2" s="37" t="s">
        <v>14</v>
      </c>
      <c r="N2" s="37" t="s">
        <v>15</v>
      </c>
      <c r="O2" s="37" t="s">
        <v>16</v>
      </c>
      <c r="P2" s="37" t="s">
        <v>21</v>
      </c>
      <c r="Q2" s="37" t="s">
        <v>22</v>
      </c>
      <c r="R2" s="37" t="s">
        <v>12</v>
      </c>
      <c r="S2" s="38"/>
      <c r="T2" s="39"/>
      <c r="U2" s="40"/>
      <c r="V2" s="38"/>
      <c r="W2" s="41"/>
      <c r="X2" s="42"/>
      <c r="Y2" s="130" t="s">
        <v>0</v>
      </c>
      <c r="Z2" s="130" t="s">
        <v>1</v>
      </c>
      <c r="AA2" s="130" t="s">
        <v>2</v>
      </c>
      <c r="AB2" s="130" t="s">
        <v>3</v>
      </c>
      <c r="AC2" s="130" t="s">
        <v>0</v>
      </c>
      <c r="AD2" s="130" t="s">
        <v>1</v>
      </c>
      <c r="AE2" s="130" t="s">
        <v>2</v>
      </c>
      <c r="AF2" s="130" t="s">
        <v>3</v>
      </c>
      <c r="AG2" s="130" t="s">
        <v>0</v>
      </c>
      <c r="AH2" s="130" t="s">
        <v>1</v>
      </c>
      <c r="AI2" s="130" t="s">
        <v>2</v>
      </c>
      <c r="AJ2" s="130" t="s">
        <v>3</v>
      </c>
      <c r="AK2" s="130" t="s">
        <v>0</v>
      </c>
      <c r="AL2" s="130" t="s">
        <v>1</v>
      </c>
      <c r="AM2" s="130" t="s">
        <v>2</v>
      </c>
      <c r="AN2" s="130" t="s">
        <v>3</v>
      </c>
    </row>
    <row r="3" spans="1:40" ht="14.95" customHeight="1" thickBot="1" x14ac:dyDescent="0.3">
      <c r="A3" s="367" t="s">
        <v>134</v>
      </c>
      <c r="B3" s="178" t="s">
        <v>41</v>
      </c>
      <c r="C3" s="178" t="s">
        <v>30</v>
      </c>
      <c r="D3" s="177" t="s">
        <v>135</v>
      </c>
      <c r="E3" s="179" t="s">
        <v>3</v>
      </c>
      <c r="F3" s="179">
        <v>7</v>
      </c>
      <c r="G3" s="179">
        <v>58</v>
      </c>
      <c r="H3" s="179">
        <v>0</v>
      </c>
      <c r="I3" s="179">
        <v>0</v>
      </c>
      <c r="J3" s="179">
        <v>1</v>
      </c>
      <c r="K3" s="179">
        <v>1</v>
      </c>
      <c r="L3" s="179">
        <v>0</v>
      </c>
      <c r="M3" s="179">
        <v>0</v>
      </c>
      <c r="N3" s="179">
        <v>0</v>
      </c>
      <c r="O3" s="179">
        <v>0</v>
      </c>
      <c r="P3" s="179">
        <v>1</v>
      </c>
      <c r="Q3" s="179">
        <v>0</v>
      </c>
      <c r="R3" s="179">
        <v>10</v>
      </c>
      <c r="S3" s="183">
        <v>10053</v>
      </c>
      <c r="T3" s="187" t="s">
        <v>161</v>
      </c>
      <c r="U3" s="185" t="s">
        <v>155</v>
      </c>
      <c r="V3" s="183" t="s">
        <v>156</v>
      </c>
      <c r="W3" s="185" t="s">
        <v>157</v>
      </c>
      <c r="X3" s="186" t="s">
        <v>200</v>
      </c>
      <c r="Y3" s="368">
        <v>1</v>
      </c>
      <c r="Z3" s="368">
        <v>0</v>
      </c>
      <c r="AA3" s="368">
        <v>0</v>
      </c>
      <c r="AB3" s="369">
        <v>1</v>
      </c>
      <c r="AC3" s="368">
        <v>0</v>
      </c>
      <c r="AD3" s="368">
        <v>0</v>
      </c>
      <c r="AE3" s="368">
        <v>0</v>
      </c>
      <c r="AF3" s="369">
        <v>0</v>
      </c>
      <c r="AG3" s="370">
        <v>1</v>
      </c>
      <c r="AH3" s="370">
        <v>0</v>
      </c>
      <c r="AI3" s="370">
        <v>0</v>
      </c>
      <c r="AJ3" s="370">
        <v>1</v>
      </c>
      <c r="AK3" s="370">
        <v>0</v>
      </c>
      <c r="AL3" s="370">
        <v>0</v>
      </c>
      <c r="AM3" s="370">
        <v>0</v>
      </c>
      <c r="AN3" s="370">
        <v>0</v>
      </c>
    </row>
    <row r="4" spans="1:40" ht="14.95" customHeight="1" thickBot="1" x14ac:dyDescent="0.3">
      <c r="A4" s="191" t="s">
        <v>131</v>
      </c>
      <c r="B4" s="192" t="s">
        <v>41</v>
      </c>
      <c r="C4" s="192" t="s">
        <v>31</v>
      </c>
      <c r="D4" s="202" t="s">
        <v>90</v>
      </c>
      <c r="E4" s="193" t="s">
        <v>3</v>
      </c>
      <c r="F4" s="193">
        <v>22</v>
      </c>
      <c r="G4" s="193">
        <v>34</v>
      </c>
      <c r="H4" s="193">
        <v>0</v>
      </c>
      <c r="I4" s="193">
        <v>0</v>
      </c>
      <c r="J4" s="193">
        <v>3</v>
      </c>
      <c r="K4" s="193">
        <v>2</v>
      </c>
      <c r="L4" s="193">
        <v>0</v>
      </c>
      <c r="M4" s="193">
        <v>1</v>
      </c>
      <c r="N4" s="193">
        <v>0</v>
      </c>
      <c r="O4" s="193">
        <v>0</v>
      </c>
      <c r="P4" s="193">
        <v>1</v>
      </c>
      <c r="Q4" s="193">
        <v>0</v>
      </c>
      <c r="R4" s="193">
        <v>5</v>
      </c>
      <c r="S4" s="194">
        <v>3031</v>
      </c>
      <c r="T4" s="195" t="s">
        <v>217</v>
      </c>
      <c r="U4" s="196" t="s">
        <v>173</v>
      </c>
      <c r="V4" s="194" t="s">
        <v>218</v>
      </c>
      <c r="W4" s="197" t="s">
        <v>219</v>
      </c>
      <c r="X4" s="198" t="s">
        <v>220</v>
      </c>
      <c r="Y4" s="199">
        <v>1</v>
      </c>
      <c r="Z4" s="199">
        <v>0</v>
      </c>
      <c r="AA4" s="199">
        <v>0</v>
      </c>
      <c r="AB4" s="200">
        <v>1</v>
      </c>
      <c r="AC4" s="199">
        <v>1</v>
      </c>
      <c r="AD4" s="199">
        <v>0</v>
      </c>
      <c r="AE4" s="199">
        <v>0</v>
      </c>
      <c r="AF4" s="200">
        <v>1</v>
      </c>
      <c r="AG4" s="205">
        <v>0</v>
      </c>
      <c r="AH4" s="205">
        <v>0</v>
      </c>
      <c r="AI4" s="205">
        <v>0</v>
      </c>
      <c r="AJ4" s="205">
        <v>0</v>
      </c>
      <c r="AK4" s="205">
        <v>0</v>
      </c>
      <c r="AL4" s="205">
        <v>0</v>
      </c>
      <c r="AM4" s="205">
        <v>0</v>
      </c>
      <c r="AN4" s="205">
        <v>0</v>
      </c>
    </row>
    <row r="5" spans="1:40" ht="14.95" customHeight="1" thickBot="1" x14ac:dyDescent="0.3">
      <c r="A5" s="176" t="s">
        <v>144</v>
      </c>
      <c r="B5" s="178" t="s">
        <v>41</v>
      </c>
      <c r="C5" s="178" t="s">
        <v>33</v>
      </c>
      <c r="D5" s="177" t="s">
        <v>145</v>
      </c>
      <c r="E5" s="179" t="s">
        <v>3</v>
      </c>
      <c r="F5" s="179">
        <v>0</v>
      </c>
      <c r="G5" s="179">
        <v>55</v>
      </c>
      <c r="H5" s="179">
        <v>0</v>
      </c>
      <c r="I5" s="179">
        <v>0</v>
      </c>
      <c r="J5" s="179">
        <v>0</v>
      </c>
      <c r="K5" s="179">
        <v>0</v>
      </c>
      <c r="L5" s="179">
        <v>0</v>
      </c>
      <c r="M5" s="179">
        <v>0</v>
      </c>
      <c r="N5" s="179">
        <v>0</v>
      </c>
      <c r="O5" s="179">
        <v>0</v>
      </c>
      <c r="P5" s="179">
        <v>1</v>
      </c>
      <c r="Q5" s="179">
        <v>0</v>
      </c>
      <c r="R5" s="179">
        <v>9</v>
      </c>
      <c r="S5" s="183"/>
      <c r="T5" s="187" t="s">
        <v>242</v>
      </c>
      <c r="U5" s="185" t="s">
        <v>240</v>
      </c>
      <c r="V5" s="183" t="s">
        <v>218</v>
      </c>
      <c r="W5" s="180" t="s">
        <v>241</v>
      </c>
      <c r="X5" s="186" t="s">
        <v>176</v>
      </c>
      <c r="Y5" s="181">
        <v>1</v>
      </c>
      <c r="Z5" s="181">
        <v>0</v>
      </c>
      <c r="AA5" s="181">
        <v>0</v>
      </c>
      <c r="AB5" s="182">
        <v>1</v>
      </c>
      <c r="AC5" s="181">
        <v>0</v>
      </c>
      <c r="AD5" s="181">
        <v>0</v>
      </c>
      <c r="AE5" s="181">
        <v>0</v>
      </c>
      <c r="AF5" s="181">
        <v>0</v>
      </c>
      <c r="AG5" s="181">
        <v>1</v>
      </c>
      <c r="AH5" s="181">
        <v>0</v>
      </c>
      <c r="AI5" s="181">
        <v>0</v>
      </c>
      <c r="AJ5" s="182">
        <v>1</v>
      </c>
      <c r="AK5" s="181">
        <v>0</v>
      </c>
      <c r="AL5" s="181">
        <v>0</v>
      </c>
      <c r="AM5" s="181">
        <v>0</v>
      </c>
      <c r="AN5" s="181">
        <v>0</v>
      </c>
    </row>
    <row r="6" spans="1:40" ht="14.95" customHeight="1" thickBot="1" x14ac:dyDescent="0.35">
      <c r="A6" s="191" t="s">
        <v>146</v>
      </c>
      <c r="B6" s="192" t="s">
        <v>41</v>
      </c>
      <c r="C6" s="192" t="s">
        <v>32</v>
      </c>
      <c r="D6" s="202" t="s">
        <v>90</v>
      </c>
      <c r="E6" s="193" t="s">
        <v>1</v>
      </c>
      <c r="F6" s="193">
        <v>29</v>
      </c>
      <c r="G6" s="193">
        <v>21</v>
      </c>
      <c r="H6" s="193">
        <v>1</v>
      </c>
      <c r="I6" s="193">
        <v>0</v>
      </c>
      <c r="J6" s="193">
        <v>5</v>
      </c>
      <c r="K6" s="193">
        <v>2</v>
      </c>
      <c r="L6" s="193">
        <v>0</v>
      </c>
      <c r="M6" s="193">
        <v>0</v>
      </c>
      <c r="N6" s="193">
        <v>0</v>
      </c>
      <c r="O6" s="193">
        <v>0</v>
      </c>
      <c r="P6" s="193">
        <v>0</v>
      </c>
      <c r="Q6" s="193">
        <v>0</v>
      </c>
      <c r="R6" s="193">
        <v>3</v>
      </c>
      <c r="S6" s="194"/>
      <c r="T6" s="203" t="s">
        <v>249</v>
      </c>
      <c r="U6" s="196" t="s">
        <v>196</v>
      </c>
      <c r="V6" s="194" t="s">
        <v>163</v>
      </c>
      <c r="W6" s="196" t="s">
        <v>231</v>
      </c>
      <c r="X6" s="197" t="s">
        <v>200</v>
      </c>
      <c r="Y6" s="199">
        <v>1</v>
      </c>
      <c r="Z6" s="199">
        <v>1</v>
      </c>
      <c r="AA6" s="199">
        <v>0</v>
      </c>
      <c r="AB6" s="200">
        <v>0</v>
      </c>
      <c r="AC6" s="205">
        <v>1</v>
      </c>
      <c r="AD6" s="239">
        <v>1</v>
      </c>
      <c r="AE6" s="199">
        <v>0</v>
      </c>
      <c r="AF6" s="199">
        <v>0</v>
      </c>
      <c r="AG6" s="199">
        <v>0</v>
      </c>
      <c r="AH6" s="199">
        <v>0</v>
      </c>
      <c r="AI6" s="199">
        <v>0</v>
      </c>
      <c r="AJ6" s="200">
        <v>0</v>
      </c>
      <c r="AK6" s="199">
        <v>0</v>
      </c>
      <c r="AL6" s="199">
        <v>0</v>
      </c>
      <c r="AM6" s="199">
        <v>0</v>
      </c>
      <c r="AN6" s="199">
        <v>0</v>
      </c>
    </row>
    <row r="7" spans="1:40" ht="14.95" customHeight="1" thickBot="1" x14ac:dyDescent="0.35">
      <c r="A7" s="191" t="s">
        <v>151</v>
      </c>
      <c r="B7" s="192" t="s">
        <v>41</v>
      </c>
      <c r="C7" s="192" t="s">
        <v>35</v>
      </c>
      <c r="D7" s="202" t="s">
        <v>90</v>
      </c>
      <c r="E7" s="193" t="s">
        <v>1</v>
      </c>
      <c r="F7" s="193">
        <v>36</v>
      </c>
      <c r="G7" s="193">
        <v>10</v>
      </c>
      <c r="H7" s="193">
        <v>1</v>
      </c>
      <c r="I7" s="193">
        <v>0</v>
      </c>
      <c r="J7" s="193">
        <v>6</v>
      </c>
      <c r="K7" s="193">
        <v>3</v>
      </c>
      <c r="L7" s="193">
        <v>0</v>
      </c>
      <c r="M7" s="193">
        <v>0</v>
      </c>
      <c r="N7" s="193">
        <v>0</v>
      </c>
      <c r="O7" s="193">
        <v>0</v>
      </c>
      <c r="P7" s="193">
        <v>0</v>
      </c>
      <c r="Q7" s="193">
        <v>0</v>
      </c>
      <c r="R7" s="193">
        <v>1</v>
      </c>
      <c r="S7" s="194">
        <v>4862</v>
      </c>
      <c r="T7" s="203" t="s">
        <v>261</v>
      </c>
      <c r="U7" s="196" t="s">
        <v>207</v>
      </c>
      <c r="V7" s="194" t="s">
        <v>255</v>
      </c>
      <c r="W7" s="197" t="s">
        <v>241</v>
      </c>
      <c r="X7" s="198" t="s">
        <v>176</v>
      </c>
      <c r="Y7" s="199">
        <v>1</v>
      </c>
      <c r="Z7" s="199">
        <v>1</v>
      </c>
      <c r="AA7" s="199">
        <v>0</v>
      </c>
      <c r="AB7" s="200">
        <v>0</v>
      </c>
      <c r="AC7" s="199">
        <v>1</v>
      </c>
      <c r="AD7" s="199">
        <v>1</v>
      </c>
      <c r="AE7" s="199">
        <v>0</v>
      </c>
      <c r="AF7" s="200">
        <v>0</v>
      </c>
      <c r="AG7" s="205">
        <v>0</v>
      </c>
      <c r="AH7" s="205">
        <v>0</v>
      </c>
      <c r="AI7" s="205">
        <v>0</v>
      </c>
      <c r="AJ7" s="205">
        <v>0</v>
      </c>
      <c r="AK7" s="199">
        <v>0</v>
      </c>
      <c r="AL7" s="199">
        <v>0</v>
      </c>
      <c r="AM7" s="199">
        <v>0</v>
      </c>
      <c r="AN7" s="199">
        <v>0</v>
      </c>
    </row>
    <row r="8" spans="1:40" ht="14.95" customHeight="1" thickBot="1" x14ac:dyDescent="0.35">
      <c r="A8" s="191" t="s">
        <v>405</v>
      </c>
      <c r="B8" s="192" t="s">
        <v>180</v>
      </c>
      <c r="C8" s="192" t="s">
        <v>74</v>
      </c>
      <c r="D8" s="202" t="s">
        <v>90</v>
      </c>
      <c r="E8" s="193" t="s">
        <v>1</v>
      </c>
      <c r="F8" s="193">
        <v>36</v>
      </c>
      <c r="G8" s="193">
        <v>5</v>
      </c>
      <c r="H8" s="193" t="s">
        <v>69</v>
      </c>
      <c r="I8" s="193" t="s">
        <v>69</v>
      </c>
      <c r="J8" s="193">
        <v>6</v>
      </c>
      <c r="K8" s="193">
        <v>3</v>
      </c>
      <c r="L8" s="193">
        <v>0</v>
      </c>
      <c r="M8" s="193">
        <v>0</v>
      </c>
      <c r="N8" s="193">
        <v>0</v>
      </c>
      <c r="O8" s="193">
        <v>0</v>
      </c>
      <c r="P8" s="193" t="s">
        <v>69</v>
      </c>
      <c r="Q8" s="193" t="s">
        <v>69</v>
      </c>
      <c r="R8" s="193">
        <v>1</v>
      </c>
      <c r="S8" s="194"/>
      <c r="T8" s="203" t="s">
        <v>413</v>
      </c>
      <c r="U8" s="196" t="s">
        <v>414</v>
      </c>
      <c r="V8" s="194" t="s">
        <v>163</v>
      </c>
      <c r="W8" s="196" t="s">
        <v>207</v>
      </c>
      <c r="X8" s="198" t="s">
        <v>208</v>
      </c>
      <c r="Y8" s="199">
        <v>1</v>
      </c>
      <c r="Z8" s="199">
        <v>1</v>
      </c>
      <c r="AA8" s="199">
        <v>0</v>
      </c>
      <c r="AB8" s="200">
        <v>0</v>
      </c>
      <c r="AC8" s="199">
        <v>1</v>
      </c>
      <c r="AD8" s="199">
        <v>1</v>
      </c>
      <c r="AE8" s="199">
        <v>0</v>
      </c>
      <c r="AF8" s="199">
        <v>0</v>
      </c>
      <c r="AG8" s="199">
        <v>0</v>
      </c>
      <c r="AH8" s="199">
        <v>0</v>
      </c>
      <c r="AI8" s="199">
        <v>0</v>
      </c>
      <c r="AJ8" s="200">
        <v>0</v>
      </c>
      <c r="AK8" s="199">
        <v>0</v>
      </c>
      <c r="AL8" s="199">
        <v>0</v>
      </c>
      <c r="AM8" s="199">
        <v>0</v>
      </c>
      <c r="AN8" s="199">
        <v>0</v>
      </c>
    </row>
    <row r="9" spans="1:40" ht="14.95" customHeight="1" thickBot="1" x14ac:dyDescent="0.35">
      <c r="A9" s="176" t="s">
        <v>426</v>
      </c>
      <c r="B9" s="178" t="s">
        <v>427</v>
      </c>
      <c r="C9" s="178" t="s">
        <v>186</v>
      </c>
      <c r="D9" s="177" t="s">
        <v>428</v>
      </c>
      <c r="E9" s="179" t="s">
        <v>1</v>
      </c>
      <c r="F9" s="179">
        <v>31</v>
      </c>
      <c r="G9" s="179">
        <v>17</v>
      </c>
      <c r="H9" s="179">
        <v>1</v>
      </c>
      <c r="I9" s="179">
        <v>0</v>
      </c>
      <c r="J9" s="179">
        <v>5</v>
      </c>
      <c r="K9" s="179">
        <v>3</v>
      </c>
      <c r="L9" s="179">
        <v>0</v>
      </c>
      <c r="M9" s="179">
        <v>0</v>
      </c>
      <c r="N9" s="179">
        <v>0</v>
      </c>
      <c r="O9" s="179">
        <v>0</v>
      </c>
      <c r="P9" s="179">
        <v>0</v>
      </c>
      <c r="Q9" s="179">
        <v>0</v>
      </c>
      <c r="R9" s="179">
        <v>2</v>
      </c>
      <c r="S9" s="183"/>
      <c r="T9" s="184" t="s">
        <v>221</v>
      </c>
      <c r="U9" s="185" t="s">
        <v>325</v>
      </c>
      <c r="V9" s="183" t="s">
        <v>218</v>
      </c>
      <c r="W9" s="183" t="s">
        <v>182</v>
      </c>
      <c r="X9" s="186" t="s">
        <v>414</v>
      </c>
      <c r="Y9" s="181">
        <v>1</v>
      </c>
      <c r="Z9" s="181">
        <v>1</v>
      </c>
      <c r="AA9" s="181">
        <v>0</v>
      </c>
      <c r="AB9" s="182">
        <v>0</v>
      </c>
      <c r="AC9" s="181">
        <v>0</v>
      </c>
      <c r="AD9" s="181">
        <v>0</v>
      </c>
      <c r="AE9" s="181">
        <v>0</v>
      </c>
      <c r="AF9" s="182">
        <v>0</v>
      </c>
      <c r="AG9" s="181">
        <v>1</v>
      </c>
      <c r="AH9" s="181">
        <v>1</v>
      </c>
      <c r="AI9" s="181">
        <v>0</v>
      </c>
      <c r="AJ9" s="182">
        <v>0</v>
      </c>
      <c r="AK9" s="181">
        <v>0</v>
      </c>
      <c r="AL9" s="181">
        <v>0</v>
      </c>
      <c r="AM9" s="181">
        <v>0</v>
      </c>
      <c r="AN9" s="182">
        <v>0</v>
      </c>
    </row>
    <row r="10" spans="1:40" ht="14.95" customHeight="1" thickBot="1" x14ac:dyDescent="0.35">
      <c r="A10" s="210" t="s">
        <v>435</v>
      </c>
      <c r="B10" s="211" t="s">
        <v>427</v>
      </c>
      <c r="C10" s="211" t="s">
        <v>55</v>
      </c>
      <c r="D10" s="249" t="s">
        <v>496</v>
      </c>
      <c r="E10" s="207" t="s">
        <v>1</v>
      </c>
      <c r="F10" s="207">
        <v>24</v>
      </c>
      <c r="G10" s="207">
        <v>14</v>
      </c>
      <c r="H10" s="207">
        <v>1</v>
      </c>
      <c r="I10" s="207">
        <v>0</v>
      </c>
      <c r="J10" s="207">
        <v>4</v>
      </c>
      <c r="K10" s="207">
        <v>2</v>
      </c>
      <c r="L10" s="207">
        <v>0</v>
      </c>
      <c r="M10" s="207">
        <v>0</v>
      </c>
      <c r="N10" s="207">
        <v>0</v>
      </c>
      <c r="O10" s="207">
        <v>0</v>
      </c>
      <c r="P10" s="207">
        <v>0</v>
      </c>
      <c r="Q10" s="207">
        <v>0</v>
      </c>
      <c r="R10" s="207">
        <v>2</v>
      </c>
      <c r="S10" s="212"/>
      <c r="T10" s="215" t="s">
        <v>499</v>
      </c>
      <c r="U10" s="213" t="s">
        <v>182</v>
      </c>
      <c r="V10" s="212" t="s">
        <v>391</v>
      </c>
      <c r="W10" s="212" t="s">
        <v>325</v>
      </c>
      <c r="X10" s="214" t="s">
        <v>393</v>
      </c>
      <c r="Y10" s="147">
        <v>1</v>
      </c>
      <c r="Z10" s="147">
        <v>1</v>
      </c>
      <c r="AA10" s="147">
        <v>0</v>
      </c>
      <c r="AB10" s="208">
        <v>0</v>
      </c>
      <c r="AC10" s="147">
        <v>0</v>
      </c>
      <c r="AD10" s="147">
        <v>0</v>
      </c>
      <c r="AE10" s="147">
        <v>0</v>
      </c>
      <c r="AF10" s="208">
        <v>0</v>
      </c>
      <c r="AG10" s="147">
        <v>0</v>
      </c>
      <c r="AH10" s="147">
        <v>0</v>
      </c>
      <c r="AI10" s="147">
        <v>0</v>
      </c>
      <c r="AJ10" s="208">
        <v>0</v>
      </c>
      <c r="AK10" s="147">
        <v>1</v>
      </c>
      <c r="AL10" s="147">
        <v>1</v>
      </c>
      <c r="AM10" s="147">
        <v>0</v>
      </c>
      <c r="AN10" s="208">
        <v>0</v>
      </c>
    </row>
    <row r="11" spans="1:40" ht="14.95" customHeight="1" thickBot="1" x14ac:dyDescent="0.3">
      <c r="A11" s="210" t="s">
        <v>448</v>
      </c>
      <c r="B11" s="211" t="s">
        <v>427</v>
      </c>
      <c r="C11" s="211" t="s">
        <v>310</v>
      </c>
      <c r="D11" s="249" t="s">
        <v>496</v>
      </c>
      <c r="E11" s="207" t="s">
        <v>1</v>
      </c>
      <c r="F11" s="207">
        <v>38</v>
      </c>
      <c r="G11" s="207">
        <v>7</v>
      </c>
      <c r="H11" s="207">
        <v>1</v>
      </c>
      <c r="I11" s="207">
        <v>0</v>
      </c>
      <c r="J11" s="207">
        <v>6</v>
      </c>
      <c r="K11" s="207">
        <v>3</v>
      </c>
      <c r="L11" s="207">
        <v>0</v>
      </c>
      <c r="M11" s="207">
        <v>0</v>
      </c>
      <c r="N11" s="207">
        <v>0</v>
      </c>
      <c r="O11" s="207">
        <v>0</v>
      </c>
      <c r="P11" s="207">
        <v>0</v>
      </c>
      <c r="Q11" s="207">
        <v>0</v>
      </c>
      <c r="R11" s="207">
        <v>1</v>
      </c>
      <c r="S11" s="212"/>
      <c r="T11" s="419" t="s">
        <v>510</v>
      </c>
      <c r="U11" s="213" t="s">
        <v>188</v>
      </c>
      <c r="V11" s="212" t="s">
        <v>391</v>
      </c>
      <c r="W11" s="350" t="s">
        <v>414</v>
      </c>
      <c r="X11" s="214" t="s">
        <v>393</v>
      </c>
      <c r="Y11" s="147">
        <v>1</v>
      </c>
      <c r="Z11" s="147">
        <v>1</v>
      </c>
      <c r="AA11" s="147">
        <v>0</v>
      </c>
      <c r="AB11" s="208">
        <v>0</v>
      </c>
      <c r="AC11" s="147">
        <v>0</v>
      </c>
      <c r="AD11" s="147">
        <v>0</v>
      </c>
      <c r="AE11" s="147">
        <v>0</v>
      </c>
      <c r="AF11" s="208">
        <v>0</v>
      </c>
      <c r="AG11" s="147">
        <v>0</v>
      </c>
      <c r="AH11" s="147">
        <v>0</v>
      </c>
      <c r="AI11" s="147">
        <v>0</v>
      </c>
      <c r="AJ11" s="208">
        <v>0</v>
      </c>
      <c r="AK11" s="147">
        <v>1</v>
      </c>
      <c r="AL11" s="147">
        <v>1</v>
      </c>
      <c r="AM11" s="147">
        <v>0</v>
      </c>
      <c r="AN11" s="208">
        <v>0</v>
      </c>
    </row>
    <row r="12" spans="1:40" ht="14.95" thickBot="1" x14ac:dyDescent="0.3">
      <c r="A12" s="117"/>
      <c r="B12" s="118"/>
      <c r="C12" s="525" t="s">
        <v>71</v>
      </c>
      <c r="D12" s="526"/>
      <c r="E12" s="527"/>
      <c r="F12" s="456">
        <f>SUM(F3:F7)</f>
        <v>94</v>
      </c>
      <c r="G12" s="456">
        <f t="shared" ref="G12:R12" si="0">SUM(G3:G7)</f>
        <v>178</v>
      </c>
      <c r="H12" s="456">
        <f t="shared" si="0"/>
        <v>2</v>
      </c>
      <c r="I12" s="456">
        <f t="shared" si="0"/>
        <v>0</v>
      </c>
      <c r="J12" s="456">
        <f t="shared" si="0"/>
        <v>15</v>
      </c>
      <c r="K12" s="456">
        <f t="shared" si="0"/>
        <v>8</v>
      </c>
      <c r="L12" s="456">
        <f t="shared" si="0"/>
        <v>0</v>
      </c>
      <c r="M12" s="456">
        <f t="shared" si="0"/>
        <v>1</v>
      </c>
      <c r="N12" s="456">
        <f t="shared" si="0"/>
        <v>0</v>
      </c>
      <c r="O12" s="456">
        <f t="shared" si="0"/>
        <v>0</v>
      </c>
      <c r="P12" s="456">
        <f t="shared" si="0"/>
        <v>3</v>
      </c>
      <c r="Q12" s="456">
        <f t="shared" si="0"/>
        <v>0</v>
      </c>
      <c r="R12" s="456">
        <f t="shared" si="0"/>
        <v>28</v>
      </c>
      <c r="S12" s="457"/>
      <c r="T12" s="457"/>
      <c r="U12" s="457"/>
      <c r="V12" s="457"/>
      <c r="W12" s="458"/>
      <c r="X12" s="459" t="s">
        <v>71</v>
      </c>
      <c r="Y12" s="456">
        <f t="shared" ref="Y12:AN12" si="1">SUM(Y3:Y7)</f>
        <v>5</v>
      </c>
      <c r="Z12" s="456">
        <f t="shared" si="1"/>
        <v>2</v>
      </c>
      <c r="AA12" s="456">
        <f t="shared" si="1"/>
        <v>0</v>
      </c>
      <c r="AB12" s="456">
        <f t="shared" si="1"/>
        <v>3</v>
      </c>
      <c r="AC12" s="460">
        <f t="shared" si="1"/>
        <v>3</v>
      </c>
      <c r="AD12" s="460">
        <f t="shared" si="1"/>
        <v>2</v>
      </c>
      <c r="AE12" s="460">
        <f t="shared" si="1"/>
        <v>0</v>
      </c>
      <c r="AF12" s="460">
        <f t="shared" si="1"/>
        <v>1</v>
      </c>
      <c r="AG12" s="461">
        <f t="shared" si="1"/>
        <v>2</v>
      </c>
      <c r="AH12" s="461">
        <f t="shared" si="1"/>
        <v>0</v>
      </c>
      <c r="AI12" s="461">
        <f t="shared" si="1"/>
        <v>0</v>
      </c>
      <c r="AJ12" s="461">
        <f t="shared" si="1"/>
        <v>2</v>
      </c>
      <c r="AK12" s="456">
        <f t="shared" si="1"/>
        <v>0</v>
      </c>
      <c r="AL12" s="456">
        <f t="shared" si="1"/>
        <v>0</v>
      </c>
      <c r="AM12" s="456">
        <f t="shared" si="1"/>
        <v>0</v>
      </c>
      <c r="AN12" s="456">
        <f t="shared" si="1"/>
        <v>0</v>
      </c>
    </row>
    <row r="13" spans="1:40" ht="14.95" thickBot="1" x14ac:dyDescent="0.3">
      <c r="A13" s="117"/>
      <c r="B13" s="118"/>
      <c r="C13" s="519" t="s">
        <v>78</v>
      </c>
      <c r="D13" s="520"/>
      <c r="E13" s="521"/>
      <c r="F13" s="225">
        <f>F8</f>
        <v>36</v>
      </c>
      <c r="G13" s="225">
        <f>G8</f>
        <v>5</v>
      </c>
      <c r="H13" s="225" t="s">
        <v>69</v>
      </c>
      <c r="I13" s="225" t="s">
        <v>69</v>
      </c>
      <c r="J13" s="225">
        <f t="shared" ref="J13:O13" si="2">J8</f>
        <v>6</v>
      </c>
      <c r="K13" s="225">
        <f t="shared" si="2"/>
        <v>3</v>
      </c>
      <c r="L13" s="225">
        <f t="shared" si="2"/>
        <v>0</v>
      </c>
      <c r="M13" s="225">
        <f t="shared" si="2"/>
        <v>0</v>
      </c>
      <c r="N13" s="225">
        <f t="shared" si="2"/>
        <v>0</v>
      </c>
      <c r="O13" s="225">
        <f t="shared" si="2"/>
        <v>0</v>
      </c>
      <c r="P13" s="225" t="s">
        <v>69</v>
      </c>
      <c r="Q13" s="225" t="s">
        <v>69</v>
      </c>
      <c r="R13" s="225">
        <f>R8</f>
        <v>1</v>
      </c>
      <c r="S13" s="231"/>
      <c r="T13" s="231"/>
      <c r="U13" s="231"/>
      <c r="V13" s="231"/>
      <c r="W13" s="223"/>
      <c r="X13" s="230" t="s">
        <v>78</v>
      </c>
      <c r="Y13" s="225">
        <f t="shared" ref="Y13:AN13" si="3">Y8</f>
        <v>1</v>
      </c>
      <c r="Z13" s="225">
        <f t="shared" si="3"/>
        <v>1</v>
      </c>
      <c r="AA13" s="225">
        <f t="shared" si="3"/>
        <v>0</v>
      </c>
      <c r="AB13" s="225">
        <f t="shared" si="3"/>
        <v>0</v>
      </c>
      <c r="AC13" s="226">
        <f t="shared" si="3"/>
        <v>1</v>
      </c>
      <c r="AD13" s="226">
        <f t="shared" si="3"/>
        <v>1</v>
      </c>
      <c r="AE13" s="226">
        <f t="shared" si="3"/>
        <v>0</v>
      </c>
      <c r="AF13" s="226">
        <f t="shared" si="3"/>
        <v>0</v>
      </c>
      <c r="AG13" s="227">
        <f t="shared" si="3"/>
        <v>0</v>
      </c>
      <c r="AH13" s="227">
        <f t="shared" si="3"/>
        <v>0</v>
      </c>
      <c r="AI13" s="227">
        <f t="shared" si="3"/>
        <v>0</v>
      </c>
      <c r="AJ13" s="227">
        <f t="shared" si="3"/>
        <v>0</v>
      </c>
      <c r="AK13" s="225">
        <f t="shared" si="3"/>
        <v>0</v>
      </c>
      <c r="AL13" s="225">
        <f t="shared" si="3"/>
        <v>0</v>
      </c>
      <c r="AM13" s="225">
        <f t="shared" si="3"/>
        <v>0</v>
      </c>
      <c r="AN13" s="225">
        <f t="shared" si="3"/>
        <v>0</v>
      </c>
    </row>
    <row r="14" spans="1:40" ht="14.95" thickBot="1" x14ac:dyDescent="0.3">
      <c r="A14" s="117"/>
      <c r="B14" s="118"/>
      <c r="C14" s="409" t="s">
        <v>427</v>
      </c>
      <c r="D14" s="410"/>
      <c r="E14" s="411"/>
      <c r="F14" s="430">
        <f>SUM(F9:F11)</f>
        <v>93</v>
      </c>
      <c r="G14" s="430">
        <f t="shared" ref="G14:R14" si="4">SUM(G9:G11)</f>
        <v>38</v>
      </c>
      <c r="H14" s="430">
        <f t="shared" si="4"/>
        <v>3</v>
      </c>
      <c r="I14" s="430">
        <f t="shared" si="4"/>
        <v>0</v>
      </c>
      <c r="J14" s="430">
        <f t="shared" si="4"/>
        <v>15</v>
      </c>
      <c r="K14" s="430">
        <f t="shared" si="4"/>
        <v>8</v>
      </c>
      <c r="L14" s="430">
        <f t="shared" si="4"/>
        <v>0</v>
      </c>
      <c r="M14" s="430">
        <f t="shared" si="4"/>
        <v>0</v>
      </c>
      <c r="N14" s="430">
        <f t="shared" si="4"/>
        <v>0</v>
      </c>
      <c r="O14" s="430">
        <f t="shared" si="4"/>
        <v>0</v>
      </c>
      <c r="P14" s="430">
        <f t="shared" si="4"/>
        <v>0</v>
      </c>
      <c r="Q14" s="430">
        <f t="shared" si="4"/>
        <v>0</v>
      </c>
      <c r="R14" s="430">
        <f t="shared" si="4"/>
        <v>5</v>
      </c>
      <c r="S14" s="365"/>
      <c r="T14" s="365"/>
      <c r="U14" s="365"/>
      <c r="V14" s="365"/>
      <c r="W14" s="116"/>
      <c r="X14" s="150" t="s">
        <v>427</v>
      </c>
      <c r="Y14" s="430">
        <f t="shared" ref="Y14:AN14" si="5">SUM(Y9:Y11)</f>
        <v>3</v>
      </c>
      <c r="Z14" s="430">
        <f t="shared" si="5"/>
        <v>3</v>
      </c>
      <c r="AA14" s="430">
        <f t="shared" si="5"/>
        <v>0</v>
      </c>
      <c r="AB14" s="430">
        <f t="shared" si="5"/>
        <v>0</v>
      </c>
      <c r="AC14" s="432">
        <f t="shared" si="5"/>
        <v>0</v>
      </c>
      <c r="AD14" s="432">
        <f t="shared" si="5"/>
        <v>0</v>
      </c>
      <c r="AE14" s="432">
        <f t="shared" si="5"/>
        <v>0</v>
      </c>
      <c r="AF14" s="432">
        <f t="shared" si="5"/>
        <v>0</v>
      </c>
      <c r="AG14" s="433">
        <f t="shared" si="5"/>
        <v>1</v>
      </c>
      <c r="AH14" s="433">
        <f t="shared" si="5"/>
        <v>1</v>
      </c>
      <c r="AI14" s="433">
        <f t="shared" si="5"/>
        <v>0</v>
      </c>
      <c r="AJ14" s="433">
        <f t="shared" si="5"/>
        <v>0</v>
      </c>
      <c r="AK14" s="430">
        <f t="shared" si="5"/>
        <v>2</v>
      </c>
      <c r="AL14" s="430">
        <f t="shared" si="5"/>
        <v>2</v>
      </c>
      <c r="AM14" s="430">
        <f t="shared" si="5"/>
        <v>0</v>
      </c>
      <c r="AN14" s="430">
        <f t="shared" si="5"/>
        <v>0</v>
      </c>
    </row>
    <row r="15" spans="1:40" ht="14.95" thickBot="1" x14ac:dyDescent="0.3">
      <c r="A15" s="117"/>
      <c r="B15" s="118"/>
      <c r="C15" s="515" t="s">
        <v>70</v>
      </c>
      <c r="D15" s="516"/>
      <c r="E15" s="517"/>
      <c r="F15" s="142">
        <f t="shared" ref="F15:R15" si="6">SUM(F3:F11)</f>
        <v>223</v>
      </c>
      <c r="G15" s="142">
        <f t="shared" si="6"/>
        <v>221</v>
      </c>
      <c r="H15" s="142">
        <f t="shared" si="6"/>
        <v>5</v>
      </c>
      <c r="I15" s="142">
        <f t="shared" si="6"/>
        <v>0</v>
      </c>
      <c r="J15" s="142">
        <f t="shared" si="6"/>
        <v>36</v>
      </c>
      <c r="K15" s="142">
        <f t="shared" si="6"/>
        <v>19</v>
      </c>
      <c r="L15" s="142">
        <f t="shared" si="6"/>
        <v>0</v>
      </c>
      <c r="M15" s="142">
        <f t="shared" si="6"/>
        <v>1</v>
      </c>
      <c r="N15" s="142">
        <f t="shared" si="6"/>
        <v>0</v>
      </c>
      <c r="O15" s="142">
        <f t="shared" si="6"/>
        <v>0</v>
      </c>
      <c r="P15" s="142">
        <f t="shared" si="6"/>
        <v>3</v>
      </c>
      <c r="Q15" s="142">
        <f t="shared" si="6"/>
        <v>0</v>
      </c>
      <c r="R15" s="142">
        <f t="shared" si="6"/>
        <v>34</v>
      </c>
      <c r="S15" s="139"/>
      <c r="T15" s="139"/>
      <c r="U15" s="139"/>
      <c r="V15" s="139"/>
      <c r="W15" s="12"/>
      <c r="X15" s="147" t="s">
        <v>70</v>
      </c>
      <c r="Y15" s="142">
        <f t="shared" ref="Y15:AN15" si="7">SUM(Y3:Y11)</f>
        <v>9</v>
      </c>
      <c r="Z15" s="142">
        <f t="shared" si="7"/>
        <v>6</v>
      </c>
      <c r="AA15" s="142">
        <f t="shared" si="7"/>
        <v>0</v>
      </c>
      <c r="AB15" s="142">
        <f t="shared" si="7"/>
        <v>3</v>
      </c>
      <c r="AC15" s="140">
        <f t="shared" si="7"/>
        <v>4</v>
      </c>
      <c r="AD15" s="140">
        <f t="shared" si="7"/>
        <v>3</v>
      </c>
      <c r="AE15" s="140">
        <f t="shared" si="7"/>
        <v>0</v>
      </c>
      <c r="AF15" s="140">
        <f t="shared" si="7"/>
        <v>1</v>
      </c>
      <c r="AG15" s="141">
        <f t="shared" si="7"/>
        <v>3</v>
      </c>
      <c r="AH15" s="141">
        <f t="shared" si="7"/>
        <v>1</v>
      </c>
      <c r="AI15" s="141">
        <f t="shared" si="7"/>
        <v>0</v>
      </c>
      <c r="AJ15" s="141">
        <f t="shared" si="7"/>
        <v>2</v>
      </c>
      <c r="AK15" s="142">
        <f t="shared" si="7"/>
        <v>2</v>
      </c>
      <c r="AL15" s="142">
        <f t="shared" si="7"/>
        <v>2</v>
      </c>
      <c r="AM15" s="142">
        <f t="shared" si="7"/>
        <v>0</v>
      </c>
      <c r="AN15" s="142">
        <f t="shared" si="7"/>
        <v>0</v>
      </c>
    </row>
    <row r="16" spans="1:40" x14ac:dyDescent="0.25">
      <c r="A16" s="518" t="s">
        <v>80</v>
      </c>
      <c r="B16" s="518"/>
      <c r="C16" s="518"/>
      <c r="D16" s="518"/>
      <c r="E16" s="518"/>
      <c r="F16" s="518"/>
      <c r="G16" s="518"/>
      <c r="H16" s="518"/>
      <c r="I16" s="518"/>
      <c r="J16" s="518"/>
      <c r="K16" s="518"/>
      <c r="L16" s="518"/>
      <c r="M16" s="518"/>
      <c r="N16" s="518"/>
      <c r="O16" s="518"/>
      <c r="P16" s="518"/>
      <c r="Q16" s="518"/>
      <c r="R16" s="518"/>
    </row>
    <row r="17" spans="1:3" x14ac:dyDescent="0.25">
      <c r="A17" s="416" t="s">
        <v>412</v>
      </c>
    </row>
    <row r="18" spans="1:3" x14ac:dyDescent="0.25">
      <c r="A18" s="427" t="s">
        <v>494</v>
      </c>
    </row>
    <row r="19" spans="1:3" x14ac:dyDescent="0.25">
      <c r="A19" s="449" t="s">
        <v>497</v>
      </c>
    </row>
    <row r="20" spans="1:3" x14ac:dyDescent="0.25">
      <c r="A20" s="206"/>
    </row>
    <row r="21" spans="1:3" x14ac:dyDescent="0.25">
      <c r="A21" s="206"/>
    </row>
    <row r="22" spans="1:3" x14ac:dyDescent="0.25">
      <c r="A22" s="206" t="s">
        <v>509</v>
      </c>
    </row>
    <row r="23" spans="1:3" x14ac:dyDescent="0.25">
      <c r="A23" s="440"/>
      <c r="B23" s="73" t="s">
        <v>40</v>
      </c>
      <c r="C23" s="73"/>
    </row>
    <row r="24" spans="1:3" x14ac:dyDescent="0.25">
      <c r="A24" s="441"/>
      <c r="B24" s="73" t="s">
        <v>38</v>
      </c>
      <c r="C24" s="73"/>
    </row>
    <row r="25" spans="1:3" x14ac:dyDescent="0.25">
      <c r="A25" s="442"/>
      <c r="B25" s="73" t="s">
        <v>39</v>
      </c>
      <c r="C25" s="73"/>
    </row>
    <row r="26" spans="1:3" x14ac:dyDescent="0.25">
      <c r="A26" s="14" t="s">
        <v>28</v>
      </c>
    </row>
  </sheetData>
  <mergeCells count="14">
    <mergeCell ref="A16:R16"/>
    <mergeCell ref="AG1:AJ1"/>
    <mergeCell ref="C12:E12"/>
    <mergeCell ref="C15:E15"/>
    <mergeCell ref="A1:C1"/>
    <mergeCell ref="E1:G1"/>
    <mergeCell ref="C13:E13"/>
    <mergeCell ref="AK1:AN1"/>
    <mergeCell ref="P1:R1"/>
    <mergeCell ref="H1:I1"/>
    <mergeCell ref="J1:M1"/>
    <mergeCell ref="N1:O1"/>
    <mergeCell ref="Y1:AB1"/>
    <mergeCell ref="AC1:AF1"/>
  </mergeCells>
  <pageMargins left="0.7" right="0.7" top="0.75" bottom="0.75" header="0.3" footer="0.3"/>
  <pageSetup paperSize="9" orientation="portrait" r:id="rId1"/>
  <ignoredErrors>
    <ignoredError sqref="F12 F14:R14 G12:R12 Y12:AN14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70254-B55B-4AEF-854F-4514202D58E1}">
  <dimension ref="A1:AM27"/>
  <sheetViews>
    <sheetView topLeftCell="T1" workbookViewId="0">
      <selection activeCell="A15" sqref="A15:AM15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5" customWidth="1"/>
    <col min="5" max="18" width="3.75" customWidth="1"/>
    <col min="19" max="19" width="6.25" customWidth="1"/>
    <col min="20" max="20" width="24.5" bestFit="1" customWidth="1"/>
    <col min="21" max="21" width="22.25" bestFit="1" customWidth="1"/>
    <col min="22" max="22" width="26.25" bestFit="1" customWidth="1"/>
    <col min="23" max="23" width="21.5" bestFit="1" customWidth="1"/>
    <col min="24" max="39" width="3.75" customWidth="1"/>
  </cols>
  <sheetData>
    <row r="1" spans="1:39" ht="14.95" customHeight="1" thickBot="1" x14ac:dyDescent="0.3">
      <c r="A1" s="651" t="s">
        <v>127</v>
      </c>
      <c r="B1" s="652"/>
      <c r="C1" s="652"/>
      <c r="D1" s="327"/>
      <c r="E1" s="653" t="s">
        <v>24</v>
      </c>
      <c r="F1" s="654"/>
      <c r="G1" s="655"/>
      <c r="H1" s="653" t="s">
        <v>76</v>
      </c>
      <c r="I1" s="655"/>
      <c r="J1" s="656" t="s">
        <v>6</v>
      </c>
      <c r="K1" s="657"/>
      <c r="L1" s="657"/>
      <c r="M1" s="658"/>
      <c r="N1" s="656" t="s">
        <v>7</v>
      </c>
      <c r="O1" s="658"/>
      <c r="P1" s="656" t="s">
        <v>25</v>
      </c>
      <c r="Q1" s="657"/>
      <c r="R1" s="658"/>
      <c r="S1" s="328" t="s">
        <v>9</v>
      </c>
      <c r="T1" s="329" t="s">
        <v>10</v>
      </c>
      <c r="U1" s="329" t="s">
        <v>11</v>
      </c>
      <c r="V1" s="329" t="s">
        <v>26</v>
      </c>
      <c r="W1" s="329" t="s">
        <v>27</v>
      </c>
      <c r="X1" s="648" t="s">
        <v>20</v>
      </c>
      <c r="Y1" s="649"/>
      <c r="Z1" s="649"/>
      <c r="AA1" s="650"/>
      <c r="AB1" s="648" t="s">
        <v>56</v>
      </c>
      <c r="AC1" s="649"/>
      <c r="AD1" s="649"/>
      <c r="AE1" s="650"/>
      <c r="AF1" s="648" t="s">
        <v>57</v>
      </c>
      <c r="AG1" s="649"/>
      <c r="AH1" s="649"/>
      <c r="AI1" s="650"/>
      <c r="AJ1" s="648" t="s">
        <v>58</v>
      </c>
      <c r="AK1" s="649"/>
      <c r="AL1" s="649"/>
      <c r="AM1" s="650"/>
    </row>
    <row r="2" spans="1:39" ht="14.95" customHeight="1" thickBot="1" x14ac:dyDescent="0.3">
      <c r="A2" s="330" t="s">
        <v>19</v>
      </c>
      <c r="B2" s="331" t="s">
        <v>18</v>
      </c>
      <c r="C2" s="332" t="s">
        <v>17</v>
      </c>
      <c r="D2" s="332" t="s">
        <v>37</v>
      </c>
      <c r="E2" s="333" t="s">
        <v>16</v>
      </c>
      <c r="F2" s="333" t="s">
        <v>4</v>
      </c>
      <c r="G2" s="333" t="s">
        <v>5</v>
      </c>
      <c r="H2" s="334" t="s">
        <v>12</v>
      </c>
      <c r="I2" s="334" t="s">
        <v>3</v>
      </c>
      <c r="J2" s="334" t="s">
        <v>12</v>
      </c>
      <c r="K2" s="334" t="s">
        <v>13</v>
      </c>
      <c r="L2" s="334" t="s">
        <v>2</v>
      </c>
      <c r="M2" s="334" t="s">
        <v>14</v>
      </c>
      <c r="N2" s="334" t="s">
        <v>15</v>
      </c>
      <c r="O2" s="334" t="s">
        <v>16</v>
      </c>
      <c r="P2" s="334" t="s">
        <v>21</v>
      </c>
      <c r="Q2" s="334" t="s">
        <v>22</v>
      </c>
      <c r="R2" s="334" t="s">
        <v>12</v>
      </c>
      <c r="S2" s="336"/>
      <c r="T2" s="337"/>
      <c r="U2" s="335"/>
      <c r="V2" s="329"/>
      <c r="W2" s="338"/>
      <c r="X2" s="339" t="s">
        <v>0</v>
      </c>
      <c r="Y2" s="339" t="s">
        <v>1</v>
      </c>
      <c r="Z2" s="339" t="s">
        <v>2</v>
      </c>
      <c r="AA2" s="339" t="s">
        <v>3</v>
      </c>
      <c r="AB2" s="339" t="s">
        <v>0</v>
      </c>
      <c r="AC2" s="339" t="s">
        <v>1</v>
      </c>
      <c r="AD2" s="339" t="s">
        <v>2</v>
      </c>
      <c r="AE2" s="339" t="s">
        <v>3</v>
      </c>
      <c r="AF2" s="339" t="s">
        <v>0</v>
      </c>
      <c r="AG2" s="339" t="s">
        <v>1</v>
      </c>
      <c r="AH2" s="339" t="s">
        <v>2</v>
      </c>
      <c r="AI2" s="339" t="s">
        <v>3</v>
      </c>
      <c r="AJ2" s="339" t="s">
        <v>0</v>
      </c>
      <c r="AK2" s="339" t="s">
        <v>1</v>
      </c>
      <c r="AL2" s="339" t="s">
        <v>2</v>
      </c>
      <c r="AM2" s="339" t="s">
        <v>3</v>
      </c>
    </row>
    <row r="3" spans="1:39" ht="14.95" customHeight="1" thickBot="1" x14ac:dyDescent="0.3">
      <c r="A3" s="384" t="s">
        <v>134</v>
      </c>
      <c r="B3" s="211" t="s">
        <v>180</v>
      </c>
      <c r="C3" s="211" t="s">
        <v>36</v>
      </c>
      <c r="D3" s="211" t="s">
        <v>132</v>
      </c>
      <c r="E3" s="207" t="s">
        <v>3</v>
      </c>
      <c r="F3" s="207">
        <v>7</v>
      </c>
      <c r="G3" s="207">
        <v>66</v>
      </c>
      <c r="H3" s="207" t="s">
        <v>69</v>
      </c>
      <c r="I3" s="207" t="s">
        <v>69</v>
      </c>
      <c r="J3" s="207">
        <v>1</v>
      </c>
      <c r="K3" s="207">
        <v>1</v>
      </c>
      <c r="L3" s="207">
        <v>0</v>
      </c>
      <c r="M3" s="207">
        <v>0</v>
      </c>
      <c r="N3" s="207">
        <v>0</v>
      </c>
      <c r="O3" s="207">
        <v>1</v>
      </c>
      <c r="P3" s="207" t="s">
        <v>69</v>
      </c>
      <c r="Q3" s="207" t="s">
        <v>69</v>
      </c>
      <c r="R3" s="207">
        <v>10</v>
      </c>
      <c r="S3" s="221" t="s">
        <v>191</v>
      </c>
      <c r="T3" s="213" t="s">
        <v>188</v>
      </c>
      <c r="U3" s="212" t="s">
        <v>183</v>
      </c>
      <c r="V3" s="209" t="s">
        <v>189</v>
      </c>
      <c r="W3" s="214" t="s">
        <v>190</v>
      </c>
      <c r="X3" s="382">
        <v>1</v>
      </c>
      <c r="Y3" s="382">
        <v>0</v>
      </c>
      <c r="Z3" s="382">
        <v>0</v>
      </c>
      <c r="AA3" s="383">
        <v>1</v>
      </c>
      <c r="AB3" s="382">
        <v>0</v>
      </c>
      <c r="AC3" s="382">
        <v>0</v>
      </c>
      <c r="AD3" s="382">
        <v>0</v>
      </c>
      <c r="AE3" s="383">
        <v>0</v>
      </c>
      <c r="AF3" s="382">
        <v>0</v>
      </c>
      <c r="AG3" s="382">
        <v>0</v>
      </c>
      <c r="AH3" s="382">
        <v>0</v>
      </c>
      <c r="AI3" s="383">
        <v>0</v>
      </c>
      <c r="AJ3" s="382">
        <v>1</v>
      </c>
      <c r="AK3" s="382">
        <v>0</v>
      </c>
      <c r="AL3" s="382">
        <v>0</v>
      </c>
      <c r="AM3" s="383">
        <v>1</v>
      </c>
    </row>
    <row r="4" spans="1:39" ht="14.95" customHeight="1" thickBot="1" x14ac:dyDescent="0.35">
      <c r="A4" s="367" t="s">
        <v>131</v>
      </c>
      <c r="B4" s="178" t="s">
        <v>180</v>
      </c>
      <c r="C4" s="178" t="s">
        <v>74</v>
      </c>
      <c r="D4" s="178" t="s">
        <v>132</v>
      </c>
      <c r="E4" s="179" t="s">
        <v>1</v>
      </c>
      <c r="F4" s="179">
        <v>35</v>
      </c>
      <c r="G4" s="179">
        <v>20</v>
      </c>
      <c r="H4" s="179" t="s">
        <v>69</v>
      </c>
      <c r="I4" s="179" t="s">
        <v>69</v>
      </c>
      <c r="J4" s="179">
        <v>6</v>
      </c>
      <c r="K4" s="179">
        <v>1</v>
      </c>
      <c r="L4" s="179">
        <v>0</v>
      </c>
      <c r="M4" s="179">
        <v>1</v>
      </c>
      <c r="N4" s="179">
        <v>1</v>
      </c>
      <c r="O4" s="179">
        <v>0</v>
      </c>
      <c r="P4" s="179" t="s">
        <v>69</v>
      </c>
      <c r="Q4" s="179" t="s">
        <v>69</v>
      </c>
      <c r="R4" s="179">
        <v>3</v>
      </c>
      <c r="S4" s="184" t="s">
        <v>199</v>
      </c>
      <c r="T4" s="185" t="s">
        <v>157</v>
      </c>
      <c r="U4" s="183" t="s">
        <v>195</v>
      </c>
      <c r="V4" s="180" t="s">
        <v>165</v>
      </c>
      <c r="W4" s="186" t="s">
        <v>200</v>
      </c>
      <c r="X4" s="368">
        <v>1</v>
      </c>
      <c r="Y4" s="368">
        <v>1</v>
      </c>
      <c r="Z4" s="368">
        <v>0</v>
      </c>
      <c r="AA4" s="369">
        <v>0</v>
      </c>
      <c r="AB4" s="368">
        <v>0</v>
      </c>
      <c r="AC4" s="368">
        <v>0</v>
      </c>
      <c r="AD4" s="368">
        <v>0</v>
      </c>
      <c r="AE4" s="369">
        <v>0</v>
      </c>
      <c r="AF4" s="368">
        <v>1</v>
      </c>
      <c r="AG4" s="368">
        <v>1</v>
      </c>
      <c r="AH4" s="368">
        <v>0</v>
      </c>
      <c r="AI4" s="369">
        <v>0</v>
      </c>
      <c r="AJ4" s="368">
        <v>0</v>
      </c>
      <c r="AK4" s="368">
        <v>0</v>
      </c>
      <c r="AL4" s="368">
        <v>0</v>
      </c>
      <c r="AM4" s="369">
        <v>0</v>
      </c>
    </row>
    <row r="5" spans="1:39" ht="14.95" customHeight="1" thickBot="1" x14ac:dyDescent="0.35">
      <c r="A5" s="210" t="s">
        <v>279</v>
      </c>
      <c r="B5" s="211" t="s">
        <v>294</v>
      </c>
      <c r="C5" s="211" t="s">
        <v>286</v>
      </c>
      <c r="D5" s="211" t="s">
        <v>290</v>
      </c>
      <c r="E5" s="207" t="s">
        <v>1</v>
      </c>
      <c r="F5" s="207">
        <v>87</v>
      </c>
      <c r="G5" s="207">
        <v>0</v>
      </c>
      <c r="H5" s="207">
        <v>1</v>
      </c>
      <c r="I5" s="207">
        <v>0</v>
      </c>
      <c r="J5" s="207">
        <v>15</v>
      </c>
      <c r="K5" s="207">
        <v>5</v>
      </c>
      <c r="L5" s="207">
        <v>0</v>
      </c>
      <c r="M5" s="207">
        <v>0</v>
      </c>
      <c r="N5" s="207">
        <v>0</v>
      </c>
      <c r="O5" s="207">
        <v>0</v>
      </c>
      <c r="P5" s="207">
        <v>0</v>
      </c>
      <c r="Q5" s="207">
        <v>0</v>
      </c>
      <c r="R5" s="207">
        <v>0</v>
      </c>
      <c r="S5" s="215" t="s">
        <v>292</v>
      </c>
      <c r="T5" s="213" t="s">
        <v>293</v>
      </c>
      <c r="U5" s="212"/>
      <c r="V5" s="209"/>
      <c r="W5" s="214"/>
      <c r="X5" s="147">
        <v>1</v>
      </c>
      <c r="Y5" s="147">
        <v>1</v>
      </c>
      <c r="Z5" s="147">
        <v>0</v>
      </c>
      <c r="AA5" s="208">
        <v>0</v>
      </c>
      <c r="AB5" s="147">
        <v>0</v>
      </c>
      <c r="AC5" s="147">
        <v>0</v>
      </c>
      <c r="AD5" s="147">
        <v>0</v>
      </c>
      <c r="AE5" s="208">
        <v>0</v>
      </c>
      <c r="AF5" s="147">
        <v>0</v>
      </c>
      <c r="AG5" s="147">
        <v>0</v>
      </c>
      <c r="AH5" s="147">
        <v>0</v>
      </c>
      <c r="AI5" s="208">
        <v>0</v>
      </c>
      <c r="AJ5" s="147">
        <v>1</v>
      </c>
      <c r="AK5" s="147">
        <v>1</v>
      </c>
      <c r="AL5" s="147">
        <v>0</v>
      </c>
      <c r="AM5" s="208">
        <v>0</v>
      </c>
    </row>
    <row r="6" spans="1:39" ht="14.95" customHeight="1" thickBot="1" x14ac:dyDescent="0.35">
      <c r="A6" s="210" t="s">
        <v>388</v>
      </c>
      <c r="B6" s="211" t="s">
        <v>294</v>
      </c>
      <c r="C6" s="211" t="s">
        <v>295</v>
      </c>
      <c r="D6" s="211" t="s">
        <v>290</v>
      </c>
      <c r="E6" s="207" t="s">
        <v>1</v>
      </c>
      <c r="F6" s="207">
        <v>48</v>
      </c>
      <c r="G6" s="207">
        <v>0</v>
      </c>
      <c r="H6" s="207">
        <v>1</v>
      </c>
      <c r="I6" s="207">
        <v>0</v>
      </c>
      <c r="J6" s="207">
        <v>8</v>
      </c>
      <c r="K6" s="207">
        <v>4</v>
      </c>
      <c r="L6" s="207">
        <v>0</v>
      </c>
      <c r="M6" s="207">
        <v>0</v>
      </c>
      <c r="N6" s="207">
        <v>3</v>
      </c>
      <c r="O6" s="207">
        <v>0</v>
      </c>
      <c r="P6" s="207">
        <v>0</v>
      </c>
      <c r="Q6" s="207">
        <v>0</v>
      </c>
      <c r="R6" s="207">
        <v>0</v>
      </c>
      <c r="S6" s="215" t="s">
        <v>300</v>
      </c>
      <c r="T6" s="213" t="s">
        <v>268</v>
      </c>
      <c r="U6" s="212"/>
      <c r="V6" s="209"/>
      <c r="W6" s="214"/>
      <c r="X6" s="147">
        <v>1</v>
      </c>
      <c r="Y6" s="147">
        <v>1</v>
      </c>
      <c r="Z6" s="147">
        <v>0</v>
      </c>
      <c r="AA6" s="208">
        <v>0</v>
      </c>
      <c r="AB6" s="147">
        <v>0</v>
      </c>
      <c r="AC6" s="147">
        <v>0</v>
      </c>
      <c r="AD6" s="147">
        <v>0</v>
      </c>
      <c r="AE6" s="208">
        <v>0</v>
      </c>
      <c r="AF6" s="147">
        <v>0</v>
      </c>
      <c r="AG6" s="147">
        <v>0</v>
      </c>
      <c r="AH6" s="147">
        <v>0</v>
      </c>
      <c r="AI6" s="208">
        <v>0</v>
      </c>
      <c r="AJ6" s="147">
        <v>1</v>
      </c>
      <c r="AK6" s="147">
        <v>1</v>
      </c>
      <c r="AL6" s="147">
        <v>0</v>
      </c>
      <c r="AM6" s="208">
        <v>0</v>
      </c>
    </row>
    <row r="7" spans="1:39" ht="14.95" customHeight="1" thickBot="1" x14ac:dyDescent="0.35">
      <c r="A7" s="176" t="s">
        <v>387</v>
      </c>
      <c r="B7" s="178" t="s">
        <v>294</v>
      </c>
      <c r="C7" s="178" t="s">
        <v>296</v>
      </c>
      <c r="D7" s="178" t="s">
        <v>290</v>
      </c>
      <c r="E7" s="179" t="s">
        <v>1</v>
      </c>
      <c r="F7" s="179">
        <v>79</v>
      </c>
      <c r="G7" s="179">
        <v>8</v>
      </c>
      <c r="H7" s="179">
        <v>1</v>
      </c>
      <c r="I7" s="179">
        <v>0</v>
      </c>
      <c r="J7" s="179">
        <v>13</v>
      </c>
      <c r="K7" s="179">
        <v>7</v>
      </c>
      <c r="L7" s="179">
        <v>0</v>
      </c>
      <c r="M7" s="179">
        <v>0</v>
      </c>
      <c r="N7" s="179">
        <v>0</v>
      </c>
      <c r="O7" s="179">
        <v>0</v>
      </c>
      <c r="P7" s="179">
        <v>0</v>
      </c>
      <c r="Q7" s="179">
        <v>0</v>
      </c>
      <c r="R7" s="179">
        <v>1</v>
      </c>
      <c r="S7" s="184" t="s">
        <v>314</v>
      </c>
      <c r="T7" s="185" t="s">
        <v>157</v>
      </c>
      <c r="U7" s="183"/>
      <c r="V7" s="185"/>
      <c r="W7" s="180"/>
      <c r="X7" s="181">
        <v>1</v>
      </c>
      <c r="Y7" s="181">
        <v>1</v>
      </c>
      <c r="Z7" s="181">
        <v>0</v>
      </c>
      <c r="AA7" s="182">
        <v>0</v>
      </c>
      <c r="AB7" s="181">
        <v>0</v>
      </c>
      <c r="AC7" s="181">
        <v>0</v>
      </c>
      <c r="AD7" s="181">
        <v>0</v>
      </c>
      <c r="AE7" s="182">
        <v>0</v>
      </c>
      <c r="AF7" s="181">
        <v>1</v>
      </c>
      <c r="AG7" s="181">
        <v>1</v>
      </c>
      <c r="AH7" s="181">
        <v>0</v>
      </c>
      <c r="AI7" s="182">
        <v>0</v>
      </c>
      <c r="AJ7" s="181">
        <v>0</v>
      </c>
      <c r="AK7" s="181">
        <v>0</v>
      </c>
      <c r="AL7" s="181">
        <v>0</v>
      </c>
      <c r="AM7" s="182">
        <v>0</v>
      </c>
    </row>
    <row r="8" spans="1:39" ht="14.95" customHeight="1" thickBot="1" x14ac:dyDescent="0.35">
      <c r="A8" s="191" t="s">
        <v>382</v>
      </c>
      <c r="B8" s="192" t="s">
        <v>180</v>
      </c>
      <c r="C8" s="192" t="s">
        <v>295</v>
      </c>
      <c r="D8" s="192" t="s">
        <v>389</v>
      </c>
      <c r="E8" s="193" t="s">
        <v>1</v>
      </c>
      <c r="F8" s="193">
        <v>77</v>
      </c>
      <c r="G8" s="193">
        <v>12</v>
      </c>
      <c r="H8" s="193" t="s">
        <v>69</v>
      </c>
      <c r="I8" s="193" t="s">
        <v>69</v>
      </c>
      <c r="J8" s="193">
        <v>13</v>
      </c>
      <c r="K8" s="193">
        <v>6</v>
      </c>
      <c r="L8" s="193">
        <v>0</v>
      </c>
      <c r="M8" s="193">
        <v>0</v>
      </c>
      <c r="N8" s="193">
        <v>1</v>
      </c>
      <c r="O8" s="193">
        <v>0</v>
      </c>
      <c r="P8" s="193" t="s">
        <v>69</v>
      </c>
      <c r="Q8" s="193" t="s">
        <v>69</v>
      </c>
      <c r="R8" s="193">
        <v>2</v>
      </c>
      <c r="S8" s="203" t="s">
        <v>390</v>
      </c>
      <c r="T8" s="196" t="s">
        <v>155</v>
      </c>
      <c r="U8" s="194" t="s">
        <v>391</v>
      </c>
      <c r="V8" s="197" t="s">
        <v>392</v>
      </c>
      <c r="W8" s="198" t="s">
        <v>393</v>
      </c>
      <c r="X8" s="199">
        <v>1</v>
      </c>
      <c r="Y8" s="199">
        <v>1</v>
      </c>
      <c r="Z8" s="199">
        <v>0</v>
      </c>
      <c r="AA8" s="200">
        <v>0</v>
      </c>
      <c r="AB8" s="199">
        <v>1</v>
      </c>
      <c r="AC8" s="199">
        <v>1</v>
      </c>
      <c r="AD8" s="199">
        <v>0</v>
      </c>
      <c r="AE8" s="200">
        <v>0</v>
      </c>
      <c r="AF8" s="199">
        <v>0</v>
      </c>
      <c r="AG8" s="199">
        <v>0</v>
      </c>
      <c r="AH8" s="199">
        <v>0</v>
      </c>
      <c r="AI8" s="200">
        <v>0</v>
      </c>
      <c r="AJ8" s="199">
        <v>0</v>
      </c>
      <c r="AK8" s="199">
        <v>0</v>
      </c>
      <c r="AL8" s="199">
        <v>0</v>
      </c>
      <c r="AM8" s="200">
        <v>0</v>
      </c>
    </row>
    <row r="9" spans="1:39" ht="14.95" customHeight="1" thickBot="1" x14ac:dyDescent="0.3">
      <c r="A9" s="191" t="s">
        <v>419</v>
      </c>
      <c r="B9" s="192" t="s">
        <v>180</v>
      </c>
      <c r="C9" s="192" t="s">
        <v>308</v>
      </c>
      <c r="D9" s="192" t="s">
        <v>420</v>
      </c>
      <c r="E9" s="193" t="s">
        <v>2</v>
      </c>
      <c r="F9" s="193">
        <v>17</v>
      </c>
      <c r="G9" s="193">
        <v>17</v>
      </c>
      <c r="H9" s="193" t="s">
        <v>69</v>
      </c>
      <c r="I9" s="193" t="s">
        <v>69</v>
      </c>
      <c r="J9" s="193">
        <v>3</v>
      </c>
      <c r="K9" s="193">
        <v>1</v>
      </c>
      <c r="L9" s="193">
        <v>0</v>
      </c>
      <c r="M9" s="193">
        <v>0</v>
      </c>
      <c r="N9" s="193">
        <v>1</v>
      </c>
      <c r="O9" s="193">
        <v>0</v>
      </c>
      <c r="P9" s="193" t="s">
        <v>69</v>
      </c>
      <c r="Q9" s="193" t="s">
        <v>69</v>
      </c>
      <c r="R9" s="193">
        <v>2</v>
      </c>
      <c r="S9" s="326" t="s">
        <v>422</v>
      </c>
      <c r="T9" s="196" t="s">
        <v>157</v>
      </c>
      <c r="U9" s="417" t="s">
        <v>391</v>
      </c>
      <c r="V9" s="194" t="s">
        <v>392</v>
      </c>
      <c r="W9" s="198" t="s">
        <v>393</v>
      </c>
      <c r="X9" s="199">
        <v>1</v>
      </c>
      <c r="Y9" s="199">
        <v>0</v>
      </c>
      <c r="Z9" s="199">
        <v>1</v>
      </c>
      <c r="AA9" s="200">
        <v>0</v>
      </c>
      <c r="AB9" s="199">
        <v>1</v>
      </c>
      <c r="AC9" s="199">
        <v>0</v>
      </c>
      <c r="AD9" s="199">
        <v>1</v>
      </c>
      <c r="AE9" s="200">
        <v>0</v>
      </c>
      <c r="AF9" s="199">
        <v>0</v>
      </c>
      <c r="AG9" s="199">
        <v>0</v>
      </c>
      <c r="AH9" s="199">
        <v>0</v>
      </c>
      <c r="AI9" s="200">
        <v>0</v>
      </c>
      <c r="AJ9" s="199">
        <v>0</v>
      </c>
      <c r="AK9" s="199">
        <v>0</v>
      </c>
      <c r="AL9" s="199">
        <v>0</v>
      </c>
      <c r="AM9" s="200">
        <v>0</v>
      </c>
    </row>
    <row r="10" spans="1:39" ht="14.95" customHeight="1" thickBot="1" x14ac:dyDescent="0.3">
      <c r="A10" s="191" t="s">
        <v>426</v>
      </c>
      <c r="B10" s="192" t="s">
        <v>427</v>
      </c>
      <c r="C10" s="192" t="s">
        <v>34</v>
      </c>
      <c r="D10" s="192" t="s">
        <v>428</v>
      </c>
      <c r="E10" s="193" t="s">
        <v>3</v>
      </c>
      <c r="F10" s="193">
        <v>17</v>
      </c>
      <c r="G10" s="193">
        <v>31</v>
      </c>
      <c r="H10" s="193">
        <v>0</v>
      </c>
      <c r="I10" s="193">
        <v>0</v>
      </c>
      <c r="J10" s="193">
        <v>2</v>
      </c>
      <c r="K10" s="193">
        <v>2</v>
      </c>
      <c r="L10" s="193">
        <v>0</v>
      </c>
      <c r="M10" s="193">
        <v>1</v>
      </c>
      <c r="N10" s="193">
        <v>0</v>
      </c>
      <c r="O10" s="193">
        <v>0</v>
      </c>
      <c r="P10" s="193">
        <v>1</v>
      </c>
      <c r="Q10" s="193">
        <v>0</v>
      </c>
      <c r="R10" s="193">
        <v>5</v>
      </c>
      <c r="S10" s="195" t="s">
        <v>217</v>
      </c>
      <c r="T10" s="196" t="s">
        <v>325</v>
      </c>
      <c r="U10" s="194" t="s">
        <v>218</v>
      </c>
      <c r="V10" s="194" t="s">
        <v>182</v>
      </c>
      <c r="W10" s="198" t="s">
        <v>414</v>
      </c>
      <c r="X10" s="199">
        <v>1</v>
      </c>
      <c r="Y10" s="199">
        <v>0</v>
      </c>
      <c r="Z10" s="199">
        <v>0</v>
      </c>
      <c r="AA10" s="200">
        <v>1</v>
      </c>
      <c r="AB10" s="199">
        <v>1</v>
      </c>
      <c r="AC10" s="199">
        <v>0</v>
      </c>
      <c r="AD10" s="199">
        <v>0</v>
      </c>
      <c r="AE10" s="200">
        <v>1</v>
      </c>
      <c r="AF10" s="199">
        <v>0</v>
      </c>
      <c r="AG10" s="199">
        <v>0</v>
      </c>
      <c r="AH10" s="199">
        <v>0</v>
      </c>
      <c r="AI10" s="200">
        <v>0</v>
      </c>
      <c r="AJ10" s="199">
        <v>0</v>
      </c>
      <c r="AK10" s="199">
        <v>0</v>
      </c>
      <c r="AL10" s="199">
        <v>0</v>
      </c>
      <c r="AM10" s="200">
        <v>0</v>
      </c>
    </row>
    <row r="11" spans="1:39" ht="14.95" customHeight="1" thickBot="1" x14ac:dyDescent="0.3">
      <c r="A11" s="191" t="s">
        <v>435</v>
      </c>
      <c r="B11" s="192" t="s">
        <v>427</v>
      </c>
      <c r="C11" s="192" t="s">
        <v>32</v>
      </c>
      <c r="D11" s="192" t="s">
        <v>496</v>
      </c>
      <c r="E11" s="193" t="s">
        <v>3</v>
      </c>
      <c r="F11" s="193">
        <v>18</v>
      </c>
      <c r="G11" s="193">
        <v>36</v>
      </c>
      <c r="H11" s="193">
        <v>0</v>
      </c>
      <c r="I11" s="193">
        <v>0</v>
      </c>
      <c r="J11" s="193">
        <v>2</v>
      </c>
      <c r="K11" s="193">
        <v>1</v>
      </c>
      <c r="L11" s="193">
        <v>0</v>
      </c>
      <c r="M11" s="193">
        <v>2</v>
      </c>
      <c r="N11" s="193">
        <v>1</v>
      </c>
      <c r="O11" s="193">
        <v>1</v>
      </c>
      <c r="P11" s="193">
        <v>1</v>
      </c>
      <c r="Q11" s="193">
        <v>0</v>
      </c>
      <c r="R11" s="193">
        <v>5</v>
      </c>
      <c r="S11" s="195" t="s">
        <v>502</v>
      </c>
      <c r="T11" s="196" t="s">
        <v>196</v>
      </c>
      <c r="U11" s="194" t="s">
        <v>218</v>
      </c>
      <c r="V11" s="194" t="s">
        <v>188</v>
      </c>
      <c r="W11" s="201" t="s">
        <v>157</v>
      </c>
      <c r="X11" s="199">
        <v>1</v>
      </c>
      <c r="Y11" s="199">
        <v>0</v>
      </c>
      <c r="Z11" s="199">
        <v>0</v>
      </c>
      <c r="AA11" s="200">
        <v>1</v>
      </c>
      <c r="AB11" s="199">
        <v>1</v>
      </c>
      <c r="AC11" s="199">
        <v>0</v>
      </c>
      <c r="AD11" s="199">
        <v>0</v>
      </c>
      <c r="AE11" s="200">
        <v>1</v>
      </c>
      <c r="AF11" s="199">
        <v>0</v>
      </c>
      <c r="AG11" s="199">
        <v>0</v>
      </c>
      <c r="AH11" s="199">
        <v>0</v>
      </c>
      <c r="AI11" s="200">
        <v>0</v>
      </c>
      <c r="AJ11" s="199">
        <v>0</v>
      </c>
      <c r="AK11" s="199">
        <v>0</v>
      </c>
      <c r="AL11" s="199">
        <v>0</v>
      </c>
      <c r="AM11" s="200">
        <v>0</v>
      </c>
    </row>
    <row r="12" spans="1:39" ht="14.95" customHeight="1" thickBot="1" x14ac:dyDescent="0.35">
      <c r="A12" s="191" t="s">
        <v>448</v>
      </c>
      <c r="B12" s="192" t="s">
        <v>427</v>
      </c>
      <c r="C12" s="192" t="s">
        <v>308</v>
      </c>
      <c r="D12" s="192" t="s">
        <v>496</v>
      </c>
      <c r="E12" s="193" t="s">
        <v>1</v>
      </c>
      <c r="F12" s="193">
        <v>33</v>
      </c>
      <c r="G12" s="193">
        <v>7</v>
      </c>
      <c r="H12" s="193">
        <v>1</v>
      </c>
      <c r="I12" s="193">
        <v>0</v>
      </c>
      <c r="J12" s="193">
        <v>5</v>
      </c>
      <c r="K12" s="193">
        <v>4</v>
      </c>
      <c r="L12" s="193">
        <v>0</v>
      </c>
      <c r="M12" s="193">
        <v>0</v>
      </c>
      <c r="N12" s="193">
        <v>0</v>
      </c>
      <c r="O12" s="193">
        <v>0</v>
      </c>
      <c r="P12" s="193">
        <v>0</v>
      </c>
      <c r="Q12" s="193">
        <v>0</v>
      </c>
      <c r="R12" s="193">
        <v>1</v>
      </c>
      <c r="S12" s="203" t="s">
        <v>162</v>
      </c>
      <c r="T12" s="194" t="s">
        <v>182</v>
      </c>
      <c r="U12" s="194" t="s">
        <v>218</v>
      </c>
      <c r="V12" s="196" t="s">
        <v>196</v>
      </c>
      <c r="W12" s="194" t="s">
        <v>157</v>
      </c>
      <c r="X12" s="199">
        <v>1</v>
      </c>
      <c r="Y12" s="199">
        <v>1</v>
      </c>
      <c r="Z12" s="199">
        <v>0</v>
      </c>
      <c r="AA12" s="200">
        <v>0</v>
      </c>
      <c r="AB12" s="199">
        <v>1</v>
      </c>
      <c r="AC12" s="199">
        <v>1</v>
      </c>
      <c r="AD12" s="199">
        <v>0</v>
      </c>
      <c r="AE12" s="200">
        <v>0</v>
      </c>
      <c r="AF12" s="199">
        <v>0</v>
      </c>
      <c r="AG12" s="199">
        <v>0</v>
      </c>
      <c r="AH12" s="199">
        <v>0</v>
      </c>
      <c r="AI12" s="200">
        <v>0</v>
      </c>
      <c r="AJ12" s="199">
        <v>0</v>
      </c>
      <c r="AK12" s="199">
        <v>0</v>
      </c>
      <c r="AL12" s="199">
        <v>0</v>
      </c>
      <c r="AM12" s="200">
        <v>0</v>
      </c>
    </row>
    <row r="13" spans="1:39" ht="14.95" customHeight="1" thickBot="1" x14ac:dyDescent="0.3">
      <c r="A13" s="117"/>
      <c r="B13" s="118"/>
      <c r="C13" s="519" t="s">
        <v>78</v>
      </c>
      <c r="D13" s="520"/>
      <c r="E13" s="521"/>
      <c r="F13" s="225">
        <f>SUM(F3+F4+F8+F9)</f>
        <v>136</v>
      </c>
      <c r="G13" s="225">
        <f>SUM(G3+G4+G8+G9)</f>
        <v>115</v>
      </c>
      <c r="H13" s="225" t="s">
        <v>69</v>
      </c>
      <c r="I13" s="225" t="s">
        <v>69</v>
      </c>
      <c r="J13" s="225">
        <f t="shared" ref="J13:O13" si="0">SUM(J3+J4+J8+J9)</f>
        <v>23</v>
      </c>
      <c r="K13" s="225">
        <f t="shared" si="0"/>
        <v>9</v>
      </c>
      <c r="L13" s="225">
        <f t="shared" si="0"/>
        <v>0</v>
      </c>
      <c r="M13" s="225">
        <f t="shared" si="0"/>
        <v>1</v>
      </c>
      <c r="N13" s="225">
        <f t="shared" si="0"/>
        <v>3</v>
      </c>
      <c r="O13" s="225">
        <f t="shared" si="0"/>
        <v>1</v>
      </c>
      <c r="P13" s="225" t="s">
        <v>69</v>
      </c>
      <c r="Q13" s="225" t="s">
        <v>69</v>
      </c>
      <c r="R13" s="225">
        <f>SUM(R3+R4+R8+R9)</f>
        <v>17</v>
      </c>
      <c r="S13" s="231"/>
      <c r="T13" s="231"/>
      <c r="U13" s="231"/>
      <c r="V13" s="223"/>
      <c r="W13" s="230" t="s">
        <v>78</v>
      </c>
      <c r="X13" s="225">
        <f t="shared" ref="X13:AM13" si="1">SUM(X3+X4+X8+X9)</f>
        <v>4</v>
      </c>
      <c r="Y13" s="225">
        <f t="shared" si="1"/>
        <v>2</v>
      </c>
      <c r="Z13" s="225">
        <f t="shared" si="1"/>
        <v>1</v>
      </c>
      <c r="AA13" s="225">
        <f t="shared" si="1"/>
        <v>1</v>
      </c>
      <c r="AB13" s="226">
        <f t="shared" si="1"/>
        <v>2</v>
      </c>
      <c r="AC13" s="226">
        <f t="shared" si="1"/>
        <v>1</v>
      </c>
      <c r="AD13" s="226">
        <f t="shared" si="1"/>
        <v>1</v>
      </c>
      <c r="AE13" s="226">
        <f t="shared" si="1"/>
        <v>0</v>
      </c>
      <c r="AF13" s="227">
        <f t="shared" si="1"/>
        <v>1</v>
      </c>
      <c r="AG13" s="227">
        <f t="shared" si="1"/>
        <v>1</v>
      </c>
      <c r="AH13" s="227">
        <f t="shared" si="1"/>
        <v>0</v>
      </c>
      <c r="AI13" s="227">
        <f t="shared" si="1"/>
        <v>0</v>
      </c>
      <c r="AJ13" s="225">
        <f t="shared" si="1"/>
        <v>1</v>
      </c>
      <c r="AK13" s="225">
        <f t="shared" si="1"/>
        <v>0</v>
      </c>
      <c r="AL13" s="225">
        <f t="shared" si="1"/>
        <v>0</v>
      </c>
      <c r="AM13" s="225">
        <f t="shared" si="1"/>
        <v>1</v>
      </c>
    </row>
    <row r="14" spans="1:39" ht="14.95" thickBot="1" x14ac:dyDescent="0.3">
      <c r="A14" s="117"/>
      <c r="B14" s="118"/>
      <c r="C14" s="645" t="s">
        <v>104</v>
      </c>
      <c r="D14" s="646"/>
      <c r="E14" s="647"/>
      <c r="F14" s="343">
        <f>SUM(F5:F7)</f>
        <v>214</v>
      </c>
      <c r="G14" s="343">
        <f t="shared" ref="G14:R14" si="2">SUM(G5:G7)</f>
        <v>8</v>
      </c>
      <c r="H14" s="343">
        <f t="shared" si="2"/>
        <v>3</v>
      </c>
      <c r="I14" s="343">
        <f t="shared" si="2"/>
        <v>0</v>
      </c>
      <c r="J14" s="343">
        <f t="shared" si="2"/>
        <v>36</v>
      </c>
      <c r="K14" s="343">
        <f t="shared" si="2"/>
        <v>16</v>
      </c>
      <c r="L14" s="343">
        <f t="shared" si="2"/>
        <v>0</v>
      </c>
      <c r="M14" s="343">
        <f t="shared" si="2"/>
        <v>0</v>
      </c>
      <c r="N14" s="343">
        <f t="shared" si="2"/>
        <v>3</v>
      </c>
      <c r="O14" s="343">
        <f t="shared" si="2"/>
        <v>0</v>
      </c>
      <c r="P14" s="343">
        <f t="shared" si="2"/>
        <v>0</v>
      </c>
      <c r="Q14" s="343">
        <f t="shared" si="2"/>
        <v>0</v>
      </c>
      <c r="R14" s="343">
        <f t="shared" si="2"/>
        <v>1</v>
      </c>
      <c r="S14" s="344"/>
      <c r="T14" s="344"/>
      <c r="U14" s="344"/>
      <c r="V14" s="345"/>
      <c r="W14" s="346" t="s">
        <v>104</v>
      </c>
      <c r="X14" s="343">
        <f t="shared" ref="X14:AM14" si="3">SUM(X5:X7)</f>
        <v>3</v>
      </c>
      <c r="Y14" s="343">
        <f t="shared" si="3"/>
        <v>3</v>
      </c>
      <c r="Z14" s="343">
        <f t="shared" si="3"/>
        <v>0</v>
      </c>
      <c r="AA14" s="343">
        <f t="shared" si="3"/>
        <v>0</v>
      </c>
      <c r="AB14" s="347">
        <f t="shared" si="3"/>
        <v>0</v>
      </c>
      <c r="AC14" s="347">
        <f t="shared" si="3"/>
        <v>0</v>
      </c>
      <c r="AD14" s="347">
        <f t="shared" si="3"/>
        <v>0</v>
      </c>
      <c r="AE14" s="347">
        <f t="shared" si="3"/>
        <v>0</v>
      </c>
      <c r="AF14" s="348">
        <f t="shared" si="3"/>
        <v>1</v>
      </c>
      <c r="AG14" s="348">
        <f t="shared" si="3"/>
        <v>1</v>
      </c>
      <c r="AH14" s="348">
        <f t="shared" si="3"/>
        <v>0</v>
      </c>
      <c r="AI14" s="348">
        <f t="shared" si="3"/>
        <v>0</v>
      </c>
      <c r="AJ14" s="343">
        <f t="shared" si="3"/>
        <v>2</v>
      </c>
      <c r="AK14" s="343">
        <f t="shared" si="3"/>
        <v>2</v>
      </c>
      <c r="AL14" s="343">
        <f t="shared" si="3"/>
        <v>0</v>
      </c>
      <c r="AM14" s="343">
        <f t="shared" si="3"/>
        <v>0</v>
      </c>
    </row>
    <row r="15" spans="1:39" ht="14.95" thickBot="1" x14ac:dyDescent="0.3">
      <c r="A15" s="117"/>
      <c r="B15" s="118"/>
      <c r="C15" s="409" t="s">
        <v>427</v>
      </c>
      <c r="D15" s="410"/>
      <c r="E15" s="411"/>
      <c r="F15" s="430">
        <f>SUM(F10:F12)</f>
        <v>68</v>
      </c>
      <c r="G15" s="430">
        <f t="shared" ref="G15:R15" si="4">SUM(G10:G12)</f>
        <v>74</v>
      </c>
      <c r="H15" s="430">
        <f t="shared" si="4"/>
        <v>1</v>
      </c>
      <c r="I15" s="430">
        <f t="shared" si="4"/>
        <v>0</v>
      </c>
      <c r="J15" s="430">
        <f t="shared" si="4"/>
        <v>9</v>
      </c>
      <c r="K15" s="430">
        <f t="shared" si="4"/>
        <v>7</v>
      </c>
      <c r="L15" s="430">
        <f t="shared" si="4"/>
        <v>0</v>
      </c>
      <c r="M15" s="430">
        <f t="shared" si="4"/>
        <v>3</v>
      </c>
      <c r="N15" s="430">
        <f t="shared" si="4"/>
        <v>1</v>
      </c>
      <c r="O15" s="430">
        <f t="shared" si="4"/>
        <v>1</v>
      </c>
      <c r="P15" s="430">
        <f t="shared" si="4"/>
        <v>2</v>
      </c>
      <c r="Q15" s="430">
        <f t="shared" si="4"/>
        <v>0</v>
      </c>
      <c r="R15" s="430">
        <f t="shared" si="4"/>
        <v>11</v>
      </c>
      <c r="S15" s="365"/>
      <c r="T15" s="365"/>
      <c r="U15" s="365"/>
      <c r="V15" s="365"/>
      <c r="W15" s="150" t="s">
        <v>427</v>
      </c>
      <c r="X15" s="430">
        <f t="shared" ref="X15:AM15" si="5">SUM(X10:X12)</f>
        <v>3</v>
      </c>
      <c r="Y15" s="430">
        <f t="shared" si="5"/>
        <v>1</v>
      </c>
      <c r="Z15" s="430">
        <f t="shared" si="5"/>
        <v>0</v>
      </c>
      <c r="AA15" s="430">
        <f t="shared" si="5"/>
        <v>2</v>
      </c>
      <c r="AB15" s="432">
        <f t="shared" si="5"/>
        <v>3</v>
      </c>
      <c r="AC15" s="432">
        <f t="shared" si="5"/>
        <v>1</v>
      </c>
      <c r="AD15" s="432">
        <f t="shared" si="5"/>
        <v>0</v>
      </c>
      <c r="AE15" s="432">
        <f t="shared" si="5"/>
        <v>2</v>
      </c>
      <c r="AF15" s="433">
        <f t="shared" si="5"/>
        <v>0</v>
      </c>
      <c r="AG15" s="433">
        <f t="shared" si="5"/>
        <v>0</v>
      </c>
      <c r="AH15" s="433">
        <f t="shared" si="5"/>
        <v>0</v>
      </c>
      <c r="AI15" s="433">
        <f t="shared" si="5"/>
        <v>0</v>
      </c>
      <c r="AJ15" s="430">
        <f t="shared" si="5"/>
        <v>0</v>
      </c>
      <c r="AK15" s="430">
        <f t="shared" si="5"/>
        <v>0</v>
      </c>
      <c r="AL15" s="430">
        <f t="shared" si="5"/>
        <v>0</v>
      </c>
      <c r="AM15" s="430">
        <f t="shared" si="5"/>
        <v>0</v>
      </c>
    </row>
    <row r="16" spans="1:39" ht="14.95" thickBot="1" x14ac:dyDescent="0.3">
      <c r="A16" s="117"/>
      <c r="B16" s="118"/>
      <c r="C16" s="515" t="s">
        <v>70</v>
      </c>
      <c r="D16" s="516"/>
      <c r="E16" s="517"/>
      <c r="F16" s="142">
        <f t="shared" ref="F16:R16" si="6">SUM(F3:F12)</f>
        <v>418</v>
      </c>
      <c r="G16" s="142">
        <f t="shared" si="6"/>
        <v>197</v>
      </c>
      <c r="H16" s="142">
        <f t="shared" si="6"/>
        <v>4</v>
      </c>
      <c r="I16" s="142">
        <f t="shared" si="6"/>
        <v>0</v>
      </c>
      <c r="J16" s="142">
        <f t="shared" si="6"/>
        <v>68</v>
      </c>
      <c r="K16" s="142">
        <f t="shared" si="6"/>
        <v>32</v>
      </c>
      <c r="L16" s="142">
        <f t="shared" si="6"/>
        <v>0</v>
      </c>
      <c r="M16" s="142">
        <f t="shared" si="6"/>
        <v>4</v>
      </c>
      <c r="N16" s="142">
        <f t="shared" si="6"/>
        <v>7</v>
      </c>
      <c r="O16" s="142">
        <f t="shared" si="6"/>
        <v>2</v>
      </c>
      <c r="P16" s="142">
        <f t="shared" si="6"/>
        <v>2</v>
      </c>
      <c r="Q16" s="142">
        <f t="shared" si="6"/>
        <v>0</v>
      </c>
      <c r="R16" s="142">
        <f t="shared" si="6"/>
        <v>29</v>
      </c>
      <c r="S16" s="220"/>
      <c r="T16" s="220"/>
      <c r="U16" s="220"/>
      <c r="V16" s="12"/>
      <c r="W16" s="147" t="s">
        <v>70</v>
      </c>
      <c r="X16" s="142">
        <f t="shared" ref="X16:AM16" si="7">SUM(X3:X12)</f>
        <v>10</v>
      </c>
      <c r="Y16" s="142">
        <f t="shared" si="7"/>
        <v>6</v>
      </c>
      <c r="Z16" s="142">
        <f t="shared" si="7"/>
        <v>1</v>
      </c>
      <c r="AA16" s="142">
        <f t="shared" si="7"/>
        <v>3</v>
      </c>
      <c r="AB16" s="140">
        <f t="shared" si="7"/>
        <v>5</v>
      </c>
      <c r="AC16" s="140">
        <f t="shared" si="7"/>
        <v>2</v>
      </c>
      <c r="AD16" s="140">
        <f t="shared" si="7"/>
        <v>1</v>
      </c>
      <c r="AE16" s="140">
        <f t="shared" si="7"/>
        <v>2</v>
      </c>
      <c r="AF16" s="141">
        <f t="shared" si="7"/>
        <v>2</v>
      </c>
      <c r="AG16" s="141">
        <f t="shared" si="7"/>
        <v>2</v>
      </c>
      <c r="AH16" s="141">
        <f t="shared" si="7"/>
        <v>0</v>
      </c>
      <c r="AI16" s="141">
        <f t="shared" si="7"/>
        <v>0</v>
      </c>
      <c r="AJ16" s="142">
        <f t="shared" si="7"/>
        <v>3</v>
      </c>
      <c r="AK16" s="142">
        <f t="shared" si="7"/>
        <v>2</v>
      </c>
      <c r="AL16" s="142">
        <f t="shared" si="7"/>
        <v>0</v>
      </c>
      <c r="AM16" s="142">
        <f t="shared" si="7"/>
        <v>1</v>
      </c>
    </row>
    <row r="17" spans="1:39" x14ac:dyDescent="0.25">
      <c r="A17" s="518" t="s">
        <v>130</v>
      </c>
      <c r="B17" s="490"/>
      <c r="C17" s="490"/>
      <c r="D17" s="490"/>
      <c r="E17" s="490"/>
      <c r="F17" s="490"/>
      <c r="G17" s="490"/>
      <c r="H17" s="490"/>
      <c r="I17" s="490"/>
      <c r="J17" s="490"/>
      <c r="K17" s="490"/>
      <c r="L17" s="490"/>
      <c r="M17" s="490"/>
      <c r="N17" s="490"/>
      <c r="O17" s="490"/>
      <c r="P17" s="490"/>
      <c r="Q17" s="490"/>
      <c r="R17" s="490"/>
      <c r="S17" s="490"/>
      <c r="T17" s="490"/>
      <c r="U17" s="490"/>
      <c r="V17" s="490"/>
      <c r="W17" s="490"/>
      <c r="X17" s="490"/>
      <c r="Y17" s="490"/>
      <c r="Z17" s="490"/>
      <c r="AA17" s="490"/>
      <c r="AB17" s="490"/>
      <c r="AC17" s="490"/>
      <c r="AD17" s="490"/>
      <c r="AE17" s="490"/>
      <c r="AF17" s="490"/>
      <c r="AG17" s="490"/>
      <c r="AH17" s="490"/>
      <c r="AI17" s="490"/>
      <c r="AJ17" s="490"/>
      <c r="AK17" s="490"/>
      <c r="AL17" s="490"/>
      <c r="AM17" s="490"/>
    </row>
    <row r="18" spans="1:39" x14ac:dyDescent="0.25">
      <c r="A18" s="237" t="s">
        <v>133</v>
      </c>
    </row>
    <row r="19" spans="1:39" x14ac:dyDescent="0.25">
      <c r="A19" s="237" t="s">
        <v>291</v>
      </c>
    </row>
    <row r="20" spans="1:39" x14ac:dyDescent="0.25">
      <c r="A20" t="s">
        <v>421</v>
      </c>
    </row>
    <row r="21" spans="1:39" x14ac:dyDescent="0.25">
      <c r="A21" t="s">
        <v>503</v>
      </c>
    </row>
    <row r="23" spans="1:39" x14ac:dyDescent="0.25">
      <c r="A23" t="s">
        <v>77</v>
      </c>
    </row>
    <row r="24" spans="1:39" x14ac:dyDescent="0.25">
      <c r="A24" s="440"/>
      <c r="B24" s="73" t="s">
        <v>40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</row>
    <row r="25" spans="1:39" x14ac:dyDescent="0.25">
      <c r="A25" s="441"/>
      <c r="B25" s="73" t="s">
        <v>38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</row>
    <row r="26" spans="1:39" x14ac:dyDescent="0.25">
      <c r="A26" s="442"/>
      <c r="B26" s="73" t="s">
        <v>39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</row>
    <row r="27" spans="1:39" x14ac:dyDescent="0.25">
      <c r="A27" s="237" t="s">
        <v>28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</row>
  </sheetData>
  <mergeCells count="14">
    <mergeCell ref="C14:E14"/>
    <mergeCell ref="A17:AM17"/>
    <mergeCell ref="C16:E16"/>
    <mergeCell ref="X1:AA1"/>
    <mergeCell ref="AB1:AE1"/>
    <mergeCell ref="AF1:AI1"/>
    <mergeCell ref="AJ1:AM1"/>
    <mergeCell ref="C13:E13"/>
    <mergeCell ref="A1:C1"/>
    <mergeCell ref="E1:G1"/>
    <mergeCell ref="H1:I1"/>
    <mergeCell ref="J1:M1"/>
    <mergeCell ref="N1:O1"/>
    <mergeCell ref="P1:R1"/>
  </mergeCells>
  <pageMargins left="0.7" right="0.7" top="0.75" bottom="0.75" header="0.3" footer="0.3"/>
  <pageSetup paperSize="9" orientation="portrait" r:id="rId1"/>
  <ignoredErrors>
    <ignoredError sqref="F14:AN14 F15:V15 W15 X15:AM15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065B5-95D2-4F6D-AFF2-D00FED6BEEF6}">
  <dimension ref="A1:AM25"/>
  <sheetViews>
    <sheetView zoomScaleNormal="100" workbookViewId="0">
      <selection activeCell="T22" sqref="T22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125" customWidth="1"/>
    <col min="5" max="6" width="3.75" customWidth="1"/>
    <col min="7" max="7" width="4" bestFit="1" customWidth="1"/>
    <col min="8" max="18" width="3.75" customWidth="1"/>
    <col min="19" max="19" width="6.25" customWidth="1"/>
    <col min="20" max="20" width="22.75" bestFit="1" customWidth="1"/>
    <col min="21" max="21" width="24.125" bestFit="1" customWidth="1"/>
    <col min="22" max="22" width="22.125" bestFit="1" customWidth="1"/>
    <col min="23" max="23" width="20" bestFit="1" customWidth="1"/>
    <col min="24" max="39" width="3.75" customWidth="1"/>
  </cols>
  <sheetData>
    <row r="1" spans="1:39" ht="14.95" thickBot="1" x14ac:dyDescent="0.3">
      <c r="A1" s="585" t="s">
        <v>128</v>
      </c>
      <c r="B1" s="586"/>
      <c r="C1" s="586"/>
      <c r="D1" s="308"/>
      <c r="E1" s="587" t="s">
        <v>24</v>
      </c>
      <c r="F1" s="588"/>
      <c r="G1" s="589"/>
      <c r="H1" s="587" t="s">
        <v>76</v>
      </c>
      <c r="I1" s="589"/>
      <c r="J1" s="582" t="s">
        <v>6</v>
      </c>
      <c r="K1" s="584"/>
      <c r="L1" s="584"/>
      <c r="M1" s="583"/>
      <c r="N1" s="582" t="s">
        <v>7</v>
      </c>
      <c r="O1" s="583"/>
      <c r="P1" s="582" t="s">
        <v>25</v>
      </c>
      <c r="Q1" s="584"/>
      <c r="R1" s="583"/>
      <c r="S1" s="143" t="s">
        <v>9</v>
      </c>
      <c r="T1" s="75" t="s">
        <v>10</v>
      </c>
      <c r="U1" s="75" t="s">
        <v>11</v>
      </c>
      <c r="V1" s="75" t="s">
        <v>26</v>
      </c>
      <c r="W1" s="75" t="s">
        <v>27</v>
      </c>
      <c r="X1" s="579" t="s">
        <v>20</v>
      </c>
      <c r="Y1" s="659"/>
      <c r="Z1" s="659"/>
      <c r="AA1" s="660"/>
      <c r="AB1" s="579" t="s">
        <v>56</v>
      </c>
      <c r="AC1" s="659"/>
      <c r="AD1" s="659"/>
      <c r="AE1" s="660"/>
      <c r="AF1" s="579" t="s">
        <v>57</v>
      </c>
      <c r="AG1" s="659"/>
      <c r="AH1" s="659"/>
      <c r="AI1" s="660"/>
      <c r="AJ1" s="579" t="s">
        <v>58</v>
      </c>
      <c r="AK1" s="659"/>
      <c r="AL1" s="659"/>
      <c r="AM1" s="660"/>
    </row>
    <row r="2" spans="1:39" ht="14.95" customHeight="1" thickBot="1" x14ac:dyDescent="0.3">
      <c r="A2" s="79" t="s">
        <v>19</v>
      </c>
      <c r="B2" s="80" t="s">
        <v>18</v>
      </c>
      <c r="C2" s="81" t="s">
        <v>17</v>
      </c>
      <c r="D2" s="81" t="s">
        <v>37</v>
      </c>
      <c r="E2" s="82" t="s">
        <v>16</v>
      </c>
      <c r="F2" s="82" t="s">
        <v>4</v>
      </c>
      <c r="G2" s="82" t="s">
        <v>5</v>
      </c>
      <c r="H2" s="83" t="s">
        <v>12</v>
      </c>
      <c r="I2" s="83" t="s">
        <v>3</v>
      </c>
      <c r="J2" s="83" t="s">
        <v>12</v>
      </c>
      <c r="K2" s="83" t="s">
        <v>13</v>
      </c>
      <c r="L2" s="83" t="s">
        <v>2</v>
      </c>
      <c r="M2" s="83" t="s">
        <v>14</v>
      </c>
      <c r="N2" s="83" t="s">
        <v>15</v>
      </c>
      <c r="O2" s="83" t="s">
        <v>16</v>
      </c>
      <c r="P2" s="83" t="s">
        <v>21</v>
      </c>
      <c r="Q2" s="83" t="s">
        <v>22</v>
      </c>
      <c r="R2" s="83" t="s">
        <v>12</v>
      </c>
      <c r="S2" s="310"/>
      <c r="T2" s="311"/>
      <c r="U2" s="309"/>
      <c r="V2" s="75"/>
      <c r="W2" s="312"/>
      <c r="X2" s="128" t="s">
        <v>0</v>
      </c>
      <c r="Y2" s="128" t="s">
        <v>1</v>
      </c>
      <c r="Z2" s="128" t="s">
        <v>2</v>
      </c>
      <c r="AA2" s="128" t="s">
        <v>3</v>
      </c>
      <c r="AB2" s="128" t="s">
        <v>0</v>
      </c>
      <c r="AC2" s="128" t="s">
        <v>1</v>
      </c>
      <c r="AD2" s="128" t="s">
        <v>2</v>
      </c>
      <c r="AE2" s="128" t="s">
        <v>3</v>
      </c>
      <c r="AF2" s="128" t="s">
        <v>0</v>
      </c>
      <c r="AG2" s="128" t="s">
        <v>1</v>
      </c>
      <c r="AH2" s="128" t="s">
        <v>2</v>
      </c>
      <c r="AI2" s="128" t="s">
        <v>3</v>
      </c>
      <c r="AJ2" s="128" t="s">
        <v>0</v>
      </c>
      <c r="AK2" s="128" t="s">
        <v>1</v>
      </c>
      <c r="AL2" s="128" t="s">
        <v>2</v>
      </c>
      <c r="AM2" s="128" t="s">
        <v>3</v>
      </c>
    </row>
    <row r="3" spans="1:39" ht="14.95" customHeight="1" thickBot="1" x14ac:dyDescent="0.3">
      <c r="A3" s="367" t="s">
        <v>136</v>
      </c>
      <c r="B3" s="188" t="s">
        <v>180</v>
      </c>
      <c r="C3" s="178" t="s">
        <v>74</v>
      </c>
      <c r="D3" s="178" t="s">
        <v>132</v>
      </c>
      <c r="E3" s="179" t="s">
        <v>1</v>
      </c>
      <c r="F3" s="179">
        <v>20</v>
      </c>
      <c r="G3" s="179">
        <v>14</v>
      </c>
      <c r="H3" s="179" t="s">
        <v>69</v>
      </c>
      <c r="I3" s="179" t="s">
        <v>69</v>
      </c>
      <c r="J3" s="179">
        <v>3</v>
      </c>
      <c r="K3" s="179">
        <v>1</v>
      </c>
      <c r="L3" s="179">
        <v>0</v>
      </c>
      <c r="M3" s="179">
        <v>1</v>
      </c>
      <c r="N3" s="179">
        <v>0</v>
      </c>
      <c r="O3" s="179">
        <v>0</v>
      </c>
      <c r="P3" s="179" t="s">
        <v>69</v>
      </c>
      <c r="Q3" s="179" t="s">
        <v>69</v>
      </c>
      <c r="R3" s="179">
        <v>1</v>
      </c>
      <c r="S3" s="281" t="s">
        <v>181</v>
      </c>
      <c r="T3" s="380" t="s">
        <v>182</v>
      </c>
      <c r="U3" s="379" t="s">
        <v>183</v>
      </c>
      <c r="V3" s="380" t="s">
        <v>184</v>
      </c>
      <c r="W3" s="381" t="s">
        <v>208</v>
      </c>
      <c r="X3" s="368">
        <v>1</v>
      </c>
      <c r="Y3" s="368">
        <v>1</v>
      </c>
      <c r="Z3" s="368">
        <v>0</v>
      </c>
      <c r="AA3" s="369">
        <v>0</v>
      </c>
      <c r="AB3" s="368">
        <v>0</v>
      </c>
      <c r="AC3" s="368">
        <v>0</v>
      </c>
      <c r="AD3" s="368">
        <v>0</v>
      </c>
      <c r="AE3" s="369">
        <v>0</v>
      </c>
      <c r="AF3" s="368">
        <v>1</v>
      </c>
      <c r="AG3" s="368">
        <v>1</v>
      </c>
      <c r="AH3" s="368">
        <v>0</v>
      </c>
      <c r="AI3" s="369">
        <v>0</v>
      </c>
      <c r="AJ3" s="368">
        <v>0</v>
      </c>
      <c r="AK3" s="368">
        <v>0</v>
      </c>
      <c r="AL3" s="368">
        <v>0</v>
      </c>
      <c r="AM3" s="369">
        <v>0</v>
      </c>
    </row>
    <row r="4" spans="1:39" ht="14.95" thickBot="1" x14ac:dyDescent="0.3">
      <c r="A4" s="210" t="s">
        <v>131</v>
      </c>
      <c r="B4" s="211" t="s">
        <v>102</v>
      </c>
      <c r="C4" s="211" t="s">
        <v>36</v>
      </c>
      <c r="D4" s="211" t="s">
        <v>132</v>
      </c>
      <c r="E4" s="207" t="s">
        <v>3</v>
      </c>
      <c r="F4" s="207">
        <v>17</v>
      </c>
      <c r="G4" s="207">
        <v>50</v>
      </c>
      <c r="H4" s="207">
        <v>0</v>
      </c>
      <c r="I4" s="207">
        <v>0</v>
      </c>
      <c r="J4" s="207">
        <v>2</v>
      </c>
      <c r="K4" s="207">
        <v>2</v>
      </c>
      <c r="L4" s="207">
        <v>0</v>
      </c>
      <c r="M4" s="207">
        <v>1</v>
      </c>
      <c r="N4" s="207">
        <v>2</v>
      </c>
      <c r="O4" s="207">
        <v>0</v>
      </c>
      <c r="P4" s="207">
        <v>1</v>
      </c>
      <c r="Q4" s="207">
        <v>0</v>
      </c>
      <c r="R4" s="207">
        <v>8</v>
      </c>
      <c r="S4" s="221" t="s">
        <v>197</v>
      </c>
      <c r="T4" s="213" t="s">
        <v>194</v>
      </c>
      <c r="U4" s="212" t="s">
        <v>195</v>
      </c>
      <c r="V4" s="213" t="s">
        <v>196</v>
      </c>
      <c r="W4" s="209" t="s">
        <v>189</v>
      </c>
      <c r="X4" s="147">
        <v>1</v>
      </c>
      <c r="Y4" s="147">
        <v>0</v>
      </c>
      <c r="Z4" s="147">
        <v>0</v>
      </c>
      <c r="AA4" s="208">
        <v>1</v>
      </c>
      <c r="AB4" s="147">
        <v>0</v>
      </c>
      <c r="AC4" s="147">
        <v>0</v>
      </c>
      <c r="AD4" s="147">
        <v>0</v>
      </c>
      <c r="AE4" s="208">
        <v>0</v>
      </c>
      <c r="AF4" s="147">
        <v>0</v>
      </c>
      <c r="AG4" s="147">
        <v>0</v>
      </c>
      <c r="AH4" s="147">
        <v>0</v>
      </c>
      <c r="AI4" s="208">
        <v>0</v>
      </c>
      <c r="AJ4" s="147">
        <v>1</v>
      </c>
      <c r="AK4" s="147">
        <v>0</v>
      </c>
      <c r="AL4" s="147">
        <v>0</v>
      </c>
      <c r="AM4" s="208">
        <v>1</v>
      </c>
    </row>
    <row r="5" spans="1:39" ht="14.95" thickBot="1" x14ac:dyDescent="0.3">
      <c r="A5" s="210" t="s">
        <v>332</v>
      </c>
      <c r="B5" s="211" t="s">
        <v>102</v>
      </c>
      <c r="C5" s="211" t="s">
        <v>29</v>
      </c>
      <c r="D5" s="211" t="s">
        <v>320</v>
      </c>
      <c r="E5" s="207" t="s">
        <v>3</v>
      </c>
      <c r="F5" s="207">
        <v>17</v>
      </c>
      <c r="G5" s="207">
        <v>58</v>
      </c>
      <c r="H5" s="207">
        <v>0</v>
      </c>
      <c r="I5" s="207">
        <v>0</v>
      </c>
      <c r="J5" s="207">
        <v>3</v>
      </c>
      <c r="K5" s="207">
        <v>1</v>
      </c>
      <c r="L5" s="207">
        <v>0</v>
      </c>
      <c r="M5" s="207">
        <v>0</v>
      </c>
      <c r="N5" s="207">
        <v>0</v>
      </c>
      <c r="O5" s="207">
        <v>0</v>
      </c>
      <c r="P5" s="207">
        <v>1</v>
      </c>
      <c r="Q5" s="207">
        <v>0</v>
      </c>
      <c r="R5" s="207">
        <v>9</v>
      </c>
      <c r="S5" s="221" t="s">
        <v>227</v>
      </c>
      <c r="T5" s="213" t="s">
        <v>331</v>
      </c>
      <c r="U5" s="212" t="s">
        <v>328</v>
      </c>
      <c r="V5" s="209" t="s">
        <v>329</v>
      </c>
      <c r="W5" s="214" t="s">
        <v>330</v>
      </c>
      <c r="X5" s="147">
        <v>1</v>
      </c>
      <c r="Y5" s="147">
        <v>0</v>
      </c>
      <c r="Z5" s="147">
        <v>0</v>
      </c>
      <c r="AA5" s="208">
        <v>1</v>
      </c>
      <c r="AB5" s="147">
        <v>0</v>
      </c>
      <c r="AC5" s="147">
        <v>0</v>
      </c>
      <c r="AD5" s="147">
        <v>0</v>
      </c>
      <c r="AE5" s="208">
        <v>0</v>
      </c>
      <c r="AF5" s="147">
        <v>0</v>
      </c>
      <c r="AG5" s="147">
        <v>0</v>
      </c>
      <c r="AH5" s="147">
        <v>0</v>
      </c>
      <c r="AI5" s="208">
        <v>0</v>
      </c>
      <c r="AJ5" s="147">
        <v>1</v>
      </c>
      <c r="AK5" s="147">
        <v>0</v>
      </c>
      <c r="AL5" s="147">
        <v>0</v>
      </c>
      <c r="AM5" s="208">
        <v>1</v>
      </c>
    </row>
    <row r="6" spans="1:39" ht="14.95" customHeight="1" thickBot="1" x14ac:dyDescent="0.35">
      <c r="A6" s="355" t="s">
        <v>343</v>
      </c>
      <c r="B6" s="356" t="s">
        <v>102</v>
      </c>
      <c r="C6" s="356" t="s">
        <v>73</v>
      </c>
      <c r="D6" s="356" t="s">
        <v>320</v>
      </c>
      <c r="E6" s="357" t="s">
        <v>3</v>
      </c>
      <c r="F6" s="357">
        <v>17</v>
      </c>
      <c r="G6" s="357">
        <v>39</v>
      </c>
      <c r="H6" s="357">
        <v>0</v>
      </c>
      <c r="I6" s="357">
        <v>0</v>
      </c>
      <c r="J6" s="357">
        <v>2</v>
      </c>
      <c r="K6" s="357">
        <v>2</v>
      </c>
      <c r="L6" s="357">
        <v>0</v>
      </c>
      <c r="M6" s="357">
        <v>1</v>
      </c>
      <c r="N6" s="357">
        <v>1</v>
      </c>
      <c r="O6" s="357">
        <v>0</v>
      </c>
      <c r="P6" s="357">
        <v>1</v>
      </c>
      <c r="Q6" s="357">
        <v>0</v>
      </c>
      <c r="R6" s="357">
        <v>6</v>
      </c>
      <c r="S6" s="397" t="s">
        <v>347</v>
      </c>
      <c r="T6" s="359" t="s">
        <v>331</v>
      </c>
      <c r="U6" s="358" t="s">
        <v>346</v>
      </c>
      <c r="V6" s="360" t="s">
        <v>329</v>
      </c>
      <c r="W6" s="363" t="s">
        <v>330</v>
      </c>
      <c r="X6" s="361">
        <v>1</v>
      </c>
      <c r="Y6" s="361">
        <v>0</v>
      </c>
      <c r="Z6" s="361">
        <v>0</v>
      </c>
      <c r="AA6" s="362">
        <v>1</v>
      </c>
      <c r="AB6" s="361">
        <v>0</v>
      </c>
      <c r="AC6" s="361">
        <v>0</v>
      </c>
      <c r="AD6" s="361">
        <v>0</v>
      </c>
      <c r="AE6" s="362">
        <v>0</v>
      </c>
      <c r="AF6" s="361">
        <v>0</v>
      </c>
      <c r="AG6" s="361">
        <v>0</v>
      </c>
      <c r="AH6" s="361">
        <v>0</v>
      </c>
      <c r="AI6" s="362">
        <v>0</v>
      </c>
      <c r="AJ6" s="361">
        <v>1</v>
      </c>
      <c r="AK6" s="361">
        <v>0</v>
      </c>
      <c r="AL6" s="361">
        <v>0</v>
      </c>
      <c r="AM6" s="362">
        <v>1</v>
      </c>
    </row>
    <row r="7" spans="1:39" ht="14.95" customHeight="1" thickBot="1" x14ac:dyDescent="0.3">
      <c r="A7" s="176" t="s">
        <v>405</v>
      </c>
      <c r="B7" s="178" t="s">
        <v>180</v>
      </c>
      <c r="C7" s="178" t="s">
        <v>31</v>
      </c>
      <c r="D7" s="178" t="s">
        <v>409</v>
      </c>
      <c r="E7" s="179" t="s">
        <v>3</v>
      </c>
      <c r="F7" s="179">
        <v>18</v>
      </c>
      <c r="G7" s="179">
        <v>38</v>
      </c>
      <c r="H7" s="179" t="s">
        <v>69</v>
      </c>
      <c r="I7" s="179" t="s">
        <v>69</v>
      </c>
      <c r="J7" s="179">
        <v>3</v>
      </c>
      <c r="K7" s="179">
        <v>1</v>
      </c>
      <c r="L7" s="179">
        <v>0</v>
      </c>
      <c r="M7" s="179">
        <v>0</v>
      </c>
      <c r="N7" s="179">
        <v>2</v>
      </c>
      <c r="O7" s="179">
        <v>0</v>
      </c>
      <c r="P7" s="179" t="s">
        <v>69</v>
      </c>
      <c r="Q7" s="179" t="s">
        <v>69</v>
      </c>
      <c r="R7" s="179">
        <v>6</v>
      </c>
      <c r="S7" s="187" t="s">
        <v>230</v>
      </c>
      <c r="T7" s="185" t="s">
        <v>182</v>
      </c>
      <c r="U7" s="183" t="s">
        <v>224</v>
      </c>
      <c r="V7" s="183" t="s">
        <v>240</v>
      </c>
      <c r="W7" s="186" t="s">
        <v>401</v>
      </c>
      <c r="X7" s="181">
        <v>1</v>
      </c>
      <c r="Y7" s="181">
        <v>0</v>
      </c>
      <c r="Z7" s="181">
        <v>0</v>
      </c>
      <c r="AA7" s="182">
        <v>1</v>
      </c>
      <c r="AB7" s="181">
        <v>0</v>
      </c>
      <c r="AC7" s="181">
        <v>0</v>
      </c>
      <c r="AD7" s="181">
        <v>0</v>
      </c>
      <c r="AE7" s="182">
        <v>0</v>
      </c>
      <c r="AF7" s="181">
        <v>1</v>
      </c>
      <c r="AG7" s="181">
        <v>0</v>
      </c>
      <c r="AH7" s="181">
        <v>0</v>
      </c>
      <c r="AI7" s="182">
        <v>1</v>
      </c>
      <c r="AJ7" s="181">
        <v>0</v>
      </c>
      <c r="AK7" s="181">
        <v>0</v>
      </c>
      <c r="AL7" s="181">
        <v>0</v>
      </c>
      <c r="AM7" s="182">
        <v>0</v>
      </c>
    </row>
    <row r="8" spans="1:39" ht="14.95" thickBot="1" x14ac:dyDescent="0.3">
      <c r="A8" s="210" t="s">
        <v>492</v>
      </c>
      <c r="B8" s="211" t="s">
        <v>427</v>
      </c>
      <c r="C8" s="211" t="s">
        <v>308</v>
      </c>
      <c r="D8" s="211" t="s">
        <v>428</v>
      </c>
      <c r="E8" s="207" t="s">
        <v>1</v>
      </c>
      <c r="F8" s="207">
        <v>36</v>
      </c>
      <c r="G8" s="207">
        <v>26</v>
      </c>
      <c r="H8" s="207">
        <v>1</v>
      </c>
      <c r="I8" s="207">
        <v>0</v>
      </c>
      <c r="J8" s="207">
        <v>6</v>
      </c>
      <c r="K8" s="207">
        <v>3</v>
      </c>
      <c r="L8" s="207">
        <v>0</v>
      </c>
      <c r="M8" s="207">
        <v>0</v>
      </c>
      <c r="N8" s="207">
        <v>0</v>
      </c>
      <c r="O8" s="207">
        <v>0</v>
      </c>
      <c r="P8" s="207">
        <v>1</v>
      </c>
      <c r="Q8" s="207">
        <v>0</v>
      </c>
      <c r="R8" s="207">
        <v>4</v>
      </c>
      <c r="S8" s="238" t="s">
        <v>354</v>
      </c>
      <c r="T8" s="213" t="s">
        <v>157</v>
      </c>
      <c r="U8" s="212" t="s">
        <v>391</v>
      </c>
      <c r="V8" s="212" t="s">
        <v>414</v>
      </c>
      <c r="W8" s="214" t="s">
        <v>393</v>
      </c>
      <c r="X8" s="147">
        <v>1</v>
      </c>
      <c r="Y8" s="147">
        <v>1</v>
      </c>
      <c r="Z8" s="147">
        <v>0</v>
      </c>
      <c r="AA8" s="208">
        <v>0</v>
      </c>
      <c r="AB8" s="147">
        <v>0</v>
      </c>
      <c r="AC8" s="147">
        <v>0</v>
      </c>
      <c r="AD8" s="147">
        <v>0</v>
      </c>
      <c r="AE8" s="208">
        <v>0</v>
      </c>
      <c r="AF8" s="147">
        <v>0</v>
      </c>
      <c r="AG8" s="147">
        <v>0</v>
      </c>
      <c r="AH8" s="147">
        <v>0</v>
      </c>
      <c r="AI8" s="208">
        <v>0</v>
      </c>
      <c r="AJ8" s="147">
        <v>1</v>
      </c>
      <c r="AK8" s="147">
        <v>1</v>
      </c>
      <c r="AL8" s="147">
        <v>0</v>
      </c>
      <c r="AM8" s="208">
        <v>0</v>
      </c>
    </row>
    <row r="9" spans="1:39" ht="14.95" thickBot="1" x14ac:dyDescent="0.3">
      <c r="A9" s="210" t="s">
        <v>435</v>
      </c>
      <c r="B9" s="211" t="s">
        <v>427</v>
      </c>
      <c r="C9" s="211" t="s">
        <v>34</v>
      </c>
      <c r="D9" s="211" t="s">
        <v>496</v>
      </c>
      <c r="E9" s="207" t="s">
        <v>3</v>
      </c>
      <c r="F9" s="207">
        <v>14</v>
      </c>
      <c r="G9" s="207">
        <v>24</v>
      </c>
      <c r="H9" s="207">
        <v>0</v>
      </c>
      <c r="I9" s="207">
        <v>0</v>
      </c>
      <c r="J9" s="207">
        <v>2</v>
      </c>
      <c r="K9" s="207">
        <v>2</v>
      </c>
      <c r="L9" s="207">
        <v>0</v>
      </c>
      <c r="M9" s="207">
        <v>0</v>
      </c>
      <c r="N9" s="207">
        <v>0</v>
      </c>
      <c r="O9" s="207">
        <v>0</v>
      </c>
      <c r="P9" s="207">
        <v>1</v>
      </c>
      <c r="Q9" s="207">
        <v>0</v>
      </c>
      <c r="R9" s="207">
        <v>4</v>
      </c>
      <c r="S9" s="221" t="s">
        <v>498</v>
      </c>
      <c r="T9" s="213" t="s">
        <v>182</v>
      </c>
      <c r="U9" s="212" t="s">
        <v>391</v>
      </c>
      <c r="V9" s="212" t="s">
        <v>325</v>
      </c>
      <c r="W9" s="214" t="s">
        <v>393</v>
      </c>
      <c r="X9" s="147">
        <v>1</v>
      </c>
      <c r="Y9" s="147">
        <v>0</v>
      </c>
      <c r="Z9" s="147">
        <v>0</v>
      </c>
      <c r="AA9" s="208">
        <v>1</v>
      </c>
      <c r="AB9" s="147">
        <v>0</v>
      </c>
      <c r="AC9" s="147">
        <v>0</v>
      </c>
      <c r="AD9" s="147">
        <v>0</v>
      </c>
      <c r="AE9" s="208">
        <v>0</v>
      </c>
      <c r="AF9" s="147">
        <v>0</v>
      </c>
      <c r="AG9" s="147">
        <v>0</v>
      </c>
      <c r="AH9" s="147">
        <v>0</v>
      </c>
      <c r="AI9" s="208">
        <v>0</v>
      </c>
      <c r="AJ9" s="147">
        <v>1</v>
      </c>
      <c r="AK9" s="147">
        <v>0</v>
      </c>
      <c r="AL9" s="147">
        <v>0</v>
      </c>
      <c r="AM9" s="208">
        <v>1</v>
      </c>
    </row>
    <row r="10" spans="1:39" ht="14.95" thickBot="1" x14ac:dyDescent="0.3">
      <c r="A10" s="210" t="s">
        <v>458</v>
      </c>
      <c r="B10" s="211" t="s">
        <v>427</v>
      </c>
      <c r="C10" s="211" t="s">
        <v>32</v>
      </c>
      <c r="D10" s="211" t="s">
        <v>496</v>
      </c>
      <c r="E10" s="207" t="s">
        <v>3</v>
      </c>
      <c r="F10" s="207">
        <v>8</v>
      </c>
      <c r="G10" s="207">
        <v>30</v>
      </c>
      <c r="H10" s="207">
        <v>0</v>
      </c>
      <c r="I10" s="207">
        <v>0</v>
      </c>
      <c r="J10" s="207">
        <v>1</v>
      </c>
      <c r="K10" s="207">
        <v>0</v>
      </c>
      <c r="L10" s="207">
        <v>0</v>
      </c>
      <c r="M10" s="207">
        <v>1</v>
      </c>
      <c r="N10" s="207">
        <v>0</v>
      </c>
      <c r="O10" s="207">
        <v>0</v>
      </c>
      <c r="P10" s="207">
        <v>1</v>
      </c>
      <c r="Q10" s="207">
        <v>0</v>
      </c>
      <c r="R10" s="207">
        <v>5</v>
      </c>
      <c r="S10" s="221" t="s">
        <v>513</v>
      </c>
      <c r="T10" s="212" t="s">
        <v>325</v>
      </c>
      <c r="U10" s="212" t="s">
        <v>218</v>
      </c>
      <c r="V10" s="212" t="s">
        <v>196</v>
      </c>
      <c r="W10" s="234" t="s">
        <v>393</v>
      </c>
      <c r="X10" s="147">
        <v>1</v>
      </c>
      <c r="Y10" s="147">
        <v>0</v>
      </c>
      <c r="Z10" s="147">
        <v>0</v>
      </c>
      <c r="AA10" s="208">
        <v>1</v>
      </c>
      <c r="AB10" s="147">
        <v>0</v>
      </c>
      <c r="AC10" s="147">
        <v>0</v>
      </c>
      <c r="AD10" s="147">
        <v>0</v>
      </c>
      <c r="AE10" s="208">
        <v>0</v>
      </c>
      <c r="AF10" s="147">
        <v>0</v>
      </c>
      <c r="AG10" s="147">
        <v>0</v>
      </c>
      <c r="AH10" s="147">
        <v>0</v>
      </c>
      <c r="AI10" s="208">
        <v>0</v>
      </c>
      <c r="AJ10" s="147">
        <v>1</v>
      </c>
      <c r="AK10" s="147">
        <v>0</v>
      </c>
      <c r="AL10" s="147">
        <v>0</v>
      </c>
      <c r="AM10" s="208">
        <v>1</v>
      </c>
    </row>
    <row r="11" spans="1:39" ht="14.95" thickBot="1" x14ac:dyDescent="0.3">
      <c r="A11" s="117"/>
      <c r="B11" s="118"/>
      <c r="C11" s="525" t="s">
        <v>100</v>
      </c>
      <c r="D11" s="526"/>
      <c r="E11" s="527"/>
      <c r="F11" s="456">
        <f t="shared" ref="F11:R11" si="0">SUM(F4:F6)</f>
        <v>51</v>
      </c>
      <c r="G11" s="456">
        <f t="shared" si="0"/>
        <v>147</v>
      </c>
      <c r="H11" s="456">
        <f t="shared" si="0"/>
        <v>0</v>
      </c>
      <c r="I11" s="456">
        <f t="shared" si="0"/>
        <v>0</v>
      </c>
      <c r="J11" s="456">
        <f t="shared" si="0"/>
        <v>7</v>
      </c>
      <c r="K11" s="456">
        <f t="shared" si="0"/>
        <v>5</v>
      </c>
      <c r="L11" s="456">
        <f t="shared" si="0"/>
        <v>0</v>
      </c>
      <c r="M11" s="456">
        <f t="shared" si="0"/>
        <v>2</v>
      </c>
      <c r="N11" s="456">
        <f t="shared" si="0"/>
        <v>3</v>
      </c>
      <c r="O11" s="456">
        <f t="shared" si="0"/>
        <v>0</v>
      </c>
      <c r="P11" s="456">
        <f t="shared" si="0"/>
        <v>3</v>
      </c>
      <c r="Q11" s="456">
        <f t="shared" si="0"/>
        <v>0</v>
      </c>
      <c r="R11" s="456">
        <f t="shared" si="0"/>
        <v>23</v>
      </c>
      <c r="S11" s="480"/>
      <c r="T11" s="480"/>
      <c r="U11" s="480"/>
      <c r="V11" s="458"/>
      <c r="W11" s="459" t="s">
        <v>100</v>
      </c>
      <c r="X11" s="456">
        <f t="shared" ref="X11:AM11" si="1">SUM(X4:X6)</f>
        <v>3</v>
      </c>
      <c r="Y11" s="456">
        <f t="shared" si="1"/>
        <v>0</v>
      </c>
      <c r="Z11" s="456">
        <f t="shared" si="1"/>
        <v>0</v>
      </c>
      <c r="AA11" s="456">
        <f t="shared" si="1"/>
        <v>3</v>
      </c>
      <c r="AB11" s="460">
        <f t="shared" si="1"/>
        <v>0</v>
      </c>
      <c r="AC11" s="460">
        <f t="shared" si="1"/>
        <v>0</v>
      </c>
      <c r="AD11" s="460">
        <f t="shared" si="1"/>
        <v>0</v>
      </c>
      <c r="AE11" s="460">
        <f t="shared" si="1"/>
        <v>0</v>
      </c>
      <c r="AF11" s="461">
        <f t="shared" si="1"/>
        <v>0</v>
      </c>
      <c r="AG11" s="461">
        <f t="shared" si="1"/>
        <v>0</v>
      </c>
      <c r="AH11" s="461">
        <f t="shared" si="1"/>
        <v>0</v>
      </c>
      <c r="AI11" s="461">
        <f t="shared" si="1"/>
        <v>0</v>
      </c>
      <c r="AJ11" s="456">
        <f t="shared" si="1"/>
        <v>3</v>
      </c>
      <c r="AK11" s="456">
        <f t="shared" si="1"/>
        <v>0</v>
      </c>
      <c r="AL11" s="456">
        <f t="shared" si="1"/>
        <v>0</v>
      </c>
      <c r="AM11" s="456">
        <f t="shared" si="1"/>
        <v>3</v>
      </c>
    </row>
    <row r="12" spans="1:39" ht="14.95" thickBot="1" x14ac:dyDescent="0.3">
      <c r="A12" s="117"/>
      <c r="B12" s="118"/>
      <c r="C12" s="519" t="s">
        <v>78</v>
      </c>
      <c r="D12" s="520"/>
      <c r="E12" s="521"/>
      <c r="F12" s="225">
        <f>SUM(F3+F7)</f>
        <v>38</v>
      </c>
      <c r="G12" s="225">
        <f>SUM(G3+G7)</f>
        <v>52</v>
      </c>
      <c r="H12" s="225" t="s">
        <v>69</v>
      </c>
      <c r="I12" s="225" t="s">
        <v>69</v>
      </c>
      <c r="J12" s="225">
        <f t="shared" ref="J12:O12" si="2">SUM(J3+J7)</f>
        <v>6</v>
      </c>
      <c r="K12" s="225">
        <f t="shared" si="2"/>
        <v>2</v>
      </c>
      <c r="L12" s="225">
        <f t="shared" si="2"/>
        <v>0</v>
      </c>
      <c r="M12" s="225">
        <f t="shared" si="2"/>
        <v>1</v>
      </c>
      <c r="N12" s="225">
        <f t="shared" si="2"/>
        <v>2</v>
      </c>
      <c r="O12" s="225">
        <f t="shared" si="2"/>
        <v>0</v>
      </c>
      <c r="P12" s="225" t="s">
        <v>69</v>
      </c>
      <c r="Q12" s="225" t="s">
        <v>69</v>
      </c>
      <c r="R12" s="225">
        <f>SUM(R3+R7)</f>
        <v>7</v>
      </c>
      <c r="S12" s="231"/>
      <c r="T12" s="231"/>
      <c r="U12" s="231"/>
      <c r="V12" s="223"/>
      <c r="W12" s="230" t="s">
        <v>78</v>
      </c>
      <c r="X12" s="225">
        <f t="shared" ref="X12:AM12" si="3">SUM(X3+X7)</f>
        <v>2</v>
      </c>
      <c r="Y12" s="225">
        <f t="shared" si="3"/>
        <v>1</v>
      </c>
      <c r="Z12" s="225">
        <f t="shared" si="3"/>
        <v>0</v>
      </c>
      <c r="AA12" s="225">
        <f t="shared" si="3"/>
        <v>1</v>
      </c>
      <c r="AB12" s="226">
        <f t="shared" si="3"/>
        <v>0</v>
      </c>
      <c r="AC12" s="226">
        <f t="shared" si="3"/>
        <v>0</v>
      </c>
      <c r="AD12" s="226">
        <f t="shared" si="3"/>
        <v>0</v>
      </c>
      <c r="AE12" s="226">
        <f t="shared" si="3"/>
        <v>0</v>
      </c>
      <c r="AF12" s="227">
        <f t="shared" si="3"/>
        <v>2</v>
      </c>
      <c r="AG12" s="227">
        <f t="shared" si="3"/>
        <v>1</v>
      </c>
      <c r="AH12" s="227">
        <f t="shared" si="3"/>
        <v>0</v>
      </c>
      <c r="AI12" s="227">
        <f t="shared" si="3"/>
        <v>1</v>
      </c>
      <c r="AJ12" s="225">
        <f t="shared" si="3"/>
        <v>0</v>
      </c>
      <c r="AK12" s="225">
        <f t="shared" si="3"/>
        <v>0</v>
      </c>
      <c r="AL12" s="225">
        <f t="shared" si="3"/>
        <v>0</v>
      </c>
      <c r="AM12" s="225">
        <f t="shared" si="3"/>
        <v>0</v>
      </c>
    </row>
    <row r="13" spans="1:39" ht="14.95" thickBot="1" x14ac:dyDescent="0.3">
      <c r="A13" s="117"/>
      <c r="B13" s="118"/>
      <c r="C13" s="409" t="s">
        <v>427</v>
      </c>
      <c r="D13" s="410"/>
      <c r="E13" s="411"/>
      <c r="F13" s="430">
        <f>SUM(F8:F10)</f>
        <v>58</v>
      </c>
      <c r="G13" s="430">
        <f t="shared" ref="G13:R13" si="4">SUM(G8:G10)</f>
        <v>80</v>
      </c>
      <c r="H13" s="430">
        <f t="shared" si="4"/>
        <v>1</v>
      </c>
      <c r="I13" s="430">
        <f t="shared" si="4"/>
        <v>0</v>
      </c>
      <c r="J13" s="430">
        <f t="shared" si="4"/>
        <v>9</v>
      </c>
      <c r="K13" s="430">
        <f t="shared" si="4"/>
        <v>5</v>
      </c>
      <c r="L13" s="430">
        <f t="shared" si="4"/>
        <v>0</v>
      </c>
      <c r="M13" s="430">
        <f t="shared" si="4"/>
        <v>1</v>
      </c>
      <c r="N13" s="430">
        <f t="shared" si="4"/>
        <v>0</v>
      </c>
      <c r="O13" s="430">
        <f t="shared" si="4"/>
        <v>0</v>
      </c>
      <c r="P13" s="430">
        <f t="shared" si="4"/>
        <v>3</v>
      </c>
      <c r="Q13" s="430">
        <f t="shared" si="4"/>
        <v>0</v>
      </c>
      <c r="R13" s="430">
        <f t="shared" si="4"/>
        <v>13</v>
      </c>
      <c r="S13" s="365"/>
      <c r="T13" s="365"/>
      <c r="U13" s="365"/>
      <c r="V13" s="365"/>
      <c r="W13" s="150" t="s">
        <v>427</v>
      </c>
      <c r="X13" s="430">
        <f t="shared" ref="X13:AM13" si="5">SUM(X8:X10)</f>
        <v>3</v>
      </c>
      <c r="Y13" s="430">
        <f t="shared" si="5"/>
        <v>1</v>
      </c>
      <c r="Z13" s="430">
        <f t="shared" si="5"/>
        <v>0</v>
      </c>
      <c r="AA13" s="430">
        <f t="shared" si="5"/>
        <v>2</v>
      </c>
      <c r="AB13" s="432">
        <f t="shared" si="5"/>
        <v>0</v>
      </c>
      <c r="AC13" s="432">
        <f t="shared" si="5"/>
        <v>0</v>
      </c>
      <c r="AD13" s="432">
        <f t="shared" si="5"/>
        <v>0</v>
      </c>
      <c r="AE13" s="432">
        <f t="shared" si="5"/>
        <v>0</v>
      </c>
      <c r="AF13" s="433">
        <f t="shared" si="5"/>
        <v>0</v>
      </c>
      <c r="AG13" s="433">
        <f t="shared" si="5"/>
        <v>0</v>
      </c>
      <c r="AH13" s="433">
        <f t="shared" si="5"/>
        <v>0</v>
      </c>
      <c r="AI13" s="433">
        <f t="shared" si="5"/>
        <v>0</v>
      </c>
      <c r="AJ13" s="430">
        <f t="shared" si="5"/>
        <v>3</v>
      </c>
      <c r="AK13" s="430">
        <f t="shared" si="5"/>
        <v>1</v>
      </c>
      <c r="AL13" s="430">
        <f t="shared" si="5"/>
        <v>0</v>
      </c>
      <c r="AM13" s="430">
        <f t="shared" si="5"/>
        <v>2</v>
      </c>
    </row>
    <row r="14" spans="1:39" ht="14.95" thickBot="1" x14ac:dyDescent="0.3">
      <c r="A14" s="117"/>
      <c r="B14" s="118"/>
      <c r="C14" s="515" t="s">
        <v>70</v>
      </c>
      <c r="D14" s="516"/>
      <c r="E14" s="517"/>
      <c r="F14" s="142">
        <f t="shared" ref="F14:R14" si="6">SUM(F3:F10)</f>
        <v>147</v>
      </c>
      <c r="G14" s="142">
        <f t="shared" si="6"/>
        <v>279</v>
      </c>
      <c r="H14" s="142">
        <f t="shared" si="6"/>
        <v>1</v>
      </c>
      <c r="I14" s="142">
        <f t="shared" si="6"/>
        <v>0</v>
      </c>
      <c r="J14" s="142">
        <f t="shared" si="6"/>
        <v>22</v>
      </c>
      <c r="K14" s="142">
        <f t="shared" si="6"/>
        <v>12</v>
      </c>
      <c r="L14" s="142">
        <f t="shared" si="6"/>
        <v>0</v>
      </c>
      <c r="M14" s="142">
        <f t="shared" si="6"/>
        <v>4</v>
      </c>
      <c r="N14" s="142">
        <f t="shared" si="6"/>
        <v>5</v>
      </c>
      <c r="O14" s="142">
        <f t="shared" si="6"/>
        <v>0</v>
      </c>
      <c r="P14" s="142">
        <f t="shared" si="6"/>
        <v>6</v>
      </c>
      <c r="Q14" s="142">
        <f t="shared" si="6"/>
        <v>0</v>
      </c>
      <c r="R14" s="142">
        <f t="shared" si="6"/>
        <v>43</v>
      </c>
      <c r="S14" s="220"/>
      <c r="T14" s="220"/>
      <c r="U14" s="220"/>
      <c r="V14" s="12"/>
      <c r="W14" s="147" t="s">
        <v>70</v>
      </c>
      <c r="X14" s="142">
        <f t="shared" ref="X14:AM14" si="7">SUM(X3:X10)</f>
        <v>8</v>
      </c>
      <c r="Y14" s="142">
        <f t="shared" si="7"/>
        <v>2</v>
      </c>
      <c r="Z14" s="142">
        <f t="shared" si="7"/>
        <v>0</v>
      </c>
      <c r="AA14" s="142">
        <f t="shared" si="7"/>
        <v>6</v>
      </c>
      <c r="AB14" s="140">
        <f t="shared" si="7"/>
        <v>0</v>
      </c>
      <c r="AC14" s="140">
        <f t="shared" si="7"/>
        <v>0</v>
      </c>
      <c r="AD14" s="140">
        <f t="shared" si="7"/>
        <v>0</v>
      </c>
      <c r="AE14" s="140">
        <f t="shared" si="7"/>
        <v>0</v>
      </c>
      <c r="AF14" s="141">
        <f t="shared" si="7"/>
        <v>2</v>
      </c>
      <c r="AG14" s="141">
        <f t="shared" si="7"/>
        <v>1</v>
      </c>
      <c r="AH14" s="141">
        <f t="shared" si="7"/>
        <v>0</v>
      </c>
      <c r="AI14" s="141">
        <f t="shared" si="7"/>
        <v>1</v>
      </c>
      <c r="AJ14" s="142">
        <f t="shared" si="7"/>
        <v>6</v>
      </c>
      <c r="AK14" s="142">
        <f t="shared" si="7"/>
        <v>1</v>
      </c>
      <c r="AL14" s="142">
        <f t="shared" si="7"/>
        <v>0</v>
      </c>
      <c r="AM14" s="142">
        <f t="shared" si="7"/>
        <v>5</v>
      </c>
    </row>
    <row r="15" spans="1:39" x14ac:dyDescent="0.25">
      <c r="A15" s="518" t="s">
        <v>116</v>
      </c>
      <c r="B15" s="490"/>
      <c r="C15" s="490"/>
      <c r="D15" s="490"/>
      <c r="E15" s="490"/>
      <c r="F15" s="490"/>
      <c r="G15" s="490"/>
      <c r="H15" s="490"/>
      <c r="I15" s="490"/>
      <c r="J15" s="490"/>
      <c r="K15" s="490"/>
      <c r="L15" s="490"/>
      <c r="M15" s="490"/>
      <c r="N15" s="490"/>
      <c r="O15" s="490"/>
      <c r="P15" s="490"/>
      <c r="Q15" s="490"/>
      <c r="R15" s="490"/>
      <c r="S15" s="490"/>
      <c r="T15" s="490"/>
      <c r="U15" s="490"/>
      <c r="V15" s="490"/>
      <c r="W15" s="490"/>
      <c r="X15" s="490"/>
      <c r="Y15" s="490"/>
      <c r="Z15" s="490"/>
      <c r="AA15" s="490"/>
      <c r="AB15" s="490"/>
      <c r="AC15" s="490"/>
      <c r="AD15" s="490"/>
      <c r="AE15" s="490"/>
      <c r="AF15" s="490"/>
      <c r="AG15" s="490"/>
      <c r="AH15" s="490"/>
      <c r="AI15" s="490"/>
      <c r="AJ15" s="490"/>
      <c r="AK15" s="490"/>
      <c r="AL15" s="490"/>
      <c r="AM15" s="490"/>
    </row>
    <row r="16" spans="1:39" x14ac:dyDescent="0.25">
      <c r="A16" s="237" t="s">
        <v>133</v>
      </c>
    </row>
    <row r="17" spans="1:39" x14ac:dyDescent="0.25">
      <c r="A17" t="s">
        <v>493</v>
      </c>
    </row>
    <row r="18" spans="1:39" x14ac:dyDescent="0.25">
      <c r="A18" t="s">
        <v>497</v>
      </c>
    </row>
    <row r="21" spans="1:39" x14ac:dyDescent="0.25">
      <c r="A21" t="s">
        <v>77</v>
      </c>
    </row>
    <row r="22" spans="1:39" x14ac:dyDescent="0.25">
      <c r="A22" s="440"/>
      <c r="B22" s="73" t="s">
        <v>40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</row>
    <row r="23" spans="1:39" x14ac:dyDescent="0.25">
      <c r="A23" s="441"/>
      <c r="B23" s="73" t="s">
        <v>38</v>
      </c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</row>
    <row r="24" spans="1:39" x14ac:dyDescent="0.25">
      <c r="A24" s="442"/>
      <c r="B24" s="73" t="s">
        <v>39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</row>
    <row r="25" spans="1:39" x14ac:dyDescent="0.25">
      <c r="A25" s="237" t="s">
        <v>28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</row>
  </sheetData>
  <mergeCells count="14">
    <mergeCell ref="C14:E14"/>
    <mergeCell ref="A15:AM15"/>
    <mergeCell ref="C12:E12"/>
    <mergeCell ref="X1:AA1"/>
    <mergeCell ref="AB1:AE1"/>
    <mergeCell ref="AF1:AI1"/>
    <mergeCell ref="AJ1:AM1"/>
    <mergeCell ref="C11:E11"/>
    <mergeCell ref="A1:C1"/>
    <mergeCell ref="E1:G1"/>
    <mergeCell ref="H1:I1"/>
    <mergeCell ref="J1:M1"/>
    <mergeCell ref="N1:O1"/>
    <mergeCell ref="P1:R1"/>
  </mergeCells>
  <pageMargins left="0.7" right="0.7" top="0.75" bottom="0.75" header="0.3" footer="0.3"/>
  <ignoredErrors>
    <ignoredError sqref="S4:S5 S8:S9" twoDigitTextYear="1"/>
    <ignoredError sqref="F11:AM13" formulaRange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N26"/>
  <sheetViews>
    <sheetView zoomScaleNormal="100" workbookViewId="0">
      <selection sqref="A1:C1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5" bestFit="1" customWidth="1"/>
    <col min="5" max="18" width="3.75" customWidth="1"/>
    <col min="19" max="20" width="6.25" customWidth="1"/>
    <col min="21" max="21" width="30.5" customWidth="1"/>
    <col min="22" max="22" width="24.125" bestFit="1" customWidth="1"/>
    <col min="23" max="23" width="22.5" bestFit="1" customWidth="1"/>
    <col min="24" max="24" width="27.25" customWidth="1"/>
    <col min="25" max="28" width="4.25" customWidth="1"/>
    <col min="29" max="40" width="3.75" customWidth="1"/>
  </cols>
  <sheetData>
    <row r="1" spans="1:40" ht="14.95" customHeight="1" thickBot="1" x14ac:dyDescent="0.3">
      <c r="A1" s="668" t="s">
        <v>129</v>
      </c>
      <c r="B1" s="669"/>
      <c r="C1" s="669"/>
      <c r="D1" s="45"/>
      <c r="E1" s="670" t="s">
        <v>24</v>
      </c>
      <c r="F1" s="671"/>
      <c r="G1" s="672"/>
      <c r="H1" s="670" t="s">
        <v>23</v>
      </c>
      <c r="I1" s="672"/>
      <c r="J1" s="665" t="s">
        <v>6</v>
      </c>
      <c r="K1" s="666"/>
      <c r="L1" s="666"/>
      <c r="M1" s="667"/>
      <c r="N1" s="665" t="s">
        <v>7</v>
      </c>
      <c r="O1" s="667"/>
      <c r="P1" s="665" t="s">
        <v>25</v>
      </c>
      <c r="Q1" s="666"/>
      <c r="R1" s="667"/>
      <c r="S1" s="145" t="s">
        <v>8</v>
      </c>
      <c r="T1" s="145" t="s">
        <v>9</v>
      </c>
      <c r="U1" s="1" t="s">
        <v>10</v>
      </c>
      <c r="V1" s="6" t="s">
        <v>11</v>
      </c>
      <c r="W1" s="15" t="s">
        <v>26</v>
      </c>
      <c r="X1" s="46" t="s">
        <v>27</v>
      </c>
      <c r="Y1" s="664" t="s">
        <v>20</v>
      </c>
      <c r="Z1" s="580"/>
      <c r="AA1" s="580"/>
      <c r="AB1" s="581"/>
      <c r="AC1" s="664" t="s">
        <v>56</v>
      </c>
      <c r="AD1" s="580"/>
      <c r="AE1" s="580"/>
      <c r="AF1" s="581"/>
      <c r="AG1" s="664" t="s">
        <v>57</v>
      </c>
      <c r="AH1" s="580"/>
      <c r="AI1" s="580"/>
      <c r="AJ1" s="581"/>
      <c r="AK1" s="664" t="s">
        <v>58</v>
      </c>
      <c r="AL1" s="580"/>
      <c r="AM1" s="580"/>
      <c r="AN1" s="581"/>
    </row>
    <row r="2" spans="1:40" ht="14.95" customHeight="1" thickBot="1" x14ac:dyDescent="0.3">
      <c r="A2" s="7" t="s">
        <v>19</v>
      </c>
      <c r="B2" s="8" t="s">
        <v>18</v>
      </c>
      <c r="C2" s="9" t="s">
        <v>17</v>
      </c>
      <c r="D2" s="10" t="s">
        <v>37</v>
      </c>
      <c r="E2" s="10" t="s">
        <v>16</v>
      </c>
      <c r="F2" s="10" t="s">
        <v>4</v>
      </c>
      <c r="G2" s="10" t="s">
        <v>5</v>
      </c>
      <c r="H2" s="11" t="s">
        <v>12</v>
      </c>
      <c r="I2" s="11" t="s">
        <v>3</v>
      </c>
      <c r="J2" s="11" t="s">
        <v>12</v>
      </c>
      <c r="K2" s="11" t="s">
        <v>13</v>
      </c>
      <c r="L2" s="11" t="s">
        <v>2</v>
      </c>
      <c r="M2" s="11" t="s">
        <v>14</v>
      </c>
      <c r="N2" s="11" t="s">
        <v>15</v>
      </c>
      <c r="O2" s="11" t="s">
        <v>16</v>
      </c>
      <c r="P2" s="11" t="s">
        <v>21</v>
      </c>
      <c r="Q2" s="11" t="s">
        <v>22</v>
      </c>
      <c r="R2" s="11" t="s">
        <v>12</v>
      </c>
      <c r="S2" s="2"/>
      <c r="T2" s="3"/>
      <c r="U2" s="4"/>
      <c r="V2" s="2"/>
      <c r="W2" s="16"/>
      <c r="X2" s="5"/>
      <c r="Y2" s="129" t="s">
        <v>0</v>
      </c>
      <c r="Z2" s="129" t="s">
        <v>1</v>
      </c>
      <c r="AA2" s="129" t="s">
        <v>2</v>
      </c>
      <c r="AB2" s="129" t="s">
        <v>3</v>
      </c>
      <c r="AC2" s="129" t="s">
        <v>0</v>
      </c>
      <c r="AD2" s="129" t="s">
        <v>1</v>
      </c>
      <c r="AE2" s="129" t="s">
        <v>2</v>
      </c>
      <c r="AF2" s="129" t="s">
        <v>3</v>
      </c>
      <c r="AG2" s="129" t="s">
        <v>0</v>
      </c>
      <c r="AH2" s="129" t="s">
        <v>1</v>
      </c>
      <c r="AI2" s="129" t="s">
        <v>2</v>
      </c>
      <c r="AJ2" s="129" t="s">
        <v>3</v>
      </c>
      <c r="AK2" s="129" t="s">
        <v>0</v>
      </c>
      <c r="AL2" s="129" t="s">
        <v>1</v>
      </c>
      <c r="AM2" s="129" t="s">
        <v>2</v>
      </c>
      <c r="AN2" s="129" t="s">
        <v>3</v>
      </c>
    </row>
    <row r="3" spans="1:40" ht="14.95" customHeight="1" thickBot="1" x14ac:dyDescent="0.35">
      <c r="A3" s="191" t="s">
        <v>134</v>
      </c>
      <c r="B3" s="192" t="s">
        <v>41</v>
      </c>
      <c r="C3" s="192" t="s">
        <v>35</v>
      </c>
      <c r="D3" s="192" t="s">
        <v>72</v>
      </c>
      <c r="E3" s="193" t="s">
        <v>1</v>
      </c>
      <c r="F3" s="193">
        <v>31</v>
      </c>
      <c r="G3" s="193">
        <v>5</v>
      </c>
      <c r="H3" s="193">
        <v>1</v>
      </c>
      <c r="I3" s="193">
        <v>0</v>
      </c>
      <c r="J3" s="193">
        <v>5</v>
      </c>
      <c r="K3" s="193">
        <v>3</v>
      </c>
      <c r="L3" s="193">
        <v>0</v>
      </c>
      <c r="M3" s="193">
        <v>0</v>
      </c>
      <c r="N3" s="193">
        <v>0</v>
      </c>
      <c r="O3" s="193">
        <v>0</v>
      </c>
      <c r="P3" s="193">
        <v>0</v>
      </c>
      <c r="Q3" s="193">
        <v>0</v>
      </c>
      <c r="R3" s="193">
        <v>1</v>
      </c>
      <c r="S3" s="194">
        <v>4962</v>
      </c>
      <c r="T3" s="203" t="s">
        <v>162</v>
      </c>
      <c r="U3" s="196" t="s">
        <v>194</v>
      </c>
      <c r="V3" s="194" t="s">
        <v>163</v>
      </c>
      <c r="W3" s="197" t="s">
        <v>164</v>
      </c>
      <c r="X3" s="198" t="s">
        <v>165</v>
      </c>
      <c r="Y3" s="199">
        <v>1</v>
      </c>
      <c r="Z3" s="199">
        <v>1</v>
      </c>
      <c r="AA3" s="199">
        <v>0</v>
      </c>
      <c r="AB3" s="200">
        <v>0</v>
      </c>
      <c r="AC3" s="199">
        <v>1</v>
      </c>
      <c r="AD3" s="199">
        <v>1</v>
      </c>
      <c r="AE3" s="199">
        <v>0</v>
      </c>
      <c r="AF3" s="200">
        <v>0</v>
      </c>
      <c r="AG3" s="199">
        <v>0</v>
      </c>
      <c r="AH3" s="199">
        <v>0</v>
      </c>
      <c r="AI3" s="199">
        <v>0</v>
      </c>
      <c r="AJ3" s="200">
        <v>0</v>
      </c>
      <c r="AK3" s="199">
        <v>0</v>
      </c>
      <c r="AL3" s="199">
        <v>0</v>
      </c>
      <c r="AM3" s="199">
        <v>0</v>
      </c>
      <c r="AN3" s="200">
        <v>0</v>
      </c>
    </row>
    <row r="4" spans="1:40" ht="14.95" customHeight="1" thickBot="1" x14ac:dyDescent="0.35">
      <c r="A4" s="176" t="s">
        <v>131</v>
      </c>
      <c r="B4" s="178" t="s">
        <v>41</v>
      </c>
      <c r="C4" s="178" t="s">
        <v>34</v>
      </c>
      <c r="D4" s="178" t="s">
        <v>90</v>
      </c>
      <c r="E4" s="179" t="s">
        <v>1</v>
      </c>
      <c r="F4" s="179">
        <v>34</v>
      </c>
      <c r="G4" s="179">
        <v>22</v>
      </c>
      <c r="H4" s="179">
        <v>1</v>
      </c>
      <c r="I4" s="179">
        <v>0</v>
      </c>
      <c r="J4" s="179">
        <v>5</v>
      </c>
      <c r="K4" s="179">
        <v>3</v>
      </c>
      <c r="L4" s="179">
        <v>0</v>
      </c>
      <c r="M4" s="179">
        <v>1</v>
      </c>
      <c r="N4" s="179">
        <v>1</v>
      </c>
      <c r="O4" s="179">
        <v>0</v>
      </c>
      <c r="P4" s="179">
        <v>0</v>
      </c>
      <c r="Q4" s="179">
        <v>0</v>
      </c>
      <c r="R4" s="179">
        <v>3</v>
      </c>
      <c r="S4" s="183">
        <v>3031</v>
      </c>
      <c r="T4" s="184" t="s">
        <v>221</v>
      </c>
      <c r="U4" s="185" t="s">
        <v>173</v>
      </c>
      <c r="V4" s="183" t="s">
        <v>218</v>
      </c>
      <c r="W4" s="180" t="s">
        <v>219</v>
      </c>
      <c r="X4" s="186" t="s">
        <v>220</v>
      </c>
      <c r="Y4" s="181">
        <v>1</v>
      </c>
      <c r="Z4" s="181">
        <v>1</v>
      </c>
      <c r="AA4" s="181">
        <v>0</v>
      </c>
      <c r="AB4" s="182">
        <v>0</v>
      </c>
      <c r="AC4" s="181">
        <v>0</v>
      </c>
      <c r="AD4" s="181">
        <v>0</v>
      </c>
      <c r="AE4" s="181">
        <v>0</v>
      </c>
      <c r="AF4" s="182">
        <v>0</v>
      </c>
      <c r="AG4" s="181">
        <v>1</v>
      </c>
      <c r="AH4" s="181">
        <v>1</v>
      </c>
      <c r="AI4" s="181">
        <v>0</v>
      </c>
      <c r="AJ4" s="182">
        <v>0</v>
      </c>
      <c r="AK4" s="181">
        <v>0</v>
      </c>
      <c r="AL4" s="181">
        <v>0</v>
      </c>
      <c r="AM4" s="181">
        <v>0</v>
      </c>
      <c r="AN4" s="182">
        <v>0</v>
      </c>
    </row>
    <row r="5" spans="1:40" ht="14.95" customHeight="1" thickBot="1" x14ac:dyDescent="0.3">
      <c r="A5" s="191" t="s">
        <v>142</v>
      </c>
      <c r="B5" s="192" t="s">
        <v>41</v>
      </c>
      <c r="C5" s="192" t="s">
        <v>30</v>
      </c>
      <c r="D5" s="192" t="s">
        <v>72</v>
      </c>
      <c r="E5" s="193" t="s">
        <v>3</v>
      </c>
      <c r="F5" s="193">
        <v>3</v>
      </c>
      <c r="G5" s="193">
        <v>59</v>
      </c>
      <c r="H5" s="193">
        <v>0</v>
      </c>
      <c r="I5" s="193">
        <v>0</v>
      </c>
      <c r="J5" s="193">
        <v>0</v>
      </c>
      <c r="K5" s="193">
        <v>0</v>
      </c>
      <c r="L5" s="193">
        <v>0</v>
      </c>
      <c r="M5" s="193">
        <v>1</v>
      </c>
      <c r="N5" s="193">
        <v>0</v>
      </c>
      <c r="O5" s="193">
        <v>0</v>
      </c>
      <c r="P5" s="193">
        <v>1</v>
      </c>
      <c r="Q5" s="193">
        <v>0</v>
      </c>
      <c r="R5" s="193">
        <v>9</v>
      </c>
      <c r="S5" s="194">
        <v>8862</v>
      </c>
      <c r="T5" s="195" t="s">
        <v>230</v>
      </c>
      <c r="U5" s="196" t="s">
        <v>231</v>
      </c>
      <c r="V5" s="194" t="s">
        <v>156</v>
      </c>
      <c r="W5" s="197" t="s">
        <v>219</v>
      </c>
      <c r="X5" s="198" t="s">
        <v>220</v>
      </c>
      <c r="Y5" s="199">
        <v>1</v>
      </c>
      <c r="Z5" s="199">
        <v>0</v>
      </c>
      <c r="AA5" s="199">
        <v>0</v>
      </c>
      <c r="AB5" s="200">
        <v>1</v>
      </c>
      <c r="AC5" s="199">
        <v>1</v>
      </c>
      <c r="AD5" s="199">
        <v>0</v>
      </c>
      <c r="AE5" s="199">
        <v>0</v>
      </c>
      <c r="AF5" s="200">
        <v>1</v>
      </c>
      <c r="AG5" s="199">
        <v>0</v>
      </c>
      <c r="AH5" s="199">
        <v>0</v>
      </c>
      <c r="AI5" s="199">
        <v>0</v>
      </c>
      <c r="AJ5" s="200">
        <v>0</v>
      </c>
      <c r="AK5" s="199">
        <v>0</v>
      </c>
      <c r="AL5" s="199">
        <v>0</v>
      </c>
      <c r="AM5" s="199">
        <v>0</v>
      </c>
      <c r="AN5" s="200">
        <v>0</v>
      </c>
    </row>
    <row r="6" spans="1:40" ht="14.95" customHeight="1" thickBot="1" x14ac:dyDescent="0.3">
      <c r="A6" s="176" t="s">
        <v>147</v>
      </c>
      <c r="B6" s="178" t="s">
        <v>41</v>
      </c>
      <c r="C6" s="178" t="s">
        <v>33</v>
      </c>
      <c r="D6" s="178" t="s">
        <v>148</v>
      </c>
      <c r="E6" s="179" t="s">
        <v>3</v>
      </c>
      <c r="F6" s="179">
        <v>14</v>
      </c>
      <c r="G6" s="179">
        <v>39</v>
      </c>
      <c r="H6" s="179">
        <v>0</v>
      </c>
      <c r="I6" s="179">
        <v>0</v>
      </c>
      <c r="J6" s="179">
        <v>2</v>
      </c>
      <c r="K6" s="179">
        <v>2</v>
      </c>
      <c r="L6" s="179">
        <v>0</v>
      </c>
      <c r="M6" s="179">
        <v>0</v>
      </c>
      <c r="N6" s="179">
        <v>1</v>
      </c>
      <c r="O6" s="179">
        <v>0</v>
      </c>
      <c r="P6" s="179">
        <v>1</v>
      </c>
      <c r="Q6" s="179">
        <v>0</v>
      </c>
      <c r="R6" s="179">
        <v>6</v>
      </c>
      <c r="S6" s="183">
        <v>18604</v>
      </c>
      <c r="T6" s="187" t="s">
        <v>256</v>
      </c>
      <c r="U6" s="185" t="s">
        <v>182</v>
      </c>
      <c r="V6" s="183" t="s">
        <v>255</v>
      </c>
      <c r="W6" s="180" t="s">
        <v>176</v>
      </c>
      <c r="X6" s="186" t="s">
        <v>226</v>
      </c>
      <c r="Y6" s="181">
        <v>1</v>
      </c>
      <c r="Z6" s="181">
        <v>0</v>
      </c>
      <c r="AA6" s="181">
        <v>0</v>
      </c>
      <c r="AB6" s="182">
        <v>1</v>
      </c>
      <c r="AC6" s="181">
        <v>0</v>
      </c>
      <c r="AD6" s="181">
        <v>0</v>
      </c>
      <c r="AE6" s="181">
        <v>0</v>
      </c>
      <c r="AF6" s="182">
        <v>0</v>
      </c>
      <c r="AG6" s="181">
        <v>1</v>
      </c>
      <c r="AH6" s="181">
        <v>0</v>
      </c>
      <c r="AI6" s="181">
        <v>0</v>
      </c>
      <c r="AJ6" s="182">
        <v>1</v>
      </c>
      <c r="AK6" s="181">
        <v>0</v>
      </c>
      <c r="AL6" s="181">
        <v>0</v>
      </c>
      <c r="AM6" s="181">
        <v>0</v>
      </c>
      <c r="AN6" s="182">
        <v>0</v>
      </c>
    </row>
    <row r="7" spans="1:40" ht="14.95" customHeight="1" thickBot="1" x14ac:dyDescent="0.35">
      <c r="A7" s="176" t="s">
        <v>151</v>
      </c>
      <c r="B7" s="178" t="s">
        <v>41</v>
      </c>
      <c r="C7" s="178" t="s">
        <v>32</v>
      </c>
      <c r="D7" s="178" t="s">
        <v>91</v>
      </c>
      <c r="E7" s="179" t="s">
        <v>1</v>
      </c>
      <c r="F7" s="179">
        <v>36</v>
      </c>
      <c r="G7" s="179">
        <v>10</v>
      </c>
      <c r="H7" s="179">
        <v>1</v>
      </c>
      <c r="I7" s="179">
        <v>0</v>
      </c>
      <c r="J7" s="179">
        <v>5</v>
      </c>
      <c r="K7" s="179">
        <v>4</v>
      </c>
      <c r="L7" s="179">
        <v>0</v>
      </c>
      <c r="M7" s="179">
        <v>1</v>
      </c>
      <c r="N7" s="179">
        <v>0</v>
      </c>
      <c r="O7" s="179">
        <v>0</v>
      </c>
      <c r="P7" s="179">
        <v>0</v>
      </c>
      <c r="Q7" s="179">
        <v>0</v>
      </c>
      <c r="R7" s="179">
        <v>1</v>
      </c>
      <c r="S7" s="180">
        <v>3213</v>
      </c>
      <c r="T7" s="349" t="s">
        <v>275</v>
      </c>
      <c r="U7" s="180" t="s">
        <v>231</v>
      </c>
      <c r="V7" s="180" t="s">
        <v>174</v>
      </c>
      <c r="W7" s="180" t="s">
        <v>196</v>
      </c>
      <c r="X7" s="186" t="s">
        <v>274</v>
      </c>
      <c r="Y7" s="181">
        <v>1</v>
      </c>
      <c r="Z7" s="181">
        <v>1</v>
      </c>
      <c r="AA7" s="181">
        <v>0</v>
      </c>
      <c r="AB7" s="182">
        <v>0</v>
      </c>
      <c r="AC7" s="181">
        <v>0</v>
      </c>
      <c r="AD7" s="181">
        <v>0</v>
      </c>
      <c r="AE7" s="181">
        <v>0</v>
      </c>
      <c r="AF7" s="182">
        <v>0</v>
      </c>
      <c r="AG7" s="181">
        <v>1</v>
      </c>
      <c r="AH7" s="181">
        <v>1</v>
      </c>
      <c r="AI7" s="181">
        <v>0</v>
      </c>
      <c r="AJ7" s="182">
        <v>0</v>
      </c>
      <c r="AK7" s="181">
        <v>0</v>
      </c>
      <c r="AL7" s="181">
        <v>0</v>
      </c>
      <c r="AM7" s="181">
        <v>0</v>
      </c>
      <c r="AN7" s="182">
        <v>0</v>
      </c>
    </row>
    <row r="8" spans="1:40" ht="14.95" customHeight="1" thickBot="1" x14ac:dyDescent="0.35">
      <c r="A8" s="412" t="s">
        <v>405</v>
      </c>
      <c r="B8" s="204" t="s">
        <v>180</v>
      </c>
      <c r="C8" s="192" t="s">
        <v>55</v>
      </c>
      <c r="D8" s="413" t="s">
        <v>409</v>
      </c>
      <c r="E8" s="414" t="s">
        <v>1</v>
      </c>
      <c r="F8" s="193">
        <v>38</v>
      </c>
      <c r="G8" s="193">
        <v>18</v>
      </c>
      <c r="H8" s="193" t="s">
        <v>69</v>
      </c>
      <c r="I8" s="193" t="s">
        <v>69</v>
      </c>
      <c r="J8" s="193">
        <v>6</v>
      </c>
      <c r="K8" s="193">
        <v>4</v>
      </c>
      <c r="L8" s="193">
        <v>0</v>
      </c>
      <c r="M8" s="193">
        <v>0</v>
      </c>
      <c r="N8" s="193">
        <v>1</v>
      </c>
      <c r="O8" s="193">
        <v>0</v>
      </c>
      <c r="P8" s="193" t="s">
        <v>69</v>
      </c>
      <c r="Q8" s="193" t="s">
        <v>69</v>
      </c>
      <c r="R8" s="193">
        <v>3</v>
      </c>
      <c r="S8" s="197"/>
      <c r="T8" s="415" t="s">
        <v>232</v>
      </c>
      <c r="U8" s="197" t="s">
        <v>182</v>
      </c>
      <c r="V8" s="197" t="s">
        <v>224</v>
      </c>
      <c r="W8" s="197" t="s">
        <v>240</v>
      </c>
      <c r="X8" s="198" t="s">
        <v>401</v>
      </c>
      <c r="Y8" s="199">
        <v>1</v>
      </c>
      <c r="Z8" s="199">
        <v>1</v>
      </c>
      <c r="AA8" s="199">
        <v>0</v>
      </c>
      <c r="AB8" s="200">
        <v>0</v>
      </c>
      <c r="AC8" s="199">
        <v>1</v>
      </c>
      <c r="AD8" s="199">
        <v>1</v>
      </c>
      <c r="AE8" s="199">
        <v>0</v>
      </c>
      <c r="AF8" s="200">
        <v>0</v>
      </c>
      <c r="AG8" s="199">
        <v>0</v>
      </c>
      <c r="AH8" s="199">
        <v>0</v>
      </c>
      <c r="AI8" s="199">
        <v>0</v>
      </c>
      <c r="AJ8" s="200">
        <v>0</v>
      </c>
      <c r="AK8" s="199">
        <v>0</v>
      </c>
      <c r="AL8" s="199">
        <v>0</v>
      </c>
      <c r="AM8" s="199">
        <v>0</v>
      </c>
      <c r="AN8" s="200">
        <v>0</v>
      </c>
    </row>
    <row r="9" spans="1:40" ht="14.95" customHeight="1" thickBot="1" x14ac:dyDescent="0.3">
      <c r="A9" s="250" t="s">
        <v>440</v>
      </c>
      <c r="B9" s="233" t="s">
        <v>427</v>
      </c>
      <c r="C9" s="211" t="s">
        <v>36</v>
      </c>
      <c r="D9" s="233" t="s">
        <v>436</v>
      </c>
      <c r="E9" s="207" t="s">
        <v>3</v>
      </c>
      <c r="F9" s="207">
        <v>22</v>
      </c>
      <c r="G9" s="207">
        <v>42</v>
      </c>
      <c r="H9" s="207">
        <v>0</v>
      </c>
      <c r="I9" s="207">
        <v>0</v>
      </c>
      <c r="J9" s="207">
        <v>3</v>
      </c>
      <c r="K9" s="207">
        <v>2</v>
      </c>
      <c r="L9" s="207">
        <v>0</v>
      </c>
      <c r="M9" s="207">
        <v>1</v>
      </c>
      <c r="N9" s="207">
        <v>0</v>
      </c>
      <c r="O9" s="207">
        <v>0</v>
      </c>
      <c r="P9" s="207">
        <v>1</v>
      </c>
      <c r="Q9" s="207">
        <v>0</v>
      </c>
      <c r="R9" s="207">
        <v>6</v>
      </c>
      <c r="S9" s="209"/>
      <c r="T9" s="236" t="s">
        <v>443</v>
      </c>
      <c r="U9" s="209" t="s">
        <v>207</v>
      </c>
      <c r="V9" s="209" t="s">
        <v>282</v>
      </c>
      <c r="W9" s="209" t="s">
        <v>173</v>
      </c>
      <c r="X9" s="214" t="s">
        <v>438</v>
      </c>
      <c r="Y9" s="147">
        <v>1</v>
      </c>
      <c r="Z9" s="147">
        <v>0</v>
      </c>
      <c r="AA9" s="147">
        <v>0</v>
      </c>
      <c r="AB9" s="208">
        <v>1</v>
      </c>
      <c r="AC9" s="147">
        <v>0</v>
      </c>
      <c r="AD9" s="147">
        <v>0</v>
      </c>
      <c r="AE9" s="147">
        <v>0</v>
      </c>
      <c r="AF9" s="208">
        <v>0</v>
      </c>
      <c r="AG9" s="147">
        <v>0</v>
      </c>
      <c r="AH9" s="147">
        <v>0</v>
      </c>
      <c r="AI9" s="147">
        <v>0</v>
      </c>
      <c r="AJ9" s="208">
        <v>0</v>
      </c>
      <c r="AK9" s="147">
        <v>1</v>
      </c>
      <c r="AL9" s="147">
        <v>0</v>
      </c>
      <c r="AM9" s="147">
        <v>0</v>
      </c>
      <c r="AN9" s="208">
        <v>1</v>
      </c>
    </row>
    <row r="10" spans="1:40" ht="14.95" customHeight="1" thickBot="1" x14ac:dyDescent="0.3">
      <c r="A10" s="424" t="s">
        <v>458</v>
      </c>
      <c r="B10" s="425" t="s">
        <v>427</v>
      </c>
      <c r="C10" s="188" t="s">
        <v>73</v>
      </c>
      <c r="D10" s="425" t="s">
        <v>449</v>
      </c>
      <c r="E10" s="426" t="s">
        <v>3</v>
      </c>
      <c r="F10" s="141">
        <v>7</v>
      </c>
      <c r="G10" s="141">
        <v>70</v>
      </c>
      <c r="H10" s="141">
        <v>0</v>
      </c>
      <c r="I10" s="141">
        <v>0</v>
      </c>
      <c r="J10" s="141">
        <v>1</v>
      </c>
      <c r="K10" s="141">
        <v>1</v>
      </c>
      <c r="L10" s="141">
        <v>0</v>
      </c>
      <c r="M10" s="141">
        <v>0</v>
      </c>
      <c r="N10" s="141">
        <v>1</v>
      </c>
      <c r="O10" s="141">
        <v>0</v>
      </c>
      <c r="P10" s="141">
        <v>1</v>
      </c>
      <c r="Q10" s="141">
        <v>0</v>
      </c>
      <c r="R10" s="141">
        <v>12</v>
      </c>
      <c r="S10" s="180"/>
      <c r="T10" s="189" t="s">
        <v>247</v>
      </c>
      <c r="U10" s="180" t="s">
        <v>194</v>
      </c>
      <c r="V10" s="180" t="s">
        <v>282</v>
      </c>
      <c r="W10" s="180" t="s">
        <v>175</v>
      </c>
      <c r="X10" s="180" t="s">
        <v>207</v>
      </c>
      <c r="Y10" s="181">
        <v>1</v>
      </c>
      <c r="Z10" s="181">
        <v>0</v>
      </c>
      <c r="AA10" s="181">
        <v>0</v>
      </c>
      <c r="AB10" s="182">
        <v>1</v>
      </c>
      <c r="AC10" s="181">
        <v>0</v>
      </c>
      <c r="AD10" s="181">
        <v>0</v>
      </c>
      <c r="AE10" s="181">
        <v>0</v>
      </c>
      <c r="AF10" s="182">
        <v>0</v>
      </c>
      <c r="AG10" s="181">
        <v>1</v>
      </c>
      <c r="AH10" s="181">
        <v>0</v>
      </c>
      <c r="AI10" s="181">
        <v>0</v>
      </c>
      <c r="AJ10" s="182">
        <v>1</v>
      </c>
      <c r="AK10" s="181">
        <v>0</v>
      </c>
      <c r="AL10" s="181">
        <v>0</v>
      </c>
      <c r="AM10" s="181">
        <v>0</v>
      </c>
      <c r="AN10" s="182">
        <v>0</v>
      </c>
    </row>
    <row r="11" spans="1:40" ht="14.95" customHeight="1" thickBot="1" x14ac:dyDescent="0.3">
      <c r="A11" s="232" t="s">
        <v>464</v>
      </c>
      <c r="B11" s="233" t="s">
        <v>427</v>
      </c>
      <c r="C11" s="233" t="s">
        <v>29</v>
      </c>
      <c r="D11" s="371" t="s">
        <v>470</v>
      </c>
      <c r="E11" s="148" t="s">
        <v>3</v>
      </c>
      <c r="F11" s="207">
        <v>19</v>
      </c>
      <c r="G11" s="207">
        <v>25</v>
      </c>
      <c r="H11" s="207">
        <v>0</v>
      </c>
      <c r="I11" s="207">
        <v>1</v>
      </c>
      <c r="J11" s="207">
        <v>3</v>
      </c>
      <c r="K11" s="207">
        <v>1</v>
      </c>
      <c r="L11" s="207">
        <v>0</v>
      </c>
      <c r="M11" s="207">
        <v>0</v>
      </c>
      <c r="N11" s="207">
        <v>0</v>
      </c>
      <c r="O11" s="207">
        <v>0</v>
      </c>
      <c r="P11" s="207">
        <v>1</v>
      </c>
      <c r="Q11" s="207">
        <v>0</v>
      </c>
      <c r="R11" s="207">
        <v>4</v>
      </c>
      <c r="S11" s="209"/>
      <c r="T11" s="236" t="s">
        <v>473</v>
      </c>
      <c r="U11" s="209" t="s">
        <v>175</v>
      </c>
      <c r="V11" s="209" t="s">
        <v>163</v>
      </c>
      <c r="W11" s="209" t="s">
        <v>207</v>
      </c>
      <c r="X11" s="372" t="s">
        <v>472</v>
      </c>
      <c r="Y11" s="147">
        <v>1</v>
      </c>
      <c r="Z11" s="373">
        <v>0</v>
      </c>
      <c r="AA11" s="373">
        <v>0</v>
      </c>
      <c r="AB11" s="374">
        <v>1</v>
      </c>
      <c r="AC11" s="373">
        <v>0</v>
      </c>
      <c r="AD11" s="373">
        <v>0</v>
      </c>
      <c r="AE11" s="373">
        <v>0</v>
      </c>
      <c r="AF11" s="374">
        <v>0</v>
      </c>
      <c r="AG11" s="373">
        <v>0</v>
      </c>
      <c r="AH11" s="373">
        <v>0</v>
      </c>
      <c r="AI11" s="373">
        <v>0</v>
      </c>
      <c r="AJ11" s="374">
        <v>0</v>
      </c>
      <c r="AK11" s="373">
        <v>1</v>
      </c>
      <c r="AL11" s="373">
        <v>0</v>
      </c>
      <c r="AM11" s="373">
        <v>0</v>
      </c>
      <c r="AN11" s="374">
        <v>1</v>
      </c>
    </row>
    <row r="12" spans="1:40" ht="14.95" thickBot="1" x14ac:dyDescent="0.3">
      <c r="A12" s="117"/>
      <c r="B12" s="118"/>
      <c r="C12" s="553" t="s">
        <v>71</v>
      </c>
      <c r="D12" s="554"/>
      <c r="E12" s="555"/>
      <c r="F12" s="434">
        <f>SUM(F3:F7)</f>
        <v>118</v>
      </c>
      <c r="G12" s="434">
        <f t="shared" ref="G12:R12" si="0">SUM(G3:G7)</f>
        <v>135</v>
      </c>
      <c r="H12" s="434">
        <f t="shared" si="0"/>
        <v>3</v>
      </c>
      <c r="I12" s="434">
        <f t="shared" si="0"/>
        <v>0</v>
      </c>
      <c r="J12" s="434">
        <f t="shared" si="0"/>
        <v>17</v>
      </c>
      <c r="K12" s="434">
        <f t="shared" si="0"/>
        <v>12</v>
      </c>
      <c r="L12" s="434">
        <f t="shared" si="0"/>
        <v>0</v>
      </c>
      <c r="M12" s="434">
        <f t="shared" si="0"/>
        <v>3</v>
      </c>
      <c r="N12" s="434">
        <f t="shared" si="0"/>
        <v>2</v>
      </c>
      <c r="O12" s="434">
        <f t="shared" si="0"/>
        <v>0</v>
      </c>
      <c r="P12" s="434">
        <f t="shared" si="0"/>
        <v>2</v>
      </c>
      <c r="Q12" s="434">
        <f t="shared" si="0"/>
        <v>0</v>
      </c>
      <c r="R12" s="434">
        <f t="shared" si="0"/>
        <v>20</v>
      </c>
      <c r="S12" s="435"/>
      <c r="T12" s="435"/>
      <c r="U12" s="435"/>
      <c r="V12" s="435"/>
      <c r="W12" s="436"/>
      <c r="X12" s="437" t="s">
        <v>71</v>
      </c>
      <c r="Y12" s="434">
        <f t="shared" ref="Y12:AN12" si="1">SUM(Y3:Y7)</f>
        <v>5</v>
      </c>
      <c r="Z12" s="434">
        <f t="shared" si="1"/>
        <v>3</v>
      </c>
      <c r="AA12" s="434">
        <f t="shared" si="1"/>
        <v>0</v>
      </c>
      <c r="AB12" s="434">
        <f t="shared" si="1"/>
        <v>2</v>
      </c>
      <c r="AC12" s="438">
        <f t="shared" si="1"/>
        <v>2</v>
      </c>
      <c r="AD12" s="438">
        <f t="shared" si="1"/>
        <v>1</v>
      </c>
      <c r="AE12" s="438">
        <f t="shared" si="1"/>
        <v>0</v>
      </c>
      <c r="AF12" s="438">
        <f t="shared" si="1"/>
        <v>1</v>
      </c>
      <c r="AG12" s="439">
        <f t="shared" si="1"/>
        <v>3</v>
      </c>
      <c r="AH12" s="439">
        <f t="shared" si="1"/>
        <v>2</v>
      </c>
      <c r="AI12" s="439">
        <f t="shared" si="1"/>
        <v>0</v>
      </c>
      <c r="AJ12" s="439">
        <f t="shared" si="1"/>
        <v>1</v>
      </c>
      <c r="AK12" s="434">
        <f t="shared" si="1"/>
        <v>0</v>
      </c>
      <c r="AL12" s="434">
        <f t="shared" si="1"/>
        <v>0</v>
      </c>
      <c r="AM12" s="434">
        <f t="shared" si="1"/>
        <v>0</v>
      </c>
      <c r="AN12" s="434">
        <f t="shared" si="1"/>
        <v>0</v>
      </c>
    </row>
    <row r="13" spans="1:40" ht="14.95" thickBot="1" x14ac:dyDescent="0.3">
      <c r="A13" s="117"/>
      <c r="B13" s="118"/>
      <c r="C13" s="561" t="s">
        <v>78</v>
      </c>
      <c r="D13" s="662"/>
      <c r="E13" s="663"/>
      <c r="F13" s="123">
        <f>SUM(F8)</f>
        <v>38</v>
      </c>
      <c r="G13" s="123">
        <f>SUM(G8)</f>
        <v>18</v>
      </c>
      <c r="H13" s="123" t="s">
        <v>69</v>
      </c>
      <c r="I13" s="123" t="s">
        <v>69</v>
      </c>
      <c r="J13" s="123">
        <f t="shared" ref="J13:O13" si="2">SUM(J8)</f>
        <v>6</v>
      </c>
      <c r="K13" s="123">
        <f t="shared" si="2"/>
        <v>4</v>
      </c>
      <c r="L13" s="123">
        <f t="shared" si="2"/>
        <v>0</v>
      </c>
      <c r="M13" s="123">
        <f t="shared" si="2"/>
        <v>0</v>
      </c>
      <c r="N13" s="123">
        <f t="shared" si="2"/>
        <v>1</v>
      </c>
      <c r="O13" s="123">
        <f t="shared" si="2"/>
        <v>0</v>
      </c>
      <c r="P13" s="123" t="s">
        <v>69</v>
      </c>
      <c r="Q13" s="123" t="s">
        <v>69</v>
      </c>
      <c r="R13" s="123">
        <f>SUM(R8)</f>
        <v>3</v>
      </c>
      <c r="S13" s="119"/>
      <c r="T13" s="119"/>
      <c r="U13" s="119"/>
      <c r="V13" s="119"/>
      <c r="W13" s="120"/>
      <c r="X13" s="149" t="s">
        <v>78</v>
      </c>
      <c r="Y13" s="123">
        <f t="shared" ref="Y13:AN13" si="3">SUM(Y8)</f>
        <v>1</v>
      </c>
      <c r="Z13" s="123">
        <f t="shared" si="3"/>
        <v>1</v>
      </c>
      <c r="AA13" s="123">
        <f t="shared" si="3"/>
        <v>0</v>
      </c>
      <c r="AB13" s="123">
        <f t="shared" si="3"/>
        <v>0</v>
      </c>
      <c r="AC13" s="121">
        <f t="shared" si="3"/>
        <v>1</v>
      </c>
      <c r="AD13" s="121">
        <f t="shared" si="3"/>
        <v>1</v>
      </c>
      <c r="AE13" s="121">
        <f t="shared" si="3"/>
        <v>0</v>
      </c>
      <c r="AF13" s="121">
        <f t="shared" si="3"/>
        <v>0</v>
      </c>
      <c r="AG13" s="122">
        <f t="shared" si="3"/>
        <v>0</v>
      </c>
      <c r="AH13" s="122">
        <f t="shared" si="3"/>
        <v>0</v>
      </c>
      <c r="AI13" s="122">
        <f t="shared" si="3"/>
        <v>0</v>
      </c>
      <c r="AJ13" s="122">
        <f t="shared" si="3"/>
        <v>0</v>
      </c>
      <c r="AK13" s="123">
        <f t="shared" si="3"/>
        <v>0</v>
      </c>
      <c r="AL13" s="123">
        <f t="shared" si="3"/>
        <v>0</v>
      </c>
      <c r="AM13" s="123">
        <f t="shared" si="3"/>
        <v>0</v>
      </c>
      <c r="AN13" s="123">
        <f t="shared" si="3"/>
        <v>0</v>
      </c>
    </row>
    <row r="14" spans="1:40" ht="14.95" thickBot="1" x14ac:dyDescent="0.3">
      <c r="A14" s="117"/>
      <c r="B14" s="118"/>
      <c r="C14" s="409" t="s">
        <v>427</v>
      </c>
      <c r="D14" s="410"/>
      <c r="E14" s="411"/>
      <c r="F14" s="430">
        <f>SUM(F9:F11)</f>
        <v>48</v>
      </c>
      <c r="G14" s="430">
        <f t="shared" ref="G14:R14" si="4">SUM(G9:G11)</f>
        <v>137</v>
      </c>
      <c r="H14" s="430">
        <f t="shared" si="4"/>
        <v>0</v>
      </c>
      <c r="I14" s="430">
        <f t="shared" si="4"/>
        <v>1</v>
      </c>
      <c r="J14" s="430">
        <f t="shared" si="4"/>
        <v>7</v>
      </c>
      <c r="K14" s="430">
        <f t="shared" si="4"/>
        <v>4</v>
      </c>
      <c r="L14" s="430">
        <f t="shared" si="4"/>
        <v>0</v>
      </c>
      <c r="M14" s="430">
        <f t="shared" si="4"/>
        <v>1</v>
      </c>
      <c r="N14" s="430">
        <f t="shared" si="4"/>
        <v>1</v>
      </c>
      <c r="O14" s="430">
        <f t="shared" si="4"/>
        <v>0</v>
      </c>
      <c r="P14" s="430">
        <f t="shared" si="4"/>
        <v>3</v>
      </c>
      <c r="Q14" s="430">
        <f t="shared" si="4"/>
        <v>0</v>
      </c>
      <c r="R14" s="430">
        <f t="shared" si="4"/>
        <v>22</v>
      </c>
      <c r="S14" s="431"/>
      <c r="T14" s="431"/>
      <c r="U14" s="431"/>
      <c r="V14" s="431"/>
      <c r="W14" s="116"/>
      <c r="X14" s="150" t="s">
        <v>427</v>
      </c>
      <c r="Y14" s="430">
        <f t="shared" ref="Y14:AN14" si="5">SUM(Y9:Y11)</f>
        <v>3</v>
      </c>
      <c r="Z14" s="430">
        <f t="shared" si="5"/>
        <v>0</v>
      </c>
      <c r="AA14" s="430">
        <f t="shared" si="5"/>
        <v>0</v>
      </c>
      <c r="AB14" s="430">
        <f t="shared" si="5"/>
        <v>3</v>
      </c>
      <c r="AC14" s="432">
        <f t="shared" si="5"/>
        <v>0</v>
      </c>
      <c r="AD14" s="432">
        <f t="shared" si="5"/>
        <v>0</v>
      </c>
      <c r="AE14" s="432">
        <f t="shared" si="5"/>
        <v>0</v>
      </c>
      <c r="AF14" s="432">
        <f t="shared" si="5"/>
        <v>0</v>
      </c>
      <c r="AG14" s="433">
        <f t="shared" si="5"/>
        <v>1</v>
      </c>
      <c r="AH14" s="433">
        <f t="shared" si="5"/>
        <v>0</v>
      </c>
      <c r="AI14" s="433">
        <f t="shared" si="5"/>
        <v>0</v>
      </c>
      <c r="AJ14" s="433">
        <f t="shared" si="5"/>
        <v>1</v>
      </c>
      <c r="AK14" s="430">
        <f t="shared" si="5"/>
        <v>2</v>
      </c>
      <c r="AL14" s="430">
        <f t="shared" si="5"/>
        <v>0</v>
      </c>
      <c r="AM14" s="430">
        <f t="shared" si="5"/>
        <v>0</v>
      </c>
      <c r="AN14" s="430">
        <f t="shared" si="5"/>
        <v>2</v>
      </c>
    </row>
    <row r="15" spans="1:40" ht="14.95" thickBot="1" x14ac:dyDescent="0.3">
      <c r="A15" s="117"/>
      <c r="B15" s="118"/>
      <c r="C15" s="515" t="s">
        <v>70</v>
      </c>
      <c r="D15" s="516"/>
      <c r="E15" s="517"/>
      <c r="F15" s="142">
        <f t="shared" ref="F15:R15" si="6">SUM(F3:F11)</f>
        <v>204</v>
      </c>
      <c r="G15" s="142">
        <f t="shared" si="6"/>
        <v>290</v>
      </c>
      <c r="H15" s="142">
        <f t="shared" si="6"/>
        <v>3</v>
      </c>
      <c r="I15" s="142">
        <f t="shared" si="6"/>
        <v>1</v>
      </c>
      <c r="J15" s="142">
        <f t="shared" si="6"/>
        <v>30</v>
      </c>
      <c r="K15" s="142">
        <f t="shared" si="6"/>
        <v>20</v>
      </c>
      <c r="L15" s="142">
        <f t="shared" si="6"/>
        <v>0</v>
      </c>
      <c r="M15" s="142">
        <f t="shared" si="6"/>
        <v>4</v>
      </c>
      <c r="N15" s="142">
        <f t="shared" si="6"/>
        <v>4</v>
      </c>
      <c r="O15" s="142">
        <f t="shared" si="6"/>
        <v>0</v>
      </c>
      <c r="P15" s="142">
        <f t="shared" si="6"/>
        <v>5</v>
      </c>
      <c r="Q15" s="142">
        <f t="shared" si="6"/>
        <v>0</v>
      </c>
      <c r="R15" s="142">
        <f t="shared" si="6"/>
        <v>45</v>
      </c>
      <c r="S15" s="139"/>
      <c r="T15" s="139"/>
      <c r="U15" s="139"/>
      <c r="V15" s="139"/>
      <c r="W15" s="12"/>
      <c r="X15" s="147" t="s">
        <v>70</v>
      </c>
      <c r="Y15" s="142">
        <f t="shared" ref="Y15:AN15" si="7">SUM(Y3:Y11)</f>
        <v>9</v>
      </c>
      <c r="Z15" s="142">
        <f t="shared" si="7"/>
        <v>4</v>
      </c>
      <c r="AA15" s="142">
        <f t="shared" si="7"/>
        <v>0</v>
      </c>
      <c r="AB15" s="142">
        <f t="shared" si="7"/>
        <v>5</v>
      </c>
      <c r="AC15" s="140">
        <f t="shared" si="7"/>
        <v>3</v>
      </c>
      <c r="AD15" s="140">
        <f t="shared" si="7"/>
        <v>2</v>
      </c>
      <c r="AE15" s="140">
        <f t="shared" si="7"/>
        <v>0</v>
      </c>
      <c r="AF15" s="140">
        <f t="shared" si="7"/>
        <v>1</v>
      </c>
      <c r="AG15" s="141">
        <f t="shared" si="7"/>
        <v>4</v>
      </c>
      <c r="AH15" s="141">
        <f t="shared" si="7"/>
        <v>2</v>
      </c>
      <c r="AI15" s="141">
        <f t="shared" si="7"/>
        <v>0</v>
      </c>
      <c r="AJ15" s="141">
        <f t="shared" si="7"/>
        <v>2</v>
      </c>
      <c r="AK15" s="142">
        <f t="shared" si="7"/>
        <v>2</v>
      </c>
      <c r="AL15" s="142">
        <f t="shared" si="7"/>
        <v>0</v>
      </c>
      <c r="AM15" s="142">
        <f t="shared" si="7"/>
        <v>0</v>
      </c>
      <c r="AN15" s="142">
        <f t="shared" si="7"/>
        <v>2</v>
      </c>
    </row>
    <row r="16" spans="1:40" x14ac:dyDescent="0.25">
      <c r="A16" s="564"/>
      <c r="B16" s="661"/>
      <c r="C16" s="661"/>
      <c r="D16" s="661"/>
      <c r="E16" s="661"/>
      <c r="F16" s="661"/>
      <c r="G16" s="661"/>
      <c r="H16" s="661"/>
      <c r="I16" s="661"/>
      <c r="J16" s="661"/>
      <c r="K16" s="661"/>
      <c r="L16" s="661"/>
      <c r="M16" s="661"/>
      <c r="N16" s="661"/>
      <c r="O16" s="661"/>
      <c r="P16" s="661"/>
      <c r="Q16" s="661"/>
      <c r="R16" s="661"/>
      <c r="S16" s="661"/>
      <c r="T16" s="661"/>
      <c r="U16" s="661"/>
      <c r="V16" s="661"/>
      <c r="W16" s="661"/>
      <c r="X16" s="661"/>
      <c r="Y16" s="661"/>
      <c r="Z16" s="661"/>
      <c r="AA16" s="661"/>
      <c r="AB16" s="661"/>
      <c r="AC16" s="661"/>
      <c r="AD16" s="661"/>
      <c r="AE16" s="661"/>
      <c r="AF16" s="661"/>
      <c r="AG16" s="661"/>
      <c r="AH16" s="661"/>
      <c r="AI16" s="661"/>
      <c r="AJ16" s="661"/>
      <c r="AK16" s="661"/>
      <c r="AL16" s="661"/>
      <c r="AM16" s="661"/>
      <c r="AN16" s="661"/>
    </row>
    <row r="17" spans="1:40" x14ac:dyDescent="0.25">
      <c r="A17" s="518" t="s">
        <v>80</v>
      </c>
      <c r="B17" s="490"/>
      <c r="C17" s="490"/>
      <c r="D17" s="490"/>
      <c r="E17" s="490"/>
      <c r="F17" s="490"/>
      <c r="G17" s="490"/>
      <c r="H17" s="490"/>
      <c r="I17" s="490"/>
      <c r="J17" s="490"/>
      <c r="K17" s="490"/>
      <c r="L17" s="490"/>
      <c r="M17" s="490"/>
      <c r="N17" s="490"/>
      <c r="O17" s="490"/>
      <c r="P17" s="490"/>
      <c r="Q17" s="490"/>
      <c r="R17" s="490"/>
      <c r="S17" s="490"/>
      <c r="T17" s="490"/>
      <c r="U17" s="490"/>
      <c r="V17" s="490"/>
      <c r="W17" s="490"/>
      <c r="X17" s="490"/>
      <c r="Y17" s="490"/>
      <c r="Z17" s="490"/>
      <c r="AA17" s="490"/>
      <c r="AB17" s="490"/>
      <c r="AC17" s="490"/>
      <c r="AD17" s="490"/>
      <c r="AE17" s="490"/>
      <c r="AF17" s="490"/>
      <c r="AG17" s="490"/>
      <c r="AH17" s="490"/>
      <c r="AI17" s="490"/>
      <c r="AJ17" s="490"/>
      <c r="AK17" s="490"/>
      <c r="AL17" s="490"/>
      <c r="AM17" s="490"/>
      <c r="AN17" s="490"/>
    </row>
    <row r="18" spans="1:40" x14ac:dyDescent="0.25">
      <c r="A18" s="237" t="s">
        <v>150</v>
      </c>
      <c r="F18" s="13"/>
      <c r="G18" s="13"/>
      <c r="H18" s="12"/>
      <c r="I18" s="13"/>
      <c r="J18" s="13"/>
      <c r="K18" s="13"/>
      <c r="L18" s="13"/>
      <c r="M18" s="13"/>
      <c r="N18" s="13"/>
      <c r="O18" s="13"/>
      <c r="P18" s="13"/>
      <c r="Q18" s="13"/>
      <c r="R18" s="13"/>
    </row>
    <row r="19" spans="1:40" x14ac:dyDescent="0.25">
      <c r="A19" t="s">
        <v>410</v>
      </c>
      <c r="F19" s="13"/>
    </row>
    <row r="20" spans="1:40" x14ac:dyDescent="0.25">
      <c r="A20" s="427" t="s">
        <v>450</v>
      </c>
    </row>
    <row r="21" spans="1:40" x14ac:dyDescent="0.25">
      <c r="A21" s="427" t="s">
        <v>474</v>
      </c>
    </row>
    <row r="22" spans="1:40" x14ac:dyDescent="0.25">
      <c r="A22" s="427" t="s">
        <v>476</v>
      </c>
    </row>
    <row r="23" spans="1:40" x14ac:dyDescent="0.25">
      <c r="A23" s="440"/>
      <c r="B23" s="73" t="s">
        <v>40</v>
      </c>
      <c r="C23" s="73"/>
    </row>
    <row r="24" spans="1:40" x14ac:dyDescent="0.25">
      <c r="A24" s="441"/>
      <c r="B24" s="73" t="s">
        <v>38</v>
      </c>
      <c r="C24" s="73"/>
    </row>
    <row r="25" spans="1:40" x14ac:dyDescent="0.25">
      <c r="A25" s="442"/>
      <c r="B25" s="73" t="s">
        <v>39</v>
      </c>
      <c r="C25" s="73"/>
    </row>
    <row r="26" spans="1:40" x14ac:dyDescent="0.25">
      <c r="A26" s="14" t="s">
        <v>28</v>
      </c>
    </row>
  </sheetData>
  <mergeCells count="15">
    <mergeCell ref="A17:AN17"/>
    <mergeCell ref="A16:AN16"/>
    <mergeCell ref="C13:E13"/>
    <mergeCell ref="C15:E15"/>
    <mergeCell ref="Y1:AB1"/>
    <mergeCell ref="AC1:AF1"/>
    <mergeCell ref="AG1:AJ1"/>
    <mergeCell ref="AK1:AN1"/>
    <mergeCell ref="C12:E12"/>
    <mergeCell ref="P1:R1"/>
    <mergeCell ref="A1:C1"/>
    <mergeCell ref="E1:G1"/>
    <mergeCell ref="H1:I1"/>
    <mergeCell ref="J1:M1"/>
    <mergeCell ref="N1:O1"/>
  </mergeCells>
  <pageMargins left="0.7" right="0.7" top="0.75" bottom="0.75" header="0.3" footer="0.3"/>
  <pageSetup paperSize="9" orientation="portrait" r:id="rId1"/>
  <ignoredErrors>
    <ignoredError sqref="F12:R12 F14:R14 Y12:AN1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8"/>
  <sheetViews>
    <sheetView workbookViewId="0">
      <selection activeCell="L21" sqref="L21"/>
    </sheetView>
  </sheetViews>
  <sheetFormatPr defaultRowHeight="14.3" x14ac:dyDescent="0.25"/>
  <cols>
    <col min="1" max="1" width="10.75" bestFit="1" customWidth="1"/>
    <col min="2" max="2" width="7.875" bestFit="1" customWidth="1"/>
    <col min="3" max="5" width="3.75" customWidth="1"/>
    <col min="6" max="6" width="5" bestFit="1" customWidth="1"/>
    <col min="7" max="7" width="2.75" customWidth="1"/>
    <col min="8" max="11" width="3.75" customWidth="1"/>
    <col min="12" max="15" width="11.125" customWidth="1"/>
  </cols>
  <sheetData>
    <row r="1" spans="1:15" x14ac:dyDescent="0.25">
      <c r="B1" s="73" t="s">
        <v>94</v>
      </c>
      <c r="F1" s="493">
        <v>2023</v>
      </c>
      <c r="G1" s="494"/>
      <c r="H1" s="494"/>
    </row>
    <row r="2" spans="1:15" x14ac:dyDescent="0.25">
      <c r="A2" s="240">
        <v>45010</v>
      </c>
      <c r="B2" s="378" t="s">
        <v>170</v>
      </c>
      <c r="C2" s="491" t="s">
        <v>31</v>
      </c>
      <c r="D2" s="492"/>
      <c r="E2" s="492"/>
      <c r="F2" s="241">
        <v>31</v>
      </c>
      <c r="G2" s="242" t="s">
        <v>93</v>
      </c>
      <c r="H2" s="244">
        <v>5</v>
      </c>
      <c r="I2" s="487" t="s">
        <v>35</v>
      </c>
      <c r="J2" s="488"/>
      <c r="K2" s="488"/>
      <c r="L2" s="491" t="s">
        <v>167</v>
      </c>
      <c r="M2" s="491"/>
      <c r="N2" s="491"/>
      <c r="O2" s="490"/>
    </row>
    <row r="3" spans="1:15" x14ac:dyDescent="0.25">
      <c r="A3" s="240">
        <v>45010</v>
      </c>
      <c r="B3" s="378" t="s">
        <v>169</v>
      </c>
      <c r="C3" s="491" t="s">
        <v>30</v>
      </c>
      <c r="D3" s="492"/>
      <c r="E3" s="492"/>
      <c r="F3" s="241">
        <v>58</v>
      </c>
      <c r="G3" s="242" t="s">
        <v>93</v>
      </c>
      <c r="H3" s="244">
        <v>7</v>
      </c>
      <c r="I3" s="487" t="s">
        <v>34</v>
      </c>
      <c r="J3" s="488"/>
      <c r="K3" s="488"/>
      <c r="L3" s="491" t="s">
        <v>159</v>
      </c>
      <c r="M3" s="491"/>
      <c r="N3" s="491"/>
      <c r="O3" s="490"/>
    </row>
    <row r="4" spans="1:15" x14ac:dyDescent="0.25">
      <c r="A4" s="240">
        <v>45011</v>
      </c>
      <c r="B4" s="378" t="s">
        <v>171</v>
      </c>
      <c r="C4" s="489" t="s">
        <v>32</v>
      </c>
      <c r="D4" s="489"/>
      <c r="E4" s="489"/>
      <c r="F4" s="241">
        <v>12</v>
      </c>
      <c r="G4" s="242" t="s">
        <v>93</v>
      </c>
      <c r="H4" s="244">
        <v>22</v>
      </c>
      <c r="I4" s="495" t="s">
        <v>33</v>
      </c>
      <c r="J4" s="495"/>
      <c r="K4" s="495"/>
      <c r="L4" s="489" t="s">
        <v>168</v>
      </c>
      <c r="M4" s="489"/>
      <c r="N4" s="489"/>
      <c r="O4" s="490"/>
    </row>
    <row r="5" spans="1:15" x14ac:dyDescent="0.25">
      <c r="A5" s="240">
        <v>45017</v>
      </c>
      <c r="B5" s="378" t="s">
        <v>201</v>
      </c>
      <c r="C5" s="491" t="s">
        <v>35</v>
      </c>
      <c r="D5" s="492"/>
      <c r="E5" s="492"/>
      <c r="F5" s="241">
        <v>3</v>
      </c>
      <c r="G5" s="242" t="s">
        <v>93</v>
      </c>
      <c r="H5" s="244">
        <v>53</v>
      </c>
      <c r="I5" s="241" t="s">
        <v>33</v>
      </c>
      <c r="J5" s="241"/>
      <c r="K5" s="241"/>
      <c r="L5" s="489" t="s">
        <v>203</v>
      </c>
      <c r="M5" s="489"/>
      <c r="N5" s="489"/>
      <c r="O5" s="490"/>
    </row>
    <row r="6" spans="1:15" x14ac:dyDescent="0.25">
      <c r="A6" s="240">
        <v>45017</v>
      </c>
      <c r="B6" s="378" t="s">
        <v>202</v>
      </c>
      <c r="C6" s="489" t="s">
        <v>34</v>
      </c>
      <c r="D6" s="489"/>
      <c r="E6" s="489"/>
      <c r="F6" s="241">
        <v>22</v>
      </c>
      <c r="G6" s="242" t="s">
        <v>93</v>
      </c>
      <c r="H6" s="244">
        <v>34</v>
      </c>
      <c r="I6" s="241" t="s">
        <v>31</v>
      </c>
      <c r="J6" s="241"/>
      <c r="K6" s="241"/>
      <c r="L6" s="489" t="s">
        <v>216</v>
      </c>
      <c r="M6" s="489"/>
      <c r="N6" s="489"/>
      <c r="O6" s="490"/>
    </row>
    <row r="7" spans="1:15" x14ac:dyDescent="0.25">
      <c r="A7" s="240">
        <v>45018</v>
      </c>
      <c r="B7" s="378" t="s">
        <v>171</v>
      </c>
      <c r="C7" s="491" t="s">
        <v>30</v>
      </c>
      <c r="D7" s="492"/>
      <c r="E7" s="492"/>
      <c r="F7" s="241">
        <v>68</v>
      </c>
      <c r="G7" s="242" t="s">
        <v>93</v>
      </c>
      <c r="H7" s="244">
        <v>5</v>
      </c>
      <c r="I7" s="241" t="s">
        <v>32</v>
      </c>
      <c r="J7" s="241"/>
      <c r="K7" s="241"/>
      <c r="L7" s="489" t="s">
        <v>235</v>
      </c>
      <c r="M7" s="489"/>
      <c r="N7" s="489"/>
      <c r="O7" s="490"/>
    </row>
    <row r="8" spans="1:15" x14ac:dyDescent="0.25">
      <c r="A8" s="240">
        <v>45031</v>
      </c>
      <c r="B8" s="378" t="s">
        <v>170</v>
      </c>
      <c r="C8" s="489" t="s">
        <v>31</v>
      </c>
      <c r="D8" s="489"/>
      <c r="E8" s="489"/>
      <c r="F8" s="241">
        <v>3</v>
      </c>
      <c r="G8" s="242" t="s">
        <v>93</v>
      </c>
      <c r="H8" s="244">
        <v>59</v>
      </c>
      <c r="I8" s="241" t="s">
        <v>30</v>
      </c>
      <c r="J8" s="241"/>
      <c r="K8" s="241"/>
      <c r="L8" s="489" t="s">
        <v>167</v>
      </c>
      <c r="M8" s="489"/>
      <c r="N8" s="489"/>
      <c r="O8" s="490"/>
    </row>
    <row r="9" spans="1:15" x14ac:dyDescent="0.25">
      <c r="A9" s="240">
        <v>45031</v>
      </c>
      <c r="B9" s="378" t="s">
        <v>234</v>
      </c>
      <c r="C9" s="491" t="s">
        <v>32</v>
      </c>
      <c r="D9" s="492"/>
      <c r="E9" s="492"/>
      <c r="F9" s="241">
        <v>24</v>
      </c>
      <c r="G9" s="242" t="s">
        <v>93</v>
      </c>
      <c r="H9" s="244">
        <v>7</v>
      </c>
      <c r="I9" s="241" t="s">
        <v>35</v>
      </c>
      <c r="J9" s="241"/>
      <c r="K9" s="241"/>
      <c r="L9" s="489" t="s">
        <v>168</v>
      </c>
      <c r="M9" s="489"/>
      <c r="N9" s="489"/>
      <c r="O9" s="490"/>
    </row>
    <row r="10" spans="1:15" x14ac:dyDescent="0.25">
      <c r="A10" s="240">
        <v>45032</v>
      </c>
      <c r="B10" s="378" t="s">
        <v>170</v>
      </c>
      <c r="C10" s="489" t="s">
        <v>33</v>
      </c>
      <c r="D10" s="489"/>
      <c r="E10" s="489"/>
      <c r="F10" s="241">
        <v>55</v>
      </c>
      <c r="G10" s="242" t="s">
        <v>93</v>
      </c>
      <c r="H10" s="244">
        <v>0</v>
      </c>
      <c r="I10" s="495" t="s">
        <v>34</v>
      </c>
      <c r="J10" s="495"/>
      <c r="K10" s="495"/>
      <c r="L10" s="491" t="s">
        <v>238</v>
      </c>
      <c r="M10" s="491"/>
      <c r="N10" s="491"/>
      <c r="O10" s="490"/>
    </row>
    <row r="11" spans="1:15" x14ac:dyDescent="0.25">
      <c r="A11" s="240">
        <v>45038</v>
      </c>
      <c r="B11" s="378" t="s">
        <v>170</v>
      </c>
      <c r="C11" s="489" t="s">
        <v>35</v>
      </c>
      <c r="D11" s="489"/>
      <c r="E11" s="489"/>
      <c r="F11" s="241">
        <v>0</v>
      </c>
      <c r="G11" s="242" t="s">
        <v>93</v>
      </c>
      <c r="H11" s="244">
        <v>48</v>
      </c>
      <c r="I11" s="241" t="s">
        <v>30</v>
      </c>
      <c r="J11" s="241"/>
      <c r="K11" s="241"/>
      <c r="L11" s="489" t="s">
        <v>203</v>
      </c>
      <c r="M11" s="489"/>
      <c r="N11" s="489"/>
      <c r="O11" s="490"/>
    </row>
    <row r="12" spans="1:15" x14ac:dyDescent="0.25">
      <c r="A12" s="240">
        <v>45038</v>
      </c>
      <c r="B12" s="378" t="s">
        <v>169</v>
      </c>
      <c r="C12" s="491" t="s">
        <v>34</v>
      </c>
      <c r="D12" s="492"/>
      <c r="E12" s="492"/>
      <c r="F12" s="241">
        <v>29</v>
      </c>
      <c r="G12" s="242" t="s">
        <v>93</v>
      </c>
      <c r="H12" s="244">
        <v>21</v>
      </c>
      <c r="I12" s="241" t="s">
        <v>32</v>
      </c>
      <c r="J12" s="241"/>
      <c r="K12" s="241"/>
      <c r="L12" s="489" t="s">
        <v>216</v>
      </c>
      <c r="M12" s="489"/>
      <c r="N12" s="489"/>
      <c r="O12" s="490"/>
    </row>
    <row r="13" spans="1:15" x14ac:dyDescent="0.25">
      <c r="A13" s="240">
        <v>41387</v>
      </c>
      <c r="B13" s="378" t="s">
        <v>201</v>
      </c>
      <c r="C13" s="489" t="s">
        <v>33</v>
      </c>
      <c r="D13" s="489"/>
      <c r="E13" s="489"/>
      <c r="F13" s="241">
        <v>39</v>
      </c>
      <c r="G13" s="242" t="s">
        <v>93</v>
      </c>
      <c r="H13" s="244">
        <v>14</v>
      </c>
      <c r="I13" s="487" t="s">
        <v>31</v>
      </c>
      <c r="J13" s="490"/>
      <c r="K13" s="490"/>
      <c r="L13" s="491" t="s">
        <v>253</v>
      </c>
      <c r="M13" s="492"/>
      <c r="N13" s="492"/>
      <c r="O13" s="490"/>
    </row>
    <row r="14" spans="1:15" x14ac:dyDescent="0.25">
      <c r="A14" s="240">
        <v>45045</v>
      </c>
      <c r="B14" s="378" t="s">
        <v>264</v>
      </c>
      <c r="C14" s="491" t="s">
        <v>30</v>
      </c>
      <c r="D14" s="492"/>
      <c r="E14" s="492"/>
      <c r="F14" s="241">
        <v>38</v>
      </c>
      <c r="G14" s="242" t="s">
        <v>93</v>
      </c>
      <c r="H14" s="244">
        <v>33</v>
      </c>
      <c r="I14" s="241" t="s">
        <v>33</v>
      </c>
      <c r="J14" s="241"/>
      <c r="K14" s="241"/>
      <c r="L14" s="489" t="s">
        <v>263</v>
      </c>
      <c r="M14" s="489"/>
      <c r="N14" s="489"/>
      <c r="O14" s="490"/>
    </row>
    <row r="15" spans="1:15" x14ac:dyDescent="0.25">
      <c r="A15" s="240">
        <v>45045</v>
      </c>
      <c r="B15" s="378" t="s">
        <v>264</v>
      </c>
      <c r="C15" s="491" t="s">
        <v>32</v>
      </c>
      <c r="D15" s="492"/>
      <c r="E15" s="492"/>
      <c r="F15" s="241">
        <v>10</v>
      </c>
      <c r="G15" s="242" t="s">
        <v>93</v>
      </c>
      <c r="H15" s="244">
        <v>36</v>
      </c>
      <c r="I15" s="241" t="s">
        <v>31</v>
      </c>
      <c r="J15" s="241"/>
      <c r="K15" s="241"/>
      <c r="L15" s="489" t="s">
        <v>168</v>
      </c>
      <c r="M15" s="489"/>
      <c r="N15" s="489"/>
      <c r="O15" s="490"/>
    </row>
    <row r="16" spans="1:15" x14ac:dyDescent="0.25">
      <c r="A16" s="240">
        <v>45045</v>
      </c>
      <c r="B16" s="378" t="s">
        <v>260</v>
      </c>
      <c r="C16" s="491" t="s">
        <v>34</v>
      </c>
      <c r="D16" s="492"/>
      <c r="E16" s="492"/>
      <c r="F16" s="241">
        <v>36</v>
      </c>
      <c r="G16" s="242" t="s">
        <v>93</v>
      </c>
      <c r="H16" s="244">
        <v>10</v>
      </c>
      <c r="I16" s="241" t="s">
        <v>35</v>
      </c>
      <c r="J16" s="241"/>
      <c r="K16" s="241"/>
      <c r="L16" s="489" t="s">
        <v>216</v>
      </c>
      <c r="M16" s="489"/>
      <c r="N16" s="489"/>
      <c r="O16" s="490"/>
    </row>
    <row r="18" spans="1:1" x14ac:dyDescent="0.25">
      <c r="A18" s="152" t="s">
        <v>28</v>
      </c>
    </row>
  </sheetData>
  <mergeCells count="36">
    <mergeCell ref="C16:E16"/>
    <mergeCell ref="L16:O16"/>
    <mergeCell ref="C14:E14"/>
    <mergeCell ref="L14:O14"/>
    <mergeCell ref="L15:O15"/>
    <mergeCell ref="C15:E15"/>
    <mergeCell ref="L5:O5"/>
    <mergeCell ref="C4:E4"/>
    <mergeCell ref="I4:K4"/>
    <mergeCell ref="C9:E9"/>
    <mergeCell ref="C10:E10"/>
    <mergeCell ref="I10:K10"/>
    <mergeCell ref="C8:E8"/>
    <mergeCell ref="C6:E6"/>
    <mergeCell ref="C2:E2"/>
    <mergeCell ref="C3:E3"/>
    <mergeCell ref="C11:E11"/>
    <mergeCell ref="C12:E12"/>
    <mergeCell ref="C5:E5"/>
    <mergeCell ref="C7:E7"/>
    <mergeCell ref="I3:K3"/>
    <mergeCell ref="C13:E13"/>
    <mergeCell ref="I13:K13"/>
    <mergeCell ref="L13:O13"/>
    <mergeCell ref="F1:H1"/>
    <mergeCell ref="L2:O2"/>
    <mergeCell ref="L3:O3"/>
    <mergeCell ref="L4:O4"/>
    <mergeCell ref="L6:O6"/>
    <mergeCell ref="L7:O7"/>
    <mergeCell ref="L8:O8"/>
    <mergeCell ref="L9:O9"/>
    <mergeCell ref="L10:O10"/>
    <mergeCell ref="L11:O11"/>
    <mergeCell ref="L12:O12"/>
    <mergeCell ref="I2:K2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4"/>
  <sheetViews>
    <sheetView workbookViewId="0">
      <selection activeCell="C4" sqref="C4"/>
    </sheetView>
  </sheetViews>
  <sheetFormatPr defaultRowHeight="14.3" x14ac:dyDescent="0.25"/>
  <cols>
    <col min="1" max="1" width="8.875" bestFit="1" customWidth="1"/>
    <col min="3" max="3" width="28.875" bestFit="1" customWidth="1"/>
    <col min="4" max="4" width="7.75" customWidth="1"/>
    <col min="5" max="5" width="10.25" bestFit="1" customWidth="1"/>
  </cols>
  <sheetData>
    <row r="1" spans="1:18" ht="14.95" thickBot="1" x14ac:dyDescent="0.3"/>
    <row r="2" spans="1:18" ht="14.95" customHeight="1" thickBot="1" x14ac:dyDescent="0.3">
      <c r="A2" s="48"/>
      <c r="B2" s="504" t="s">
        <v>49</v>
      </c>
      <c r="C2" s="505"/>
      <c r="D2" s="496" t="s">
        <v>50</v>
      </c>
      <c r="E2" s="497"/>
      <c r="F2" s="61" t="s">
        <v>51</v>
      </c>
      <c r="H2" s="499" t="s">
        <v>53</v>
      </c>
      <c r="I2" s="501" t="s">
        <v>61</v>
      </c>
      <c r="J2" s="502"/>
      <c r="K2" s="501" t="s">
        <v>62</v>
      </c>
      <c r="L2" s="503"/>
      <c r="M2" s="503"/>
      <c r="N2" s="503"/>
      <c r="O2" s="502"/>
      <c r="P2" s="89" t="s">
        <v>63</v>
      </c>
      <c r="Q2" s="501" t="s">
        <v>64</v>
      </c>
      <c r="R2" s="502"/>
    </row>
    <row r="3" spans="1:18" ht="14.95" customHeight="1" thickBot="1" x14ac:dyDescent="0.3">
      <c r="A3" s="35" t="s">
        <v>34</v>
      </c>
      <c r="B3" s="253">
        <f>sco6nyc</f>
        <v>0</v>
      </c>
      <c r="C3" s="248"/>
      <c r="D3" s="62">
        <f>sco6nrc</f>
        <v>0</v>
      </c>
      <c r="E3" s="63"/>
      <c r="F3" s="64">
        <f t="shared" ref="F3:F8" si="0">SUM(B3+D3*2)</f>
        <v>0</v>
      </c>
      <c r="H3" s="500"/>
      <c r="I3" s="90" t="s">
        <v>4</v>
      </c>
      <c r="J3" s="90" t="s">
        <v>5</v>
      </c>
      <c r="K3" s="91" t="s">
        <v>96</v>
      </c>
      <c r="L3" s="92" t="s">
        <v>97</v>
      </c>
      <c r="M3" s="92" t="s">
        <v>98</v>
      </c>
      <c r="N3" s="93" t="s">
        <v>99</v>
      </c>
      <c r="O3" s="94" t="s">
        <v>65</v>
      </c>
      <c r="P3" s="95" t="s">
        <v>66</v>
      </c>
      <c r="Q3" s="91" t="s">
        <v>4</v>
      </c>
      <c r="R3" s="94" t="s">
        <v>5</v>
      </c>
    </row>
    <row r="4" spans="1:18" ht="14.95" customHeight="1" thickBot="1" x14ac:dyDescent="0.3">
      <c r="A4" s="112" t="s">
        <v>30</v>
      </c>
      <c r="B4" s="66">
        <f>eng6nyc</f>
        <v>2</v>
      </c>
      <c r="C4" s="67" t="s">
        <v>233</v>
      </c>
      <c r="D4" s="62">
        <f>eng6nrc</f>
        <v>0</v>
      </c>
      <c r="E4" s="63"/>
      <c r="F4" s="64">
        <f t="shared" si="0"/>
        <v>2</v>
      </c>
      <c r="H4" s="108" t="s">
        <v>30</v>
      </c>
      <c r="I4" s="96">
        <v>7</v>
      </c>
      <c r="J4" s="96">
        <v>0</v>
      </c>
      <c r="K4" s="96">
        <v>0</v>
      </c>
      <c r="L4" s="96">
        <v>10</v>
      </c>
      <c r="M4" s="96">
        <v>0</v>
      </c>
      <c r="N4" s="96">
        <v>0</v>
      </c>
      <c r="O4" s="97">
        <f t="shared" ref="O4:O9" si="1">SUM(K4:N4)</f>
        <v>10</v>
      </c>
      <c r="P4" s="96">
        <v>0</v>
      </c>
      <c r="Q4" s="173">
        <f t="shared" ref="Q4" si="2">SUM(I4/O4)*10</f>
        <v>7</v>
      </c>
      <c r="R4" s="172">
        <f t="shared" ref="R4" si="3">SUM(J4/O4)*10</f>
        <v>0</v>
      </c>
    </row>
    <row r="5" spans="1:18" ht="14.95" customHeight="1" thickBot="1" x14ac:dyDescent="0.3">
      <c r="A5" s="22" t="s">
        <v>35</v>
      </c>
      <c r="B5" s="65">
        <f>ire6nyc</f>
        <v>2</v>
      </c>
      <c r="C5" s="351" t="s">
        <v>210</v>
      </c>
      <c r="D5" s="62">
        <f>ire6nrc</f>
        <v>0</v>
      </c>
      <c r="E5" s="63"/>
      <c r="F5" s="64">
        <f t="shared" si="0"/>
        <v>2</v>
      </c>
      <c r="H5" s="80" t="s">
        <v>33</v>
      </c>
      <c r="I5" s="96">
        <v>50</v>
      </c>
      <c r="J5" s="96">
        <v>14</v>
      </c>
      <c r="K5" s="96">
        <v>79</v>
      </c>
      <c r="L5" s="96">
        <v>5</v>
      </c>
      <c r="M5" s="96">
        <v>0</v>
      </c>
      <c r="N5" s="96">
        <v>0</v>
      </c>
      <c r="O5" s="97">
        <f t="shared" si="1"/>
        <v>84</v>
      </c>
      <c r="P5" s="96">
        <v>0</v>
      </c>
      <c r="Q5" s="173">
        <f t="shared" ref="Q5" si="4">SUM(I5/O5)*10</f>
        <v>5.9523809523809526</v>
      </c>
      <c r="R5" s="172">
        <f t="shared" ref="R5" si="5">SUM(J5/O5)*10</f>
        <v>1.6666666666666665</v>
      </c>
    </row>
    <row r="6" spans="1:18" ht="14.95" customHeight="1" thickBot="1" x14ac:dyDescent="0.3">
      <c r="A6" s="9" t="s">
        <v>31</v>
      </c>
      <c r="B6" s="66">
        <f>wal6nyc</f>
        <v>2</v>
      </c>
      <c r="C6" s="67" t="s">
        <v>257</v>
      </c>
      <c r="D6" s="62">
        <f>wal6nrc</f>
        <v>0</v>
      </c>
      <c r="E6" s="63"/>
      <c r="F6" s="64">
        <f t="shared" si="0"/>
        <v>2</v>
      </c>
      <c r="H6" s="21" t="s">
        <v>35</v>
      </c>
      <c r="I6" s="96">
        <v>0</v>
      </c>
      <c r="J6" s="96">
        <v>48</v>
      </c>
      <c r="K6" s="96">
        <v>69</v>
      </c>
      <c r="L6" s="96">
        <v>0</v>
      </c>
      <c r="M6" s="96">
        <v>0</v>
      </c>
      <c r="N6" s="96">
        <v>0</v>
      </c>
      <c r="O6" s="97">
        <f t="shared" si="1"/>
        <v>69</v>
      </c>
      <c r="P6" s="96">
        <v>0</v>
      </c>
      <c r="Q6" s="173">
        <f t="shared" ref="Q6:Q7" si="6">SUM(I6/O6)*10</f>
        <v>0</v>
      </c>
      <c r="R6" s="172">
        <f t="shared" ref="R6:R7" si="7">SUM(J6/O6)*10</f>
        <v>6.9565217391304346</v>
      </c>
    </row>
    <row r="7" spans="1:18" ht="14.95" customHeight="1" thickBot="1" x14ac:dyDescent="0.3">
      <c r="A7" s="113" t="s">
        <v>32</v>
      </c>
      <c r="B7" s="65">
        <f>ita6nyc</f>
        <v>1</v>
      </c>
      <c r="C7" s="68" t="s">
        <v>251</v>
      </c>
      <c r="D7" s="62">
        <f>ita6nrc</f>
        <v>1</v>
      </c>
      <c r="E7" s="63" t="s">
        <v>252</v>
      </c>
      <c r="F7" s="64">
        <f t="shared" si="0"/>
        <v>3</v>
      </c>
      <c r="H7" s="105" t="s">
        <v>32</v>
      </c>
      <c r="I7" s="96">
        <v>0</v>
      </c>
      <c r="J7" s="96">
        <v>12</v>
      </c>
      <c r="K7" s="96">
        <v>25</v>
      </c>
      <c r="L7" s="96">
        <v>0</v>
      </c>
      <c r="M7" s="96">
        <v>0</v>
      </c>
      <c r="N7" s="96">
        <v>0</v>
      </c>
      <c r="O7" s="97">
        <f t="shared" si="1"/>
        <v>25</v>
      </c>
      <c r="P7" s="96">
        <v>0</v>
      </c>
      <c r="Q7" s="173">
        <f t="shared" si="6"/>
        <v>0</v>
      </c>
      <c r="R7" s="172">
        <f t="shared" si="7"/>
        <v>4.8</v>
      </c>
    </row>
    <row r="8" spans="1:18" ht="14.95" customHeight="1" thickBot="1" x14ac:dyDescent="0.3">
      <c r="A8" s="81" t="s">
        <v>33</v>
      </c>
      <c r="B8" s="65">
        <f>fra6nyc</f>
        <v>3</v>
      </c>
      <c r="C8" s="131" t="s">
        <v>270</v>
      </c>
      <c r="D8" s="62">
        <f>fra6nrc</f>
        <v>1</v>
      </c>
      <c r="E8" s="63" t="s">
        <v>211</v>
      </c>
      <c r="F8" s="64">
        <f t="shared" si="0"/>
        <v>5</v>
      </c>
      <c r="H8" s="34" t="s">
        <v>34</v>
      </c>
      <c r="I8" s="96">
        <v>0</v>
      </c>
      <c r="J8" s="96">
        <v>0</v>
      </c>
      <c r="K8" s="96">
        <v>0</v>
      </c>
      <c r="L8" s="96">
        <v>0</v>
      </c>
      <c r="M8" s="96">
        <v>0</v>
      </c>
      <c r="N8" s="96">
        <v>0</v>
      </c>
      <c r="O8" s="97">
        <f t="shared" si="1"/>
        <v>0</v>
      </c>
      <c r="P8" s="96">
        <v>0</v>
      </c>
      <c r="Q8" s="376">
        <v>0</v>
      </c>
      <c r="R8" s="377">
        <v>0</v>
      </c>
    </row>
    <row r="9" spans="1:18" ht="14.95" customHeight="1" thickBot="1" x14ac:dyDescent="0.3">
      <c r="A9" s="114" t="s">
        <v>52</v>
      </c>
      <c r="B9" s="65">
        <f>SUM(B3:B8)</f>
        <v>10</v>
      </c>
      <c r="C9" s="68"/>
      <c r="D9" s="69">
        <f>SUM(D3:D8)</f>
        <v>2</v>
      </c>
      <c r="E9" s="70"/>
      <c r="F9" s="61" t="s">
        <v>53</v>
      </c>
      <c r="H9" s="8" t="s">
        <v>31</v>
      </c>
      <c r="I9" s="96">
        <v>7</v>
      </c>
      <c r="J9" s="96">
        <v>14</v>
      </c>
      <c r="K9" s="96">
        <v>20</v>
      </c>
      <c r="L9" s="96">
        <v>0</v>
      </c>
      <c r="M9" s="96">
        <v>0</v>
      </c>
      <c r="N9" s="96">
        <v>0</v>
      </c>
      <c r="O9" s="97">
        <f t="shared" si="1"/>
        <v>20</v>
      </c>
      <c r="P9" s="96">
        <v>0</v>
      </c>
      <c r="Q9" s="173">
        <f t="shared" ref="Q9" si="8">SUM(I9/O9)*10</f>
        <v>3.5</v>
      </c>
      <c r="R9" s="172">
        <f t="shared" ref="R9" si="9">SUM(J9/O9)*10</f>
        <v>7</v>
      </c>
    </row>
    <row r="10" spans="1:18" ht="14.95" thickBot="1" x14ac:dyDescent="0.3">
      <c r="D10" s="71"/>
      <c r="E10" s="72"/>
      <c r="H10" s="103" t="s">
        <v>52</v>
      </c>
      <c r="I10" s="98">
        <f>SUM(I4:I9)</f>
        <v>64</v>
      </c>
      <c r="J10" s="98">
        <f>SUM(J4:J9)</f>
        <v>88</v>
      </c>
      <c r="K10" s="98">
        <f t="shared" ref="K10:P10" si="10">SUM(K4:K9)</f>
        <v>193</v>
      </c>
      <c r="L10" s="98">
        <f t="shared" si="10"/>
        <v>15</v>
      </c>
      <c r="M10" s="98">
        <f t="shared" si="10"/>
        <v>0</v>
      </c>
      <c r="N10" s="98">
        <f t="shared" si="10"/>
        <v>0</v>
      </c>
      <c r="O10" s="98">
        <f t="shared" si="10"/>
        <v>208</v>
      </c>
      <c r="P10" s="98">
        <f t="shared" si="10"/>
        <v>0</v>
      </c>
      <c r="Q10" s="101">
        <f t="shared" ref="Q10" si="11">SUM(I10/O10)*10</f>
        <v>3.0769230769230771</v>
      </c>
      <c r="R10" s="102">
        <f t="shared" ref="R10" si="12">SUM(J10/O10)*10</f>
        <v>4.2307692307692308</v>
      </c>
    </row>
    <row r="11" spans="1:18" x14ac:dyDescent="0.25">
      <c r="A11" s="73" t="s">
        <v>54</v>
      </c>
      <c r="B11" s="73"/>
    </row>
    <row r="12" spans="1:18" x14ac:dyDescent="0.25">
      <c r="A12" s="498" t="s">
        <v>272</v>
      </c>
      <c r="B12" s="498"/>
      <c r="C12" s="490"/>
      <c r="D12" s="490"/>
      <c r="H12" s="73" t="s">
        <v>86</v>
      </c>
    </row>
    <row r="13" spans="1:18" ht="14.95" thickBot="1" x14ac:dyDescent="0.3">
      <c r="A13" s="152"/>
      <c r="B13" s="14"/>
      <c r="E13" t="s">
        <v>53</v>
      </c>
      <c r="I13" s="73"/>
    </row>
    <row r="14" spans="1:18" ht="14.95" thickBot="1" x14ac:dyDescent="0.3">
      <c r="H14" s="499" t="s">
        <v>53</v>
      </c>
      <c r="I14" s="501" t="s">
        <v>61</v>
      </c>
      <c r="J14" s="502"/>
      <c r="K14" s="501" t="s">
        <v>53</v>
      </c>
      <c r="L14" s="503"/>
      <c r="M14" s="503"/>
      <c r="N14" s="503"/>
      <c r="O14" s="502"/>
      <c r="P14" s="501" t="s">
        <v>64</v>
      </c>
      <c r="Q14" s="502"/>
    </row>
    <row r="15" spans="1:18" ht="14.95" thickBot="1" x14ac:dyDescent="0.3">
      <c r="H15" s="500"/>
      <c r="I15" s="90" t="s">
        <v>4</v>
      </c>
      <c r="J15" s="90" t="s">
        <v>5</v>
      </c>
      <c r="K15" s="91" t="s">
        <v>67</v>
      </c>
      <c r="L15" s="92" t="s">
        <v>68</v>
      </c>
      <c r="M15" s="92" t="s">
        <v>88</v>
      </c>
      <c r="N15" s="93"/>
      <c r="O15" s="94" t="s">
        <v>65</v>
      </c>
      <c r="P15" s="91" t="s">
        <v>4</v>
      </c>
      <c r="Q15" s="94" t="s">
        <v>5</v>
      </c>
    </row>
    <row r="16" spans="1:18" ht="14.95" thickBot="1" x14ac:dyDescent="0.3">
      <c r="H16" s="108" t="s">
        <v>30</v>
      </c>
      <c r="I16" s="96">
        <v>14</v>
      </c>
      <c r="J16" s="96">
        <v>0</v>
      </c>
      <c r="K16" s="96">
        <v>10</v>
      </c>
      <c r="L16" s="96">
        <v>5</v>
      </c>
      <c r="M16" s="96">
        <v>0</v>
      </c>
      <c r="N16" s="96">
        <v>0</v>
      </c>
      <c r="O16" s="97">
        <f t="shared" ref="O16:O21" si="13">SUM(K16:N16)</f>
        <v>15</v>
      </c>
      <c r="P16" s="173">
        <f t="shared" ref="P16" si="14">SUM(I16/O16)*10</f>
        <v>9.3333333333333339</v>
      </c>
      <c r="Q16" s="172">
        <f t="shared" ref="Q16" si="15">SUM(J16/O16)*10</f>
        <v>0</v>
      </c>
    </row>
    <row r="17" spans="8:17" ht="14.95" thickBot="1" x14ac:dyDescent="0.3">
      <c r="H17" s="80" t="s">
        <v>33</v>
      </c>
      <c r="I17" s="96">
        <v>7</v>
      </c>
      <c r="J17" s="96">
        <v>0</v>
      </c>
      <c r="K17" s="96">
        <v>10</v>
      </c>
      <c r="L17" s="96">
        <v>0</v>
      </c>
      <c r="M17" s="96">
        <v>0</v>
      </c>
      <c r="N17" s="96">
        <v>0</v>
      </c>
      <c r="O17" s="97">
        <f t="shared" si="13"/>
        <v>10</v>
      </c>
      <c r="P17" s="173">
        <f t="shared" ref="P17" si="16">SUM(I17/O17)*10</f>
        <v>7</v>
      </c>
      <c r="Q17" s="172">
        <f t="shared" ref="Q17" si="17">SUM(J17/O17)*10</f>
        <v>0</v>
      </c>
    </row>
    <row r="18" spans="8:17" ht="14.95" thickBot="1" x14ac:dyDescent="0.3">
      <c r="H18" s="21" t="s">
        <v>35</v>
      </c>
      <c r="I18" s="96">
        <v>0</v>
      </c>
      <c r="J18" s="96">
        <v>0</v>
      </c>
      <c r="K18" s="96">
        <v>0</v>
      </c>
      <c r="L18" s="96">
        <v>0</v>
      </c>
      <c r="M18" s="96">
        <v>0</v>
      </c>
      <c r="N18" s="96">
        <v>0</v>
      </c>
      <c r="O18" s="97">
        <f t="shared" si="13"/>
        <v>0</v>
      </c>
      <c r="P18" s="376">
        <v>0</v>
      </c>
      <c r="Q18" s="377">
        <v>0</v>
      </c>
    </row>
    <row r="19" spans="8:17" ht="14.95" thickBot="1" x14ac:dyDescent="0.3">
      <c r="H19" s="105" t="s">
        <v>32</v>
      </c>
      <c r="I19" s="96">
        <v>0</v>
      </c>
      <c r="J19" s="96">
        <v>7</v>
      </c>
      <c r="K19" s="96">
        <v>10</v>
      </c>
      <c r="L19" s="96">
        <v>0</v>
      </c>
      <c r="M19" s="96">
        <v>0</v>
      </c>
      <c r="N19" s="96">
        <v>0</v>
      </c>
      <c r="O19" s="97">
        <f t="shared" si="13"/>
        <v>10</v>
      </c>
      <c r="P19" s="173">
        <f t="shared" ref="P19" si="18">SUM(I19/O19)*10</f>
        <v>0</v>
      </c>
      <c r="Q19" s="172">
        <f t="shared" ref="Q19" si="19">SUM(J19/O19)*10</f>
        <v>7</v>
      </c>
    </row>
    <row r="20" spans="8:17" ht="14.95" thickBot="1" x14ac:dyDescent="0.3">
      <c r="H20" s="34" t="s">
        <v>34</v>
      </c>
      <c r="I20" s="96">
        <v>19</v>
      </c>
      <c r="J20" s="96">
        <v>7</v>
      </c>
      <c r="K20" s="96">
        <v>35</v>
      </c>
      <c r="L20" s="96">
        <v>0</v>
      </c>
      <c r="M20" s="96">
        <v>0</v>
      </c>
      <c r="N20" s="96">
        <v>0</v>
      </c>
      <c r="O20" s="97">
        <f t="shared" si="13"/>
        <v>35</v>
      </c>
      <c r="P20" s="173">
        <f t="shared" ref="P20" si="20">SUM(I20/O20)*10</f>
        <v>5.4285714285714279</v>
      </c>
      <c r="Q20" s="172">
        <f t="shared" ref="Q20" si="21">SUM(J20/O20)*10</f>
        <v>2</v>
      </c>
    </row>
    <row r="21" spans="8:17" ht="14.95" thickBot="1" x14ac:dyDescent="0.3">
      <c r="H21" s="8" t="s">
        <v>31</v>
      </c>
      <c r="I21" s="96">
        <v>5</v>
      </c>
      <c r="J21" s="96">
        <v>7</v>
      </c>
      <c r="K21" s="96">
        <v>10</v>
      </c>
      <c r="L21" s="96">
        <v>10</v>
      </c>
      <c r="M21" s="96">
        <v>0</v>
      </c>
      <c r="N21" s="96">
        <v>0</v>
      </c>
      <c r="O21" s="97">
        <f t="shared" si="13"/>
        <v>20</v>
      </c>
      <c r="P21" s="173">
        <f t="shared" ref="P21" si="22">SUM(I21/O21)*10</f>
        <v>2.5</v>
      </c>
      <c r="Q21" s="172">
        <f t="shared" ref="Q21" si="23">SUM(J21/O21)*10</f>
        <v>3.5</v>
      </c>
    </row>
    <row r="22" spans="8:17" ht="14.95" thickBot="1" x14ac:dyDescent="0.3">
      <c r="H22" s="103" t="s">
        <v>52</v>
      </c>
      <c r="I22" s="98">
        <f t="shared" ref="I22:O22" si="24">SUM(I16:I21)</f>
        <v>45</v>
      </c>
      <c r="J22" s="99">
        <f t="shared" si="24"/>
        <v>21</v>
      </c>
      <c r="K22" s="98">
        <f t="shared" si="24"/>
        <v>75</v>
      </c>
      <c r="L22" s="100">
        <f t="shared" si="24"/>
        <v>15</v>
      </c>
      <c r="M22" s="100">
        <f t="shared" si="24"/>
        <v>0</v>
      </c>
      <c r="N22" s="100">
        <f t="shared" si="24"/>
        <v>0</v>
      </c>
      <c r="O22" s="99">
        <f t="shared" si="24"/>
        <v>90</v>
      </c>
      <c r="P22" s="101">
        <f t="shared" ref="P22" si="25">SUM(I22/O22)*10</f>
        <v>5</v>
      </c>
      <c r="Q22" s="102">
        <f t="shared" ref="Q22" si="26">SUM(J22/O22)*10</f>
        <v>2.3333333333333335</v>
      </c>
    </row>
    <row r="23" spans="8:17" x14ac:dyDescent="0.25">
      <c r="H23" t="s">
        <v>53</v>
      </c>
    </row>
    <row r="24" spans="8:17" x14ac:dyDescent="0.25">
      <c r="H24" s="73" t="s">
        <v>89</v>
      </c>
      <c r="I24" s="73"/>
      <c r="J24" s="73"/>
      <c r="K24" s="73"/>
    </row>
    <row r="25" spans="8:17" x14ac:dyDescent="0.25">
      <c r="H25" t="s">
        <v>271</v>
      </c>
      <c r="I25" s="73"/>
      <c r="J25" s="73"/>
      <c r="K25" s="73"/>
    </row>
    <row r="26" spans="8:17" x14ac:dyDescent="0.25">
      <c r="H26" s="126"/>
      <c r="I26" s="73"/>
      <c r="J26" s="73"/>
      <c r="K26" s="73"/>
    </row>
    <row r="27" spans="8:17" x14ac:dyDescent="0.25">
      <c r="I27" s="73"/>
      <c r="J27" s="73"/>
      <c r="K27" s="73"/>
    </row>
    <row r="28" spans="8:17" x14ac:dyDescent="0.25">
      <c r="J28" s="73"/>
      <c r="K28" s="73"/>
      <c r="L28" s="73"/>
    </row>
    <row r="29" spans="8:17" x14ac:dyDescent="0.25">
      <c r="J29" s="73"/>
      <c r="K29" s="73"/>
      <c r="L29" s="73"/>
    </row>
    <row r="30" spans="8:17" x14ac:dyDescent="0.25">
      <c r="H30" s="73" t="s">
        <v>213</v>
      </c>
      <c r="J30" s="73"/>
      <c r="K30" s="73"/>
      <c r="L30" s="73"/>
    </row>
    <row r="31" spans="8:17" x14ac:dyDescent="0.25">
      <c r="H31" t="s">
        <v>214</v>
      </c>
      <c r="J31" s="73"/>
      <c r="K31" s="73"/>
      <c r="L31" s="73"/>
    </row>
    <row r="32" spans="8:17" x14ac:dyDescent="0.25">
      <c r="H32" t="s">
        <v>212</v>
      </c>
      <c r="J32" s="73"/>
      <c r="K32" s="73"/>
      <c r="L32" s="73"/>
    </row>
    <row r="33" spans="1:8" x14ac:dyDescent="0.25">
      <c r="H33" t="s">
        <v>215</v>
      </c>
    </row>
    <row r="34" spans="1:8" x14ac:dyDescent="0.25">
      <c r="A34" s="152" t="s">
        <v>28</v>
      </c>
    </row>
  </sheetData>
  <sortState xmlns:xlrd2="http://schemas.microsoft.com/office/spreadsheetml/2017/richdata2" ref="A3:F8">
    <sortCondition ref="F3:F8"/>
    <sortCondition ref="A3:A8"/>
  </sortState>
  <mergeCells count="11">
    <mergeCell ref="Q2:R2"/>
    <mergeCell ref="H14:H15"/>
    <mergeCell ref="I14:J14"/>
    <mergeCell ref="K14:O14"/>
    <mergeCell ref="P14:Q14"/>
    <mergeCell ref="D2:E2"/>
    <mergeCell ref="A12:D12"/>
    <mergeCell ref="H2:H3"/>
    <mergeCell ref="I2:J2"/>
    <mergeCell ref="K2:O2"/>
    <mergeCell ref="B2:C2"/>
  </mergeCells>
  <pageMargins left="0.7" right="0.7" top="0.75" bottom="0.75" header="0.3" footer="0.3"/>
  <pageSetup paperSize="9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9CCF7-58E5-43C9-81F8-72A70978C40C}">
  <dimension ref="A1:O24"/>
  <sheetViews>
    <sheetView workbookViewId="0">
      <selection sqref="A1:O6"/>
    </sheetView>
  </sheetViews>
  <sheetFormatPr defaultRowHeight="14.3" x14ac:dyDescent="0.25"/>
  <cols>
    <col min="1" max="2" width="4.75" customWidth="1"/>
    <col min="3" max="3" width="9.5" customWidth="1"/>
    <col min="4" max="7" width="4.75" customWidth="1"/>
    <col min="8" max="10" width="6.75" customWidth="1"/>
    <col min="11" max="15" width="4.75" customWidth="1"/>
  </cols>
  <sheetData>
    <row r="1" spans="1:15" ht="14.95" customHeight="1" thickBot="1" x14ac:dyDescent="0.3">
      <c r="A1" s="109" t="s">
        <v>42</v>
      </c>
      <c r="B1" s="110" t="s">
        <v>43</v>
      </c>
      <c r="C1" s="49"/>
      <c r="D1" s="49" t="s">
        <v>0</v>
      </c>
      <c r="E1" s="50" t="s">
        <v>1</v>
      </c>
      <c r="F1" s="49" t="s">
        <v>2</v>
      </c>
      <c r="G1" s="49" t="s">
        <v>3</v>
      </c>
      <c r="H1" s="49" t="s">
        <v>4</v>
      </c>
      <c r="I1" s="49" t="s">
        <v>5</v>
      </c>
      <c r="J1" s="50" t="s">
        <v>44</v>
      </c>
      <c r="K1" s="49" t="s">
        <v>21</v>
      </c>
      <c r="L1" s="49" t="s">
        <v>22</v>
      </c>
      <c r="M1" s="49" t="s">
        <v>47</v>
      </c>
      <c r="N1" s="49" t="s">
        <v>48</v>
      </c>
      <c r="O1" s="50" t="s">
        <v>45</v>
      </c>
    </row>
    <row r="2" spans="1:15" ht="14.95" customHeight="1" thickBot="1" x14ac:dyDescent="0.3">
      <c r="A2" s="111">
        <v>1</v>
      </c>
      <c r="B2" s="174" t="s">
        <v>46</v>
      </c>
      <c r="C2" s="352" t="s">
        <v>73</v>
      </c>
      <c r="D2" s="54">
        <f>nzlp4played</f>
        <v>3</v>
      </c>
      <c r="E2" s="53">
        <f>nzlp4won</f>
        <v>3</v>
      </c>
      <c r="F2" s="54">
        <f>nzlp4drawn</f>
        <v>0</v>
      </c>
      <c r="G2" s="54">
        <f>nzlp4lost</f>
        <v>0</v>
      </c>
      <c r="H2" s="54">
        <f>nzlp4ptsscored</f>
        <v>141</v>
      </c>
      <c r="I2" s="54">
        <f>nzlp4ptsconc</f>
        <v>38</v>
      </c>
      <c r="J2" s="53">
        <f>SUM(H2-I2)</f>
        <v>103</v>
      </c>
      <c r="K2" s="54">
        <f>nzlp4tb</f>
        <v>3</v>
      </c>
      <c r="L2" s="54">
        <f>nzlp4lb</f>
        <v>0</v>
      </c>
      <c r="M2" s="54">
        <f>nzlp4triesscored</f>
        <v>22</v>
      </c>
      <c r="N2" s="54">
        <f>nzlp4triesconc</f>
        <v>5</v>
      </c>
      <c r="O2" s="53">
        <f>SUM(E2*4)+(F2*2)+K2+L2</f>
        <v>15</v>
      </c>
    </row>
    <row r="3" spans="1:15" ht="14.95" customHeight="1" thickBot="1" x14ac:dyDescent="0.3">
      <c r="A3" s="111">
        <v>2</v>
      </c>
      <c r="B3" s="174" t="s">
        <v>46</v>
      </c>
      <c r="C3" s="58" t="s">
        <v>36</v>
      </c>
      <c r="D3" s="54">
        <f>canp4played</f>
        <v>3</v>
      </c>
      <c r="E3" s="53">
        <f>canp4won</f>
        <v>2</v>
      </c>
      <c r="F3" s="54">
        <f>canp4drawn</f>
        <v>0</v>
      </c>
      <c r="G3" s="54">
        <f>canp4lost</f>
        <v>1</v>
      </c>
      <c r="H3" s="54">
        <f>canp4ptsscored</f>
        <v>116</v>
      </c>
      <c r="I3" s="54">
        <f>canp4ptsconc</f>
        <v>76</v>
      </c>
      <c r="J3" s="53">
        <f>SUM(H3-I3)</f>
        <v>40</v>
      </c>
      <c r="K3" s="54">
        <f>canp4tb</f>
        <v>2</v>
      </c>
      <c r="L3" s="54">
        <f>canp4lb</f>
        <v>0</v>
      </c>
      <c r="M3" s="54">
        <f>canp4triesscored</f>
        <v>18</v>
      </c>
      <c r="N3" s="54">
        <f>canp4triesconc</f>
        <v>11</v>
      </c>
      <c r="O3" s="53">
        <f>SUM(E3*4)+(F3*2)+K3+L3</f>
        <v>10</v>
      </c>
    </row>
    <row r="4" spans="1:15" ht="14.95" customHeight="1" thickBot="1" x14ac:dyDescent="0.3">
      <c r="A4" s="153">
        <v>3</v>
      </c>
      <c r="B4" s="132" t="s">
        <v>46</v>
      </c>
      <c r="C4" s="353" t="s">
        <v>29</v>
      </c>
      <c r="D4" s="51">
        <f>ausp4played</f>
        <v>3</v>
      </c>
      <c r="E4" s="52">
        <f>ausp4won</f>
        <v>1</v>
      </c>
      <c r="F4" s="51">
        <f>ausp4drawn</f>
        <v>0</v>
      </c>
      <c r="G4" s="51">
        <f>ausp4lost</f>
        <v>2</v>
      </c>
      <c r="H4" s="51">
        <f>ausp4ptsscored</f>
        <v>65</v>
      </c>
      <c r="I4" s="51">
        <f>ausp4ptsconc</f>
        <v>112</v>
      </c>
      <c r="J4" s="53">
        <f>SUM(H4-I4)</f>
        <v>-47</v>
      </c>
      <c r="K4" s="54">
        <f>ausp4tb</f>
        <v>1</v>
      </c>
      <c r="L4" s="54">
        <f>ausp4lb</f>
        <v>0</v>
      </c>
      <c r="M4" s="51">
        <f>ausp4triesscored</f>
        <v>10</v>
      </c>
      <c r="N4" s="51">
        <f>ausp4triesconc</f>
        <v>18</v>
      </c>
      <c r="O4" s="53">
        <f>SUM(E4*4)+(F4*2)+K4+L4</f>
        <v>5</v>
      </c>
    </row>
    <row r="5" spans="1:15" ht="14.95" customHeight="1" thickBot="1" x14ac:dyDescent="0.3">
      <c r="A5" s="111">
        <v>4</v>
      </c>
      <c r="B5" s="174" t="s">
        <v>46</v>
      </c>
      <c r="C5" s="254" t="s">
        <v>55</v>
      </c>
      <c r="D5" s="54">
        <f>usap4played</f>
        <v>3</v>
      </c>
      <c r="E5" s="53">
        <f>usap4won</f>
        <v>0</v>
      </c>
      <c r="F5" s="54">
        <f>usap4drawn</f>
        <v>0</v>
      </c>
      <c r="G5" s="54">
        <f>usap4lost</f>
        <v>3</v>
      </c>
      <c r="H5" s="54">
        <f>usap4ptsscored</f>
        <v>51</v>
      </c>
      <c r="I5" s="54">
        <f>usap4ptsconc</f>
        <v>147</v>
      </c>
      <c r="J5" s="53">
        <f>SUM(H5-I5)</f>
        <v>-96</v>
      </c>
      <c r="K5" s="54">
        <f>usap4tb</f>
        <v>0</v>
      </c>
      <c r="L5" s="54">
        <f>usap4lb</f>
        <v>0</v>
      </c>
      <c r="M5" s="54">
        <f>usap4triesscored</f>
        <v>7</v>
      </c>
      <c r="N5" s="54">
        <f>usap4triesconc</f>
        <v>23</v>
      </c>
      <c r="O5" s="53">
        <f>SUM(E5*4)+(F5*2)+K5+L5</f>
        <v>0</v>
      </c>
    </row>
    <row r="6" spans="1:15" x14ac:dyDescent="0.25">
      <c r="H6">
        <f>SUM(H2:H5)</f>
        <v>373</v>
      </c>
      <c r="I6">
        <f>SUM(I2:I5)</f>
        <v>373</v>
      </c>
      <c r="M6">
        <f t="shared" ref="M6:N6" si="0">SUM(M2:M5)</f>
        <v>57</v>
      </c>
      <c r="N6">
        <f t="shared" si="0"/>
        <v>57</v>
      </c>
    </row>
    <row r="8" spans="1:15" x14ac:dyDescent="0.25">
      <c r="A8" s="394" t="s">
        <v>341</v>
      </c>
    </row>
    <row r="9" spans="1:15" ht="14.95" thickBot="1" x14ac:dyDescent="0.3"/>
    <row r="10" spans="1:15" ht="14.95" thickBot="1" x14ac:dyDescent="0.3">
      <c r="A10" s="109" t="s">
        <v>42</v>
      </c>
      <c r="B10" s="110" t="s">
        <v>43</v>
      </c>
      <c r="C10" s="110"/>
      <c r="D10" s="110" t="s">
        <v>0</v>
      </c>
      <c r="E10" s="385" t="s">
        <v>1</v>
      </c>
      <c r="F10" s="110" t="s">
        <v>2</v>
      </c>
      <c r="G10" s="110" t="s">
        <v>3</v>
      </c>
      <c r="H10" s="110" t="s">
        <v>4</v>
      </c>
      <c r="I10" s="110" t="s">
        <v>5</v>
      </c>
      <c r="J10" s="385" t="s">
        <v>44</v>
      </c>
      <c r="K10" s="110" t="s">
        <v>21</v>
      </c>
      <c r="L10" s="110" t="s">
        <v>22</v>
      </c>
      <c r="M10" s="110" t="s">
        <v>47</v>
      </c>
      <c r="N10" s="110" t="s">
        <v>48</v>
      </c>
      <c r="O10" s="385" t="s">
        <v>45</v>
      </c>
    </row>
    <row r="11" spans="1:15" ht="14.95" thickBot="1" x14ac:dyDescent="0.3">
      <c r="A11" s="386">
        <v>1</v>
      </c>
      <c r="B11" s="132" t="s">
        <v>46</v>
      </c>
      <c r="C11" s="393" t="s">
        <v>73</v>
      </c>
      <c r="D11" s="388">
        <v>2</v>
      </c>
      <c r="E11" s="389">
        <v>2</v>
      </c>
      <c r="F11" s="388">
        <v>0</v>
      </c>
      <c r="G11" s="388">
        <v>0</v>
      </c>
      <c r="H11" s="388">
        <v>102</v>
      </c>
      <c r="I11" s="388">
        <v>21</v>
      </c>
      <c r="J11" s="389">
        <v>81</v>
      </c>
      <c r="K11" s="388">
        <v>2</v>
      </c>
      <c r="L11" s="388">
        <v>0</v>
      </c>
      <c r="M11" s="388">
        <v>16</v>
      </c>
      <c r="N11" s="388">
        <v>3</v>
      </c>
      <c r="O11" s="389">
        <v>10</v>
      </c>
    </row>
    <row r="12" spans="1:15" ht="14.95" thickBot="1" x14ac:dyDescent="0.3">
      <c r="A12" s="386">
        <v>2</v>
      </c>
      <c r="B12" s="132" t="s">
        <v>46</v>
      </c>
      <c r="C12" s="390" t="s">
        <v>36</v>
      </c>
      <c r="D12" s="388">
        <v>2</v>
      </c>
      <c r="E12" s="389">
        <v>1</v>
      </c>
      <c r="F12" s="388">
        <v>0</v>
      </c>
      <c r="G12" s="388">
        <v>1</v>
      </c>
      <c r="H12" s="388">
        <v>71</v>
      </c>
      <c r="I12" s="388">
        <v>69</v>
      </c>
      <c r="J12" s="389">
        <v>2</v>
      </c>
      <c r="K12" s="388">
        <v>1</v>
      </c>
      <c r="L12" s="388">
        <v>0</v>
      </c>
      <c r="M12" s="388">
        <v>11</v>
      </c>
      <c r="N12" s="388">
        <v>10</v>
      </c>
      <c r="O12" s="389">
        <v>5</v>
      </c>
    </row>
    <row r="13" spans="1:15" ht="14.95" thickBot="1" x14ac:dyDescent="0.3">
      <c r="A13" s="386">
        <v>3</v>
      </c>
      <c r="B13" s="132" t="s">
        <v>46</v>
      </c>
      <c r="C13" s="353" t="s">
        <v>29</v>
      </c>
      <c r="D13" s="388">
        <v>2</v>
      </c>
      <c r="E13" s="389">
        <v>1</v>
      </c>
      <c r="F13" s="388">
        <v>0</v>
      </c>
      <c r="G13" s="388">
        <v>1</v>
      </c>
      <c r="H13" s="388">
        <v>58</v>
      </c>
      <c r="I13" s="388">
        <v>67</v>
      </c>
      <c r="J13" s="389">
        <v>-9</v>
      </c>
      <c r="K13" s="388">
        <v>1</v>
      </c>
      <c r="L13" s="388">
        <v>0</v>
      </c>
      <c r="M13" s="388">
        <v>9</v>
      </c>
      <c r="N13" s="388">
        <v>11</v>
      </c>
      <c r="O13" s="389">
        <v>5</v>
      </c>
    </row>
    <row r="14" spans="1:15" ht="14.95" thickBot="1" x14ac:dyDescent="0.3">
      <c r="A14" s="386">
        <v>4</v>
      </c>
      <c r="B14" s="132" t="s">
        <v>46</v>
      </c>
      <c r="C14" s="391" t="s">
        <v>55</v>
      </c>
      <c r="D14" s="388">
        <v>2</v>
      </c>
      <c r="E14" s="389">
        <v>0</v>
      </c>
      <c r="F14" s="388">
        <v>0</v>
      </c>
      <c r="G14" s="388">
        <v>2</v>
      </c>
      <c r="H14" s="388">
        <v>34</v>
      </c>
      <c r="I14" s="388">
        <v>108</v>
      </c>
      <c r="J14" s="389">
        <v>-74</v>
      </c>
      <c r="K14" s="388">
        <v>0</v>
      </c>
      <c r="L14" s="388">
        <v>0</v>
      </c>
      <c r="M14" s="388">
        <v>5</v>
      </c>
      <c r="N14" s="388">
        <v>17</v>
      </c>
      <c r="O14" s="389">
        <v>0</v>
      </c>
    </row>
    <row r="16" spans="1:15" x14ac:dyDescent="0.25">
      <c r="A16" s="394" t="s">
        <v>327</v>
      </c>
    </row>
    <row r="17" spans="1:15" ht="14.95" thickBot="1" x14ac:dyDescent="0.3"/>
    <row r="18" spans="1:15" ht="14.95" thickBot="1" x14ac:dyDescent="0.3">
      <c r="A18" s="109" t="s">
        <v>42</v>
      </c>
      <c r="B18" s="110" t="s">
        <v>43</v>
      </c>
      <c r="C18" s="110"/>
      <c r="D18" s="110" t="s">
        <v>0</v>
      </c>
      <c r="E18" s="385" t="s">
        <v>1</v>
      </c>
      <c r="F18" s="110" t="s">
        <v>2</v>
      </c>
      <c r="G18" s="110" t="s">
        <v>3</v>
      </c>
      <c r="H18" s="110" t="s">
        <v>4</v>
      </c>
      <c r="I18" s="110" t="s">
        <v>5</v>
      </c>
      <c r="J18" s="385" t="s">
        <v>44</v>
      </c>
      <c r="K18" s="110" t="s">
        <v>21</v>
      </c>
      <c r="L18" s="110" t="s">
        <v>22</v>
      </c>
      <c r="M18" s="110" t="s">
        <v>47</v>
      </c>
      <c r="N18" s="110" t="s">
        <v>48</v>
      </c>
      <c r="O18" s="385" t="s">
        <v>45</v>
      </c>
    </row>
    <row r="19" spans="1:15" ht="14.95" thickBot="1" x14ac:dyDescent="0.3">
      <c r="A19" s="386">
        <v>1</v>
      </c>
      <c r="B19" s="132" t="s">
        <v>46</v>
      </c>
      <c r="C19" s="393" t="s">
        <v>73</v>
      </c>
      <c r="D19" s="388">
        <v>1</v>
      </c>
      <c r="E19" s="389">
        <v>1</v>
      </c>
      <c r="F19" s="388">
        <v>0</v>
      </c>
      <c r="G19" s="388">
        <v>0</v>
      </c>
      <c r="H19" s="388">
        <v>50</v>
      </c>
      <c r="I19" s="388">
        <v>0</v>
      </c>
      <c r="J19" s="389">
        <v>50</v>
      </c>
      <c r="K19" s="388">
        <v>1</v>
      </c>
      <c r="L19" s="388">
        <v>0</v>
      </c>
      <c r="M19" s="388">
        <v>8</v>
      </c>
      <c r="N19" s="388">
        <v>0</v>
      </c>
      <c r="O19" s="389">
        <v>5</v>
      </c>
    </row>
    <row r="20" spans="1:15" ht="14.95" thickBot="1" x14ac:dyDescent="0.3">
      <c r="A20" s="386">
        <v>2</v>
      </c>
      <c r="B20" s="132" t="s">
        <v>46</v>
      </c>
      <c r="C20" s="390" t="s">
        <v>36</v>
      </c>
      <c r="D20" s="388">
        <v>1</v>
      </c>
      <c r="E20" s="389">
        <v>1</v>
      </c>
      <c r="F20" s="388">
        <v>0</v>
      </c>
      <c r="G20" s="388">
        <v>0</v>
      </c>
      <c r="H20" s="388">
        <v>50</v>
      </c>
      <c r="I20" s="388">
        <v>17</v>
      </c>
      <c r="J20" s="389">
        <v>33</v>
      </c>
      <c r="K20" s="388">
        <v>1</v>
      </c>
      <c r="L20" s="388">
        <v>0</v>
      </c>
      <c r="M20" s="388">
        <v>8</v>
      </c>
      <c r="N20" s="388">
        <v>2</v>
      </c>
      <c r="O20" s="389">
        <v>5</v>
      </c>
    </row>
    <row r="21" spans="1:15" ht="14.95" thickBot="1" x14ac:dyDescent="0.3">
      <c r="A21" s="386">
        <v>3</v>
      </c>
      <c r="B21" s="132" t="s">
        <v>46</v>
      </c>
      <c r="C21" s="353" t="s">
        <v>29</v>
      </c>
      <c r="D21" s="388">
        <v>1</v>
      </c>
      <c r="E21" s="389">
        <v>0</v>
      </c>
      <c r="F21" s="388">
        <v>0</v>
      </c>
      <c r="G21" s="388">
        <v>1</v>
      </c>
      <c r="H21" s="388">
        <v>58</v>
      </c>
      <c r="I21" s="388">
        <v>67</v>
      </c>
      <c r="J21" s="389">
        <v>-9</v>
      </c>
      <c r="K21" s="388">
        <v>0</v>
      </c>
      <c r="L21" s="388">
        <v>0</v>
      </c>
      <c r="M21" s="388">
        <v>9</v>
      </c>
      <c r="N21" s="388">
        <v>11</v>
      </c>
      <c r="O21" s="389">
        <v>0</v>
      </c>
    </row>
    <row r="22" spans="1:15" ht="14.95" thickBot="1" x14ac:dyDescent="0.3">
      <c r="A22" s="386">
        <v>4</v>
      </c>
      <c r="B22" s="132" t="s">
        <v>46</v>
      </c>
      <c r="C22" s="391" t="s">
        <v>55</v>
      </c>
      <c r="D22" s="388">
        <v>1</v>
      </c>
      <c r="E22" s="389">
        <v>0</v>
      </c>
      <c r="F22" s="388">
        <v>0</v>
      </c>
      <c r="G22" s="388">
        <v>1</v>
      </c>
      <c r="H22" s="388">
        <v>17</v>
      </c>
      <c r="I22" s="388">
        <v>50</v>
      </c>
      <c r="J22" s="389">
        <v>-33</v>
      </c>
      <c r="K22" s="388">
        <v>0</v>
      </c>
      <c r="L22" s="388">
        <v>0</v>
      </c>
      <c r="M22" s="388">
        <v>2</v>
      </c>
      <c r="N22" s="388">
        <v>8</v>
      </c>
      <c r="O22" s="389">
        <v>0</v>
      </c>
    </row>
    <row r="24" spans="1:15" x14ac:dyDescent="0.25">
      <c r="A24" s="152" t="s">
        <v>28</v>
      </c>
    </row>
  </sheetData>
  <sortState xmlns:xlrd2="http://schemas.microsoft.com/office/spreadsheetml/2017/richdata2" ref="A2:O5">
    <sortCondition descending="1" ref="O2:O5"/>
    <sortCondition descending="1" ref="J2:J5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91CC9-6047-43D8-8141-0B8E1DA43F9E}">
  <dimension ref="A1:O9"/>
  <sheetViews>
    <sheetView workbookViewId="0">
      <selection sqref="A1:O10"/>
    </sheetView>
  </sheetViews>
  <sheetFormatPr defaultRowHeight="14.3" x14ac:dyDescent="0.25"/>
  <cols>
    <col min="1" max="1" width="10.75" customWidth="1"/>
    <col min="2" max="2" width="6" customWidth="1"/>
    <col min="3" max="5" width="4.5" customWidth="1"/>
    <col min="6" max="6" width="5" customWidth="1"/>
    <col min="7" max="7" width="2.75" customWidth="1"/>
    <col min="8" max="8" width="5" customWidth="1"/>
    <col min="9" max="11" width="4.5" customWidth="1"/>
    <col min="12" max="15" width="11.125" customWidth="1"/>
  </cols>
  <sheetData>
    <row r="1" spans="1:15" x14ac:dyDescent="0.25">
      <c r="B1" s="73" t="s">
        <v>94</v>
      </c>
      <c r="F1" s="493">
        <v>2023</v>
      </c>
      <c r="G1" s="494"/>
      <c r="H1" s="494"/>
    </row>
    <row r="2" spans="1:15" x14ac:dyDescent="0.25">
      <c r="A2" s="240">
        <v>45017</v>
      </c>
      <c r="B2" s="252">
        <v>16</v>
      </c>
      <c r="C2" s="491" t="s">
        <v>36</v>
      </c>
      <c r="D2" s="492"/>
      <c r="E2" s="492"/>
      <c r="F2" s="241">
        <v>50</v>
      </c>
      <c r="G2" s="242" t="s">
        <v>93</v>
      </c>
      <c r="H2" s="244">
        <v>17</v>
      </c>
      <c r="I2" s="487" t="s">
        <v>55</v>
      </c>
      <c r="J2" s="488"/>
      <c r="K2" s="488"/>
      <c r="L2" s="508" t="s">
        <v>178</v>
      </c>
      <c r="M2" s="508"/>
      <c r="N2" s="508"/>
      <c r="O2" s="486"/>
    </row>
    <row r="3" spans="1:15" x14ac:dyDescent="0.25">
      <c r="A3" s="240">
        <v>45106</v>
      </c>
      <c r="B3" s="252">
        <v>8</v>
      </c>
      <c r="C3" s="489" t="s">
        <v>29</v>
      </c>
      <c r="D3" s="489"/>
      <c r="E3" s="489"/>
      <c r="F3" s="241">
        <v>0</v>
      </c>
      <c r="G3" s="242" t="s">
        <v>93</v>
      </c>
      <c r="H3" s="244">
        <v>50</v>
      </c>
      <c r="I3" s="487" t="s">
        <v>321</v>
      </c>
      <c r="J3" s="490"/>
      <c r="K3" s="490"/>
      <c r="L3" s="506" t="s">
        <v>322</v>
      </c>
      <c r="M3" s="506"/>
      <c r="N3" s="506"/>
      <c r="O3" s="507"/>
    </row>
    <row r="4" spans="1:15" x14ac:dyDescent="0.25">
      <c r="A4" s="240">
        <v>45115</v>
      </c>
      <c r="B4" s="252">
        <v>21</v>
      </c>
      <c r="C4" s="489" t="s">
        <v>29</v>
      </c>
      <c r="D4" s="489"/>
      <c r="E4" s="489"/>
      <c r="F4" s="241">
        <v>58</v>
      </c>
      <c r="G4" s="242" t="s">
        <v>93</v>
      </c>
      <c r="H4" s="244">
        <v>17</v>
      </c>
      <c r="I4" s="241" t="s">
        <v>55</v>
      </c>
      <c r="J4" s="241"/>
      <c r="K4" s="241"/>
      <c r="L4" s="506" t="s">
        <v>319</v>
      </c>
      <c r="M4" s="506"/>
      <c r="N4" s="506"/>
      <c r="O4" s="507"/>
    </row>
    <row r="5" spans="1:15" x14ac:dyDescent="0.25">
      <c r="A5" s="240">
        <v>45115</v>
      </c>
      <c r="B5" s="252">
        <v>23.3</v>
      </c>
      <c r="C5" s="491" t="s">
        <v>36</v>
      </c>
      <c r="D5" s="492"/>
      <c r="E5" s="492"/>
      <c r="F5" s="241">
        <v>21</v>
      </c>
      <c r="G5" s="242" t="s">
        <v>93</v>
      </c>
      <c r="H5" s="244">
        <v>52</v>
      </c>
      <c r="I5" s="487" t="s">
        <v>321</v>
      </c>
      <c r="J5" s="490"/>
      <c r="K5" s="490"/>
      <c r="L5" s="506" t="s">
        <v>319</v>
      </c>
      <c r="M5" s="506"/>
      <c r="N5" s="506"/>
      <c r="O5" s="507"/>
    </row>
    <row r="6" spans="1:15" x14ac:dyDescent="0.25">
      <c r="A6" s="240">
        <v>45121</v>
      </c>
      <c r="B6" s="252">
        <v>23.3</v>
      </c>
      <c r="C6" s="489" t="s">
        <v>321</v>
      </c>
      <c r="D6" s="489"/>
      <c r="E6" s="489"/>
      <c r="F6" s="241">
        <v>39</v>
      </c>
      <c r="G6" s="242" t="s">
        <v>93</v>
      </c>
      <c r="H6" s="244">
        <v>17</v>
      </c>
      <c r="I6" s="241" t="s">
        <v>55</v>
      </c>
      <c r="J6" s="241"/>
      <c r="K6" s="241"/>
      <c r="L6" s="506" t="s">
        <v>319</v>
      </c>
      <c r="M6" s="506"/>
      <c r="N6" s="506"/>
      <c r="O6" s="507"/>
    </row>
    <row r="7" spans="1:15" x14ac:dyDescent="0.25">
      <c r="A7" s="240">
        <v>45121</v>
      </c>
      <c r="B7" s="252">
        <v>2</v>
      </c>
      <c r="C7" s="491" t="s">
        <v>36</v>
      </c>
      <c r="D7" s="492"/>
      <c r="E7" s="492"/>
      <c r="F7" s="241">
        <v>45</v>
      </c>
      <c r="G7" s="242" t="s">
        <v>93</v>
      </c>
      <c r="H7" s="244">
        <v>7</v>
      </c>
      <c r="I7" s="241" t="s">
        <v>29</v>
      </c>
      <c r="J7" s="241"/>
      <c r="K7" s="241"/>
      <c r="L7" s="506" t="s">
        <v>319</v>
      </c>
      <c r="M7" s="506"/>
      <c r="N7" s="506"/>
      <c r="O7" s="507"/>
    </row>
    <row r="9" spans="1:15" x14ac:dyDescent="0.25">
      <c r="A9" s="152" t="s">
        <v>28</v>
      </c>
    </row>
  </sheetData>
  <mergeCells count="16">
    <mergeCell ref="C7:E7"/>
    <mergeCell ref="L7:O7"/>
    <mergeCell ref="C6:E6"/>
    <mergeCell ref="L6:O6"/>
    <mergeCell ref="F1:H1"/>
    <mergeCell ref="C2:E2"/>
    <mergeCell ref="I2:K2"/>
    <mergeCell ref="L2:O2"/>
    <mergeCell ref="C3:E3"/>
    <mergeCell ref="L3:O3"/>
    <mergeCell ref="C4:E4"/>
    <mergeCell ref="L4:O4"/>
    <mergeCell ref="C5:E5"/>
    <mergeCell ref="L5:O5"/>
    <mergeCell ref="I3:K3"/>
    <mergeCell ref="I5:K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37C25-46B5-4A68-AC64-7A39EE8587FD}">
  <dimension ref="A1:R31"/>
  <sheetViews>
    <sheetView topLeftCell="D10" workbookViewId="0">
      <selection sqref="A1:S32"/>
    </sheetView>
  </sheetViews>
  <sheetFormatPr defaultRowHeight="14.3" x14ac:dyDescent="0.25"/>
  <cols>
    <col min="1" max="1" width="9.5" customWidth="1"/>
    <col min="3" max="3" width="25.125" bestFit="1" customWidth="1"/>
    <col min="8" max="8" width="9.5" customWidth="1"/>
  </cols>
  <sheetData>
    <row r="1" spans="1:18" ht="14.95" thickBot="1" x14ac:dyDescent="0.3"/>
    <row r="2" spans="1:18" ht="17" thickBot="1" x14ac:dyDescent="0.3">
      <c r="A2" s="48"/>
      <c r="B2" s="504" t="s">
        <v>49</v>
      </c>
      <c r="C2" s="505"/>
      <c r="D2" s="496" t="s">
        <v>50</v>
      </c>
      <c r="E2" s="497"/>
      <c r="F2" s="61" t="s">
        <v>51</v>
      </c>
      <c r="H2" s="499" t="s">
        <v>53</v>
      </c>
      <c r="I2" s="501" t="s">
        <v>61</v>
      </c>
      <c r="J2" s="502"/>
      <c r="K2" s="501" t="s">
        <v>62</v>
      </c>
      <c r="L2" s="503"/>
      <c r="M2" s="503"/>
      <c r="N2" s="503"/>
      <c r="O2" s="502"/>
      <c r="P2" s="89" t="s">
        <v>63</v>
      </c>
      <c r="Q2" s="501" t="s">
        <v>64</v>
      </c>
      <c r="R2" s="502"/>
    </row>
    <row r="3" spans="1:18" ht="14.95" customHeight="1" thickBot="1" x14ac:dyDescent="0.3">
      <c r="A3" s="353" t="s">
        <v>29</v>
      </c>
      <c r="B3" s="253">
        <f>ausp4yc</f>
        <v>2</v>
      </c>
      <c r="C3" s="248" t="s">
        <v>358</v>
      </c>
      <c r="D3" s="62">
        <f>ausp4rc</f>
        <v>0</v>
      </c>
      <c r="E3" s="63"/>
      <c r="F3" s="64">
        <f>SUM(B3+D3*2)</f>
        <v>2</v>
      </c>
      <c r="H3" s="500"/>
      <c r="I3" s="90" t="s">
        <v>4</v>
      </c>
      <c r="J3" s="90" t="s">
        <v>5</v>
      </c>
      <c r="K3" s="91" t="s">
        <v>96</v>
      </c>
      <c r="L3" s="92" t="s">
        <v>97</v>
      </c>
      <c r="M3" s="92" t="s">
        <v>98</v>
      </c>
      <c r="N3" s="93" t="s">
        <v>99</v>
      </c>
      <c r="O3" s="94" t="s">
        <v>65</v>
      </c>
      <c r="P3" s="95" t="s">
        <v>66</v>
      </c>
      <c r="Q3" s="91" t="s">
        <v>4</v>
      </c>
      <c r="R3" s="94" t="s">
        <v>5</v>
      </c>
    </row>
    <row r="4" spans="1:18" ht="14.95" customHeight="1" thickBot="1" x14ac:dyDescent="0.3">
      <c r="A4" s="58" t="s">
        <v>36</v>
      </c>
      <c r="B4" s="65">
        <f>canp4yc</f>
        <v>3</v>
      </c>
      <c r="C4" s="131" t="s">
        <v>337</v>
      </c>
      <c r="D4" s="62">
        <f>canp4rc</f>
        <v>0</v>
      </c>
      <c r="E4" s="63"/>
      <c r="F4" s="64">
        <f>SUM(B4+D4*2)</f>
        <v>3</v>
      </c>
      <c r="H4" s="259" t="s">
        <v>29</v>
      </c>
      <c r="I4" s="96">
        <v>0</v>
      </c>
      <c r="J4" s="96">
        <v>5</v>
      </c>
      <c r="K4" s="96">
        <v>14</v>
      </c>
      <c r="L4" s="96">
        <v>3</v>
      </c>
      <c r="M4" s="96">
        <v>0</v>
      </c>
      <c r="N4" s="96">
        <v>0</v>
      </c>
      <c r="O4" s="97">
        <f t="shared" ref="O4:O7" si="0">SUM(K4:N4)</f>
        <v>17</v>
      </c>
      <c r="P4" s="96">
        <v>0</v>
      </c>
      <c r="Q4" s="376">
        <f t="shared" ref="Q4" si="1">SUM(I4/O4)*10</f>
        <v>0</v>
      </c>
      <c r="R4" s="377">
        <f t="shared" ref="R4" si="2">SUM(J4/O4)*10</f>
        <v>2.9411764705882355</v>
      </c>
    </row>
    <row r="5" spans="1:18" ht="14.95" customHeight="1" thickBot="1" x14ac:dyDescent="0.3">
      <c r="A5" s="254" t="s">
        <v>55</v>
      </c>
      <c r="B5" s="65">
        <f>usap4yc</f>
        <v>3</v>
      </c>
      <c r="C5" s="403" t="s">
        <v>350</v>
      </c>
      <c r="D5" s="62">
        <f>usap4rc</f>
        <v>0</v>
      </c>
      <c r="E5" s="63"/>
      <c r="F5" s="64">
        <f>SUM(B5+D5*2)</f>
        <v>3</v>
      </c>
      <c r="H5" s="8" t="s">
        <v>36</v>
      </c>
      <c r="I5" s="96">
        <v>12</v>
      </c>
      <c r="J5" s="96">
        <v>5</v>
      </c>
      <c r="K5" s="96">
        <v>21</v>
      </c>
      <c r="L5" s="96">
        <v>0</v>
      </c>
      <c r="M5" s="96">
        <v>0</v>
      </c>
      <c r="N5" s="96">
        <v>0</v>
      </c>
      <c r="O5" s="97">
        <f t="shared" si="0"/>
        <v>21</v>
      </c>
      <c r="P5" s="96">
        <v>0</v>
      </c>
      <c r="Q5" s="376">
        <f t="shared" ref="Q5:Q8" si="3">SUM(I5/O5)*10</f>
        <v>5.7142857142857135</v>
      </c>
      <c r="R5" s="377">
        <f t="shared" ref="R5:R8" si="4">SUM(J5/O5)*10</f>
        <v>2.3809523809523809</v>
      </c>
    </row>
    <row r="6" spans="1:18" ht="14.95" customHeight="1" thickBot="1" x14ac:dyDescent="0.3">
      <c r="A6" s="352" t="s">
        <v>73</v>
      </c>
      <c r="B6" s="65">
        <f>nzlp4yc</f>
        <v>1</v>
      </c>
      <c r="C6" s="131" t="s">
        <v>349</v>
      </c>
      <c r="D6" s="62">
        <f>nzlp4yc</f>
        <v>1</v>
      </c>
      <c r="E6" s="63" t="s">
        <v>348</v>
      </c>
      <c r="F6" s="64">
        <f>SUM(B6+D6*2)</f>
        <v>3</v>
      </c>
      <c r="H6" s="354" t="s">
        <v>73</v>
      </c>
      <c r="I6" s="96">
        <v>39</v>
      </c>
      <c r="J6" s="96">
        <v>17</v>
      </c>
      <c r="K6" s="96">
        <v>63</v>
      </c>
      <c r="L6" s="96">
        <v>10</v>
      </c>
      <c r="M6" s="96">
        <v>0</v>
      </c>
      <c r="N6" s="96">
        <v>0</v>
      </c>
      <c r="O6" s="97">
        <f t="shared" si="0"/>
        <v>73</v>
      </c>
      <c r="P6" s="96">
        <v>0</v>
      </c>
      <c r="Q6" s="376">
        <f t="shared" si="3"/>
        <v>5.3424657534246576</v>
      </c>
      <c r="R6" s="377">
        <f t="shared" si="4"/>
        <v>2.3287671232876712</v>
      </c>
    </row>
    <row r="7" spans="1:18" ht="14.95" customHeight="1" thickBot="1" x14ac:dyDescent="0.3">
      <c r="A7" s="114" t="s">
        <v>52</v>
      </c>
      <c r="B7" s="65">
        <f>SUM(B3:B6)</f>
        <v>9</v>
      </c>
      <c r="C7" s="68"/>
      <c r="D7" s="69">
        <f>SUM(D3:D6)</f>
        <v>1</v>
      </c>
      <c r="E7" s="70"/>
      <c r="F7" s="61" t="s">
        <v>53</v>
      </c>
      <c r="H7" s="34" t="s">
        <v>55</v>
      </c>
      <c r="I7" s="96">
        <v>0</v>
      </c>
      <c r="J7" s="96">
        <v>5</v>
      </c>
      <c r="K7" s="96">
        <v>11</v>
      </c>
      <c r="L7" s="96">
        <v>5</v>
      </c>
      <c r="M7" s="96">
        <v>0</v>
      </c>
      <c r="N7" s="96">
        <v>0</v>
      </c>
      <c r="O7" s="97">
        <f t="shared" si="0"/>
        <v>16</v>
      </c>
      <c r="P7" s="96">
        <v>0</v>
      </c>
      <c r="Q7" s="376">
        <f t="shared" si="3"/>
        <v>0</v>
      </c>
      <c r="R7" s="377">
        <f t="shared" si="4"/>
        <v>3.125</v>
      </c>
    </row>
    <row r="8" spans="1:18" ht="14.95" customHeight="1" thickBot="1" x14ac:dyDescent="0.3">
      <c r="D8" s="71"/>
      <c r="E8" s="72"/>
      <c r="H8" s="103" t="s">
        <v>52</v>
      </c>
      <c r="I8" s="98">
        <f t="shared" ref="I8:P8" si="5">SUM(I4:I7)</f>
        <v>51</v>
      </c>
      <c r="J8" s="98">
        <f t="shared" si="5"/>
        <v>32</v>
      </c>
      <c r="K8" s="98">
        <f t="shared" si="5"/>
        <v>109</v>
      </c>
      <c r="L8" s="98">
        <f t="shared" si="5"/>
        <v>18</v>
      </c>
      <c r="M8" s="98">
        <f t="shared" si="5"/>
        <v>0</v>
      </c>
      <c r="N8" s="98">
        <f t="shared" si="5"/>
        <v>0</v>
      </c>
      <c r="O8" s="98">
        <f t="shared" si="5"/>
        <v>127</v>
      </c>
      <c r="P8" s="98">
        <f t="shared" si="5"/>
        <v>0</v>
      </c>
      <c r="Q8" s="399">
        <f t="shared" si="3"/>
        <v>4.015748031496063</v>
      </c>
      <c r="R8" s="400">
        <f t="shared" si="4"/>
        <v>2.5196850393700787</v>
      </c>
    </row>
    <row r="9" spans="1:18" ht="14.95" customHeight="1" x14ac:dyDescent="0.25">
      <c r="A9" s="73" t="s">
        <v>54</v>
      </c>
      <c r="B9" s="73"/>
    </row>
    <row r="10" spans="1:18" ht="14.95" customHeight="1" x14ac:dyDescent="0.25">
      <c r="A10" s="509" t="s">
        <v>361</v>
      </c>
      <c r="B10" s="509"/>
      <c r="C10" s="510"/>
      <c r="D10" s="510"/>
      <c r="H10" s="73" t="s">
        <v>86</v>
      </c>
    </row>
    <row r="11" spans="1:18" ht="14.95" customHeight="1" thickBot="1" x14ac:dyDescent="0.3">
      <c r="A11" s="152"/>
      <c r="B11" s="14"/>
      <c r="E11" t="s">
        <v>53</v>
      </c>
      <c r="I11" s="73"/>
    </row>
    <row r="12" spans="1:18" ht="14.95" customHeight="1" thickBot="1" x14ac:dyDescent="0.3">
      <c r="H12" s="499" t="s">
        <v>53</v>
      </c>
      <c r="I12" s="501" t="s">
        <v>61</v>
      </c>
      <c r="J12" s="502"/>
      <c r="K12" s="501" t="s">
        <v>53</v>
      </c>
      <c r="L12" s="503"/>
      <c r="M12" s="503"/>
      <c r="N12" s="503"/>
      <c r="O12" s="502"/>
      <c r="P12" s="501" t="s">
        <v>64</v>
      </c>
      <c r="Q12" s="502"/>
    </row>
    <row r="13" spans="1:18" ht="14.95" customHeight="1" thickBot="1" x14ac:dyDescent="0.3">
      <c r="H13" s="500"/>
      <c r="I13" s="90" t="s">
        <v>4</v>
      </c>
      <c r="J13" s="90" t="s">
        <v>5</v>
      </c>
      <c r="K13" s="91" t="s">
        <v>67</v>
      </c>
      <c r="L13" s="92" t="s">
        <v>68</v>
      </c>
      <c r="M13" s="92" t="s">
        <v>198</v>
      </c>
      <c r="N13" s="93"/>
      <c r="O13" s="94" t="s">
        <v>65</v>
      </c>
      <c r="P13" s="91" t="s">
        <v>4</v>
      </c>
      <c r="Q13" s="94" t="s">
        <v>5</v>
      </c>
    </row>
    <row r="14" spans="1:18" ht="14.95" customHeight="1" thickBot="1" x14ac:dyDescent="0.3">
      <c r="H14" s="259" t="s">
        <v>29</v>
      </c>
      <c r="I14" s="96">
        <v>0</v>
      </c>
      <c r="J14" s="96">
        <v>0</v>
      </c>
      <c r="K14" s="96">
        <v>0</v>
      </c>
      <c r="L14" s="96">
        <v>0</v>
      </c>
      <c r="M14" s="96">
        <v>0</v>
      </c>
      <c r="N14" s="96">
        <v>0</v>
      </c>
      <c r="O14" s="97">
        <f t="shared" ref="O14:O17" si="6">SUM(K14:N14)</f>
        <v>0</v>
      </c>
      <c r="P14" s="401" t="s">
        <v>359</v>
      </c>
      <c r="Q14" s="402" t="s">
        <v>359</v>
      </c>
      <c r="R14" t="s">
        <v>360</v>
      </c>
    </row>
    <row r="15" spans="1:18" ht="14.95" customHeight="1" thickBot="1" x14ac:dyDescent="0.3">
      <c r="H15" s="8" t="s">
        <v>36</v>
      </c>
      <c r="I15" s="96">
        <v>10</v>
      </c>
      <c r="J15" s="96">
        <v>0</v>
      </c>
      <c r="K15" s="96">
        <v>14</v>
      </c>
      <c r="L15" s="96">
        <v>3</v>
      </c>
      <c r="M15" s="96">
        <v>5</v>
      </c>
      <c r="N15" s="96">
        <v>0</v>
      </c>
      <c r="O15" s="97">
        <f t="shared" si="6"/>
        <v>22</v>
      </c>
      <c r="P15" s="376">
        <f t="shared" ref="P15:P18" si="7">SUM(I15/O15)*10</f>
        <v>4.545454545454545</v>
      </c>
      <c r="Q15" s="377">
        <f t="shared" ref="Q15:Q18" si="8">SUM(J15/O15)*10</f>
        <v>0</v>
      </c>
    </row>
    <row r="16" spans="1:18" ht="14.95" customHeight="1" thickBot="1" x14ac:dyDescent="0.3">
      <c r="H16" s="354" t="s">
        <v>73</v>
      </c>
      <c r="I16" s="96">
        <v>5</v>
      </c>
      <c r="J16" s="96">
        <v>0</v>
      </c>
      <c r="K16" s="96">
        <v>3</v>
      </c>
      <c r="L16" s="96">
        <v>0</v>
      </c>
      <c r="M16" s="96">
        <v>0</v>
      </c>
      <c r="N16" s="96">
        <v>0</v>
      </c>
      <c r="O16" s="97">
        <f t="shared" si="6"/>
        <v>3</v>
      </c>
      <c r="P16" s="376">
        <f t="shared" si="7"/>
        <v>16.666666666666668</v>
      </c>
      <c r="Q16" s="377">
        <f t="shared" si="8"/>
        <v>0</v>
      </c>
    </row>
    <row r="17" spans="1:17" ht="14.95" customHeight="1" thickBot="1" x14ac:dyDescent="0.3">
      <c r="H17" s="34" t="s">
        <v>55</v>
      </c>
      <c r="I17" s="96">
        <v>0</v>
      </c>
      <c r="J17" s="96">
        <v>7</v>
      </c>
      <c r="K17" s="96">
        <v>12</v>
      </c>
      <c r="L17" s="96">
        <v>0</v>
      </c>
      <c r="M17" s="96">
        <v>0</v>
      </c>
      <c r="N17" s="96">
        <v>0</v>
      </c>
      <c r="O17" s="97">
        <f t="shared" si="6"/>
        <v>12</v>
      </c>
      <c r="P17" s="376">
        <f t="shared" si="7"/>
        <v>0</v>
      </c>
      <c r="Q17" s="377">
        <f t="shared" si="8"/>
        <v>5.8333333333333339</v>
      </c>
    </row>
    <row r="18" spans="1:17" ht="14.95" thickBot="1" x14ac:dyDescent="0.3">
      <c r="H18" s="103" t="s">
        <v>52</v>
      </c>
      <c r="I18" s="98">
        <f t="shared" ref="I18:O18" si="9">SUM(I14:I17)</f>
        <v>15</v>
      </c>
      <c r="J18" s="99">
        <f t="shared" si="9"/>
        <v>7</v>
      </c>
      <c r="K18" s="98">
        <f t="shared" si="9"/>
        <v>29</v>
      </c>
      <c r="L18" s="100">
        <f t="shared" si="9"/>
        <v>3</v>
      </c>
      <c r="M18" s="100">
        <f t="shared" si="9"/>
        <v>5</v>
      </c>
      <c r="N18" s="100">
        <f t="shared" si="9"/>
        <v>0</v>
      </c>
      <c r="O18" s="99">
        <f t="shared" si="9"/>
        <v>37</v>
      </c>
      <c r="P18" s="399">
        <f t="shared" si="7"/>
        <v>4.0540540540540544</v>
      </c>
      <c r="Q18" s="400">
        <f t="shared" si="8"/>
        <v>1.8918918918918921</v>
      </c>
    </row>
    <row r="19" spans="1:17" x14ac:dyDescent="0.25">
      <c r="H19" t="s">
        <v>53</v>
      </c>
    </row>
    <row r="20" spans="1:17" x14ac:dyDescent="0.25">
      <c r="H20" s="73" t="s">
        <v>89</v>
      </c>
      <c r="I20" s="73"/>
      <c r="J20" s="73"/>
      <c r="K20" s="73"/>
    </row>
    <row r="21" spans="1:17" x14ac:dyDescent="0.25">
      <c r="I21" s="73"/>
      <c r="J21" s="73"/>
      <c r="K21" s="73"/>
    </row>
    <row r="22" spans="1:17" x14ac:dyDescent="0.25">
      <c r="H22" s="126"/>
      <c r="I22" s="73"/>
      <c r="J22" s="73"/>
      <c r="K22" s="73"/>
    </row>
    <row r="23" spans="1:17" x14ac:dyDescent="0.25">
      <c r="I23" s="73"/>
      <c r="J23" s="73"/>
      <c r="K23" s="73"/>
    </row>
    <row r="24" spans="1:17" x14ac:dyDescent="0.25">
      <c r="J24" s="73"/>
      <c r="K24" s="73"/>
      <c r="L24" s="73"/>
    </row>
    <row r="25" spans="1:17" x14ac:dyDescent="0.25">
      <c r="J25" s="73"/>
      <c r="K25" s="73"/>
      <c r="L25" s="73"/>
    </row>
    <row r="26" spans="1:17" x14ac:dyDescent="0.25">
      <c r="H26" s="73" t="s">
        <v>95</v>
      </c>
      <c r="J26" s="73"/>
      <c r="K26" s="73"/>
      <c r="L26" s="73"/>
    </row>
    <row r="27" spans="1:17" x14ac:dyDescent="0.25">
      <c r="J27" s="73"/>
      <c r="K27" s="73"/>
      <c r="L27" s="73"/>
    </row>
    <row r="31" spans="1:17" x14ac:dyDescent="0.25">
      <c r="A31" s="152" t="s">
        <v>28</v>
      </c>
    </row>
  </sheetData>
  <sortState xmlns:xlrd2="http://schemas.microsoft.com/office/spreadsheetml/2017/richdata2" ref="A3:F6">
    <sortCondition ref="F3:F6"/>
    <sortCondition ref="D3:D6"/>
  </sortState>
  <mergeCells count="11">
    <mergeCell ref="A10:D10"/>
    <mergeCell ref="H12:H13"/>
    <mergeCell ref="I12:J12"/>
    <mergeCell ref="K12:O12"/>
    <mergeCell ref="P12:Q12"/>
    <mergeCell ref="Q2:R2"/>
    <mergeCell ref="B2:C2"/>
    <mergeCell ref="D2:E2"/>
    <mergeCell ref="H2:H3"/>
    <mergeCell ref="I2:J2"/>
    <mergeCell ref="K2:O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A0BEC-F8F2-4744-93EB-33D6C1E2FB53}">
  <dimension ref="A1:N32"/>
  <sheetViews>
    <sheetView topLeftCell="A7" workbookViewId="0">
      <selection activeCell="N35" sqref="N35"/>
    </sheetView>
  </sheetViews>
  <sheetFormatPr defaultRowHeight="14.3" x14ac:dyDescent="0.25"/>
  <cols>
    <col min="2" max="2" width="11.625" customWidth="1"/>
  </cols>
  <sheetData>
    <row r="1" spans="1:14" ht="14.95" thickBot="1" x14ac:dyDescent="0.3">
      <c r="A1" s="464" t="s">
        <v>423</v>
      </c>
    </row>
    <row r="2" spans="1:14" ht="14.95" thickBot="1" x14ac:dyDescent="0.3">
      <c r="A2" s="109" t="s">
        <v>42</v>
      </c>
      <c r="B2" s="49"/>
      <c r="C2" s="49" t="s">
        <v>0</v>
      </c>
      <c r="D2" s="50" t="s">
        <v>1</v>
      </c>
      <c r="E2" s="49" t="s">
        <v>2</v>
      </c>
      <c r="F2" s="49" t="s">
        <v>3</v>
      </c>
      <c r="G2" s="49" t="s">
        <v>4</v>
      </c>
      <c r="H2" s="49" t="s">
        <v>5</v>
      </c>
      <c r="I2" s="50" t="s">
        <v>44</v>
      </c>
      <c r="J2" s="49" t="s">
        <v>21</v>
      </c>
      <c r="K2" s="49" t="s">
        <v>22</v>
      </c>
      <c r="L2" s="49" t="s">
        <v>47</v>
      </c>
      <c r="M2" s="49" t="s">
        <v>48</v>
      </c>
      <c r="N2" s="50" t="s">
        <v>45</v>
      </c>
    </row>
    <row r="3" spans="1:14" ht="14.95" thickBot="1" x14ac:dyDescent="0.3">
      <c r="A3" s="111">
        <v>1</v>
      </c>
      <c r="B3" s="107" t="s">
        <v>30</v>
      </c>
      <c r="C3" s="54">
        <v>3</v>
      </c>
      <c r="D3" s="53">
        <v>3</v>
      </c>
      <c r="E3" s="54">
        <v>0</v>
      </c>
      <c r="F3" s="54">
        <v>0</v>
      </c>
      <c r="G3" s="54">
        <v>120</v>
      </c>
      <c r="H3" s="54">
        <v>31</v>
      </c>
      <c r="I3" s="53">
        <f>SUM(G3-H3)</f>
        <v>89</v>
      </c>
      <c r="J3" s="54">
        <v>3</v>
      </c>
      <c r="K3" s="54">
        <v>0</v>
      </c>
      <c r="L3" s="54">
        <v>18</v>
      </c>
      <c r="M3" s="54">
        <v>5</v>
      </c>
      <c r="N3" s="53">
        <f>SUM(D3*4)+(E3*2)+J3+K3</f>
        <v>15</v>
      </c>
    </row>
    <row r="4" spans="1:14" ht="14.95" thickBot="1" x14ac:dyDescent="0.3">
      <c r="A4" s="111">
        <v>2</v>
      </c>
      <c r="B4" s="465" t="s">
        <v>36</v>
      </c>
      <c r="C4" s="54">
        <v>3</v>
      </c>
      <c r="D4" s="53">
        <v>2</v>
      </c>
      <c r="E4" s="54">
        <v>0</v>
      </c>
      <c r="F4" s="54">
        <v>1</v>
      </c>
      <c r="G4" s="54">
        <v>83</v>
      </c>
      <c r="H4" s="54">
        <v>87</v>
      </c>
      <c r="I4" s="53">
        <f>SUM(G4-H4)</f>
        <v>-4</v>
      </c>
      <c r="J4" s="54">
        <v>2</v>
      </c>
      <c r="K4" s="54">
        <v>0</v>
      </c>
      <c r="L4" s="54">
        <v>12</v>
      </c>
      <c r="M4" s="54">
        <v>12</v>
      </c>
      <c r="N4" s="53">
        <f>SUM(D4*4)+(E4*2)+J4+K4</f>
        <v>10</v>
      </c>
    </row>
    <row r="5" spans="1:14" ht="14.95" thickBot="1" x14ac:dyDescent="0.3">
      <c r="A5" s="111">
        <v>3</v>
      </c>
      <c r="B5" s="353" t="s">
        <v>29</v>
      </c>
      <c r="C5" s="54">
        <v>3</v>
      </c>
      <c r="D5" s="53">
        <v>2</v>
      </c>
      <c r="E5" s="54">
        <v>0</v>
      </c>
      <c r="F5" s="54">
        <v>1</v>
      </c>
      <c r="G5" s="54">
        <v>61</v>
      </c>
      <c r="H5" s="54">
        <v>81</v>
      </c>
      <c r="I5" s="53">
        <f t="shared" ref="I5:I6" si="0">SUM(G5-H5)</f>
        <v>-20</v>
      </c>
      <c r="J5" s="54">
        <v>2</v>
      </c>
      <c r="K5" s="54">
        <v>0</v>
      </c>
      <c r="L5" s="54">
        <v>9</v>
      </c>
      <c r="M5" s="54">
        <v>12</v>
      </c>
      <c r="N5" s="53">
        <f t="shared" ref="N5:N6" si="1">SUM(D5*4)+(E5*2)+J5+K5</f>
        <v>10</v>
      </c>
    </row>
    <row r="6" spans="1:14" ht="14.95" customHeight="1" thickBot="1" x14ac:dyDescent="0.3">
      <c r="A6" s="111">
        <v>4</v>
      </c>
      <c r="B6" s="466" t="s">
        <v>73</v>
      </c>
      <c r="C6" s="54">
        <v>3</v>
      </c>
      <c r="D6" s="53">
        <v>1</v>
      </c>
      <c r="E6" s="54">
        <v>0</v>
      </c>
      <c r="F6" s="54">
        <v>2</v>
      </c>
      <c r="G6" s="54">
        <v>99</v>
      </c>
      <c r="H6" s="54">
        <v>58</v>
      </c>
      <c r="I6" s="53">
        <f t="shared" si="0"/>
        <v>41</v>
      </c>
      <c r="J6" s="54">
        <v>1</v>
      </c>
      <c r="K6" s="54">
        <v>1</v>
      </c>
      <c r="L6" s="54">
        <v>16</v>
      </c>
      <c r="M6" s="54">
        <v>8</v>
      </c>
      <c r="N6" s="53">
        <f t="shared" si="1"/>
        <v>6</v>
      </c>
    </row>
    <row r="7" spans="1:14" ht="14.95" thickBot="1" x14ac:dyDescent="0.3">
      <c r="A7" s="153">
        <v>5</v>
      </c>
      <c r="B7" s="254" t="s">
        <v>33</v>
      </c>
      <c r="C7" s="51">
        <v>3</v>
      </c>
      <c r="D7" s="52">
        <v>1</v>
      </c>
      <c r="E7" s="51">
        <v>0</v>
      </c>
      <c r="F7" s="51">
        <v>2</v>
      </c>
      <c r="G7" s="51">
        <v>58</v>
      </c>
      <c r="H7" s="51">
        <v>75</v>
      </c>
      <c r="I7" s="53">
        <f>SUM(G7-H7)</f>
        <v>-17</v>
      </c>
      <c r="J7" s="54">
        <v>0</v>
      </c>
      <c r="K7" s="54">
        <v>0</v>
      </c>
      <c r="L7" s="51">
        <v>7</v>
      </c>
      <c r="M7" s="51">
        <v>10</v>
      </c>
      <c r="N7" s="53">
        <f>SUM(D7*4)+(E7*2)+J7+K7</f>
        <v>4</v>
      </c>
    </row>
    <row r="8" spans="1:14" ht="14.95" thickBot="1" x14ac:dyDescent="0.3">
      <c r="A8" s="111">
        <v>6</v>
      </c>
      <c r="B8" s="58" t="s">
        <v>31</v>
      </c>
      <c r="C8" s="54">
        <v>3</v>
      </c>
      <c r="D8" s="53">
        <v>0</v>
      </c>
      <c r="E8" s="54">
        <v>0</v>
      </c>
      <c r="F8" s="54">
        <v>3</v>
      </c>
      <c r="G8" s="54">
        <v>48</v>
      </c>
      <c r="H8" s="54">
        <v>137</v>
      </c>
      <c r="I8" s="53">
        <f>SUM(G8-H8)</f>
        <v>-89</v>
      </c>
      <c r="J8" s="54">
        <v>0</v>
      </c>
      <c r="K8" s="54">
        <v>1</v>
      </c>
      <c r="L8" s="54">
        <v>7</v>
      </c>
      <c r="M8" s="54">
        <v>22</v>
      </c>
      <c r="N8" s="53">
        <f>SUM(D8*4)+(E8*2)+J8+K8</f>
        <v>1</v>
      </c>
    </row>
    <row r="9" spans="1:14" x14ac:dyDescent="0.25">
      <c r="G9">
        <f>SUM(G3:G8)</f>
        <v>469</v>
      </c>
      <c r="H9">
        <f>SUM(H3:H8)</f>
        <v>469</v>
      </c>
      <c r="L9">
        <f>SUM(L3:L8)</f>
        <v>69</v>
      </c>
      <c r="M9">
        <f>SUM(M3:M8)</f>
        <v>69</v>
      </c>
    </row>
    <row r="11" spans="1:14" ht="14.95" thickBot="1" x14ac:dyDescent="0.3">
      <c r="A11" s="464" t="s">
        <v>424</v>
      </c>
    </row>
    <row r="12" spans="1:14" ht="14.95" thickBot="1" x14ac:dyDescent="0.3">
      <c r="A12" s="109" t="s">
        <v>42</v>
      </c>
      <c r="B12" s="49"/>
      <c r="C12" s="49" t="s">
        <v>0</v>
      </c>
      <c r="D12" s="50" t="s">
        <v>1</v>
      </c>
      <c r="E12" s="49" t="s">
        <v>2</v>
      </c>
      <c r="F12" s="49" t="s">
        <v>3</v>
      </c>
      <c r="G12" s="49" t="s">
        <v>4</v>
      </c>
      <c r="H12" s="49" t="s">
        <v>5</v>
      </c>
      <c r="I12" s="50" t="s">
        <v>44</v>
      </c>
      <c r="J12" s="49" t="s">
        <v>21</v>
      </c>
      <c r="K12" s="49" t="s">
        <v>22</v>
      </c>
      <c r="L12" s="49" t="s">
        <v>47</v>
      </c>
      <c r="M12" s="49" t="s">
        <v>48</v>
      </c>
      <c r="N12" s="50" t="s">
        <v>45</v>
      </c>
    </row>
    <row r="13" spans="1:14" ht="14.95" thickBot="1" x14ac:dyDescent="0.3">
      <c r="A13" s="111">
        <v>1</v>
      </c>
      <c r="B13" s="254" t="s">
        <v>34</v>
      </c>
      <c r="C13" s="54">
        <v>3</v>
      </c>
      <c r="D13" s="53">
        <v>3</v>
      </c>
      <c r="E13" s="54">
        <v>0</v>
      </c>
      <c r="F13" s="54">
        <v>0</v>
      </c>
      <c r="G13" s="54">
        <v>93</v>
      </c>
      <c r="H13" s="54">
        <v>38</v>
      </c>
      <c r="I13" s="53">
        <f t="shared" ref="I13:I18" si="2">SUM(G13-H13)</f>
        <v>55</v>
      </c>
      <c r="J13" s="54">
        <v>3</v>
      </c>
      <c r="K13" s="54">
        <v>0</v>
      </c>
      <c r="L13" s="54">
        <v>15</v>
      </c>
      <c r="M13" s="54">
        <v>5</v>
      </c>
      <c r="N13" s="53">
        <f>SUM(D13*4)+(E13*2)+J13+K13</f>
        <v>15</v>
      </c>
    </row>
    <row r="14" spans="1:14" ht="14.95" thickBot="1" x14ac:dyDescent="0.3">
      <c r="A14" s="111">
        <v>2</v>
      </c>
      <c r="B14" s="447" t="s">
        <v>32</v>
      </c>
      <c r="C14" s="54">
        <v>3</v>
      </c>
      <c r="D14" s="53">
        <v>3</v>
      </c>
      <c r="E14" s="54">
        <v>0</v>
      </c>
      <c r="F14" s="54">
        <v>0</v>
      </c>
      <c r="G14" s="54">
        <v>94</v>
      </c>
      <c r="H14" s="54">
        <v>41</v>
      </c>
      <c r="I14" s="53">
        <f t="shared" si="2"/>
        <v>53</v>
      </c>
      <c r="J14" s="54">
        <v>3</v>
      </c>
      <c r="K14" s="54">
        <v>0</v>
      </c>
      <c r="L14" s="54">
        <v>14</v>
      </c>
      <c r="M14" s="54">
        <v>6</v>
      </c>
      <c r="N14" s="53">
        <f>SUM(D14*4)+(E14*2)+J14+K14</f>
        <v>15</v>
      </c>
    </row>
    <row r="15" spans="1:14" ht="14.95" thickBot="1" x14ac:dyDescent="0.3">
      <c r="A15" s="111">
        <v>3</v>
      </c>
      <c r="B15" s="448" t="s">
        <v>186</v>
      </c>
      <c r="C15" s="54">
        <v>3</v>
      </c>
      <c r="D15" s="53">
        <v>1</v>
      </c>
      <c r="E15" s="54">
        <v>0</v>
      </c>
      <c r="F15" s="54">
        <v>2</v>
      </c>
      <c r="G15" s="54">
        <v>68</v>
      </c>
      <c r="H15" s="54">
        <v>74</v>
      </c>
      <c r="I15" s="53">
        <f t="shared" si="2"/>
        <v>-6</v>
      </c>
      <c r="J15" s="54">
        <v>1</v>
      </c>
      <c r="K15" s="54">
        <v>0</v>
      </c>
      <c r="L15" s="54">
        <v>9</v>
      </c>
      <c r="M15" s="54">
        <v>11</v>
      </c>
      <c r="N15" s="53">
        <f t="shared" ref="N15:N16" si="3">SUM(D15*4)+(E15*2)+J15+K15</f>
        <v>5</v>
      </c>
    </row>
    <row r="16" spans="1:14" ht="14.95" thickBot="1" x14ac:dyDescent="0.3">
      <c r="A16" s="111">
        <v>4</v>
      </c>
      <c r="B16" s="418" t="s">
        <v>310</v>
      </c>
      <c r="C16" s="54">
        <v>3</v>
      </c>
      <c r="D16" s="53">
        <v>1</v>
      </c>
      <c r="E16" s="54">
        <v>0</v>
      </c>
      <c r="F16" s="54">
        <v>2</v>
      </c>
      <c r="G16" s="54">
        <v>54</v>
      </c>
      <c r="H16" s="54">
        <v>76</v>
      </c>
      <c r="I16" s="53">
        <f t="shared" si="2"/>
        <v>-22</v>
      </c>
      <c r="J16" s="54">
        <v>1</v>
      </c>
      <c r="K16" s="54">
        <v>0</v>
      </c>
      <c r="L16" s="54">
        <v>8</v>
      </c>
      <c r="M16" s="54">
        <v>11</v>
      </c>
      <c r="N16" s="53">
        <f t="shared" si="3"/>
        <v>5</v>
      </c>
    </row>
    <row r="17" spans="1:14" ht="14.95" thickBot="1" x14ac:dyDescent="0.3">
      <c r="A17" s="153">
        <v>5</v>
      </c>
      <c r="B17" s="254" t="s">
        <v>55</v>
      </c>
      <c r="C17" s="51">
        <v>3</v>
      </c>
      <c r="D17" s="52">
        <v>1</v>
      </c>
      <c r="E17" s="51">
        <v>0</v>
      </c>
      <c r="F17" s="51">
        <v>2</v>
      </c>
      <c r="G17" s="51">
        <v>58</v>
      </c>
      <c r="H17" s="51">
        <v>80</v>
      </c>
      <c r="I17" s="53">
        <f t="shared" si="2"/>
        <v>-22</v>
      </c>
      <c r="J17" s="54">
        <v>1</v>
      </c>
      <c r="K17" s="54">
        <v>0</v>
      </c>
      <c r="L17" s="51">
        <v>9</v>
      </c>
      <c r="M17" s="51">
        <v>13</v>
      </c>
      <c r="N17" s="53">
        <f>SUM(D17*4)+(E17*2)+J17+K17</f>
        <v>5</v>
      </c>
    </row>
    <row r="18" spans="1:14" ht="14.95" thickBot="1" x14ac:dyDescent="0.3">
      <c r="A18" s="111">
        <v>6</v>
      </c>
      <c r="B18" s="254" t="s">
        <v>308</v>
      </c>
      <c r="C18" s="54">
        <v>3</v>
      </c>
      <c r="D18" s="53">
        <v>0</v>
      </c>
      <c r="E18" s="54">
        <v>0</v>
      </c>
      <c r="F18" s="54">
        <v>3</v>
      </c>
      <c r="G18" s="54">
        <v>43</v>
      </c>
      <c r="H18" s="54">
        <v>101</v>
      </c>
      <c r="I18" s="53">
        <f t="shared" si="2"/>
        <v>-58</v>
      </c>
      <c r="J18" s="54">
        <v>1</v>
      </c>
      <c r="K18" s="54">
        <v>0</v>
      </c>
      <c r="L18" s="54">
        <v>6</v>
      </c>
      <c r="M18" s="54">
        <v>15</v>
      </c>
      <c r="N18" s="53">
        <f>SUM(D18*4)+(E18*2)+J18+K18</f>
        <v>1</v>
      </c>
    </row>
    <row r="19" spans="1:14" x14ac:dyDescent="0.25">
      <c r="G19">
        <f>SUM(G13:G18)</f>
        <v>410</v>
      </c>
      <c r="H19">
        <f>SUM(H13:H18)</f>
        <v>410</v>
      </c>
      <c r="L19">
        <f>SUM(L13:L18)</f>
        <v>61</v>
      </c>
      <c r="M19">
        <f>SUM(M13:M18)</f>
        <v>61</v>
      </c>
    </row>
    <row r="22" spans="1:14" ht="14.95" thickBot="1" x14ac:dyDescent="0.3">
      <c r="A22" s="464" t="s">
        <v>515</v>
      </c>
    </row>
    <row r="23" spans="1:14" ht="14.95" thickBot="1" x14ac:dyDescent="0.3">
      <c r="A23" s="109" t="s">
        <v>42</v>
      </c>
      <c r="B23" s="49"/>
      <c r="C23" s="49" t="s">
        <v>0</v>
      </c>
      <c r="D23" s="50" t="s">
        <v>1</v>
      </c>
      <c r="E23" s="49" t="s">
        <v>2</v>
      </c>
      <c r="F23" s="49" t="s">
        <v>3</v>
      </c>
      <c r="G23" s="49" t="s">
        <v>4</v>
      </c>
      <c r="H23" s="49" t="s">
        <v>5</v>
      </c>
      <c r="I23" s="50" t="s">
        <v>44</v>
      </c>
      <c r="J23" s="49" t="s">
        <v>21</v>
      </c>
      <c r="K23" s="49" t="s">
        <v>22</v>
      </c>
      <c r="L23" s="49" t="s">
        <v>47</v>
      </c>
      <c r="M23" s="49" t="s">
        <v>48</v>
      </c>
      <c r="N23" s="50" t="s">
        <v>45</v>
      </c>
    </row>
    <row r="24" spans="1:14" ht="14.95" thickBot="1" x14ac:dyDescent="0.3">
      <c r="A24" s="111">
        <v>1</v>
      </c>
      <c r="B24" s="59" t="s">
        <v>35</v>
      </c>
      <c r="C24" s="54">
        <v>3</v>
      </c>
      <c r="D24" s="53">
        <v>3</v>
      </c>
      <c r="E24" s="54">
        <v>0</v>
      </c>
      <c r="F24" s="54">
        <v>0</v>
      </c>
      <c r="G24" s="54">
        <v>188</v>
      </c>
      <c r="H24" s="54">
        <v>16</v>
      </c>
      <c r="I24" s="53">
        <f t="shared" ref="I24:I29" si="4">SUM(G24-H24)</f>
        <v>172</v>
      </c>
      <c r="J24" s="54">
        <v>2</v>
      </c>
      <c r="K24" s="54">
        <v>0</v>
      </c>
      <c r="L24" s="54">
        <v>29</v>
      </c>
      <c r="M24" s="54">
        <v>1</v>
      </c>
      <c r="N24" s="53">
        <f>SUM(D24*4)+(E24*2)+J24+K24</f>
        <v>14</v>
      </c>
    </row>
    <row r="25" spans="1:14" ht="14.95" thickBot="1" x14ac:dyDescent="0.3">
      <c r="A25" s="111">
        <v>2</v>
      </c>
      <c r="B25" s="467" t="s">
        <v>277</v>
      </c>
      <c r="C25" s="54">
        <v>3</v>
      </c>
      <c r="D25" s="53">
        <v>2</v>
      </c>
      <c r="E25" s="54">
        <v>0</v>
      </c>
      <c r="F25" s="54">
        <v>1</v>
      </c>
      <c r="G25" s="54">
        <v>204</v>
      </c>
      <c r="H25" s="54">
        <v>39</v>
      </c>
      <c r="I25" s="53">
        <f t="shared" si="4"/>
        <v>165</v>
      </c>
      <c r="J25" s="54">
        <v>2</v>
      </c>
      <c r="K25" s="54">
        <v>1</v>
      </c>
      <c r="L25" s="54">
        <v>32</v>
      </c>
      <c r="M25" s="54">
        <v>4</v>
      </c>
      <c r="N25" s="53">
        <f>SUM(D25*4)+(E25*2)+J25+K25</f>
        <v>11</v>
      </c>
    </row>
    <row r="26" spans="1:14" ht="14.95" thickBot="1" x14ac:dyDescent="0.3">
      <c r="A26" s="111">
        <v>3</v>
      </c>
      <c r="B26" s="472" t="s">
        <v>74</v>
      </c>
      <c r="C26" s="54">
        <v>3</v>
      </c>
      <c r="D26" s="53">
        <v>2</v>
      </c>
      <c r="E26" s="54">
        <v>0</v>
      </c>
      <c r="F26" s="54">
        <v>1</v>
      </c>
      <c r="G26" s="54">
        <v>71</v>
      </c>
      <c r="H26" s="54">
        <v>34</v>
      </c>
      <c r="I26" s="53">
        <f t="shared" si="4"/>
        <v>37</v>
      </c>
      <c r="J26" s="54">
        <v>2</v>
      </c>
      <c r="K26" s="54">
        <v>0</v>
      </c>
      <c r="L26" s="54">
        <v>8</v>
      </c>
      <c r="M26" s="54">
        <v>5</v>
      </c>
      <c r="N26" s="53">
        <f t="shared" ref="N26:N27" si="5">SUM(D26*4)+(E26*2)+J26+K26</f>
        <v>10</v>
      </c>
    </row>
    <row r="27" spans="1:14" ht="14.95" thickBot="1" x14ac:dyDescent="0.3">
      <c r="A27" s="111">
        <v>4</v>
      </c>
      <c r="B27" s="473" t="s">
        <v>295</v>
      </c>
      <c r="C27" s="54">
        <v>3</v>
      </c>
      <c r="D27" s="53">
        <v>1</v>
      </c>
      <c r="E27" s="54">
        <v>0</v>
      </c>
      <c r="F27" s="54">
        <v>2</v>
      </c>
      <c r="G27" s="54">
        <v>33</v>
      </c>
      <c r="H27" s="54">
        <v>55</v>
      </c>
      <c r="I27" s="53">
        <f>SUM(G27-H27)</f>
        <v>-22</v>
      </c>
      <c r="J27" s="54">
        <v>0</v>
      </c>
      <c r="K27" s="54">
        <v>1</v>
      </c>
      <c r="L27" s="54">
        <v>5</v>
      </c>
      <c r="M27" s="54">
        <v>8</v>
      </c>
      <c r="N27" s="53">
        <f t="shared" si="5"/>
        <v>5</v>
      </c>
    </row>
    <row r="28" spans="1:14" ht="14.95" customHeight="1" thickBot="1" x14ac:dyDescent="0.3">
      <c r="A28" s="153">
        <v>5</v>
      </c>
      <c r="B28" s="469" t="s">
        <v>297</v>
      </c>
      <c r="C28" s="51">
        <v>3</v>
      </c>
      <c r="D28" s="52">
        <v>1</v>
      </c>
      <c r="E28" s="51">
        <v>0</v>
      </c>
      <c r="F28" s="51">
        <v>2</v>
      </c>
      <c r="G28" s="51">
        <v>18</v>
      </c>
      <c r="H28" s="51">
        <v>239</v>
      </c>
      <c r="I28" s="53">
        <f>SUM(G28-H28)</f>
        <v>-221</v>
      </c>
      <c r="J28" s="54">
        <v>0</v>
      </c>
      <c r="K28" s="54">
        <v>0</v>
      </c>
      <c r="L28" s="51">
        <v>3</v>
      </c>
      <c r="M28" s="51">
        <v>37</v>
      </c>
      <c r="N28" s="53">
        <f>SUM(D28*4)+(E28*2)+J28+K28</f>
        <v>4</v>
      </c>
    </row>
    <row r="29" spans="1:14" ht="14.95" thickBot="1" x14ac:dyDescent="0.3">
      <c r="A29" s="111">
        <v>6</v>
      </c>
      <c r="B29" s="468" t="s">
        <v>338</v>
      </c>
      <c r="C29" s="54">
        <v>3</v>
      </c>
      <c r="D29" s="53">
        <v>0</v>
      </c>
      <c r="E29" s="54">
        <v>0</v>
      </c>
      <c r="F29" s="54">
        <v>3</v>
      </c>
      <c r="G29" s="54">
        <v>21</v>
      </c>
      <c r="H29" s="54">
        <v>152</v>
      </c>
      <c r="I29" s="53">
        <f t="shared" si="4"/>
        <v>-131</v>
      </c>
      <c r="J29" s="54">
        <v>0</v>
      </c>
      <c r="K29" s="54">
        <v>0</v>
      </c>
      <c r="L29" s="54">
        <v>2</v>
      </c>
      <c r="M29" s="54">
        <v>24</v>
      </c>
      <c r="N29" s="53">
        <f>SUM(D29*4)+(E29*2)+J29+K29</f>
        <v>0</v>
      </c>
    </row>
    <row r="30" spans="1:14" x14ac:dyDescent="0.25">
      <c r="G30">
        <f>SUM(G24:G29)</f>
        <v>535</v>
      </c>
      <c r="H30">
        <f>SUM(H24:H29)</f>
        <v>535</v>
      </c>
      <c r="L30">
        <f>SUM(L24:L29)</f>
        <v>79</v>
      </c>
      <c r="M30">
        <f>SUM(M24:M29)</f>
        <v>79</v>
      </c>
    </row>
    <row r="31" spans="1:14" x14ac:dyDescent="0.25">
      <c r="A31" s="478" t="s">
        <v>53</v>
      </c>
      <c r="F31" s="73" t="s">
        <v>538</v>
      </c>
      <c r="G31" s="73"/>
      <c r="H31" s="479">
        <v>1414</v>
      </c>
      <c r="I31" s="73"/>
      <c r="J31" s="73"/>
      <c r="K31" s="73"/>
      <c r="L31" s="73"/>
      <c r="M31" s="479">
        <v>209</v>
      </c>
    </row>
    <row r="32" spans="1:14" x14ac:dyDescent="0.25">
      <c r="A32" s="152" t="s">
        <v>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9B22C-D46B-4658-AA8B-358220664567}">
  <dimension ref="A1:J33"/>
  <sheetViews>
    <sheetView workbookViewId="0">
      <selection activeCell="P24" sqref="P24"/>
    </sheetView>
  </sheetViews>
  <sheetFormatPr defaultRowHeight="14.3" x14ac:dyDescent="0.25"/>
  <cols>
    <col min="1" max="1" width="11" bestFit="1" customWidth="1"/>
    <col min="3" max="5" width="4.125" customWidth="1"/>
    <col min="6" max="6" width="3.875" bestFit="1" customWidth="1"/>
    <col min="7" max="7" width="1.625" customWidth="1"/>
    <col min="8" max="8" width="3.875" bestFit="1" customWidth="1"/>
    <col min="9" max="9" width="10.5" bestFit="1" customWidth="1"/>
    <col min="10" max="10" width="41.625" bestFit="1" customWidth="1"/>
  </cols>
  <sheetData>
    <row r="1" spans="1:10" x14ac:dyDescent="0.25">
      <c r="A1" s="421" t="s">
        <v>423</v>
      </c>
      <c r="B1" s="73" t="s">
        <v>94</v>
      </c>
      <c r="F1" s="513"/>
      <c r="G1" s="514"/>
      <c r="H1" s="514"/>
    </row>
    <row r="2" spans="1:10" x14ac:dyDescent="0.25">
      <c r="A2" s="378" t="s">
        <v>465</v>
      </c>
      <c r="B2" s="428">
        <v>7</v>
      </c>
      <c r="C2" s="508" t="s">
        <v>30</v>
      </c>
      <c r="D2" s="486"/>
      <c r="E2" s="486"/>
      <c r="F2" s="241">
        <v>42</v>
      </c>
      <c r="G2" s="242" t="s">
        <v>93</v>
      </c>
      <c r="H2" s="406">
        <v>7</v>
      </c>
      <c r="I2" s="241" t="s">
        <v>29</v>
      </c>
      <c r="J2" s="244" t="s">
        <v>433</v>
      </c>
    </row>
    <row r="3" spans="1:10" x14ac:dyDescent="0.25">
      <c r="A3" s="378" t="s">
        <v>466</v>
      </c>
      <c r="B3" s="428">
        <v>4</v>
      </c>
      <c r="C3" s="511" t="s">
        <v>36</v>
      </c>
      <c r="D3" s="511"/>
      <c r="E3" s="511"/>
      <c r="F3" s="241">
        <v>42</v>
      </c>
      <c r="G3" s="242" t="s">
        <v>93</v>
      </c>
      <c r="H3" s="406">
        <v>22</v>
      </c>
      <c r="I3" s="241" t="s">
        <v>31</v>
      </c>
      <c r="J3" s="244" t="s">
        <v>433</v>
      </c>
    </row>
    <row r="4" spans="1:10" x14ac:dyDescent="0.25">
      <c r="A4" s="378" t="s">
        <v>466</v>
      </c>
      <c r="B4" s="428">
        <v>7</v>
      </c>
      <c r="C4" s="511" t="s">
        <v>321</v>
      </c>
      <c r="D4" s="511"/>
      <c r="E4" s="511"/>
      <c r="F4" s="241">
        <v>17</v>
      </c>
      <c r="G4" s="242" t="s">
        <v>93</v>
      </c>
      <c r="H4" s="406">
        <v>18</v>
      </c>
      <c r="I4" s="241" t="s">
        <v>33</v>
      </c>
      <c r="J4" s="244" t="s">
        <v>455</v>
      </c>
    </row>
    <row r="5" spans="1:10" x14ac:dyDescent="0.25">
      <c r="A5" s="378" t="s">
        <v>467</v>
      </c>
      <c r="B5" s="428">
        <v>7</v>
      </c>
      <c r="C5" s="508" t="s">
        <v>30</v>
      </c>
      <c r="D5" s="486"/>
      <c r="E5" s="486"/>
      <c r="F5" s="241">
        <v>45</v>
      </c>
      <c r="G5" s="242" t="s">
        <v>93</v>
      </c>
      <c r="H5" s="406">
        <v>12</v>
      </c>
      <c r="I5" s="241" t="s">
        <v>36</v>
      </c>
      <c r="J5" s="408" t="s">
        <v>445</v>
      </c>
    </row>
    <row r="6" spans="1:10" x14ac:dyDescent="0.25">
      <c r="A6" s="378" t="s">
        <v>467</v>
      </c>
      <c r="B6" s="428">
        <v>4</v>
      </c>
      <c r="C6" s="508" t="s">
        <v>321</v>
      </c>
      <c r="D6" s="486"/>
      <c r="E6" s="486"/>
      <c r="F6" s="241">
        <v>70</v>
      </c>
      <c r="G6" s="242" t="s">
        <v>93</v>
      </c>
      <c r="H6" s="406">
        <v>7</v>
      </c>
      <c r="I6" s="241" t="s">
        <v>31</v>
      </c>
      <c r="J6" s="408" t="s">
        <v>454</v>
      </c>
    </row>
    <row r="7" spans="1:10" x14ac:dyDescent="0.25">
      <c r="A7" s="378" t="s">
        <v>468</v>
      </c>
      <c r="B7" s="428">
        <v>7</v>
      </c>
      <c r="C7" s="508" t="s">
        <v>33</v>
      </c>
      <c r="D7" s="486"/>
      <c r="E7" s="486"/>
      <c r="F7" s="241">
        <v>20</v>
      </c>
      <c r="G7" s="242" t="s">
        <v>93</v>
      </c>
      <c r="H7" s="406">
        <v>29</v>
      </c>
      <c r="I7" s="241" t="s">
        <v>29</v>
      </c>
      <c r="J7" s="408" t="s">
        <v>445</v>
      </c>
    </row>
    <row r="8" spans="1:10" x14ac:dyDescent="0.25">
      <c r="A8" s="378" t="s">
        <v>469</v>
      </c>
      <c r="B8" s="428">
        <v>6</v>
      </c>
      <c r="C8" s="508" t="s">
        <v>29</v>
      </c>
      <c r="D8" s="486"/>
      <c r="E8" s="486"/>
      <c r="F8" s="241">
        <v>25</v>
      </c>
      <c r="G8" s="242" t="s">
        <v>93</v>
      </c>
      <c r="H8" s="406">
        <v>19</v>
      </c>
      <c r="I8" s="241" t="s">
        <v>31</v>
      </c>
      <c r="J8" s="420" t="s">
        <v>475</v>
      </c>
    </row>
    <row r="9" spans="1:10" x14ac:dyDescent="0.25">
      <c r="A9" s="378" t="s">
        <v>477</v>
      </c>
      <c r="B9" s="428">
        <v>3</v>
      </c>
      <c r="C9" s="511" t="s">
        <v>33</v>
      </c>
      <c r="D9" s="511"/>
      <c r="E9" s="511"/>
      <c r="F9" s="241">
        <v>20</v>
      </c>
      <c r="G9" s="242" t="s">
        <v>93</v>
      </c>
      <c r="H9" s="406">
        <v>29</v>
      </c>
      <c r="I9" s="241" t="s">
        <v>36</v>
      </c>
      <c r="J9" s="408" t="s">
        <v>475</v>
      </c>
    </row>
    <row r="10" spans="1:10" x14ac:dyDescent="0.25">
      <c r="A10" s="378" t="s">
        <v>477</v>
      </c>
      <c r="B10" s="428">
        <v>6</v>
      </c>
      <c r="C10" s="508" t="s">
        <v>321</v>
      </c>
      <c r="D10" s="486"/>
      <c r="E10" s="486"/>
      <c r="F10" s="241">
        <v>12</v>
      </c>
      <c r="G10" s="242" t="s">
        <v>93</v>
      </c>
      <c r="H10" s="406">
        <v>33</v>
      </c>
      <c r="I10" s="241" t="s">
        <v>30</v>
      </c>
      <c r="J10" s="408" t="s">
        <v>483</v>
      </c>
    </row>
    <row r="11" spans="1:10" x14ac:dyDescent="0.25">
      <c r="B11" s="407"/>
      <c r="H11" s="126"/>
    </row>
    <row r="12" spans="1:10" x14ac:dyDescent="0.25">
      <c r="A12" s="421" t="s">
        <v>424</v>
      </c>
      <c r="B12" s="429" t="s">
        <v>94</v>
      </c>
      <c r="F12" s="513"/>
      <c r="G12" s="514"/>
      <c r="H12" s="514"/>
    </row>
    <row r="13" spans="1:10" x14ac:dyDescent="0.25">
      <c r="A13" s="378" t="s">
        <v>490</v>
      </c>
      <c r="B13" s="428">
        <v>13</v>
      </c>
      <c r="C13" s="508" t="s">
        <v>32</v>
      </c>
      <c r="D13" s="486"/>
      <c r="E13" s="486"/>
      <c r="F13" s="241">
        <v>28</v>
      </c>
      <c r="G13" s="242" t="s">
        <v>93</v>
      </c>
      <c r="H13" s="406">
        <v>15</v>
      </c>
      <c r="I13" s="241" t="s">
        <v>310</v>
      </c>
      <c r="J13" s="244" t="s">
        <v>434</v>
      </c>
    </row>
    <row r="14" spans="1:10" x14ac:dyDescent="0.25">
      <c r="A14" s="378" t="s">
        <v>490</v>
      </c>
      <c r="B14" s="428">
        <v>15.3</v>
      </c>
      <c r="C14" s="511" t="s">
        <v>185</v>
      </c>
      <c r="D14" s="511"/>
      <c r="E14" s="511"/>
      <c r="F14" s="241">
        <v>17</v>
      </c>
      <c r="G14" s="242" t="s">
        <v>93</v>
      </c>
      <c r="H14" s="406">
        <v>31</v>
      </c>
      <c r="I14" s="241" t="s">
        <v>34</v>
      </c>
      <c r="J14" s="244" t="s">
        <v>425</v>
      </c>
    </row>
    <row r="15" spans="1:10" x14ac:dyDescent="0.25">
      <c r="A15" s="378" t="s">
        <v>491</v>
      </c>
      <c r="B15" s="428">
        <v>13</v>
      </c>
      <c r="C15" s="511" t="s">
        <v>55</v>
      </c>
      <c r="D15" s="511"/>
      <c r="E15" s="511"/>
      <c r="F15" s="241">
        <v>36</v>
      </c>
      <c r="G15" s="242" t="s">
        <v>93</v>
      </c>
      <c r="H15" s="406">
        <v>26</v>
      </c>
      <c r="I15" s="241" t="s">
        <v>308</v>
      </c>
      <c r="J15" s="244" t="s">
        <v>434</v>
      </c>
    </row>
    <row r="16" spans="1:10" x14ac:dyDescent="0.25">
      <c r="A16" s="378" t="s">
        <v>465</v>
      </c>
      <c r="B16" s="428">
        <v>13</v>
      </c>
      <c r="C16" s="511" t="s">
        <v>55</v>
      </c>
      <c r="D16" s="512"/>
      <c r="E16" s="512"/>
      <c r="F16" s="241">
        <v>14</v>
      </c>
      <c r="G16" s="242" t="s">
        <v>93</v>
      </c>
      <c r="H16" s="406">
        <v>24</v>
      </c>
      <c r="I16" s="241" t="s">
        <v>34</v>
      </c>
      <c r="J16" s="408" t="s">
        <v>495</v>
      </c>
    </row>
    <row r="17" spans="1:10" x14ac:dyDescent="0.25">
      <c r="A17" s="378" t="s">
        <v>465</v>
      </c>
      <c r="B17" s="428">
        <v>15.3</v>
      </c>
      <c r="C17" s="511" t="s">
        <v>185</v>
      </c>
      <c r="D17" s="512"/>
      <c r="E17" s="512"/>
      <c r="F17" s="241">
        <v>18</v>
      </c>
      <c r="G17" s="242" t="s">
        <v>93</v>
      </c>
      <c r="H17" s="406">
        <v>36</v>
      </c>
      <c r="I17" s="241" t="s">
        <v>32</v>
      </c>
      <c r="J17" s="408" t="s">
        <v>500</v>
      </c>
    </row>
    <row r="18" spans="1:10" x14ac:dyDescent="0.25">
      <c r="A18" s="378" t="s">
        <v>466</v>
      </c>
      <c r="B18" s="428">
        <v>15</v>
      </c>
      <c r="C18" s="511" t="s">
        <v>310</v>
      </c>
      <c r="D18" s="512"/>
      <c r="E18" s="512"/>
      <c r="F18" s="241">
        <v>32</v>
      </c>
      <c r="G18" s="242" t="s">
        <v>93</v>
      </c>
      <c r="H18" s="406">
        <v>10</v>
      </c>
      <c r="I18" s="241" t="s">
        <v>308</v>
      </c>
      <c r="J18" s="408" t="s">
        <v>495</v>
      </c>
    </row>
    <row r="19" spans="1:10" x14ac:dyDescent="0.25">
      <c r="A19" s="378" t="s">
        <v>467</v>
      </c>
      <c r="B19" s="428">
        <v>13</v>
      </c>
      <c r="C19" s="508" t="s">
        <v>34</v>
      </c>
      <c r="D19" s="486"/>
      <c r="E19" s="486"/>
      <c r="F19" s="241">
        <v>38</v>
      </c>
      <c r="G19" s="242" t="s">
        <v>93</v>
      </c>
      <c r="H19" s="406">
        <v>7</v>
      </c>
      <c r="I19" s="241" t="s">
        <v>310</v>
      </c>
      <c r="J19" s="408" t="s">
        <v>495</v>
      </c>
    </row>
    <row r="20" spans="1:10" x14ac:dyDescent="0.25">
      <c r="A20" s="378" t="s">
        <v>467</v>
      </c>
      <c r="B20" s="428">
        <v>15.3</v>
      </c>
      <c r="C20" s="511" t="s">
        <v>185</v>
      </c>
      <c r="D20" s="511"/>
      <c r="E20" s="511"/>
      <c r="F20" s="241">
        <v>33</v>
      </c>
      <c r="G20" s="242" t="s">
        <v>93</v>
      </c>
      <c r="H20" s="406">
        <v>7</v>
      </c>
      <c r="I20" s="241" t="s">
        <v>308</v>
      </c>
      <c r="J20" s="408" t="s">
        <v>500</v>
      </c>
    </row>
    <row r="21" spans="1:10" x14ac:dyDescent="0.25">
      <c r="A21" s="378" t="s">
        <v>468</v>
      </c>
      <c r="B21" s="428">
        <v>16</v>
      </c>
      <c r="C21" s="508" t="s">
        <v>55</v>
      </c>
      <c r="D21" s="486"/>
      <c r="E21" s="486"/>
      <c r="F21" s="241">
        <v>8</v>
      </c>
      <c r="G21" s="242" t="s">
        <v>93</v>
      </c>
      <c r="H21" s="406">
        <v>30</v>
      </c>
      <c r="I21" s="241" t="s">
        <v>32</v>
      </c>
      <c r="J21" s="408" t="s">
        <v>495</v>
      </c>
    </row>
    <row r="22" spans="1:10" x14ac:dyDescent="0.25">
      <c r="B22" s="407"/>
      <c r="C22" s="126"/>
      <c r="D22" s="126"/>
      <c r="E22" s="126"/>
      <c r="H22" s="126"/>
    </row>
    <row r="23" spans="1:10" x14ac:dyDescent="0.25">
      <c r="A23" s="421" t="s">
        <v>515</v>
      </c>
      <c r="B23" s="429" t="s">
        <v>94</v>
      </c>
      <c r="C23" s="126"/>
      <c r="D23" s="126"/>
      <c r="E23" s="126"/>
      <c r="F23" s="513"/>
      <c r="G23" s="514"/>
      <c r="H23" s="514"/>
    </row>
    <row r="24" spans="1:10" x14ac:dyDescent="0.25">
      <c r="A24" s="378" t="s">
        <v>490</v>
      </c>
      <c r="B24" s="428">
        <v>14</v>
      </c>
      <c r="C24" s="508" t="s">
        <v>277</v>
      </c>
      <c r="D24" s="486"/>
      <c r="E24" s="486"/>
      <c r="F24" s="241">
        <v>67</v>
      </c>
      <c r="G24" s="242" t="s">
        <v>93</v>
      </c>
      <c r="H24" s="406">
        <v>13</v>
      </c>
      <c r="I24" s="241" t="s">
        <v>338</v>
      </c>
      <c r="J24" s="244" t="s">
        <v>516</v>
      </c>
    </row>
    <row r="25" spans="1:10" x14ac:dyDescent="0.25">
      <c r="A25" s="378" t="s">
        <v>490</v>
      </c>
      <c r="B25" s="428">
        <v>16.3</v>
      </c>
      <c r="C25" s="511" t="s">
        <v>35</v>
      </c>
      <c r="D25" s="511"/>
      <c r="E25" s="511"/>
      <c r="F25" s="241">
        <v>109</v>
      </c>
      <c r="G25" s="242" t="s">
        <v>93</v>
      </c>
      <c r="H25" s="406">
        <v>0</v>
      </c>
      <c r="I25" s="241" t="s">
        <v>297</v>
      </c>
      <c r="J25" s="244" t="s">
        <v>516</v>
      </c>
    </row>
    <row r="26" spans="1:10" x14ac:dyDescent="0.25">
      <c r="A26" s="378" t="s">
        <v>491</v>
      </c>
      <c r="B26" s="428">
        <v>14</v>
      </c>
      <c r="C26" s="511" t="s">
        <v>74</v>
      </c>
      <c r="D26" s="511"/>
      <c r="E26" s="511"/>
      <c r="F26" s="241">
        <v>32</v>
      </c>
      <c r="G26" s="242" t="s">
        <v>93</v>
      </c>
      <c r="H26" s="406">
        <v>0</v>
      </c>
      <c r="I26" s="241" t="s">
        <v>295</v>
      </c>
      <c r="J26" s="244" t="s">
        <v>516</v>
      </c>
    </row>
    <row r="27" spans="1:10" x14ac:dyDescent="0.25">
      <c r="A27" s="378" t="s">
        <v>465</v>
      </c>
      <c r="B27" s="428">
        <v>14</v>
      </c>
      <c r="C27" s="511" t="s">
        <v>297</v>
      </c>
      <c r="D27" s="512"/>
      <c r="E27" s="512"/>
      <c r="F27" s="241">
        <v>18</v>
      </c>
      <c r="G27" s="242" t="s">
        <v>93</v>
      </c>
      <c r="H27" s="406">
        <v>12</v>
      </c>
      <c r="I27" s="241" t="s">
        <v>295</v>
      </c>
      <c r="J27" s="408" t="s">
        <v>516</v>
      </c>
    </row>
    <row r="28" spans="1:10" x14ac:dyDescent="0.25">
      <c r="A28" s="378" t="s">
        <v>465</v>
      </c>
      <c r="B28" s="428">
        <v>16.3</v>
      </c>
      <c r="C28" s="511" t="s">
        <v>74</v>
      </c>
      <c r="D28" s="512"/>
      <c r="E28" s="512"/>
      <c r="F28" s="241">
        <v>26</v>
      </c>
      <c r="G28" s="242" t="s">
        <v>93</v>
      </c>
      <c r="H28" s="406">
        <v>19</v>
      </c>
      <c r="I28" s="241" t="s">
        <v>277</v>
      </c>
      <c r="J28" s="408" t="s">
        <v>516</v>
      </c>
    </row>
    <row r="29" spans="1:10" x14ac:dyDescent="0.25">
      <c r="A29" s="378" t="s">
        <v>466</v>
      </c>
      <c r="B29" s="428">
        <v>14</v>
      </c>
      <c r="C29" s="511" t="s">
        <v>35</v>
      </c>
      <c r="D29" s="512"/>
      <c r="E29" s="512"/>
      <c r="F29" s="241">
        <v>64</v>
      </c>
      <c r="G29" s="242" t="s">
        <v>93</v>
      </c>
      <c r="H29" s="406">
        <v>3</v>
      </c>
      <c r="I29" s="241" t="s">
        <v>338</v>
      </c>
      <c r="J29" s="408" t="s">
        <v>516</v>
      </c>
    </row>
    <row r="30" spans="1:10" x14ac:dyDescent="0.25">
      <c r="A30" s="378" t="s">
        <v>467</v>
      </c>
      <c r="B30" s="428">
        <v>14</v>
      </c>
      <c r="C30" s="508" t="s">
        <v>297</v>
      </c>
      <c r="D30" s="486"/>
      <c r="E30" s="486"/>
      <c r="F30" s="241">
        <v>0</v>
      </c>
      <c r="G30" s="242" t="s">
        <v>93</v>
      </c>
      <c r="H30" s="406">
        <v>118</v>
      </c>
      <c r="I30" s="241" t="s">
        <v>277</v>
      </c>
      <c r="J30" s="408" t="s">
        <v>516</v>
      </c>
    </row>
    <row r="31" spans="1:10" x14ac:dyDescent="0.25">
      <c r="A31" s="378" t="s">
        <v>467</v>
      </c>
      <c r="B31" s="428">
        <v>16.3</v>
      </c>
      <c r="C31" s="511" t="s">
        <v>295</v>
      </c>
      <c r="D31" s="511"/>
      <c r="E31" s="511"/>
      <c r="F31" s="241">
        <v>21</v>
      </c>
      <c r="G31" s="242" t="s">
        <v>93</v>
      </c>
      <c r="H31" s="406">
        <v>5</v>
      </c>
      <c r="I31" s="241" t="s">
        <v>338</v>
      </c>
      <c r="J31" s="408" t="s">
        <v>516</v>
      </c>
    </row>
    <row r="32" spans="1:10" x14ac:dyDescent="0.25">
      <c r="A32" s="378" t="s">
        <v>468</v>
      </c>
      <c r="B32" s="428">
        <v>14</v>
      </c>
      <c r="C32" s="508" t="s">
        <v>35</v>
      </c>
      <c r="D32" s="486"/>
      <c r="E32" s="486"/>
      <c r="F32" s="241">
        <v>15</v>
      </c>
      <c r="G32" s="242" t="s">
        <v>93</v>
      </c>
      <c r="H32" s="406">
        <v>13</v>
      </c>
      <c r="I32" s="241" t="s">
        <v>74</v>
      </c>
      <c r="J32" s="408" t="s">
        <v>516</v>
      </c>
    </row>
    <row r="33" spans="1:1" x14ac:dyDescent="0.25">
      <c r="A33" s="152" t="s">
        <v>28</v>
      </c>
    </row>
  </sheetData>
  <mergeCells count="30">
    <mergeCell ref="F23:H23"/>
    <mergeCell ref="C24:E24"/>
    <mergeCell ref="C25:E25"/>
    <mergeCell ref="C9:E9"/>
    <mergeCell ref="F1:H1"/>
    <mergeCell ref="C2:E2"/>
    <mergeCell ref="C3:E3"/>
    <mergeCell ref="C4:E4"/>
    <mergeCell ref="C5:E5"/>
    <mergeCell ref="C10:E10"/>
    <mergeCell ref="F12:H12"/>
    <mergeCell ref="C13:E13"/>
    <mergeCell ref="C20:E20"/>
    <mergeCell ref="C21:E21"/>
    <mergeCell ref="C14:E14"/>
    <mergeCell ref="C15:E15"/>
    <mergeCell ref="C31:E31"/>
    <mergeCell ref="C32:E32"/>
    <mergeCell ref="C6:E6"/>
    <mergeCell ref="C7:E7"/>
    <mergeCell ref="C8:E8"/>
    <mergeCell ref="C16:E16"/>
    <mergeCell ref="C17:E17"/>
    <mergeCell ref="C18:E18"/>
    <mergeCell ref="C27:E27"/>
    <mergeCell ref="C28:E28"/>
    <mergeCell ref="C29:E29"/>
    <mergeCell ref="C26:E26"/>
    <mergeCell ref="C30:E30"/>
    <mergeCell ref="C19:E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180</vt:i4>
      </vt:variant>
    </vt:vector>
  </HeadingPairs>
  <TitlesOfParts>
    <vt:vector size="203" baseType="lpstr">
      <vt:lpstr>Res</vt:lpstr>
      <vt:lpstr>6N Tab</vt:lpstr>
      <vt:lpstr>6N Res</vt:lpstr>
      <vt:lpstr>6N Cds</vt:lpstr>
      <vt:lpstr>P4 Tab</vt:lpstr>
      <vt:lpstr>P4 Res</vt:lpstr>
      <vt:lpstr>P4 Cds</vt:lpstr>
      <vt:lpstr>WXV Tabs</vt:lpstr>
      <vt:lpstr>WXV Res</vt:lpstr>
      <vt:lpstr>WXV Cds</vt:lpstr>
      <vt:lpstr>AUS</vt:lpstr>
      <vt:lpstr>CAN</vt:lpstr>
      <vt:lpstr>ENG</vt:lpstr>
      <vt:lpstr>FIJ</vt:lpstr>
      <vt:lpstr>FRA</vt:lpstr>
      <vt:lpstr>IRE</vt:lpstr>
      <vt:lpstr>ITA</vt:lpstr>
      <vt:lpstr>JPN</vt:lpstr>
      <vt:lpstr>NZL</vt:lpstr>
      <vt:lpstr>SCO</vt:lpstr>
      <vt:lpstr>RSA</vt:lpstr>
      <vt:lpstr>USA</vt:lpstr>
      <vt:lpstr>WAL</vt:lpstr>
      <vt:lpstr>ausp4drawn</vt:lpstr>
      <vt:lpstr>ausp4lb</vt:lpstr>
      <vt:lpstr>ausp4lost</vt:lpstr>
      <vt:lpstr>ausp4played</vt:lpstr>
      <vt:lpstr>ausp4ptsconc</vt:lpstr>
      <vt:lpstr>ausp4ptsscored</vt:lpstr>
      <vt:lpstr>ausp4rc</vt:lpstr>
      <vt:lpstr>ausp4tb</vt:lpstr>
      <vt:lpstr>ausp4triesconc</vt:lpstr>
      <vt:lpstr>ausp4triesscored</vt:lpstr>
      <vt:lpstr>ausp4won</vt:lpstr>
      <vt:lpstr>ausp4yc</vt:lpstr>
      <vt:lpstr>canp4drawn</vt:lpstr>
      <vt:lpstr>canp4lb</vt:lpstr>
      <vt:lpstr>canp4lost</vt:lpstr>
      <vt:lpstr>canp4played</vt:lpstr>
      <vt:lpstr>canp4ptsconc</vt:lpstr>
      <vt:lpstr>canp4ptsscored</vt:lpstr>
      <vt:lpstr>canp4rc</vt:lpstr>
      <vt:lpstr>canp4tb</vt:lpstr>
      <vt:lpstr>canp4triesconc</vt:lpstr>
      <vt:lpstr>canp4triesscored</vt:lpstr>
      <vt:lpstr>canp4won</vt:lpstr>
      <vt:lpstr>canp4yc</vt:lpstr>
      <vt:lpstr>Eng2019alltestsdrawn</vt:lpstr>
      <vt:lpstr>Eng2019alltestslost</vt:lpstr>
      <vt:lpstr>Eng2019alltestsplayed</vt:lpstr>
      <vt:lpstr>Eng2019alltestsptsagainst</vt:lpstr>
      <vt:lpstr>Eng2019alltestsptsscored</vt:lpstr>
      <vt:lpstr>Eng2019allteststriescon</vt:lpstr>
      <vt:lpstr>Eng2019allteststriesscored</vt:lpstr>
      <vt:lpstr>Eng2019alltestswon</vt:lpstr>
      <vt:lpstr>eng6nrc</vt:lpstr>
      <vt:lpstr>eng6nyc</vt:lpstr>
      <vt:lpstr>Englanddrawn</vt:lpstr>
      <vt:lpstr>Englandlosingbonus</vt:lpstr>
      <vt:lpstr>Englandlost</vt:lpstr>
      <vt:lpstr>Englandplayed</vt:lpstr>
      <vt:lpstr>Englandptsagainst</vt:lpstr>
      <vt:lpstr>Englandptsscored</vt:lpstr>
      <vt:lpstr>Englandred</vt:lpstr>
      <vt:lpstr>Englandtriesagainst</vt:lpstr>
      <vt:lpstr>Englandtriesscored</vt:lpstr>
      <vt:lpstr>Englandtrybonus</vt:lpstr>
      <vt:lpstr>Englandwon</vt:lpstr>
      <vt:lpstr>Englandyellow</vt:lpstr>
      <vt:lpstr>Fra2019alltestsdrawn</vt:lpstr>
      <vt:lpstr>Fra2019alltestslost</vt:lpstr>
      <vt:lpstr>Fra2019alltestsplayed</vt:lpstr>
      <vt:lpstr>Fra2019alltestsptsagainst</vt:lpstr>
      <vt:lpstr>Fra2019alltestsptsscored</vt:lpstr>
      <vt:lpstr>Fra2019allteststriescon</vt:lpstr>
      <vt:lpstr>Fra2019allteststriesscored</vt:lpstr>
      <vt:lpstr>Fra2019alltestswon</vt:lpstr>
      <vt:lpstr>fra6nrc</vt:lpstr>
      <vt:lpstr>fra6nyc</vt:lpstr>
      <vt:lpstr>Francedrawn</vt:lpstr>
      <vt:lpstr>Francelosingbonus</vt:lpstr>
      <vt:lpstr>Francelost</vt:lpstr>
      <vt:lpstr>Franceplayed</vt:lpstr>
      <vt:lpstr>Franceptsagainst</vt:lpstr>
      <vt:lpstr>Franceptsscored</vt:lpstr>
      <vt:lpstr>Francered</vt:lpstr>
      <vt:lpstr>Francetriesagainst</vt:lpstr>
      <vt:lpstr>Francetriesscored</vt:lpstr>
      <vt:lpstr>Francetrybonus</vt:lpstr>
      <vt:lpstr>Francewon</vt:lpstr>
      <vt:lpstr>FRanceyellow</vt:lpstr>
      <vt:lpstr>Ire2019alltestsdrawn</vt:lpstr>
      <vt:lpstr>Ire2019alltestslost</vt:lpstr>
      <vt:lpstr>Ire2019alltestsplayed</vt:lpstr>
      <vt:lpstr>Ire2019alltestsptscon</vt:lpstr>
      <vt:lpstr>Ire2019alltestsptsscored</vt:lpstr>
      <vt:lpstr>Ire2019allteststriescon</vt:lpstr>
      <vt:lpstr>Ire2019allteststriesscored</vt:lpstr>
      <vt:lpstr>Ire2019alltestswon</vt:lpstr>
      <vt:lpstr>ire6nrc</vt:lpstr>
      <vt:lpstr>ire6nyc</vt:lpstr>
      <vt:lpstr>Irelanddrawn</vt:lpstr>
      <vt:lpstr>Irelandlosingbonus</vt:lpstr>
      <vt:lpstr>Irelandlost</vt:lpstr>
      <vt:lpstr>Irelandplayed</vt:lpstr>
      <vt:lpstr>Irelandptsagainst</vt:lpstr>
      <vt:lpstr>Irelandptsscored</vt:lpstr>
      <vt:lpstr>Irelandred</vt:lpstr>
      <vt:lpstr>Irelandtriesagainst</vt:lpstr>
      <vt:lpstr>Irelandtriesscored</vt:lpstr>
      <vt:lpstr>Irelandtrybonus</vt:lpstr>
      <vt:lpstr>Irelandwon</vt:lpstr>
      <vt:lpstr>Irelandyellow</vt:lpstr>
      <vt:lpstr>ita2019alltestsdrawn</vt:lpstr>
      <vt:lpstr>ita2019alltestslost</vt:lpstr>
      <vt:lpstr>ita2019alltestsplayed</vt:lpstr>
      <vt:lpstr>ita2019alltestsptscon</vt:lpstr>
      <vt:lpstr>ita2019alltestsptsscored</vt:lpstr>
      <vt:lpstr>ita2019allteststriescon</vt:lpstr>
      <vt:lpstr>ita2019allteststriesscored</vt:lpstr>
      <vt:lpstr>ita2019alltestswon</vt:lpstr>
      <vt:lpstr>ita6nrc</vt:lpstr>
      <vt:lpstr>ita6nyc</vt:lpstr>
      <vt:lpstr>Italydrawn</vt:lpstr>
      <vt:lpstr>Italylosingbonus</vt:lpstr>
      <vt:lpstr>Italylost</vt:lpstr>
      <vt:lpstr>Italyplayed</vt:lpstr>
      <vt:lpstr>Italyptsagainst</vt:lpstr>
      <vt:lpstr>Italyptsscored</vt:lpstr>
      <vt:lpstr>Italyred</vt:lpstr>
      <vt:lpstr>Italytriesagainst</vt:lpstr>
      <vt:lpstr>Italytriesscored</vt:lpstr>
      <vt:lpstr>Italytrybonus</vt:lpstr>
      <vt:lpstr>Italywon</vt:lpstr>
      <vt:lpstr>Italyyellow</vt:lpstr>
      <vt:lpstr>nzlp4drawn</vt:lpstr>
      <vt:lpstr>nzlp4lb</vt:lpstr>
      <vt:lpstr>nzlp4lost</vt:lpstr>
      <vt:lpstr>nzlp4played</vt:lpstr>
      <vt:lpstr>nzlp4ptsconc</vt:lpstr>
      <vt:lpstr>nzlp4ptsscored</vt:lpstr>
      <vt:lpstr>nzlp4rc</vt:lpstr>
      <vt:lpstr>nzlp4tb</vt:lpstr>
      <vt:lpstr>nzlp4triesconc</vt:lpstr>
      <vt:lpstr>nzlp4triesscored</vt:lpstr>
      <vt:lpstr>nzlp4won</vt:lpstr>
      <vt:lpstr>nzlp4yc</vt:lpstr>
      <vt:lpstr>Sco2019alltestsdrawn</vt:lpstr>
      <vt:lpstr>Sco2019alltestslost</vt:lpstr>
      <vt:lpstr>Sco2019alltestsplayed</vt:lpstr>
      <vt:lpstr>Sco2019alltestsptsagainst</vt:lpstr>
      <vt:lpstr>Sco2019alltestsptsscored</vt:lpstr>
      <vt:lpstr>Sco2019allteststriescon</vt:lpstr>
      <vt:lpstr>Sco2019allteststriesscored</vt:lpstr>
      <vt:lpstr>Sco2019alltestswon</vt:lpstr>
      <vt:lpstr>sco6nrc</vt:lpstr>
      <vt:lpstr>sco6nyc</vt:lpstr>
      <vt:lpstr>Scotlanddrawn</vt:lpstr>
      <vt:lpstr>Scotlandlosingbonus</vt:lpstr>
      <vt:lpstr>Scotlandlost</vt:lpstr>
      <vt:lpstr>Scotlandplayed</vt:lpstr>
      <vt:lpstr>Scotlandptsagainst</vt:lpstr>
      <vt:lpstr>Scotlandptsscored</vt:lpstr>
      <vt:lpstr>Scotlandred</vt:lpstr>
      <vt:lpstr>Scotlandtriesagainst</vt:lpstr>
      <vt:lpstr>Scotlandtriesscored</vt:lpstr>
      <vt:lpstr>Scotlandtrybonus</vt:lpstr>
      <vt:lpstr>Scotlandwon</vt:lpstr>
      <vt:lpstr>Scotlandyellow</vt:lpstr>
      <vt:lpstr>usap4drawn</vt:lpstr>
      <vt:lpstr>usap4lb</vt:lpstr>
      <vt:lpstr>usap4lost</vt:lpstr>
      <vt:lpstr>usap4played</vt:lpstr>
      <vt:lpstr>usap4ptsconc</vt:lpstr>
      <vt:lpstr>usap4ptsscored</vt:lpstr>
      <vt:lpstr>usap4rc</vt:lpstr>
      <vt:lpstr>usap4tb</vt:lpstr>
      <vt:lpstr>usap4triesconc</vt:lpstr>
      <vt:lpstr>usap4triesscored</vt:lpstr>
      <vt:lpstr>usap4won</vt:lpstr>
      <vt:lpstr>usap4yc</vt:lpstr>
      <vt:lpstr>Wal2019alltestsdrawn</vt:lpstr>
      <vt:lpstr>Wal2019alltestslostcorrect</vt:lpstr>
      <vt:lpstr>Wal2019alltestsplayed</vt:lpstr>
      <vt:lpstr>Wal2019alltestsptscon</vt:lpstr>
      <vt:lpstr>Wal2019alltestsptsscored</vt:lpstr>
      <vt:lpstr>Wal2019allteststriescon</vt:lpstr>
      <vt:lpstr>Wal2019allteststriesscored</vt:lpstr>
      <vt:lpstr>Wal2019alltestswon</vt:lpstr>
      <vt:lpstr>wal6nrc</vt:lpstr>
      <vt:lpstr>wal6nyc</vt:lpstr>
      <vt:lpstr>Walesdrawn</vt:lpstr>
      <vt:lpstr>Waleslosingbonus</vt:lpstr>
      <vt:lpstr>Waleslost</vt:lpstr>
      <vt:lpstr>Walesplayed</vt:lpstr>
      <vt:lpstr>Walesptsagainst</vt:lpstr>
      <vt:lpstr>Walesptsscored</vt:lpstr>
      <vt:lpstr>Walesred</vt:lpstr>
      <vt:lpstr>Walestriesagainst</vt:lpstr>
      <vt:lpstr>Walestriesscored</vt:lpstr>
      <vt:lpstr>Walestrybonus</vt:lpstr>
      <vt:lpstr>Waleswon</vt:lpstr>
      <vt:lpstr>Walesyellow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</dc:creator>
  <cp:lastModifiedBy>Ade Hill</cp:lastModifiedBy>
  <cp:lastPrinted>2014-11-10T19:20:47Z</cp:lastPrinted>
  <dcterms:created xsi:type="dcterms:W3CDTF">2013-06-01T17:42:48Z</dcterms:created>
  <dcterms:modified xsi:type="dcterms:W3CDTF">2024-08-02T07:50:52Z</dcterms:modified>
</cp:coreProperties>
</file>