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d62a7607d3ee9b/INTERNATIIONAL MEN'S RUGBY/2019/"/>
    </mc:Choice>
  </mc:AlternateContent>
  <xr:revisionPtr revIDLastSave="1" documentId="13_ncr:1_{7C3FA127-F982-48EC-83AF-A6C0FA52A98A}" xr6:coauthVersionLast="47" xr6:coauthVersionMax="47" xr10:uidLastSave="{6002405D-7D7B-478C-B1CF-CCFEF2B89713}"/>
  <bookViews>
    <workbookView xWindow="-26192" yWindow="-109" windowWidth="26301" windowHeight="14169" tabRatio="949" firstSheet="8" activeTab="11" xr2:uid="{00000000-000D-0000-FFFF-FFFF00000000}"/>
  </bookViews>
  <sheets>
    <sheet name="Sum" sheetId="41" r:id="rId1"/>
    <sheet name="Results" sheetId="34" r:id="rId2"/>
    <sheet name="WC Res &amp; Tabs" sheetId="37" r:id="rId3"/>
    <sheet name="WC Cds" sheetId="39" r:id="rId4"/>
    <sheet name="WC Stats" sheetId="40" r:id="rId5"/>
    <sheet name="6N Tab" sheetId="31" r:id="rId6"/>
    <sheet name="6N Res" sheetId="33" r:id="rId7"/>
    <sheet name="6N Cds" sheetId="32" r:id="rId8"/>
    <sheet name="ARG" sheetId="9" r:id="rId9"/>
    <sheet name="AUS" sheetId="10" r:id="rId10"/>
    <sheet name="CAN" sheetId="14" r:id="rId11"/>
    <sheet name="ENG" sheetId="11" r:id="rId12"/>
    <sheet name="FRA" sheetId="13" r:id="rId13"/>
    <sheet name="FIJ" sheetId="12" r:id="rId14"/>
    <sheet name="GEO" sheetId="20" r:id="rId15"/>
    <sheet name="IRE" sheetId="16" r:id="rId16"/>
    <sheet name="ITA" sheetId="17" r:id="rId17"/>
    <sheet name="JPN" sheetId="18" r:id="rId18"/>
    <sheet name="NAM" sheetId="35" r:id="rId19"/>
    <sheet name="NZL" sheetId="15" r:id="rId20"/>
    <sheet name="ROM" sheetId="23" r:id="rId21"/>
    <sheet name="RUS" sheetId="36" r:id="rId22"/>
    <sheet name="SAM" sheetId="24" r:id="rId23"/>
    <sheet name="SCO" sheetId="25" r:id="rId24"/>
    <sheet name="RSA" sheetId="26" r:id="rId25"/>
    <sheet name="TGA" sheetId="27" r:id="rId26"/>
    <sheet name="USA" sheetId="28" r:id="rId27"/>
    <sheet name="URU" sheetId="29" r:id="rId28"/>
    <sheet name="WAL" sheetId="30" r:id="rId29"/>
  </sheets>
  <externalReferences>
    <externalReference r:id="rId30"/>
    <externalReference r:id="rId31"/>
    <externalReference r:id="rId32"/>
  </externalReferences>
  <definedNames>
    <definedName name="alltestshistlost">Sum!$D$13</definedName>
    <definedName name="alltestshistwon">Sum!$C$13</definedName>
    <definedName name="arg2019dg">ARG!$L$16</definedName>
    <definedName name="arg2019drawn">ARG!$AA$16</definedName>
    <definedName name="arg2019lost">ARG!$AB$16</definedName>
    <definedName name="arg2019played">ARG!$Y$16</definedName>
    <definedName name="arg2019ptsconc">ARG!$G$16</definedName>
    <definedName name="arg2019ptsscored">ARG!$F$16</definedName>
    <definedName name="arg2019rwcdrawn">ARG!$AA$15</definedName>
    <definedName name="arg2019rwclost">ARG!$AB$15</definedName>
    <definedName name="arg2019rwcplayed">ARG!$Y$15</definedName>
    <definedName name="arg2019rwcptsconc">ARG!$G$15</definedName>
    <definedName name="arg2019rwcptsscored">ARG!$F$15</definedName>
    <definedName name="arg2019rwcrc">ARG!$O$15</definedName>
    <definedName name="arg2019rwctriesconc">ARG!$R$15</definedName>
    <definedName name="arg2019rwctriesscored">ARG!$J$15</definedName>
    <definedName name="arg2019rwcwon">ARG!$Z$15</definedName>
    <definedName name="arg2019rwcyc">ARG!$N$15</definedName>
    <definedName name="arg2019triesconc">ARG!$R$16</definedName>
    <definedName name="arg2019triesscored">ARG!$J$16</definedName>
    <definedName name="arg2019won">ARG!$Z$16</definedName>
    <definedName name="Argentinaalltestsdrawn">Sum!$E$3</definedName>
    <definedName name="Argentinaalltestslost">Sum!$D$3</definedName>
    <definedName name="Argentinaalltestsplayed">Sum!$B$3</definedName>
    <definedName name="Argentinaalltestsptsagainst">Sum!$H$3</definedName>
    <definedName name="Argentinaalltestsptsscored">Sum!$G$3</definedName>
    <definedName name="Argentinaallteststriesscored">Sum!$I$3</definedName>
    <definedName name="Argentinaalltestswon">Sum!$C$3</definedName>
    <definedName name="ArgentinaWChistdrawn">Sum!$E$28</definedName>
    <definedName name="ArgentinaWChistlost">Sum!$D$28</definedName>
    <definedName name="ArgentinaWChistplayed">Sum!$B$28</definedName>
    <definedName name="ArgentinaWChistptsagainst">Sum!$H$28</definedName>
    <definedName name="ArgentinaWChistptsscored">Sum!$G$28</definedName>
    <definedName name="ArgentinaWChisttriesscored">Sum!$I$28</definedName>
    <definedName name="ArgentinaWChistwon">Sum!$C$28</definedName>
    <definedName name="argoveralllb">ARG!#REF!</definedName>
    <definedName name="argoverallptsag">ARG!#REF!</definedName>
    <definedName name="argoverallptsfor">ARG!#REF!</definedName>
    <definedName name="argoverallreds">ARG!#REF!</definedName>
    <definedName name="argoveralltb">ARG!#REF!</definedName>
    <definedName name="argoveralltbcon">ARG!#REF!</definedName>
    <definedName name="argoveralltries">ARG!#REF!</definedName>
    <definedName name="argoveralltriescon">ARG!#REF!</definedName>
    <definedName name="argoverallyellows">ARG!#REF!</definedName>
    <definedName name="ArgPool2019drawn">ARG!$AA$13</definedName>
    <definedName name="ArgPool2019lost">ARG!$AB$13</definedName>
    <definedName name="ArgPool2019won">ARG!$Z$13</definedName>
    <definedName name="ArgPoolagainst">ARG!$G$13</definedName>
    <definedName name="Argpooldrawn">ARG!#REF!</definedName>
    <definedName name="ArgPoolfor">ARG!$F$13</definedName>
    <definedName name="Argpoollb">ARG!#REF!</definedName>
    <definedName name="ArgPoollbfor">ARG!$I$13</definedName>
    <definedName name="argpoollbscored">ARG!$I$13</definedName>
    <definedName name="Argpoollost">ARG!#REF!</definedName>
    <definedName name="ArgPoolplayed">ARG!$Y$13</definedName>
    <definedName name="Argpoolpld">ARG!#REF!</definedName>
    <definedName name="Argpoolptsag">ARG!#REF!</definedName>
    <definedName name="Argpoolreds">ARG!#REF!</definedName>
    <definedName name="Argpooltb">ARG!#REF!</definedName>
    <definedName name="ArgPooltbagainst">ARG!$P$13</definedName>
    <definedName name="Argpooltbcon">ARG!#REF!</definedName>
    <definedName name="ArgPooltbfor">ARG!$H$13</definedName>
    <definedName name="argpooltbscored">ARG!$H$13</definedName>
    <definedName name="ArgPooltriesagainst">ARG!$R$13</definedName>
    <definedName name="Argpooltriescon">ARG!#REF!</definedName>
    <definedName name="argpooltriesconcorrect">ARG!$R$13</definedName>
    <definedName name="Argpooltriesfor">ARG!#REF!</definedName>
    <definedName name="ArgPooltriesscored">ARG!$J$13</definedName>
    <definedName name="argpooltriesscoredcorrect">ARG!$J$13</definedName>
    <definedName name="Argpoolwon">ARG!#REF!</definedName>
    <definedName name="Argpoolyellows">ARG!#REF!</definedName>
    <definedName name="Argptsfor">ARG!#REF!</definedName>
    <definedName name="Aus2019pooldrawn">AUS!$AA$15</definedName>
    <definedName name="Aus2019poollbcon">AUS!$Q$15</definedName>
    <definedName name="Aus2019poollbscored">AUS!$I$15</definedName>
    <definedName name="Aus2019poollost">AUS!$AB$15</definedName>
    <definedName name="Aus2019poolplayed">AUS!$Y$15</definedName>
    <definedName name="Aus2019poolptsagainst">AUS!$G$15</definedName>
    <definedName name="Aus2019poolptsscored">AUS!$F$15</definedName>
    <definedName name="Aus2019pooltbcon">AUS!$P$15</definedName>
    <definedName name="Aus2019pooltbscored">AUS!$H$15</definedName>
    <definedName name="Aus2019pooltriesconc">AUS!$R$15</definedName>
    <definedName name="Aus2019pooltriesscored">AUS!$J$15</definedName>
    <definedName name="Aus2019poolwon">AUS!$Z$15</definedName>
    <definedName name="Aus2019rwcdrawn">AUS!$AA$17</definedName>
    <definedName name="Aus2019rwclost">AUS!$AA$17</definedName>
    <definedName name="Aus2019rwclostcorrect">AUS!$AB$17</definedName>
    <definedName name="Aus2019rwcplayed">AUS!$Y$17</definedName>
    <definedName name="Aus2019rwcptsagainst">AUS!$G$17</definedName>
    <definedName name="Aus2019rwcptsscored">AUS!$F$17</definedName>
    <definedName name="Aus2019rwcrc">AUS!$O$17</definedName>
    <definedName name="Aus2019rwctriesconc">AUS!$R$17</definedName>
    <definedName name="Aus2019rwctriesscored">AUS!$J$17</definedName>
    <definedName name="Aus2019rwcwon">AUS!$Z$17</definedName>
    <definedName name="Aus2019rwcyc">AUS!$N$17</definedName>
    <definedName name="ausbp">AUS!#REF!</definedName>
    <definedName name="ausd">AUS!#REF!</definedName>
    <definedName name="ausl">AUS!#REF!</definedName>
    <definedName name="auslb">AUS!#REF!</definedName>
    <definedName name="auslbcon">AUS!#REF!</definedName>
    <definedName name="ausoveralldrawn">AUS!#REF!</definedName>
    <definedName name="ausoveralllost">AUS!#REF!</definedName>
    <definedName name="ausoverallpld">AUS!#REF!</definedName>
    <definedName name="ausoverallptsaga">AUS!#REF!</definedName>
    <definedName name="ausoverallptsfor">AUS!#REF!</definedName>
    <definedName name="ausoveralltriescon">AUS!#REF!</definedName>
    <definedName name="ausoveralltriesscored">AUS!#REF!</definedName>
    <definedName name="ausoverallwon">AUS!#REF!</definedName>
    <definedName name="auspl">AUS!#REF!</definedName>
    <definedName name="auspooldrawn">AUS!#REF!</definedName>
    <definedName name="auspoollb">AUS!#REF!</definedName>
    <definedName name="auspoollost">AUS!#REF!</definedName>
    <definedName name="auspoolpld">AUS!#REF!</definedName>
    <definedName name="auspoolptsag">AUS!#REF!</definedName>
    <definedName name="auspoolptsfor">AUS!#REF!</definedName>
    <definedName name="auspooltb">AUS!#REF!</definedName>
    <definedName name="auspooltriescon">AUS!#REF!</definedName>
    <definedName name="auspooltriesscored">AUS!#REF!</definedName>
    <definedName name="auspoolwon">AUS!#REF!</definedName>
    <definedName name="ausptsa">AUS!#REF!</definedName>
    <definedName name="ausptsf">AUS!#REF!</definedName>
    <definedName name="ausred">AUS!#REF!</definedName>
    <definedName name="austb">AUS!#REF!</definedName>
    <definedName name="austbcon">AUS!#REF!</definedName>
    <definedName name="austra">AUS!#REF!</definedName>
    <definedName name="australiaalltests2019drawn">AUS!$AA$18</definedName>
    <definedName name="australiaalltests2019lost">AUS!$AB$18</definedName>
    <definedName name="australiaalltests2019played">AUS!$F$18</definedName>
    <definedName name="australiaalltests2019playedcorrect">AUS!$Y$18</definedName>
    <definedName name="australiaalltests2019ptsagainst">AUS!$G$18</definedName>
    <definedName name="australiaalltests2019ptsscored">AUS!$F$18</definedName>
    <definedName name="australiaalltests2019triesconc">AUS!$R$18</definedName>
    <definedName name="australiaalltests2019triesscored">AUS!$J$18</definedName>
    <definedName name="australiaalltests2019won">AUS!$Z$18</definedName>
    <definedName name="Australiaalltestshistdrawn">Sum!$E$4</definedName>
    <definedName name="Australiaalltestshistlost">Sum!$D$4</definedName>
    <definedName name="Australiaalltestshistplayed">Sum!$B$4</definedName>
    <definedName name="Australiaalltestshistptsagainst">Sum!$H$4</definedName>
    <definedName name="Australiaalltestshistptsscored">Sum!$G$4</definedName>
    <definedName name="Australiaalltestshisttriesscored">Sum!$I$4</definedName>
    <definedName name="Australiaalltestshistwon">Sum!$C$4</definedName>
    <definedName name="AustraliaWChistdrawn">Sum!$E$29</definedName>
    <definedName name="AustraliaWChistlost">Sum!$D$29</definedName>
    <definedName name="AustraliaWChistplayed">Sum!$B$29</definedName>
    <definedName name="AustraliaWChistptsagainst">Sum!$H$29</definedName>
    <definedName name="AustraliaWChistptsscored">Sum!$G$29</definedName>
    <definedName name="AustraliaWChisttriesscored">Sum!$I$29</definedName>
    <definedName name="AustraliaWChistwon">Sum!$C$29</definedName>
    <definedName name="austrf">AUS!#REF!</definedName>
    <definedName name="auswon">AUS!#REF!</definedName>
    <definedName name="ausyellow">AUS!#REF!</definedName>
    <definedName name="bathbonus">ARG!#REF!</definedName>
    <definedName name="bathbonusccorrect">ARG!#REF!</definedName>
    <definedName name="bathconceded">ARG!#REF!</definedName>
    <definedName name="bathdrawn">ARG!#REF!</definedName>
    <definedName name="bathdropgoals">ARG!#REF!</definedName>
    <definedName name="bathlost">ARG!#REF!</definedName>
    <definedName name="bathpld">ARG!#REF!</definedName>
    <definedName name="bathpodrawn">ARG!#REF!</definedName>
    <definedName name="bathpolost">ARG!#REF!</definedName>
    <definedName name="bathpopld">ARG!#REF!</definedName>
    <definedName name="bathpoptsconceded">ARG!#REF!</definedName>
    <definedName name="bathpoptsscored">ARG!#REF!</definedName>
    <definedName name="bathpored">ARG!#REF!</definedName>
    <definedName name="bathpotriesconceded">ARG!#REF!</definedName>
    <definedName name="bathpotriesscored">ARG!#REF!</definedName>
    <definedName name="bathpowon">ARG!#REF!</definedName>
    <definedName name="bathpoyellow">ARG!#REF!</definedName>
    <definedName name="bathred">ARG!#REF!</definedName>
    <definedName name="bathscored">ARG!#REF!</definedName>
    <definedName name="bathtriesconceded">ARG!#REF!</definedName>
    <definedName name="bathtriesscored">ARG!#REF!</definedName>
    <definedName name="bathtrybonus">ARG!#REF!</definedName>
    <definedName name="bathtrybonusconceded">ARG!#REF!</definedName>
    <definedName name="bathwon">ARG!#REF!</definedName>
    <definedName name="bathyellow">ARG!#REF!</definedName>
    <definedName name="Bristolpremseasontotalsdgs">[1]BRI!$L$38</definedName>
    <definedName name="Bristolpremseasontotalsdrawn">[1]BRI!$AA$38</definedName>
    <definedName name="Bristolpremseasontotalslost">[1]BRI!$AB$38</definedName>
    <definedName name="Bristolpremseasontotalsplayed">[1]BRI!$Y$38</definedName>
    <definedName name="Bristolpremseasontotalsptsagainst">[1]BRI!$G$38</definedName>
    <definedName name="Bristolpremseasontotalsptsscored">[1]BRI!$F$38</definedName>
    <definedName name="BristolpremseasontotalsRC">[1]BRI!$O$38</definedName>
    <definedName name="Bristolpremseasontotalstriesconceded">[1]BRI!$R$38</definedName>
    <definedName name="Bristolpremseasontotalstriesscored">[1]BRI!$J$38</definedName>
    <definedName name="Bristolpremseasontotalswon">[1]BRI!$Z$38</definedName>
    <definedName name="BristolpremseasontotalsYC">[1]BRI!$N$38</definedName>
    <definedName name="bstred">[2]BRI!$O$35</definedName>
    <definedName name="bsttrybonusconceded">[1]BRI!$P$36</definedName>
    <definedName name="bsttrybonusscored">[1]BRI!$H$36</definedName>
    <definedName name="bstyellow">[2]BRI!$N$35</definedName>
    <definedName name="Bthhistagainst">[1]Sum!$H$3</definedName>
    <definedName name="Bthhistdrawn">[1]Sum!$E$3</definedName>
    <definedName name="Bthhistfor">[1]Sum!$G$3</definedName>
    <definedName name="Bthhistlost">[1]Sum!$D$3</definedName>
    <definedName name="Bthhistplayed">[1]Sum!$B$3</definedName>
    <definedName name="Bthhisttriesscored">[1]Sum!$J$3</definedName>
    <definedName name="Bthhistwon">[1]Sum!$C$3</definedName>
    <definedName name="bthpremseasontotalsdgs">[1]BTH!$L$37</definedName>
    <definedName name="bthpremseasontotalslost">[1]BTH!$AB$37</definedName>
    <definedName name="bthpremseasontotalsplayed">[1]BTH!$Y$37</definedName>
    <definedName name="bthpremseasontotalsptsagainst">[1]BTH!$G$37</definedName>
    <definedName name="bthpremseasontotalsptsscored">[1]BTH!$F$37</definedName>
    <definedName name="bthpremseasontotalsRC">[1]BTH!$O$37</definedName>
    <definedName name="bthpremseasontotalstriesconceded">[1]BTH!$R$37</definedName>
    <definedName name="bthpremseasontotalstriesscored">[1]BTH!$J$37</definedName>
    <definedName name="bthpremseasontotalswon">[1]BTH!$Y$37</definedName>
    <definedName name="bthpremseasontotalsYC">[1]BTH!$N$37</definedName>
    <definedName name="can2019alltestsdrawn">CAN!$AA$21</definedName>
    <definedName name="can2019alltestslost">CAN!$AB$21</definedName>
    <definedName name="can2019alltestsplayed">CAN!$Y$21</definedName>
    <definedName name="can2019alltestsptsagainst">CAN!$G$21</definedName>
    <definedName name="can2019alltestsptsscored">CAN!$F$21</definedName>
    <definedName name="can2019allteststriescon">CAN!$R$21</definedName>
    <definedName name="can2019allteststriesscored">CAN!$J$21</definedName>
    <definedName name="can2019alltestswon">CAN!$Z$21</definedName>
    <definedName name="can2019pooldrawn">CAN!$AA$18</definedName>
    <definedName name="can2019poollbcon">CAN!$Q$18</definedName>
    <definedName name="can2019poollbscored">CAN!$I$18</definedName>
    <definedName name="can2019poollost">CAN!$AB$18</definedName>
    <definedName name="can2019poolplayed">CAN!$Y$18</definedName>
    <definedName name="can2019poolptsagainst">CAN!$G$18</definedName>
    <definedName name="can2019poolptsscored">CAN!$F$18</definedName>
    <definedName name="can2019pooltbcon">CAN!$P$18</definedName>
    <definedName name="can2019pooltbscored">CAN!$H$18</definedName>
    <definedName name="can2019pooltriescon">CAN!$R$18</definedName>
    <definedName name="can2019pooltriesscored">CAN!$H$18</definedName>
    <definedName name="can2019pooltriesscoredcorrect">CAN!$J$18</definedName>
    <definedName name="can2019poolwon">CAN!$Z$18</definedName>
    <definedName name="can2019rwcdrawn">CAN!$AA$20</definedName>
    <definedName name="can2019rwclost">CAN!$AB$20</definedName>
    <definedName name="can2019rwcplayed">CAN!$Y$20</definedName>
    <definedName name="can2019rwcptsagainst">CAN!$G$20</definedName>
    <definedName name="can2019rwcptsscored">CAN!$F$20</definedName>
    <definedName name="can2019rwcrc">CAN!$O$20</definedName>
    <definedName name="can2019rwctriescon">CAN!$R$20</definedName>
    <definedName name="can2019rwctriesscored">CAN!$J$20</definedName>
    <definedName name="can2019rwcwon">CAN!$Z$20</definedName>
    <definedName name="can2019rwcyc">CAN!$N$20</definedName>
    <definedName name="Canadaalltestshistdrawn">Sum!$E$5</definedName>
    <definedName name="Canadaalltestshistlost">Sum!$D$5</definedName>
    <definedName name="Canadaalltestshistplayed">Sum!$B$5</definedName>
    <definedName name="Canadaalltestshistptsagainst">Sum!$H$5</definedName>
    <definedName name="Canadaalltestshistptsscored">Sum!$G$5</definedName>
    <definedName name="Canadaalltestshisttriesscored">Sum!$I$5</definedName>
    <definedName name="Canadaalltestshistwon">Sum!$C$5</definedName>
    <definedName name="CanadaRWChistdrawn">Sum!$E$30</definedName>
    <definedName name="CanadaRWChistlost">Sum!$D$30</definedName>
    <definedName name="CanadaRWChistplayed">Sum!$B$30</definedName>
    <definedName name="CanadaRWChistptsagainst">Sum!$H$30</definedName>
    <definedName name="CanadaRWChistptsscored">Sum!$G$30</definedName>
    <definedName name="CanadaRWChisttriesscored">Sum!$I$30</definedName>
    <definedName name="CanadaRWChistwon">Sum!$C$30</definedName>
    <definedName name="canlb">CAN!#REF!</definedName>
    <definedName name="canlbcon">CAN!#REF!</definedName>
    <definedName name="canoveralldrwn">CAN!#REF!</definedName>
    <definedName name="canoveralllost">CAN!#REF!</definedName>
    <definedName name="canoverallpld">CAN!#REF!</definedName>
    <definedName name="canoverallptsag">CAN!#REF!</definedName>
    <definedName name="canoverallptsscored">CAN!#REF!</definedName>
    <definedName name="canoveralltriescon">CAN!#REF!</definedName>
    <definedName name="canoveralltriesscored">CAN!#REF!</definedName>
    <definedName name="canoverallwon">CAN!#REF!</definedName>
    <definedName name="canpooldrawn">CAN!#REF!</definedName>
    <definedName name="canpoollost">CAN!#REF!</definedName>
    <definedName name="canpoolpld">CAN!#REF!</definedName>
    <definedName name="canpoolptsag">CAN!#REF!</definedName>
    <definedName name="canpoolptsscored">CAN!#REF!</definedName>
    <definedName name="canpooltriescon">CAN!#REF!</definedName>
    <definedName name="canpooltriesscored">CAN!#REF!</definedName>
    <definedName name="canpoolwoin">CAN!#REF!</definedName>
    <definedName name="canred">CAN!#REF!</definedName>
    <definedName name="cantb">CAN!#REF!</definedName>
    <definedName name="cantbcon">CAN!#REF!</definedName>
    <definedName name="canyellow">CAN!#REF!</definedName>
    <definedName name="drawn">NZL!$AA$20</definedName>
    <definedName name="Eng2019alltestsdrawn">ENG!$AA$24</definedName>
    <definedName name="Eng2019alltestslost">ENG!$AB$24</definedName>
    <definedName name="Eng2019alltestsplayed">ENG!$Y$24</definedName>
    <definedName name="Eng2019alltestsptsagainst">ENG!$G$24</definedName>
    <definedName name="Eng2019alltestsptsscored">ENG!$F$24</definedName>
    <definedName name="Eng2019allteststriescon">ENG!$R$24</definedName>
    <definedName name="Eng2019allteststriesscored">ENG!$J$24</definedName>
    <definedName name="Eng2019alltestswon">ENG!$Z$24</definedName>
    <definedName name="Eng2019pooldrawn">ENG!$AA$21</definedName>
    <definedName name="Eng2019poollbcon">ENG!$Q$21</definedName>
    <definedName name="Eng2019poollbscored">ENG!$I$21</definedName>
    <definedName name="Eng2019poollost">ENG!$AB$21</definedName>
    <definedName name="Eng2019poolplayed">ENG!$Y$21</definedName>
    <definedName name="Eng2019poolptsagainst">ENG!$G$21</definedName>
    <definedName name="Eng2019poolptsscored">ENG!$F$21</definedName>
    <definedName name="Eng2019pooltbcon">ENG!$P$21</definedName>
    <definedName name="Eng2019pooltbscored">ENG!$H$21</definedName>
    <definedName name="Eng2019pooltriescon">ENG!$R$21</definedName>
    <definedName name="Eng2019pooltriesscored">ENG!$J$21</definedName>
    <definedName name="Eng2019poolwon">ENG!$Z$21</definedName>
    <definedName name="Eng2019RWCdrawn">ENG!$AA$23</definedName>
    <definedName name="Eng2019RWClost">ENG!$AB$23</definedName>
    <definedName name="Eng2019RWCplayed">ENG!$Y$23</definedName>
    <definedName name="Eng2019RWCptsagainst">ENG!$G$23</definedName>
    <definedName name="Eng2019RWCptsscored">ENG!$F$23</definedName>
    <definedName name="Eng2019RWCrc">ENG!$O$23</definedName>
    <definedName name="Eng2019RWCtriescon">ENG!$R$23</definedName>
    <definedName name="Eng2019RWCtriesscored">ENG!$J$23</definedName>
    <definedName name="Eng2019RWCwon">ENG!$Z$23</definedName>
    <definedName name="Eng2019RWCyc">ENG!$N$23</definedName>
    <definedName name="Englandalltestshistdrawn">Sum!$E$6</definedName>
    <definedName name="Englandalltestshistlost">Sum!$D$6</definedName>
    <definedName name="Englandalltestshistplayed">Sum!$B$6</definedName>
    <definedName name="Englandalltestshistptsagainst">Sum!$H$6</definedName>
    <definedName name="Englandalltestshistptsscored">Sum!$G$6</definedName>
    <definedName name="Englandalltestshisttriesscored">Sum!$I$6</definedName>
    <definedName name="Englandalltestshistwon">Sum!$C$6</definedName>
    <definedName name="Englanddrawn">ENG!$AA$19</definedName>
    <definedName name="Englandlosingbonus">ENG!$I$19</definedName>
    <definedName name="Englandlost">ENG!$AB$19</definedName>
    <definedName name="Englandplayed">ENG!$Y$19</definedName>
    <definedName name="Englandptsagainst">ENG!$G$19</definedName>
    <definedName name="Englandptsscored">ENG!$F$19</definedName>
    <definedName name="Englandred">ENG!$O$19</definedName>
    <definedName name="EnglandRWChistdrawn">Sum!$E$31</definedName>
    <definedName name="EnglandRWChistlost">Sum!$D$31</definedName>
    <definedName name="EnglandRWChistplayed">Sum!$B$31</definedName>
    <definedName name="EnglandRWChistptsagainst">Sum!$H$31</definedName>
    <definedName name="EnglandRWChistptsscored">Sum!$G$31</definedName>
    <definedName name="EnglandRWChisttriesscored">Sum!$I$31</definedName>
    <definedName name="EnglandRWChistwon">Sum!$C$31</definedName>
    <definedName name="Englandtriesagainst">ENG!$R$19</definedName>
    <definedName name="Englandtriesscored">ENG!$J$19</definedName>
    <definedName name="Englandtrybonus">ENG!$H$19</definedName>
    <definedName name="Englandwon">ENG!$Z$19</definedName>
    <definedName name="Englandyellow">ENG!$N$19</definedName>
    <definedName name="englb">ENG!#REF!</definedName>
    <definedName name="englbcon">ENG!#REF!</definedName>
    <definedName name="engoveralldrawn">ENG!#REF!</definedName>
    <definedName name="engoveralllost">ENG!#REF!</definedName>
    <definedName name="engoverallpld">ENG!#REF!</definedName>
    <definedName name="engoverallptsag">ENG!#REF!</definedName>
    <definedName name="engoverallptsscored">ENG!#REF!</definedName>
    <definedName name="engoveralltriescon">ENG!#REF!</definedName>
    <definedName name="engoveralltriesscored">ENG!#REF!</definedName>
    <definedName name="engoverallwon">ENG!#REF!</definedName>
    <definedName name="engpooldrawn">ENG!#REF!</definedName>
    <definedName name="engpoollost">ENG!#REF!</definedName>
    <definedName name="engpoolpld">ENG!#REF!</definedName>
    <definedName name="engpoolptsag">ENG!#REF!</definedName>
    <definedName name="engpoolptsscored">ENG!#REF!</definedName>
    <definedName name="engpooltriescon">ENG!#REF!</definedName>
    <definedName name="engpooltriesscored">ENG!#REF!</definedName>
    <definedName name="engpoolwon">ENG!#REF!</definedName>
    <definedName name="engred">ENG!#REF!</definedName>
    <definedName name="engtb">ENG!#REF!</definedName>
    <definedName name="engtbcon">ENG!#REF!</definedName>
    <definedName name="engtriescon">ENG!#REF!</definedName>
    <definedName name="engyellow">ENG!#REF!</definedName>
    <definedName name="Exepremtotalsdgs">[1]EXE!$L$39</definedName>
    <definedName name="Exepremtotalslost">[1]EXE!$AB$39</definedName>
    <definedName name="Exepremtotalsplayed">[1]EXE!$Y$39</definedName>
    <definedName name="Exepremtotalsptsagainst">[1]EXE!$G$39</definedName>
    <definedName name="Exepremtotalsptsscored">[1]EXE!$F$39</definedName>
    <definedName name="Exepremtotalsrc">[1]EXE!$O$39</definedName>
    <definedName name="Exepremtotalstriesconceded">[1]EXE!$R$39</definedName>
    <definedName name="Exepremtotalstriesscored">[1]EXE!$J$39</definedName>
    <definedName name="Exepremtotalswon">[1]EXE!$Z$39</definedName>
    <definedName name="Exepremtotalsyc">[1]EXE!$N$39</definedName>
    <definedName name="exeterbonus">AUS!#REF!</definedName>
    <definedName name="exeterconceded">AUS!#REF!</definedName>
    <definedName name="exeterdrawn">AUS!#REF!</definedName>
    <definedName name="exeterlosingbonus">AUS!#REF!</definedName>
    <definedName name="exeterlosingbonusconceded">AUS!#REF!</definedName>
    <definedName name="exeterlost">AUS!#REF!</definedName>
    <definedName name="exeterpld">AUS!#REF!</definedName>
    <definedName name="exeterpremdrawn">[1]EXE!$AA$37</definedName>
    <definedName name="exeterpremred">[2]EXE!$O$39</definedName>
    <definedName name="exeterpremtrybonusconc">[1]EXE!$P$37</definedName>
    <definedName name="exeterpremtrybonusscored">[1]EXE!$H$37</definedName>
    <definedName name="exeterpremyellow">[2]EXE!$N$39</definedName>
    <definedName name="exeterred">AUS!#REF!</definedName>
    <definedName name="exeterscored">AUS!#REF!</definedName>
    <definedName name="exetertriesconceded">AUS!#REF!</definedName>
    <definedName name="exetertriesscored">AUS!#REF!</definedName>
    <definedName name="exetertrybonusconceded">AUS!#REF!</definedName>
    <definedName name="exetertrybonusscored">AUS!#REF!</definedName>
    <definedName name="exeterwon">AUS!#REF!</definedName>
    <definedName name="exeteryellow">AUS!#REF!</definedName>
    <definedName name="feapoolptsag">FRA!#REF!</definedName>
    <definedName name="Fij2019alltestsdrawn">FIJ!$AA$16</definedName>
    <definedName name="Fij2019alltestslost">FIJ!$AB$16</definedName>
    <definedName name="Fij2019alltestsplayed">FIJ!$Y$16</definedName>
    <definedName name="Fij2019alltestsptsagainst">FIJ!$G$16</definedName>
    <definedName name="Fij2019alltestsptsscored">FIJ!$F$16</definedName>
    <definedName name="Fij2019allteststriescon">FIJ!$R$16</definedName>
    <definedName name="Fij2019allteststriesscored">FIJ!$J$16</definedName>
    <definedName name="Fij2019alltestswon">FIJ!$Z$16</definedName>
    <definedName name="Fij2019pooldrawn">FIJ!$AA$13</definedName>
    <definedName name="Fij2019poollbcon">FIJ!$Q$13</definedName>
    <definedName name="Fij2019poollbscored">FIJ!$I$13</definedName>
    <definedName name="Fij2019poollost">FIJ!$AB$13</definedName>
    <definedName name="Fij2019poolplayed">FIJ!$Y$13</definedName>
    <definedName name="Fij2019poolptsagainst">FIJ!$G$13</definedName>
    <definedName name="Fij2019poolptsscored">FIJ!$F$13</definedName>
    <definedName name="Fij2019pooltbcon">FIJ!$P$13</definedName>
    <definedName name="Fij2019pooltbscored">FIJ!$H$13</definedName>
    <definedName name="Fij2019pooltriescon">FIJ!$R$13</definedName>
    <definedName name="Fij2019pooltriesscored">FIJ!$J$13</definedName>
    <definedName name="Fij2019poolwon">FIJ!$Z$13</definedName>
    <definedName name="Fij2019RWCdrawn">FIJ!$AA$15</definedName>
    <definedName name="Fij2019RWClost">FIJ!$AB$15</definedName>
    <definedName name="Fij2019RWCplayed">FIJ!$Y$15</definedName>
    <definedName name="Fij2019RWCptsagainst">FIJ!$G$15</definedName>
    <definedName name="Fij2019RWCptsscored">FIJ!$F$15</definedName>
    <definedName name="Fij2019RWCrc">FIJ!$O$15</definedName>
    <definedName name="Fij2019RWCtriescon">FIJ!$R$15</definedName>
    <definedName name="Fij2019RWCtriesscored">FIJ!$J$15</definedName>
    <definedName name="Fij2019RWCwonj">FIJ!$Z$15</definedName>
    <definedName name="Fij2019RWCyc">FIJ!$N$15</definedName>
    <definedName name="Fijialltestshistdrawn">Sum!$E$7</definedName>
    <definedName name="Fijialltestshistlost">Sum!$D$7</definedName>
    <definedName name="Fijialltestshistplayed">Sum!$B$7</definedName>
    <definedName name="Fijialltestshistptsagainst">Sum!$H$7</definedName>
    <definedName name="Fijialltestshistptsscored">Sum!$G$7</definedName>
    <definedName name="Fijialltestshisttriesscored">Sum!$I$7</definedName>
    <definedName name="Fijialltestshistwon">Sum!$C$7</definedName>
    <definedName name="FijiRWChistdrawn">Sum!$E$32</definedName>
    <definedName name="FijiRWChistlost">Sum!$D$32</definedName>
    <definedName name="FijiRWChistplayed">Sum!$B$32</definedName>
    <definedName name="FijiRWChistptsagainst">Sum!$H$32</definedName>
    <definedName name="FijiRWChistptsscored">Sum!$G$32</definedName>
    <definedName name="FijiRWChisttriesscored">Sum!$I$32</definedName>
    <definedName name="FijiRWChistwon">Sum!$C$32</definedName>
    <definedName name="fijlb">FIJ!#REF!</definedName>
    <definedName name="fijlbcon">FIJ!#REF!</definedName>
    <definedName name="fijoveralldrawn">FIJ!#REF!</definedName>
    <definedName name="fijoveralllost">FIJ!#REF!</definedName>
    <definedName name="fijoverallpld">FIJ!#REF!</definedName>
    <definedName name="fijoverallptsaga">FIJ!#REF!</definedName>
    <definedName name="fijoverallptsscored">FIJ!#REF!</definedName>
    <definedName name="fijoveralltriescon">FIJ!#REF!</definedName>
    <definedName name="fijoveralltriesscored">FIJ!#REF!</definedName>
    <definedName name="fijoverallwon">FIJ!#REF!</definedName>
    <definedName name="Fijpooldrawn">FIJ!#REF!</definedName>
    <definedName name="Fijpoollost">FIJ!#REF!</definedName>
    <definedName name="Fijpoolpld">FIJ!#REF!</definedName>
    <definedName name="Fijpoolptsag">FIJ!#REF!</definedName>
    <definedName name="Fijpoolptsscored">FIJ!#REF!</definedName>
    <definedName name="Fijpooltriescon">FIJ!#REF!</definedName>
    <definedName name="Fijpooltriesscored">FIJ!#REF!</definedName>
    <definedName name="Fijpoolwon">FIJ!#REF!</definedName>
    <definedName name="fijred">FIJ!#REF!</definedName>
    <definedName name="fijtb">FIJ!#REF!</definedName>
    <definedName name="fijtbcon">FIJ!#REF!</definedName>
    <definedName name="fijyellow">FIJ!#REF!</definedName>
    <definedName name="Fra2019alltestsdrawn">FRA!$AA$21</definedName>
    <definedName name="Fra2019alltestslost">FRA!$AB$21</definedName>
    <definedName name="Fra2019alltestsplayed">FRA!$Y$21</definedName>
    <definedName name="Fra2019alltestsptsagainst">FRA!$G$21</definedName>
    <definedName name="Fra2019alltestsptsscored">FRA!$F$21</definedName>
    <definedName name="Fra2019allteststriescon">FRA!$R$21</definedName>
    <definedName name="Fra2019allteststriesscored">FRA!$J$21</definedName>
    <definedName name="Fra2019alltestswon">FRA!$Z$21</definedName>
    <definedName name="Fra2019pooldrawn">FRA!$AA$18</definedName>
    <definedName name="Fra2019poollbcon">FRA!$Q$18</definedName>
    <definedName name="Fra2019poollbscored">FRA!$I$18</definedName>
    <definedName name="Fra2019poollost">FRA!$AB$18</definedName>
    <definedName name="Fra2019poolplayed">FRA!$Y$18</definedName>
    <definedName name="Fra2019poolptsagainst">FRA!$G$18</definedName>
    <definedName name="Fra2019poolptsagaints">FRA!$G$20</definedName>
    <definedName name="Fra2019poolptsscored">FRA!$F$18</definedName>
    <definedName name="Fra2019pooltbcon">FRA!$P$18</definedName>
    <definedName name="Fra2019pooltbscored">FRA!$H$18</definedName>
    <definedName name="Fra2019pooltriescon">FRA!$R$18</definedName>
    <definedName name="Fra2019pooltriesscored">FRA!$H$18</definedName>
    <definedName name="Fra2019pooltriesscoredcorrect">FRA!$J$18</definedName>
    <definedName name="Fra2019poolwon">FRA!$Z$18</definedName>
    <definedName name="Fra2019RWCdrawn">FRA!$AA$20</definedName>
    <definedName name="Fra2019RWClost">FRA!$AB$20</definedName>
    <definedName name="Fra2019RWCplayed">FRA!$Y$20</definedName>
    <definedName name="Fra2019RWCptsagainst">FRA!$G$20</definedName>
    <definedName name="Fra2019RWCptsscored">FRA!$F$20</definedName>
    <definedName name="Fra2019RWCrc">FRA!$O$20</definedName>
    <definedName name="Fra2019RWCtriescon">FRA!$R$20</definedName>
    <definedName name="Fra2019RWCtriesscored">FRA!$J$20</definedName>
    <definedName name="Fra2019RWCwon">FRA!$Z$20</definedName>
    <definedName name="Fra2019RWCyc">FRA!$N$20</definedName>
    <definedName name="fralb">FRA!#REF!</definedName>
    <definedName name="fralbcon">FRA!#REF!</definedName>
    <definedName name="Francealltestshistdrawn">Sum!$E$8</definedName>
    <definedName name="Francealltestshistlost">Sum!$D$8</definedName>
    <definedName name="Francealltestshistplayed">Sum!$B$8</definedName>
    <definedName name="Francealltestshistptscon">Sum!$H$8</definedName>
    <definedName name="Francealltestshistptsscored">Sum!$G$8</definedName>
    <definedName name="Francealltestshisttriesscored">Sum!$I$8</definedName>
    <definedName name="Francealltestshistwon">Sum!$C$8</definedName>
    <definedName name="Francedrawn">FRA!$AA$16</definedName>
    <definedName name="Francelosingbonus">FRA!$I$16</definedName>
    <definedName name="Francelost">FRA!$AB$16</definedName>
    <definedName name="Franceplayed">FRA!$Y$16</definedName>
    <definedName name="Franceptsagainst">FRA!$G$16</definedName>
    <definedName name="Franceptsscored">FRA!$F$16</definedName>
    <definedName name="Francered">FRA!$O$16</definedName>
    <definedName name="FranceRWChistdrawn">Sum!$E$33</definedName>
    <definedName name="FranceRWChistlost">Sum!$D$33</definedName>
    <definedName name="FranceRWChistplayed">Sum!$B$33</definedName>
    <definedName name="FranceRWChistptsagainst">Sum!$H$33</definedName>
    <definedName name="FranceRWChistptsscored">Sum!$G$33</definedName>
    <definedName name="FranceRWChisttriesscored">Sum!$I$33</definedName>
    <definedName name="FranceRWChistwon">Sum!$C$33</definedName>
    <definedName name="Francetriesagainst">FRA!$R$16</definedName>
    <definedName name="Francetriesscored">FRA!$J$16</definedName>
    <definedName name="Francetrybonus">FRA!$H$16</definedName>
    <definedName name="Francewon">FRA!$Z$16</definedName>
    <definedName name="FRanceyellow">FRA!$N$16</definedName>
    <definedName name="fraoveralldrawn">FRA!#REF!</definedName>
    <definedName name="fraoveralllost">FRA!#REF!</definedName>
    <definedName name="fraoverallpld">FRA!#REF!</definedName>
    <definedName name="fraoverallptsag">FRA!#REF!</definedName>
    <definedName name="fraoverallptsscored">FRA!#REF!</definedName>
    <definedName name="fraoveralltriescon">FRA!#REF!</definedName>
    <definedName name="fraoveralltriesscored">FRA!#REF!</definedName>
    <definedName name="fraoverallwon">FRA!#REF!</definedName>
    <definedName name="frapooldrawn">FRA!#REF!</definedName>
    <definedName name="frapoollost">FRA!#REF!</definedName>
    <definedName name="frapoolpld">FRA!#REF!</definedName>
    <definedName name="frapoolptsscored">FRA!#REF!</definedName>
    <definedName name="frapooltriescon">FRA!#REF!</definedName>
    <definedName name="frapooltriesscored">FRA!#REF!</definedName>
    <definedName name="frapoolwon">FRA!#REF!</definedName>
    <definedName name="frared">FRA!#REF!</definedName>
    <definedName name="fratb">FRA!#REF!</definedName>
    <definedName name="fratbcon">FRA!#REF!</definedName>
    <definedName name="frayellow">FRA!#REF!</definedName>
    <definedName name="g">[3]SAR!$AB$36</definedName>
    <definedName name="Geo2019alltestsdrawn">GEO!$AA$19</definedName>
    <definedName name="Geo2019alltestslost">GEO!$AB$19</definedName>
    <definedName name="Geo2019alltestsplayed">GEO!$Y$19</definedName>
    <definedName name="Geo2019alltestsptsagainst">GEO!$G$19</definedName>
    <definedName name="Geo2019alltestsptsscored">GEO!$F$19</definedName>
    <definedName name="Geo2019allteststriesconceded">GEO!$R$19</definedName>
    <definedName name="Geo2019allteststriesscored">GEO!$J$19</definedName>
    <definedName name="Geo2019alltestswon">GEO!$Z$19</definedName>
    <definedName name="Geo2019pooldrawn">GEO!$AA$16</definedName>
    <definedName name="Geo2019poollbcon">GEO!$Q$16</definedName>
    <definedName name="Geo2019poollbscored">GEO!$I$16</definedName>
    <definedName name="Geo2019poollost">GEO!$AB$16</definedName>
    <definedName name="Geo2019poolplayed">GEO!$Y$16</definedName>
    <definedName name="Geo2019poolptsagainst">GEO!$G$16</definedName>
    <definedName name="Geo2019poolptsscored">GEO!$F$16</definedName>
    <definedName name="Geo2019pooltbcon">GEO!$P$16</definedName>
    <definedName name="Geo2019pooltbscored">GEO!$H$16</definedName>
    <definedName name="Geo2019pooltriescon">GEO!$R$16</definedName>
    <definedName name="Geo2019pooltriesscored">GEO!$J$16</definedName>
    <definedName name="Geo2019poolwon">GEO!$Z$16</definedName>
    <definedName name="Geo2019RWCdrawn">GEO!$AA$18</definedName>
    <definedName name="Geo2019RWClost">GEO!$AB$18</definedName>
    <definedName name="Geo2019RWCplayed">GEO!$Y$18</definedName>
    <definedName name="Geo2019RWCptsagainst">GEO!$G$18</definedName>
    <definedName name="Geo2019RWCptsscored">GEO!$F$18</definedName>
    <definedName name="Geo2019RWCrc">GEO!$O$18</definedName>
    <definedName name="Geo2019RWCtriescon">GEO!$R$18</definedName>
    <definedName name="Geo2019RWCtriesscored">GEO!$J$18</definedName>
    <definedName name="Geo2019RWCwon">GEO!$Z$18</definedName>
    <definedName name="Geo2019RWCyc">GEO!$N$18</definedName>
    <definedName name="geolb">GEO!#REF!</definedName>
    <definedName name="geolbcon">GEO!#REF!</definedName>
    <definedName name="geooveralldrawn">GEO!#REF!</definedName>
    <definedName name="geooveralllost">GEO!#REF!</definedName>
    <definedName name="geooverallpld">GEO!#REF!</definedName>
    <definedName name="geooverallptsag">GEO!#REF!</definedName>
    <definedName name="geooverallptsscored">GEO!#REF!</definedName>
    <definedName name="geooveralltriescon">GEO!#REF!</definedName>
    <definedName name="geooveralltriesscored">GEO!#REF!</definedName>
    <definedName name="geooverallwon">GEO!#REF!</definedName>
    <definedName name="geopooldrawn">GEO!#REF!</definedName>
    <definedName name="geopoollost">GEO!#REF!</definedName>
    <definedName name="geopoolpld">GEO!#REF!</definedName>
    <definedName name="geopoolptsag">GEO!#REF!</definedName>
    <definedName name="geopoolptsscored">GEO!#REF!</definedName>
    <definedName name="geopooltriescon">GEO!#REF!</definedName>
    <definedName name="geopooltriesscored">GEO!#REF!</definedName>
    <definedName name="geopoolwon">GEO!#REF!</definedName>
    <definedName name="geored">GEO!#REF!</definedName>
    <definedName name="Georgiaalltestshistdrawn">Sum!$E$9</definedName>
    <definedName name="Georgiaalltestshistlost">Sum!$D$9</definedName>
    <definedName name="Georgiaalltestshistplayed">Sum!$B$9</definedName>
    <definedName name="Georgiaalltestshistptsagainst">Sum!$H$9</definedName>
    <definedName name="Georgiaalltestshistptsscored">Sum!$G$9</definedName>
    <definedName name="Georgiaalltestshisttriesscored">Sum!$I$9</definedName>
    <definedName name="Georgiaalltestshistwon">Sum!$C$9</definedName>
    <definedName name="GeorgiaRWChistdrawn">Sum!$E$34</definedName>
    <definedName name="GeorgiaRWChistlost">Sum!$D$34</definedName>
    <definedName name="GeorgiaRWChistplayed">Sum!$B$34</definedName>
    <definedName name="GeorgiaRWChistptsagainst">Sum!$H$34</definedName>
    <definedName name="GeorgiaRWChistptsscored">Sum!$G$34</definedName>
    <definedName name="GeorgiaRWChisttriesscored">Sum!$I$34</definedName>
    <definedName name="GeorgiaRWChistwon">Sum!$C$34</definedName>
    <definedName name="geotb">GEO!#REF!</definedName>
    <definedName name="geotbcon">GEO!#REF!</definedName>
    <definedName name="geoyellow">GEO!#REF!</definedName>
    <definedName name="glosbonus">ENG!#REF!</definedName>
    <definedName name="glosconceded">ENG!#REF!</definedName>
    <definedName name="glosdrawn">ENG!#REF!</definedName>
    <definedName name="gloslosingbonus">ENG!#REF!</definedName>
    <definedName name="gloslosingbonusconceded">ENG!#REF!</definedName>
    <definedName name="gloslost">ENG!#REF!</definedName>
    <definedName name="glosplayed">ENG!#REF!</definedName>
    <definedName name="glosred">ENG!#REF!</definedName>
    <definedName name="glosscored">ENG!#REF!</definedName>
    <definedName name="glostries">ENG!#REF!</definedName>
    <definedName name="glostriesconceded">ENG!#REF!</definedName>
    <definedName name="glostrybonus">ENG!#REF!</definedName>
    <definedName name="glostrybonusconceded">ENG!#REF!</definedName>
    <definedName name="gloswon">ENG!#REF!</definedName>
    <definedName name="glosyellow">ENG!#REF!</definedName>
    <definedName name="gloucesterpremred">[2]GLO!$O$40</definedName>
    <definedName name="gloucesterpremseasontotalsdgs">[1]GLO!$L$38</definedName>
    <definedName name="gloucesterpremseasontotalsdrawn">[1]GLO!$AA$38</definedName>
    <definedName name="gloucesterpremseasontotalslost">[1]GLO!$AB$38</definedName>
    <definedName name="gloucesterpremseasontotalsplayed">[1]GLO!$Y$38</definedName>
    <definedName name="gloucesterpremseasontotalsptsagainst">[1]GLO!$G$38</definedName>
    <definedName name="gloucesterpremseasontotalsptsscored">[1]GLO!$F$38</definedName>
    <definedName name="gloucesterpremseasontotalsRC">[1]GLO!$O$38</definedName>
    <definedName name="gloucesterpremseasontotalstriesconceded">[1]GLO!$R$38</definedName>
    <definedName name="gloucesterpremseasontotalstriesscored">[1]GLO!$J$38</definedName>
    <definedName name="gloucesterpremseasontotalswon">[1]GLO!$Z$38</definedName>
    <definedName name="gloucesterpremseasontotalsYC">[1]GLO!$N$38</definedName>
    <definedName name="gloucesterpremtrybonusconc">[1]GLO!$P$36</definedName>
    <definedName name="gloucesterpremtrybonusscored">[1]GLO!$H$36</definedName>
    <definedName name="gloucesterpremyellow">[2]GLO!$N$40</definedName>
    <definedName name="harbonus">FIJ!#REF!</definedName>
    <definedName name="harconceded">FIJ!#REF!</definedName>
    <definedName name="hardrawn">FIJ!#REF!</definedName>
    <definedName name="harlequinspremred">[2]HAR!$O$39</definedName>
    <definedName name="harlequinspremseasontotalsdgs">[1]HAR!$L$39</definedName>
    <definedName name="harlequinspremseasontotalsdrawn">[1]HAR!$AA$39</definedName>
    <definedName name="harlequinspremseasontotalslost">[1]HAR!$AB$39</definedName>
    <definedName name="harlequinspremseasontotalsplayed">[1]HAR!$Y$39</definedName>
    <definedName name="harlequinspremseasontotalsptsagainst">[1]HAR!$G$39</definedName>
    <definedName name="harlequinspremseasontotalsptsscored">[1]HAR!$F$39</definedName>
    <definedName name="harlequinspremseasontotalsRC">[1]HAR!$O$39</definedName>
    <definedName name="harlequinspremseasontotalstriesconceded">[1]HAR!$R$39</definedName>
    <definedName name="harlequinspremseasontotalstriesscored">[1]HAR!$J$39</definedName>
    <definedName name="harlequinspremseasontotalswon">[1]HAR!$Z$39</definedName>
    <definedName name="harlequinspremseasontotalsYC">[1]HAR!$N$39</definedName>
    <definedName name="harlequinspremtrybonuscon">[1]HAR!$P$37</definedName>
    <definedName name="harlequinspremtrybonusscored">[1]HAR!$H$37</definedName>
    <definedName name="harlequinspremyellow">[2]HAR!$N$39</definedName>
    <definedName name="harlosingbonus">FIJ!#REF!</definedName>
    <definedName name="harlosingbonusconceded">FIJ!#REF!</definedName>
    <definedName name="harlost">FIJ!#REF!</definedName>
    <definedName name="harplayed">FIJ!#REF!</definedName>
    <definedName name="harred">FIJ!#REF!</definedName>
    <definedName name="harscored">FIJ!#REF!</definedName>
    <definedName name="hartriesconceded">FIJ!#REF!</definedName>
    <definedName name="hartriesscored">FIJ!#REF!</definedName>
    <definedName name="hartrybonus">FIJ!#REF!</definedName>
    <definedName name="hartrybonusconceded">FIJ!#REF!</definedName>
    <definedName name="harwon">FIJ!#REF!</definedName>
    <definedName name="haryellow">FIJ!#REF!</definedName>
    <definedName name="Ire2019alltestsdrawn">IRE!$AA$22</definedName>
    <definedName name="Ire2019alltestslost">IRE!$AB$22</definedName>
    <definedName name="Ire2019alltestsplayed">IRE!$Y$22</definedName>
    <definedName name="Ire2019alltestsptscon">IRE!$G$22</definedName>
    <definedName name="Ire2019alltestsptsscored">IRE!$F$22</definedName>
    <definedName name="Ire2019allteststriescon">IRE!$R$22</definedName>
    <definedName name="Ire2019allteststriesscored">IRE!$J$22</definedName>
    <definedName name="Ire2019alltestswon">IRE!$Z$22</definedName>
    <definedName name="Ire2019pooldrawn">IRE!$AA$19</definedName>
    <definedName name="Ire2019poollbcon">IRE!$Q$19</definedName>
    <definedName name="Ire2019poollbscored">IRE!$I$19</definedName>
    <definedName name="Ire2019poollost">IRE!$AB$19</definedName>
    <definedName name="Ire2019poolplayed">IRE!$Y$19</definedName>
    <definedName name="Ire2019poolptscon">IRE!$G$19</definedName>
    <definedName name="Ire2019poolptsscored">IRE!$F$19</definedName>
    <definedName name="Ire2019pooltbcon">IRE!$P$19</definedName>
    <definedName name="Ire2019pooltbscored">IRE!$H$19</definedName>
    <definedName name="Ire2019pooltriescon">IRE!$R$19</definedName>
    <definedName name="Ire2019pooltriesscored">IRE!$J$19</definedName>
    <definedName name="Ire2019poolwon">IRE!$Z$19</definedName>
    <definedName name="Ire2019RWCdrawn">IRE!$AA$21</definedName>
    <definedName name="Ire2019RWClost">IRE!$AB$21</definedName>
    <definedName name="Ire2019RWCplayed">IRE!$Y$21</definedName>
    <definedName name="Ire2019RWCptsagainst">IRE!$G$21</definedName>
    <definedName name="Ire2019RWCptsscored">IRE!$F$21</definedName>
    <definedName name="Ire2019RWCrc">IRE!$O$21</definedName>
    <definedName name="Ire2019RWCtriescon">IRE!$R$21</definedName>
    <definedName name="Ire2019RWCtriesscored">IRE!$J$21</definedName>
    <definedName name="Ire2019RWCwon">IRE!$Z$21</definedName>
    <definedName name="Ire2019RWCyc">IRE!$N$21</definedName>
    <definedName name="Irelandalltestshistdrawn">Sum!$E$10</definedName>
    <definedName name="Irelandalltestshistlost">Sum!$D$10</definedName>
    <definedName name="Irelandalltestshistplayed">Sum!$B$10</definedName>
    <definedName name="Irelandalltestshistptsagainst">Sum!$H$10</definedName>
    <definedName name="Irelandalltestshistptsscored">Sum!$G$10</definedName>
    <definedName name="Irelandalltestshisttriesscored">Sum!$I$10</definedName>
    <definedName name="Irelandalltestshistwon">Sum!$C$10</definedName>
    <definedName name="Irelanddrawn">IRE!$AA$17</definedName>
    <definedName name="Irelandlosingbonus">IRE!$I$17</definedName>
    <definedName name="Irelandlost">IRE!$AB$17</definedName>
    <definedName name="Irelandplayed">IRE!$Y$17</definedName>
    <definedName name="Irelandptsagainst">IRE!$G$17</definedName>
    <definedName name="Irelandptsscored">IRE!$F$17</definedName>
    <definedName name="Irelandred">IRE!$O$17</definedName>
    <definedName name="IrelandRWChistdrawn">Sum!$E$35</definedName>
    <definedName name="IrelandRWChistlost">Sum!$D$35</definedName>
    <definedName name="IrelandRWChistplayed">Sum!$B$35</definedName>
    <definedName name="IrelandRWChistptsagainst">Sum!$H$35</definedName>
    <definedName name="IrelandRWChistptsscored">Sum!$G$35</definedName>
    <definedName name="IrelandRWChisttriesscored">Sum!$I$35</definedName>
    <definedName name="IrelandRWChistwon">Sum!$C$35</definedName>
    <definedName name="Irelandtriesagainst">IRE!$R$17</definedName>
    <definedName name="Irelandtriesscored">IRE!$J$17</definedName>
    <definedName name="Irelandtrybonus">IRE!$H$17</definedName>
    <definedName name="Irelandwon">IRE!$Z$17</definedName>
    <definedName name="Irelandyellow">IRE!$N$17</definedName>
    <definedName name="irelb">IRE!#REF!</definedName>
    <definedName name="irelbcon">IRE!#REF!</definedName>
    <definedName name="ireoveralldrawn">IRE!#REF!</definedName>
    <definedName name="ireoveralllost">IRE!#REF!</definedName>
    <definedName name="ireoverallpld">IRE!#REF!</definedName>
    <definedName name="ireoverallptsag">IRE!#REF!</definedName>
    <definedName name="ireoverallptsscored">IRE!#REF!</definedName>
    <definedName name="ireoveralltriescon">IRE!#REF!</definedName>
    <definedName name="ireoveralltriesscored">IRE!#REF!</definedName>
    <definedName name="ireoverallwon">IRE!#REF!</definedName>
    <definedName name="irepooldrawn">IRE!#REF!</definedName>
    <definedName name="irepoollost">IRE!#REF!</definedName>
    <definedName name="irepoolpld">IRE!#REF!</definedName>
    <definedName name="irepoolptsag">IRE!#REF!</definedName>
    <definedName name="irepoolptsscored">IRE!#REF!</definedName>
    <definedName name="irepooltriescon">IRE!#REF!</definedName>
    <definedName name="irepooltriesscored">IRE!#REF!</definedName>
    <definedName name="irepoolwon">IRE!#REF!</definedName>
    <definedName name="irered">IRE!#REF!</definedName>
    <definedName name="iretb">IRE!#REF!</definedName>
    <definedName name="iretbcon">IRE!#REF!</definedName>
    <definedName name="ireyellow">IRE!#REF!</definedName>
    <definedName name="ita2019alltestsdrawn">ITA!$AA$21</definedName>
    <definedName name="ita2019alltestslost">ITA!$AB$21</definedName>
    <definedName name="ita2019alltestsplayed">ITA!$Y$21</definedName>
    <definedName name="ita2019alltestsptscon">ITA!$G$21</definedName>
    <definedName name="ita2019alltestsptsscored">ITA!$F$21</definedName>
    <definedName name="ita2019allteststriescon">ITA!$R$21</definedName>
    <definedName name="ita2019allteststriesscored">ITA!$J$21</definedName>
    <definedName name="ita2019alltestswon">ITA!$Z$21</definedName>
    <definedName name="ita2019pooldrawn">ITA!$AA$18</definedName>
    <definedName name="ita2019poollbcon">ITA!$Q$18</definedName>
    <definedName name="ita2019poollbscored">ITA!$I$18</definedName>
    <definedName name="ita2019poollost">ITA!$AB$18</definedName>
    <definedName name="ita2019poolplayed">ITA!$Y$18</definedName>
    <definedName name="ita2019poolptscon">ITA!$G$18</definedName>
    <definedName name="ita2019poolptsscored">ITA!$F$18</definedName>
    <definedName name="ita2019pooltbcon">ITA!$P$18</definedName>
    <definedName name="ita2019pooltbscored">ITA!$H$18</definedName>
    <definedName name="ita2019pooltriescon">ITA!$R$18</definedName>
    <definedName name="ita2019pooltriesscored">ITA!$J$18</definedName>
    <definedName name="ita2019poolwon">ITA!$Z$18</definedName>
    <definedName name="ita2019RWCdrawn">ITA!$AA$20</definedName>
    <definedName name="ita2019RWClost">ITA!$AB$20</definedName>
    <definedName name="ita2019RWCplayed">ITA!$Y$20</definedName>
    <definedName name="ita2019RWCptscon">ITA!$G$20</definedName>
    <definedName name="ita2019RWCptsscored">ITA!$F$20</definedName>
    <definedName name="ita2019RWCrc">ITA!$O$20</definedName>
    <definedName name="ita2019RWCtriescon">ITA!$R$20</definedName>
    <definedName name="ita2019RWCtriesscored">ITA!$J$20</definedName>
    <definedName name="ita2019RWCwon">ITA!$Z$20</definedName>
    <definedName name="ita2019RWCyc">ITA!$N$20</definedName>
    <definedName name="italb">ITA!#REF!</definedName>
    <definedName name="italbcon">ITA!#REF!</definedName>
    <definedName name="Italyalltestshistdrawn">Sum!$E$11</definedName>
    <definedName name="Italyalltestshistlost">Sum!$D$11</definedName>
    <definedName name="Italyalltestshistplayed">Sum!$B$11</definedName>
    <definedName name="Italyalltestshistptsagainst">Sum!$H$11</definedName>
    <definedName name="Italyalltestshistptsscored">Sum!$G$11</definedName>
    <definedName name="Italyalltestshisttriesscored">Sum!$I$11</definedName>
    <definedName name="Italyalltestshistwon">Sum!$C$11</definedName>
    <definedName name="Italydrawn">ITA!$AA$16</definedName>
    <definedName name="Italylosingbonus">ITA!$I$16</definedName>
    <definedName name="Italylost">ITA!$AB$16</definedName>
    <definedName name="Italyplayed">ITA!$Y$16</definedName>
    <definedName name="Italyptsagainst">ITA!$G$16</definedName>
    <definedName name="Italyptsscored">ITA!$F$16</definedName>
    <definedName name="Italyred">ITA!$O$16</definedName>
    <definedName name="ItalyRWChistdrawn">Sum!$E$36</definedName>
    <definedName name="ItalyRWChistlost">Sum!$D$36</definedName>
    <definedName name="ItalyRWChistplayed">Sum!$B$36</definedName>
    <definedName name="ItalyRWChistptsagainst">Sum!$H$36</definedName>
    <definedName name="ItalyRWChistptsscored">Sum!$G$36</definedName>
    <definedName name="ItalyRWChisttriesscored">Sum!$I$36</definedName>
    <definedName name="ItalyRWChistwon">Sum!$C$36</definedName>
    <definedName name="Italytriesagainst">ITA!$R$16</definedName>
    <definedName name="Italytriesscored">ITA!$J$16</definedName>
    <definedName name="Italytrybonus">ITA!$H$16</definedName>
    <definedName name="Italywon">ITA!$Z$16</definedName>
    <definedName name="Italyyellow">ITA!$N$16</definedName>
    <definedName name="itaoveralldrawn">ITA!#REF!</definedName>
    <definedName name="itaoveralllost">ITA!#REF!</definedName>
    <definedName name="itaoverallpld">ITA!#REF!</definedName>
    <definedName name="itaoverallptsag">ITA!#REF!</definedName>
    <definedName name="itaoverallptsscored">ITA!#REF!</definedName>
    <definedName name="itaoveralltriesscored">ITA!#REF!</definedName>
    <definedName name="itaoverallwon">ITA!#REF!</definedName>
    <definedName name="itapooldrawm">ITA!#REF!</definedName>
    <definedName name="itapoollost">ITA!#REF!</definedName>
    <definedName name="itapoolpld">ITA!#REF!</definedName>
    <definedName name="itapoolptsag">ITA!#REF!</definedName>
    <definedName name="itapoolptsscored">ITA!#REF!</definedName>
    <definedName name="itapooltriescon">ITA!#REF!</definedName>
    <definedName name="itapooltriesscored">ITA!#REF!</definedName>
    <definedName name="itapoolwon">ITA!#REF!</definedName>
    <definedName name="itared">ITA!#REF!</definedName>
    <definedName name="itatb">ITA!#REF!</definedName>
    <definedName name="itatbcon">ITA!#REF!</definedName>
    <definedName name="itatriescon">ITA!#REF!</definedName>
    <definedName name="itayellow">ITA!#REF!</definedName>
    <definedName name="Japanalltestshistdrawn">Sum!$E$12</definedName>
    <definedName name="Japanalltestshistlost">Sum!$D$12</definedName>
    <definedName name="Japanalltestshistplayed">Sum!$B$12</definedName>
    <definedName name="Japanalltestshistptscon">Sum!$H$12</definedName>
    <definedName name="Japanalltestshistptsscored">Sum!$G$12</definedName>
    <definedName name="Japanalltestshisttriesscored">Sum!$G$12</definedName>
    <definedName name="Japanalltestshisttriesscoredcorrect">Sum!$I$12</definedName>
    <definedName name="Japanalltestshistwon">Sum!$C$12</definedName>
    <definedName name="JapanRWChistdrawn">Sum!$E$38</definedName>
    <definedName name="JapanRWChistlost">Sum!$D$38</definedName>
    <definedName name="JapanRWChistplayed">Sum!$B$38</definedName>
    <definedName name="JapanRWChistptsagainst">Sum!$H$38</definedName>
    <definedName name="JapanRWChistptsscored">Sum!$G$38</definedName>
    <definedName name="JapanRWChisttriesscored">Sum!$I$38</definedName>
    <definedName name="JapanRWChistwon">Sum!$C$38</definedName>
    <definedName name="jpn2019alltestsdrawn">JPN!$AA$17</definedName>
    <definedName name="jpn2019alltestslost">JPN!$AB$17</definedName>
    <definedName name="jpn2019alltestsplayed">JPN!$Y$17</definedName>
    <definedName name="jpn2019alltestsptsagainst">JPN!$G$17</definedName>
    <definedName name="jpn2019alltestsptsscored">JPN!$F$17</definedName>
    <definedName name="jpn2019allteststriescon">JPN!$R$17</definedName>
    <definedName name="jpn2019allteststriesscored">JPN!$J$17</definedName>
    <definedName name="jpn2019alltestswon">JPN!$Z$17</definedName>
    <definedName name="jpn2019pooldrawn">JPN!$AA$14</definedName>
    <definedName name="jpn2019poollbcon">JPN!$Q$14</definedName>
    <definedName name="jpn2019poollbscored">JPN!$I$14</definedName>
    <definedName name="jpn2019poollost">JPN!$AB$14</definedName>
    <definedName name="jpn2019poolplayed">JPN!$Y$14</definedName>
    <definedName name="jpn2019poolptscon">JPN!$G$14</definedName>
    <definedName name="jpn2019poolptsscored">JPN!$F$14</definedName>
    <definedName name="jpn2019pooltbcon">JPN!$P$14</definedName>
    <definedName name="jpn2019pooltbscored">JPN!$H$14</definedName>
    <definedName name="jpn2019pooltriescon">JPN!$R$14</definedName>
    <definedName name="jpn2019pooltriesscored">JPN!$J$14</definedName>
    <definedName name="jpn2019poolwon">JPN!$Z$14</definedName>
    <definedName name="jpn2019rwcdrawn">JPN!$AA$16</definedName>
    <definedName name="jpn2019rwclost">JPN!$AB$16</definedName>
    <definedName name="jpn2019rwcplayed">JPN!$Y$16</definedName>
    <definedName name="jpn2019rwcptsagainst">JPN!$G$16</definedName>
    <definedName name="jpn2019rwcptsscored">JPN!$F$16</definedName>
    <definedName name="jpn2019rwcrc">JPN!$O$16</definedName>
    <definedName name="jpn2019rwctriescon">JPN!$R$16</definedName>
    <definedName name="jpn2019rwctriesscored">JPN!$J$16</definedName>
    <definedName name="jpn2019rwcwon">JPN!$Z$16</definedName>
    <definedName name="jpn2019rwcyc">JPN!$N$16</definedName>
    <definedName name="jpnlb">JPN!#REF!</definedName>
    <definedName name="jpnlbcon">JPN!#REF!</definedName>
    <definedName name="jpnoveralldrawn">JPN!#REF!</definedName>
    <definedName name="jpnoveralllost">JPN!#REF!</definedName>
    <definedName name="jpnoverallpld">JPN!#REF!</definedName>
    <definedName name="jpnoverallptsag">JPN!#REF!</definedName>
    <definedName name="jpnoverallptsscored">JPN!#REF!</definedName>
    <definedName name="jpnoveralltriescon">JPN!#REF!</definedName>
    <definedName name="jpnoveralltriesscored">JPN!#REF!</definedName>
    <definedName name="jpnoverallwon">JPN!#REF!</definedName>
    <definedName name="jpnpooldrawn">JPN!#REF!</definedName>
    <definedName name="jpnpoollost">JPN!#REF!</definedName>
    <definedName name="jpnpoolpld">JPN!#REF!</definedName>
    <definedName name="jpnpoolptsag">JPN!#REF!</definedName>
    <definedName name="jpnpoolptsscored">JPN!#REF!</definedName>
    <definedName name="jpnpooltriescon">JPN!#REF!</definedName>
    <definedName name="jpnpooltriesscored">JPN!#REF!</definedName>
    <definedName name="jpnpoolwon">JPN!#REF!</definedName>
    <definedName name="jpnred">JPN!#REF!</definedName>
    <definedName name="jpntb">JPN!#REF!</definedName>
    <definedName name="jpntbcon">JPN!#REF!</definedName>
    <definedName name="jpnyellow">JPN!#REF!</definedName>
    <definedName name="leicesterpoconceded">FRA!#REF!</definedName>
    <definedName name="leicesterpolost">FRA!#REF!</definedName>
    <definedName name="leicesterpoplayed">FRA!#REF!</definedName>
    <definedName name="leicesterpored">FRA!#REF!</definedName>
    <definedName name="leicesterposcored">FRA!#REF!</definedName>
    <definedName name="leicesterpotriesconceded">FRA!#REF!</definedName>
    <definedName name="leicesterpotriesscored">FRA!#REF!</definedName>
    <definedName name="leicesterpowon">FRA!#REF!</definedName>
    <definedName name="leicesterpoyellow">FRA!#REF!</definedName>
    <definedName name="leicesterpremred">[2]LEIC!$O$39</definedName>
    <definedName name="leicesterpremseasontotalsdgs">[1]LEIC!$L$37</definedName>
    <definedName name="leicesterpremseasontotalsdrawn">[1]LEIC!$AA$37</definedName>
    <definedName name="leicesterpremseasontotalslost">[1]LEIC!$AB$37</definedName>
    <definedName name="leicesterpremseasontotalsplayed">[1]LEIC!$Y$37</definedName>
    <definedName name="leicesterpremseasontotalsptsagainst">[1]LEIC!$G$37</definedName>
    <definedName name="leicesterpremseasontotalsptsscored">[1]LEIC!$F$37</definedName>
    <definedName name="leicesterpremseasontotalsRC">[1]LEIC!$O$37</definedName>
    <definedName name="leicesterpremseasontotalstriesconceded">[1]LEIC!$R$37</definedName>
    <definedName name="leicesterpremseasontotalstriesscored">[1]LEIC!$J$37</definedName>
    <definedName name="leicesterpremseasontotalswon">[1]LEIC!$Z$37</definedName>
    <definedName name="leicesterpremseasontotalsYC">[1]LEIC!$N$37</definedName>
    <definedName name="leicesterpremtrybonusconccorrect">[1]LEIC!$P$35</definedName>
    <definedName name="leicesterpremtrybonusscored">[1]LEIC!$H$35</definedName>
    <definedName name="leicesterpremyellow">[2]LEIC!$N$39</definedName>
    <definedName name="leicsbonus">FRA!#REF!</definedName>
    <definedName name="leicsconceded">FRA!#REF!</definedName>
    <definedName name="leicsdrawn">FRA!#REF!</definedName>
    <definedName name="leicslosingbonus">FRA!#REF!</definedName>
    <definedName name="leicslosingbonusconceded">FRA!#REF!</definedName>
    <definedName name="leicslost">FRA!#REF!</definedName>
    <definedName name="leicsplayed">FRA!#REF!</definedName>
    <definedName name="leicsred">FRA!#REF!</definedName>
    <definedName name="leicsscored">FRA!#REF!</definedName>
    <definedName name="leicstries">FRA!#REF!</definedName>
    <definedName name="leicstriesconceded">FRA!#REF!</definedName>
    <definedName name="leicstrybonus">FRA!#REF!</definedName>
    <definedName name="leicstrybonusconceded">FRA!#REF!</definedName>
    <definedName name="leicswon">FRA!#REF!</definedName>
    <definedName name="leicsyellow">FRA!#REF!</definedName>
    <definedName name="libonus">CAN!#REF!</definedName>
    <definedName name="liconceded">CAN!#REF!</definedName>
    <definedName name="lidrawn">CAN!#REF!</definedName>
    <definedName name="lilosingbonus">CAN!#REF!</definedName>
    <definedName name="lilosingbonusconceded">CAN!#REF!</definedName>
    <definedName name="lilost">CAN!#REF!</definedName>
    <definedName name="liplayed">CAN!#REF!</definedName>
    <definedName name="lirdgsscored">[1]BRI!$L$36</definedName>
    <definedName name="lired">CAN!#REF!</definedName>
    <definedName name="liscored">CAN!#REF!</definedName>
    <definedName name="litries">CAN!#REF!</definedName>
    <definedName name="litriesconceded">CAN!#REF!</definedName>
    <definedName name="litrybonus">CAN!#REF!</definedName>
    <definedName name="litrybonusconceded">CAN!#REF!</definedName>
    <definedName name="liwon">CAN!#REF!</definedName>
    <definedName name="liyellow">CAN!#REF!</definedName>
    <definedName name="lweagainst">GEO!#REF!</definedName>
    <definedName name="lwedrawn">GEO!#REF!</definedName>
    <definedName name="lwelosingbonus">GEO!#REF!</definedName>
    <definedName name="lwelosingbonusonceded">GEO!#REF!</definedName>
    <definedName name="lwelost">GEO!#REF!</definedName>
    <definedName name="lweplayed">GEO!#REF!</definedName>
    <definedName name="lwered">GEO!#REF!</definedName>
    <definedName name="lwescored">GEO!#REF!</definedName>
    <definedName name="lwetriesconceded">GEO!#REF!</definedName>
    <definedName name="lwetriesscored">GEO!#REF!</definedName>
    <definedName name="lwetrybonus">GEO!#REF!</definedName>
    <definedName name="lwetrybonusconceded">GEO!#REF!</definedName>
    <definedName name="lwewon">GEO!#REF!</definedName>
    <definedName name="lweyellow">GEO!#REF!</definedName>
    <definedName name="Nam2019alltestsdrawn">NAM!$AA$13</definedName>
    <definedName name="Nam2019alltestslost">NAM!$AB$13</definedName>
    <definedName name="Nam2019alltestsplayed">NAM!$Y$13</definedName>
    <definedName name="Nam2019alltestsptscon">NAM!$G$13</definedName>
    <definedName name="Nam2019alltestsptsscored">NAM!$F$13</definedName>
    <definedName name="Nam2019allteststriescon">NAM!$R$13</definedName>
    <definedName name="Nam2019allteststriesscored">NAM!$J$13</definedName>
    <definedName name="Nam2019alltestswon">NAM!$Z$13</definedName>
    <definedName name="Nam2019pooldrawn">NAM!$AA$10</definedName>
    <definedName name="Nam2019poollbcon">NAM!$Q$10</definedName>
    <definedName name="Nam2019poollbscored">NAM!$I$10</definedName>
    <definedName name="Nam2019poollost">NAM!$AB$10</definedName>
    <definedName name="Nam2019poolplayed">NAM!$Y$10</definedName>
    <definedName name="Nam2019poolptscon">NAM!$G$10</definedName>
    <definedName name="Nam2019poolptsscored">NAM!$F$10</definedName>
    <definedName name="Nam2019pooltbcon">NAM!$P$10</definedName>
    <definedName name="Nam2019pooltbscored">NAM!$H$10</definedName>
    <definedName name="Nam2019pooltriescon">NAM!$R$10</definedName>
    <definedName name="Nam2019pooltriesscored">NAM!$J$10</definedName>
    <definedName name="Nam2019poolwon">NAM!$Z$10</definedName>
    <definedName name="Nam2019RWCdrawn">NAM!$AA$12</definedName>
    <definedName name="Nam2019RWClost">NAM!$AB$12</definedName>
    <definedName name="Nam2019RWCplayed">NAM!$Y$12</definedName>
    <definedName name="Nam2019RWCptsagainst">NAM!$G$12</definedName>
    <definedName name="Nam2019RWCptsscored">NAM!$F$12</definedName>
    <definedName name="Nam2019RWCrc">NAM!$O$12</definedName>
    <definedName name="Nam2019RWCtriescon">NAM!$R$12</definedName>
    <definedName name="Nam2019RWCtriesscored">NAM!$J$12</definedName>
    <definedName name="Nam2019RWCwon">NAM!$Z$12</definedName>
    <definedName name="Nam2019RWCyc">NAM!$N$12</definedName>
    <definedName name="Namibiaalltestshistdrawn">Sum!$E$13</definedName>
    <definedName name="Namibiaalltestshistlost">Sum!$D$13</definedName>
    <definedName name="Namibiaalltestshistplayed">Sum!$B$13</definedName>
    <definedName name="Namibiaalltestshistptscon">Sum!$H$13</definedName>
    <definedName name="Namibiaalltestshistptsscored">Sum!$G$13</definedName>
    <definedName name="Namibiaalltestshisttriesscored">Sum!$I$13</definedName>
    <definedName name="Namibiaalltestshistwon">Sum!$C$13</definedName>
    <definedName name="NamibiaRWChistdrawn">Sum!$E$39</definedName>
    <definedName name="NamibiaRWChistlost">Sum!$D$39</definedName>
    <definedName name="NamibiaRWChistplayed">Sum!$B$39</definedName>
    <definedName name="NamibiaRWChistptsagainst">Sum!$H$39</definedName>
    <definedName name="NamibiaRWChistptsscored">Sum!$G$39</definedName>
    <definedName name="NamibiaRWChisttriesscored">Sum!$I$39</definedName>
    <definedName name="NamibiaRWChistwon">Sum!$C$39</definedName>
    <definedName name="namlb">#REF!</definedName>
    <definedName name="namlbcon">#REF!</definedName>
    <definedName name="namoveralldrawn">#REF!</definedName>
    <definedName name="namoveralllost">#REF!</definedName>
    <definedName name="namoverallpld">#REF!</definedName>
    <definedName name="namoverallptsag">#REF!</definedName>
    <definedName name="namoverallptsscored">#REF!</definedName>
    <definedName name="namoveralltriescon">#REF!</definedName>
    <definedName name="namoveralltriesscored">#REF!</definedName>
    <definedName name="namoverallwon">#REF!</definedName>
    <definedName name="nampooldrawn">#REF!</definedName>
    <definedName name="nampoollost">#REF!</definedName>
    <definedName name="nampoolpld">#REF!</definedName>
    <definedName name="nampoolptsag">#REF!</definedName>
    <definedName name="nampoolptsscored">#REF!</definedName>
    <definedName name="nampooltriescon">#REF!</definedName>
    <definedName name="nampooltriesscored">#REF!</definedName>
    <definedName name="nampoolwon">#REF!</definedName>
    <definedName name="namred">#REF!</definedName>
    <definedName name="namtb">#REF!</definedName>
    <definedName name="namtbcon">#REF!</definedName>
    <definedName name="namyellow">#REF!</definedName>
    <definedName name="New_ZealandRWChistdrawn">Sum!$E$40</definedName>
    <definedName name="New_ZealandRWChistlost">Sum!$D$40</definedName>
    <definedName name="New_ZealandRWChistplayed">Sum!$B$40</definedName>
    <definedName name="New_ZealandRWChistptscon">Sum!$G$40</definedName>
    <definedName name="New_ZealandRWChistptsconcorrect">Sum!$H$40</definedName>
    <definedName name="New_ZealandRWChistptsscored">Sum!$G$40</definedName>
    <definedName name="New_ZealandRWChisttriesscored">Sum!$I$40</definedName>
    <definedName name="New_ZealandRWChistwon">Sum!$C$40</definedName>
    <definedName name="newcastlepremred">[2]NEW!$O$37</definedName>
    <definedName name="Newcastlepremtotalsdgs">[1]NEW!$L$38</definedName>
    <definedName name="newcastlepremtotalsdrawn">[1]NEW!$AA$36</definedName>
    <definedName name="Newcastlepremtotalslost">[1]NEW!$AB$38</definedName>
    <definedName name="Newcastlepremtotalsplayed">[1]NEW!$Y$38</definedName>
    <definedName name="Newcastlepremtotalsptsagainst">[1]NEW!$G$38</definedName>
    <definedName name="Newcastlepremtotalsptsscored">[1]NEW!$F$38</definedName>
    <definedName name="Newcastlepremtotalsrc">[1]NEW!$O$38</definedName>
    <definedName name="Newcastlepremtotalstriesconceded">[1]NEW!$R$38</definedName>
    <definedName name="Newcastlepremtotalstriesscored">[1]NEW!$J$38</definedName>
    <definedName name="Newcastlepremtotalswon">[1]NEW!$Z$38</definedName>
    <definedName name="Newcastlepremtotalsyc">[1]NEW!$N$38</definedName>
    <definedName name="newcastlepremtrybonuscocn">[1]NEW!$P$36</definedName>
    <definedName name="newcastlepremtrybonusscored">[1]NEW!$H$36</definedName>
    <definedName name="newcastlepremyellow">[2]NEW!$N$37</definedName>
    <definedName name="newcbonus">IRE!#REF!</definedName>
    <definedName name="newcconceded">IRE!#REF!</definedName>
    <definedName name="newcdrawn">IRE!#REF!</definedName>
    <definedName name="newclosingbonus">IRE!#REF!</definedName>
    <definedName name="newclosingbonusconceded">IRE!#REF!</definedName>
    <definedName name="newclost">IRE!#REF!</definedName>
    <definedName name="newcplayed">IRE!#REF!</definedName>
    <definedName name="newcred">IRE!#REF!</definedName>
    <definedName name="newcscored">IRE!#REF!</definedName>
    <definedName name="newctriesconceded">IRE!#REF!</definedName>
    <definedName name="newctriesscored">IRE!#REF!</definedName>
    <definedName name="newctrybonus">IRE!#REF!</definedName>
    <definedName name="newctrybonusconceded">IRE!#REF!</definedName>
    <definedName name="newcwon">IRE!#REF!</definedName>
    <definedName name="newcyellow">IRE!#REF!</definedName>
    <definedName name="northamptonpremred">[2]NOR!$O$37</definedName>
    <definedName name="northamptonpremseasontotalsdgs">[1]NOR!$L$42</definedName>
    <definedName name="northamptonpremseasontotalsdrawn">[1]NOR!$AA$42</definedName>
    <definedName name="northamptonpremseasontotalslost">[1]NOR!$AB$42</definedName>
    <definedName name="northamptonpremseasontotalsplayed">[1]NOR!$Y$42</definedName>
    <definedName name="northamptonpremseasontotalsptsagainst">[1]NOR!$G$42</definedName>
    <definedName name="northamptonpremseasontotalsptsscored">[1]NOR!$F$42</definedName>
    <definedName name="northamptonpremseasontotalstriesconceded">[1]NOR!$R$42</definedName>
    <definedName name="northamptonpremseasontotalstriesscored">[1]NOR!$J$42</definedName>
    <definedName name="northamptonpremseasontotalswon">[1]NOR!$Z$42</definedName>
    <definedName name="northamptonpremtrybonusconc">[1]NOR!$P$40</definedName>
    <definedName name="northamptonpremtrybonusscored">[1]NOR!$H$40</definedName>
    <definedName name="northamptonpremyellow">[2]NOR!$N$37</definedName>
    <definedName name="Nzl2019alltestsdrawn">NZL!$AA$20</definedName>
    <definedName name="Nzl2019alltestshistdrawn">Sum!$E$14</definedName>
    <definedName name="Nzl2019alltestshistlost">Sum!$D$14</definedName>
    <definedName name="Nzl2019alltestshistplayed">Sum!$B$14</definedName>
    <definedName name="Nzl2019alltestshistptscon">Sum!$H$14</definedName>
    <definedName name="Nzl2019alltestshistptsscored">Sum!$G$14</definedName>
    <definedName name="Nzl2019alltestshisttriesscored">Sum!$I$14</definedName>
    <definedName name="Nzl2019alltestshistwon">Sum!$C$14</definedName>
    <definedName name="Nzl2019alltestslost">NZL!$AB$20</definedName>
    <definedName name="Nzl2019alltestsplayed">NZL!$Y$20</definedName>
    <definedName name="Nzl2019alltestsptscon">NZL!$G$20</definedName>
    <definedName name="Nzl2019alltestsptsscored">NZL!$F$20</definedName>
    <definedName name="Nzl2019allteststriescon">NZL!$R$20</definedName>
    <definedName name="Nzl2019allteststriesscored">NZL!$J$20</definedName>
    <definedName name="Nzl2019alltestswon">NZL!$Z$20</definedName>
    <definedName name="Nzl2019pooldrawn">NZL!$AA$17</definedName>
    <definedName name="Nzl2019poollbcon">NZL!$Q$17</definedName>
    <definedName name="Nzl2019poollbscored">NZL!$I$17</definedName>
    <definedName name="Nzl2019poollost">NZL!$AB$17</definedName>
    <definedName name="Nzl2019poolplayed">NZL!$Y$17</definedName>
    <definedName name="Nzl2019poolptscon">NZL!$G$17</definedName>
    <definedName name="Nzl2019poolptsscored">NZL!$F$17</definedName>
    <definedName name="Nzl2019pooltbcon">NZL!$P$17</definedName>
    <definedName name="Nzl2019pooltbscored">NZL!$H$17</definedName>
    <definedName name="Nzl2019pooltriescon">NZL!$R$17</definedName>
    <definedName name="Nzl2019pooltriesscored">NZL!$J$17</definedName>
    <definedName name="Nzl2019poolwon">NZL!$Z$17</definedName>
    <definedName name="Nzl2019RWCdrawn">NZL!$AA$19</definedName>
    <definedName name="Nzl2019RWClost">NZL!$AB$19</definedName>
    <definedName name="Nzl2019RWCplayed">NZL!$Y$19</definedName>
    <definedName name="Nzl2019RWCptsscon">NZL!$G$19</definedName>
    <definedName name="Nzl2019RWCptsscored">NZL!$F$19</definedName>
    <definedName name="Nzl2019RWCrc">NZL!$O$19</definedName>
    <definedName name="Nzl2019RWCtriescon">NZL!$R$19</definedName>
    <definedName name="Nzl2019RWCtriesscored">NZL!$J$19</definedName>
    <definedName name="Nzl2019RWCwon">NZL!$Z$19</definedName>
    <definedName name="Nzl2019RWCyc">NZL!$N$19</definedName>
    <definedName name="nzllb">NZL!#REF!</definedName>
    <definedName name="nzllbcon">NZL!#REF!</definedName>
    <definedName name="nzloveralldrawn">NZL!#REF!</definedName>
    <definedName name="nzloveralllost">NZL!#REF!</definedName>
    <definedName name="nzloverallpld">NZL!#REF!</definedName>
    <definedName name="nzloverallptsag">NZL!#REF!</definedName>
    <definedName name="nzloverallptsscored">NZL!#REF!</definedName>
    <definedName name="nzloveralltriescon">NZL!#REF!</definedName>
    <definedName name="nzloveralltriesscored">NZL!#REF!</definedName>
    <definedName name="nzloverallwon">NZL!#REF!</definedName>
    <definedName name="nzlpooldrawn">NZL!#REF!</definedName>
    <definedName name="nzlpoollost">NZL!#REF!</definedName>
    <definedName name="nzlpoolpld">NZL!#REF!</definedName>
    <definedName name="nzlpoolptsag">NZL!#REF!</definedName>
    <definedName name="nzlpoolptsscored">NZL!#REF!</definedName>
    <definedName name="nzlpooltriescon">NZL!#REF!</definedName>
    <definedName name="nzlpooltriesscored">NZL!#REF!</definedName>
    <definedName name="nzlpoolwon">NZL!#REF!</definedName>
    <definedName name="nzlred">NZL!#REF!</definedName>
    <definedName name="nzltb">NZL!#REF!</definedName>
    <definedName name="nzltbcon">NZL!#REF!</definedName>
    <definedName name="nzlyellow">NZL!#REF!</definedName>
    <definedName name="quinspoconceded">FIJ!#REF!</definedName>
    <definedName name="quinspolost">FIJ!#REF!</definedName>
    <definedName name="quinspoplayed">FIJ!#REF!</definedName>
    <definedName name="quinspored">FIJ!#REF!</definedName>
    <definedName name="quinsposcored">FIJ!#REF!</definedName>
    <definedName name="quinspotriesconceded">FIJ!#REF!</definedName>
    <definedName name="quinspotriesscored">FIJ!#REF!</definedName>
    <definedName name="quinspowon">FIJ!#REF!</definedName>
    <definedName name="quinspoyellow">FIJ!#REF!</definedName>
    <definedName name="romlb">ROM!#REF!</definedName>
    <definedName name="romlbcon">ROM!#REF!</definedName>
    <definedName name="romoveralldrawn">ROM!#REF!</definedName>
    <definedName name="romoveralllost">ROM!#REF!</definedName>
    <definedName name="romoverallpld">ROM!#REF!</definedName>
    <definedName name="romoverallptsag">ROM!#REF!</definedName>
    <definedName name="romoverallptsscored">ROM!#REF!</definedName>
    <definedName name="romoveralltriescon">ROM!#REF!</definedName>
    <definedName name="romoveralltriesscored">ROM!#REF!</definedName>
    <definedName name="romoverallwon">ROM!#REF!</definedName>
    <definedName name="rompooldrawn">ROM!#REF!</definedName>
    <definedName name="rompoollost">ROM!#REF!</definedName>
    <definedName name="rompoolpld">ROM!#REF!</definedName>
    <definedName name="rompoolptsag">ROM!#REF!</definedName>
    <definedName name="rompoolptsscored">ROM!#REF!</definedName>
    <definedName name="rompooltriescon">ROM!#REF!</definedName>
    <definedName name="rompooltriesscored">ROM!#REF!</definedName>
    <definedName name="rompoolwon">ROM!#REF!</definedName>
    <definedName name="romred">ROM!#REF!</definedName>
    <definedName name="romtb">ROM!#REF!</definedName>
    <definedName name="romtbcon">ROM!#REF!</definedName>
    <definedName name="romyellow">ROM!#REF!</definedName>
    <definedName name="Rsa2019alltestsdrawn">RSA!$AA$20</definedName>
    <definedName name="Rsa2019alltestslost">RSA!$AB$20</definedName>
    <definedName name="Rsa2019alltestsplayed">RSA!$Y$20</definedName>
    <definedName name="Rsa2019alltestsptscon">RSA!$G$20</definedName>
    <definedName name="Rsa2019alltestsptsscored">RSA!$F$20</definedName>
    <definedName name="Rsa2019allteststriescon">RSA!$R$20</definedName>
    <definedName name="Rsa2019allteststriesscored">RSA!$J$20</definedName>
    <definedName name="Rsa2019alltestswon">RSA!$Z$20</definedName>
    <definedName name="Rsa2019pooldrawn">RSA!$AA$17</definedName>
    <definedName name="Rsa2019poollbcon">RSA!$Q$17</definedName>
    <definedName name="Rsa2019poollbscored">RSA!$I$17</definedName>
    <definedName name="Rsa2019poollost">RSA!$AB$17</definedName>
    <definedName name="Rsa2019poolplayed">RSA!$Y$17</definedName>
    <definedName name="Rsa2019poolptscon">RSA!$G$17</definedName>
    <definedName name="Rsa2019poolptsscored">RSA!$F$17</definedName>
    <definedName name="Rsa2019pooltbcon">RSA!$P$17</definedName>
    <definedName name="Rsa2019pooltbscored">RSA!$H$17</definedName>
    <definedName name="Rsa2019pooltriescon">RSA!$R$17</definedName>
    <definedName name="Rsa2019pooltriesscored">RSA!$J$17</definedName>
    <definedName name="Rsa2019poolwon">RSA!$Z$17</definedName>
    <definedName name="Rsa2019RWCdrawn">RSA!$AA$19</definedName>
    <definedName name="Rsa2019RWClost">RSA!$AB$19</definedName>
    <definedName name="Rsa2019RWCplayed">RSA!$Y$19</definedName>
    <definedName name="Rsa2019RWCptscon">RSA!$G$19</definedName>
    <definedName name="Rsa2019RWCptsscored">RSA!$F$19</definedName>
    <definedName name="Rsa2019RWCrc">RSA!$O$19</definedName>
    <definedName name="Rsa2019RWCtriescon">RSA!$R$19</definedName>
    <definedName name="Rsa2019RWCtriesscored">RSA!$J$19</definedName>
    <definedName name="Rsa2019RWCwon">RSA!$Z$19</definedName>
    <definedName name="Rsa2019RWCyc">RSA!$N$19</definedName>
    <definedName name="Rsaalltestshistdrawn">Sum!$E$19</definedName>
    <definedName name="Rsaalltestshistlost">Sum!$D$19</definedName>
    <definedName name="Rsaalltestshistplayed">Sum!$B$19</definedName>
    <definedName name="Rsaalltestshistptscon">Sum!$H$19</definedName>
    <definedName name="Rsaalltestshistptsscored">Sum!$G$19</definedName>
    <definedName name="Rsaalltestshisttriesscored">Sum!$I$19</definedName>
    <definedName name="Rsaalltestshistwon">Sum!$C$19</definedName>
    <definedName name="rsalb">RSA!#REF!</definedName>
    <definedName name="rsalbcon">RSA!#REF!</definedName>
    <definedName name="rsaoveralldrawn">RSA!#REF!</definedName>
    <definedName name="rsaoveralllost">RSA!#REF!</definedName>
    <definedName name="rsaoverallpld">RSA!#REF!</definedName>
    <definedName name="rsaoverallptsag">RSA!#REF!</definedName>
    <definedName name="rsaoverallptsscored">RSA!#REF!</definedName>
    <definedName name="rsaoveralltriescon">RSA!#REF!</definedName>
    <definedName name="rsaoveralltriesscored">RSA!#REF!</definedName>
    <definedName name="rsaoverallwon">RSA!#REF!</definedName>
    <definedName name="rsapooldrawn">RSA!#REF!</definedName>
    <definedName name="rsapoollost">RSA!#REF!</definedName>
    <definedName name="rsapoolpld">RSA!#REF!</definedName>
    <definedName name="rsapoolptsag">RSA!#REF!</definedName>
    <definedName name="rsapoolptsscored">RSA!#REF!</definedName>
    <definedName name="rsapooltriescon">RSA!#REF!</definedName>
    <definedName name="rsapooltriesscored">RSA!#REF!</definedName>
    <definedName name="rsapoolwon">RSA!#REF!</definedName>
    <definedName name="rsared">RSA!#REF!</definedName>
    <definedName name="RsaRWChistdrawn">Sum!$E$46</definedName>
    <definedName name="RsaRWChistlost">Sum!$D$46</definedName>
    <definedName name="RsaRWChistplayed">Sum!$B$46</definedName>
    <definedName name="RsaRWChistptscon">Sum!$H$46</definedName>
    <definedName name="RsaRWChistptsscored">Sum!$G$46</definedName>
    <definedName name="RsaRWChisttriesscored">Sum!$I$46</definedName>
    <definedName name="RsaRWChistwon">Sum!$C$46</definedName>
    <definedName name="rsatb">RSA!#REF!</definedName>
    <definedName name="rsatbcon">RSA!#REF!</definedName>
    <definedName name="rsayellow">RSA!#REF!</definedName>
    <definedName name="Rus2019alltestsdrawn">RUS!$AA$21</definedName>
    <definedName name="Rus2019alltestslost">RUS!$AB$21</definedName>
    <definedName name="Rus2019alltestsplayed">RUS!$Y$21</definedName>
    <definedName name="Rus2019alltestsptscon">RUS!$G$21</definedName>
    <definedName name="Rus2019alltestsptsscored">RUS!$F$21</definedName>
    <definedName name="Rus2019allteststriescon">RUS!$R$21</definedName>
    <definedName name="Rus2019allteststriescored">RUS!$J$21</definedName>
    <definedName name="Rus2019alltestswon">RUS!$Z$21</definedName>
    <definedName name="Rus2019pooldrawn">RUS!$AA$18</definedName>
    <definedName name="Rus2019poollbcon">RUS!$Q$18</definedName>
    <definedName name="Rus2019poollbscored">RUS!$I$18</definedName>
    <definedName name="Rus2019poollost">RUS!$AB$18</definedName>
    <definedName name="Rus2019poolplayed">RUS!$F$18</definedName>
    <definedName name="Rus2019poolplayedcorrect">RUS!$Y$18</definedName>
    <definedName name="Rus2019poolptscon">RUS!$G$18</definedName>
    <definedName name="Rus2019poolptsscored">RUS!$F$18</definedName>
    <definedName name="Rus2019pooltbcon">RUS!$P$18</definedName>
    <definedName name="Rus2019pooltbscored">RUS!$H$18</definedName>
    <definedName name="Rus2019pooltriescon">RUS!$R$18</definedName>
    <definedName name="Rus2019pooltriesscored">RUS!$J$18</definedName>
    <definedName name="Rus2019poolwon">RUS!$G$18</definedName>
    <definedName name="Rus2019poolwoncorrect">RUS!$Z$18</definedName>
    <definedName name="Rus2019RWCdrawn">RUS!$AA$20</definedName>
    <definedName name="Rus2019RWClost">RUS!$AB$20</definedName>
    <definedName name="Rus2019RWCplayed">RUS!$Y$20</definedName>
    <definedName name="Rus2019RWCptscon">RUS!$G$20</definedName>
    <definedName name="Rus2019RWCptsscored">RUS!$F$20</definedName>
    <definedName name="Rus2019RWCrc">RUS!$O$20</definedName>
    <definedName name="Rus2019RWCtriescon">RUS!$R$20</definedName>
    <definedName name="Rus2019RWCtriesscored">RUS!$J$20</definedName>
    <definedName name="Rus2019RWCwon">RUS!$Z$20</definedName>
    <definedName name="Rus2019RWCyc">RUS!$N$20</definedName>
    <definedName name="Russiaalltestshistdrawn">Sum!$E$16</definedName>
    <definedName name="Russiaalltestshistlost">Sum!$D$16</definedName>
    <definedName name="Russiaalltestshistplayed">Sum!$B$16</definedName>
    <definedName name="Russiaalltestshistptsagainst">Sum!$H$16</definedName>
    <definedName name="Russiaalltestshistptsscored">Sum!$G$16</definedName>
    <definedName name="Russiaalltestshisttriesscored">Sum!$I$16</definedName>
    <definedName name="Russiaalltestshistwon">Sum!$C$16</definedName>
    <definedName name="RussiaRWChistdrawn">Sum!$E$43</definedName>
    <definedName name="RussiaRWChistlost">Sum!$D$43</definedName>
    <definedName name="RussiaRWChistplayed">Sum!$B$43</definedName>
    <definedName name="RussiaRWChistptscon">Sum!$H$43</definedName>
    <definedName name="RussiaRWChistptsscored">Sum!$G$43</definedName>
    <definedName name="RussiaRWChisttriesscored">Sum!$I$43</definedName>
    <definedName name="RussiaRWChistwon">Sum!$C$43</definedName>
    <definedName name="RWC2019startarg">ARG!$Y$7</definedName>
    <definedName name="RWC2019startaus">AUS!$Y$8</definedName>
    <definedName name="RWC2019startcan">CAN!$Y$11</definedName>
    <definedName name="RWC2019starteng">ENG!$Y$12</definedName>
    <definedName name="RWC2019startfij">FIJ!$Y$7</definedName>
    <definedName name="RWC2019startfra">FRA!$Y$11</definedName>
    <definedName name="RWC2019startgeo">GEO!$Y$10</definedName>
    <definedName name="RWC2019startire">IRE!$Y$12</definedName>
    <definedName name="RWC2019startita">ITA!$Y$12</definedName>
    <definedName name="RWC2019startjpn">JPN!$Y$7</definedName>
    <definedName name="RWC2019startnam">NAM!$Y$5</definedName>
    <definedName name="RWC2019startnzl">NZL!$Y$8</definedName>
    <definedName name="RWC2019startrsa">RSA!$Y$8</definedName>
    <definedName name="RWC2019startrus">RUS!$Y$11</definedName>
    <definedName name="RWC2019startsam">SAM!$Y$7</definedName>
    <definedName name="RWC2019startsco">SCO!$Y$12</definedName>
    <definedName name="RWCstartton">TGA!$Y$8</definedName>
    <definedName name="RWCstartUru">URU!$Y$12</definedName>
    <definedName name="RWCstartUSA">USA!$Y$11</definedName>
    <definedName name="RWCstartwal">WAL!$Y$12</definedName>
    <definedName name="sainstpotriesconcededcorrect">ITA!#REF!</definedName>
    <definedName name="sainstpowon">ITA!#REF!</definedName>
    <definedName name="saintsbonus">ITA!#REF!</definedName>
    <definedName name="saintsconceded">ITA!#REF!</definedName>
    <definedName name="saintsdrawn">ITA!#REF!</definedName>
    <definedName name="saintslosingbonus">ITA!#REF!</definedName>
    <definedName name="saintslosingbonusconceded">ITA!#REF!</definedName>
    <definedName name="saintslost">ITA!#REF!</definedName>
    <definedName name="saintsplayed">ITA!#REF!</definedName>
    <definedName name="saintspoconceded">ITA!#REF!</definedName>
    <definedName name="saintspodrawn">ITA!#REF!</definedName>
    <definedName name="saintspolost">ITA!#REF!</definedName>
    <definedName name="saintspoplayed">ITA!#REF!</definedName>
    <definedName name="saintspored">ITA!#REF!</definedName>
    <definedName name="saintsposcored">ITA!#REF!</definedName>
    <definedName name="saintspotriesconceded">ITA!#REF!</definedName>
    <definedName name="saintspotriesscored">ITA!#REF!</definedName>
    <definedName name="Saintspoyellow">ITA!#REF!</definedName>
    <definedName name="saintsred">ITA!#REF!</definedName>
    <definedName name="saintsscored">ITA!#REF!</definedName>
    <definedName name="saintstriesconceded">ITA!#REF!</definedName>
    <definedName name="saintstriesscored">ITA!#REF!</definedName>
    <definedName name="saintstrybonus">ITA!#REF!</definedName>
    <definedName name="saintstrybonusconceded">ITA!#REF!</definedName>
    <definedName name="saintswon">ITA!#REF!</definedName>
    <definedName name="saintsyellow">ITA!#REF!</definedName>
    <definedName name="salebonus">JPN!#REF!</definedName>
    <definedName name="saleconceded">JPN!#REF!</definedName>
    <definedName name="saledrawn">JPN!#REF!</definedName>
    <definedName name="salelosingbonus">JPN!#REF!</definedName>
    <definedName name="salelosingbonusconceded">JPN!#REF!</definedName>
    <definedName name="salelost">JPN!#REF!</definedName>
    <definedName name="saleplayed">JPN!#REF!</definedName>
    <definedName name="salepremptsdagainst">[1]SAL!$G$37</definedName>
    <definedName name="salepremptsscored">[1]SAL!$F$37</definedName>
    <definedName name="salepremred">[2]SAL!$O$39</definedName>
    <definedName name="salepremseasontotalsdgs">[1]SAL!$L$39</definedName>
    <definedName name="salepremseasontotalsdrawn">[1]SAL!$AA$39</definedName>
    <definedName name="salepremseasontotalslost">[1]SAL!$AB$39</definedName>
    <definedName name="salepremseasontotalsplayed">[1]SAL!$Y$39</definedName>
    <definedName name="salepremseasontotalsRC">[1]SAL!$O$39</definedName>
    <definedName name="salepremseasontotalstriesconceded">[1]SAL!$R$39</definedName>
    <definedName name="salepremseasontotalstriesscored">[1]SAL!$J$39</definedName>
    <definedName name="salepremseasontotalswon">[1]SAL!$Z$39</definedName>
    <definedName name="salepremseasontotalsYC">[1]SAL!$N$39</definedName>
    <definedName name="salepremtrybonusconc">[1]SAL!$P$37</definedName>
    <definedName name="salepremtrybonusscored">[1]SAL!$H$37</definedName>
    <definedName name="salepremyellow">[2]SAL!$N$39</definedName>
    <definedName name="salered">JPN!#REF!</definedName>
    <definedName name="salescored">JPN!#REF!</definedName>
    <definedName name="saletriesconceded">JPN!#REF!</definedName>
    <definedName name="saletriesscored">JPN!#REF!</definedName>
    <definedName name="saletrybonus">JPN!#REF!</definedName>
    <definedName name="saletrybonusconceded">JPN!#REF!</definedName>
    <definedName name="salewon">JPN!#REF!</definedName>
    <definedName name="saleyellow">JPN!#REF!</definedName>
    <definedName name="Sam2019alltestsdrawn">SAM!$AA$16</definedName>
    <definedName name="Sam2019alltestslost">SAM!$AB$16</definedName>
    <definedName name="Sam2019alltestsplayed">SAM!$Y$16</definedName>
    <definedName name="Sam2019alltestsptscon">SAM!$G$16</definedName>
    <definedName name="Sam2019alltestsptsscored">SAM!$F$16</definedName>
    <definedName name="Sam2019allteststriescon">SAM!$R$16</definedName>
    <definedName name="Sam2019allteststriescored">SAM!$J$16</definedName>
    <definedName name="Sam2019alltestswon">SAM!$Z$16</definedName>
    <definedName name="Sam2019pooldrawn">SAM!$AA$13</definedName>
    <definedName name="Sam2019poollbcon">SAM!$Q$13</definedName>
    <definedName name="Sam2019poollbscored">SAM!$I$13</definedName>
    <definedName name="Sam2019poollost">SAM!$AB$13</definedName>
    <definedName name="Sam2019poolplayed">SAM!$Y$13</definedName>
    <definedName name="Sam2019poolptscon">SAM!$G$13</definedName>
    <definedName name="Sam2019poolptsscored">SAM!$F$13</definedName>
    <definedName name="Sam2019pooltbcon">SAM!$P$13</definedName>
    <definedName name="Sam2019pooltbscored">SAM!$H$13</definedName>
    <definedName name="Sam2019pooltriescon">SAM!$R$13</definedName>
    <definedName name="Sam2019pooltriesscored">SAM!$J$13</definedName>
    <definedName name="Sam2019poolwon">SAM!$Z$13</definedName>
    <definedName name="Sam2019RWCdrawn">SAM!$AA$15</definedName>
    <definedName name="Sam2019RWClost">SAM!$AB$15</definedName>
    <definedName name="Sam2019RWCplayed">SAM!$Y$15</definedName>
    <definedName name="Sam2019RWCptscon">SAM!$G$15</definedName>
    <definedName name="Sam2019RWCptsscored">SAM!$F$15</definedName>
    <definedName name="SAM2019rwcRC">SAM!$O$15</definedName>
    <definedName name="Sam2019RWCtriescon">SAM!$R$15</definedName>
    <definedName name="Sam2019RWCtriescored">SAM!$J$15</definedName>
    <definedName name="Sam2019RWCwon">SAM!$Z$15</definedName>
    <definedName name="Sam2019RWCyc">SAM!$N$15</definedName>
    <definedName name="Samalltestshistdrawn">Sum!$E$17</definedName>
    <definedName name="Samalltestshistlost">Sum!$D$17</definedName>
    <definedName name="Samalltestshistplayed">Sum!$B$17</definedName>
    <definedName name="Samalltestshistptscon">Sum!$H$17</definedName>
    <definedName name="Samalltestshistptsscored">Sum!$G$17</definedName>
    <definedName name="SamalltestshistTRIESSCORED">Sum!$I$17</definedName>
    <definedName name="Samalltestshistwon">Sum!$C$17</definedName>
    <definedName name="samlb">SAM!#REF!</definedName>
    <definedName name="samlbcon">SAM!#REF!</definedName>
    <definedName name="samoveralldrawn">SAM!#REF!</definedName>
    <definedName name="samoveralllost">SAM!#REF!</definedName>
    <definedName name="samoverallpld">SAM!#REF!</definedName>
    <definedName name="samoverallptsag">SAM!#REF!</definedName>
    <definedName name="samoverallptsscored">SAM!#REF!</definedName>
    <definedName name="samoveralltriescon">SAM!#REF!</definedName>
    <definedName name="samoveralltriesscored">SAM!#REF!</definedName>
    <definedName name="samoverallwon">SAM!#REF!</definedName>
    <definedName name="sampooldrawn">SAM!#REF!</definedName>
    <definedName name="sampoollost">SAM!#REF!</definedName>
    <definedName name="sampoolpld">SAM!#REF!</definedName>
    <definedName name="sampoolptsag">SAM!#REF!</definedName>
    <definedName name="sampoolptsscored">SAM!#REF!</definedName>
    <definedName name="sampooltriescon">SAM!#REF!</definedName>
    <definedName name="sampooltriesscored">SAM!#REF!</definedName>
    <definedName name="sampoolwon">SAM!#REF!</definedName>
    <definedName name="samred">SAM!#REF!</definedName>
    <definedName name="SamRWChistdrawn">Sum!$E$44</definedName>
    <definedName name="SamRWChistlost">Sum!$D$44</definedName>
    <definedName name="SamRWChistplayed">Sum!$B$44</definedName>
    <definedName name="SamRWChistptscon">Sum!$H$44</definedName>
    <definedName name="SamRWChistptsscored">Sum!$G$44</definedName>
    <definedName name="SamRWChisttriesscored">Sum!$I$44</definedName>
    <definedName name="SamRWChistwon">Sum!$C$44</definedName>
    <definedName name="samtb">SAM!#REF!</definedName>
    <definedName name="samtbcon">SAM!#REF!</definedName>
    <definedName name="samyellow">SAM!#REF!</definedName>
    <definedName name="saracenspoconceded">#REF!</definedName>
    <definedName name="saracenspolost">#REF!</definedName>
    <definedName name="saracenspoplayed">#REF!</definedName>
    <definedName name="saracenspored">#REF!</definedName>
    <definedName name="saracensposcored">#REF!</definedName>
    <definedName name="saracenspotriesconceded">#REF!</definedName>
    <definedName name="saracenspotriesscored">#REF!</definedName>
    <definedName name="saracenspowon">#REF!</definedName>
    <definedName name="saracenspoyellow">#REF!</definedName>
    <definedName name="saracenspremred">[2]SAR!$O$42</definedName>
    <definedName name="saracenspremtotalsdrawn">[1]SAR!$AA$44</definedName>
    <definedName name="saracenspremtrybonusconc">[1]SAR!$P$42</definedName>
    <definedName name="saracenspremtrybonusscored">[1]SAR!$H$42</definedName>
    <definedName name="saracenspremyellow">[2]SAR!$N$42</definedName>
    <definedName name="Sarpremtotalsdgs">[1]SAR!$L$44</definedName>
    <definedName name="Sarpremtotalslost">[1]SAR!$AB$44</definedName>
    <definedName name="Sarpremtotalsplayed">[1]SAR!$Y$44</definedName>
    <definedName name="Sarpremtotalsptsagainst">[1]SAR!$G$44</definedName>
    <definedName name="Sarpremtotalsptsscored">[1]SAR!$F$44</definedName>
    <definedName name="Sarpremtotalsrc">[1]SAR!$O$44</definedName>
    <definedName name="Sarpremtotalstriesconceded">[1]SAR!$R$44</definedName>
    <definedName name="Sarpremtotalstriesscored">[1]SAR!$J$44</definedName>
    <definedName name="Sarpremtotalswon">[1]SAR!$Z$44</definedName>
    <definedName name="Sarpremtotalsyc">[1]SAR!$N$44</definedName>
    <definedName name="sarriesbonus">#REF!</definedName>
    <definedName name="sarriesconceded">#REF!</definedName>
    <definedName name="sarriesdrawn">#REF!</definedName>
    <definedName name="sarrieslosingbonus">#REF!</definedName>
    <definedName name="sarrieslosingbonusconceded">#REF!</definedName>
    <definedName name="sarrieslost">#REF!</definedName>
    <definedName name="sarriesplayed">#REF!</definedName>
    <definedName name="sarriesred">#REF!</definedName>
    <definedName name="sarriesscored">#REF!</definedName>
    <definedName name="sarriestriesconceded">#REF!</definedName>
    <definedName name="sarriestriesscored">#REF!</definedName>
    <definedName name="sarriestrybonus">#REF!</definedName>
    <definedName name="sarriestrybonusconceded">#REF!</definedName>
    <definedName name="sarrieswon">#REF!</definedName>
    <definedName name="sarriesyellow">#REF!</definedName>
    <definedName name="Sco2019alltestsdrawn">SCO!$AA$21</definedName>
    <definedName name="Sco2019alltestslost">SCO!$AB$21</definedName>
    <definedName name="Sco2019alltestsplayed">SCO!$Y$21</definedName>
    <definedName name="Sco2019alltestsptsagainst">SCO!$G$21</definedName>
    <definedName name="Sco2019alltestsptsscored">SCO!$F$21</definedName>
    <definedName name="Sco2019allteststriescon">SCO!$R$21</definedName>
    <definedName name="Sco2019allteststriesscored">SCO!$J$21</definedName>
    <definedName name="Sco2019alltestswon">SCO!$Z$21</definedName>
    <definedName name="Sco2019pooldrawn">SCO!$AA$18</definedName>
    <definedName name="Sco2019poollbcon">SCO!$Q$18</definedName>
    <definedName name="Sco2019poollbscored">SCO!$I$18</definedName>
    <definedName name="sco2019poollost">SCO!$AB$18</definedName>
    <definedName name="Sco2019poolplayed">SCO!$Y$18</definedName>
    <definedName name="Sco2019poolptsagainst">SCO!$G$18</definedName>
    <definedName name="Sco2019poolptsscored">SCO!$F$18</definedName>
    <definedName name="Sco2019pooltbcon">SCO!$P$18</definedName>
    <definedName name="Sco2019pooltbscored">SCO!$H$18</definedName>
    <definedName name="Sco2019pooltriescon">SCO!$R$18</definedName>
    <definedName name="Sco2019pooltriesscored">SCO!$J$18</definedName>
    <definedName name="Sco2019poolwon">SCO!$Z$18</definedName>
    <definedName name="Sco2019RWCdrawn">SCO!$AA$20</definedName>
    <definedName name="Sco2019RWClost">SCO!$AB$20</definedName>
    <definedName name="Sco2019RWCplayed">SCO!$Y$20</definedName>
    <definedName name="Sco2019RWCptscon">SCO!$G$20</definedName>
    <definedName name="Sco2019RWCptsscored">SCO!$F$20</definedName>
    <definedName name="Sco2019RWCrc">SCO!$O$20</definedName>
    <definedName name="Sco2019RWCtriescon">SCO!$R$20</definedName>
    <definedName name="Sco2019RWCtriesscored">SCO!$J$20</definedName>
    <definedName name="Sco2019RWCwon">SCO!$Z$20</definedName>
    <definedName name="Sco2019RWCyc">SCO!$N$20</definedName>
    <definedName name="scolb">SCO!#REF!</definedName>
    <definedName name="scolbcon">SCO!#REF!</definedName>
    <definedName name="scooveralldrawn">SCO!#REF!</definedName>
    <definedName name="scooveralllost">SCO!#REF!</definedName>
    <definedName name="scooverallpld">SCO!#REF!</definedName>
    <definedName name="scooverallptsag">SCO!#REF!</definedName>
    <definedName name="scooverallptsscored">SCO!#REF!</definedName>
    <definedName name="scooveralltriescon">SCO!#REF!</definedName>
    <definedName name="scooveralltriesscored">SCO!#REF!</definedName>
    <definedName name="scooverallwon">SCO!#REF!</definedName>
    <definedName name="scopooldrawn">SCO!#REF!</definedName>
    <definedName name="scopoollost">SCO!#REF!</definedName>
    <definedName name="scopoolpld">SCO!#REF!</definedName>
    <definedName name="scopoolptsag">SCO!#REF!</definedName>
    <definedName name="scopoolptsscored">SCO!#REF!</definedName>
    <definedName name="scopooltriescon">SCO!#REF!</definedName>
    <definedName name="scopooltriesscored">SCO!#REF!</definedName>
    <definedName name="scopoolwon">SCO!#REF!</definedName>
    <definedName name="scored">SCO!#REF!</definedName>
    <definedName name="scotb">SCO!#REF!</definedName>
    <definedName name="scotbcon">SCO!#REF!</definedName>
    <definedName name="Scotlandalltestshistdrawn">Sum!$E$18</definedName>
    <definedName name="Scotlandalltestshistlost">Sum!$D$18</definedName>
    <definedName name="Scotlandalltestshistplayed">Sum!$B$18</definedName>
    <definedName name="Scotlandalltestshistptscon">Sum!$H$18</definedName>
    <definedName name="Scotlandalltestshistptsscored">Sum!$G$18</definedName>
    <definedName name="Scotlandalltestshisttriesscored">Sum!$I$18</definedName>
    <definedName name="Scotlandalltestshistwon">Sum!$C$18</definedName>
    <definedName name="Scotlanddrawn">SCO!$AA$16</definedName>
    <definedName name="Scotlandlosingbonus">SCO!$I$16</definedName>
    <definedName name="Scotlandlost">SCO!$AB$16</definedName>
    <definedName name="Scotlandplayed">SCO!$Y$16</definedName>
    <definedName name="Scotlandptsagainst">SCO!$G$16</definedName>
    <definedName name="Scotlandptsscored">SCO!$F$16</definedName>
    <definedName name="Scotlandred">SCO!$O$16</definedName>
    <definedName name="ScotlandRWChistdrawn">Sum!$E$45</definedName>
    <definedName name="ScotlandRWChistlost">Sum!$D$45</definedName>
    <definedName name="ScotlandRWChistplayed">Sum!$B$45</definedName>
    <definedName name="ScotlandRWChistptscon">Sum!$H$45</definedName>
    <definedName name="ScotlandRWChistptsscored">Sum!$G$45</definedName>
    <definedName name="ScotlandRWChisttriesscored">Sum!$I$45</definedName>
    <definedName name="ScotlandRWChistwon">Sum!$C$45</definedName>
    <definedName name="Scotlandtriesagainst">SCO!$R$16</definedName>
    <definedName name="Scotlandtriesscored">SCO!$J$16</definedName>
    <definedName name="Scotlandtrybonus">SCO!$H$16</definedName>
    <definedName name="Scotlandwon">SCO!$Z$16</definedName>
    <definedName name="Scotlandyellow">SCO!$N$16</definedName>
    <definedName name="scoyellow">SCO!#REF!</definedName>
    <definedName name="tgalb">TGA!#REF!</definedName>
    <definedName name="tgalbcon">TGA!#REF!</definedName>
    <definedName name="tgaoveralldrawn">TGA!#REF!</definedName>
    <definedName name="tgaoveralllost">TGA!#REF!</definedName>
    <definedName name="tgaoverallpld">TGA!#REF!</definedName>
    <definedName name="tgaoverallptsag">TGA!#REF!</definedName>
    <definedName name="tgaoverallptsscored">TGA!#REF!</definedName>
    <definedName name="tgaoveralltriescon">TGA!#REF!</definedName>
    <definedName name="tgaoveralltriesscored">TGA!#REF!</definedName>
    <definedName name="tgaoveralltriesscoredcorr">TGA!#REF!</definedName>
    <definedName name="tgaoverallwon">TGA!#REF!</definedName>
    <definedName name="tgaovralltriesscoredcorrect">TGA!#REF!</definedName>
    <definedName name="tgapooldrawn">TGA!#REF!</definedName>
    <definedName name="tgapoollost">TGA!#REF!</definedName>
    <definedName name="tgapoolpld">TGA!#REF!</definedName>
    <definedName name="tgapoolptsag">TGA!#REF!</definedName>
    <definedName name="tgapoolptsscored">TGA!#REF!</definedName>
    <definedName name="tgapooltriescon">TGA!#REF!</definedName>
    <definedName name="tgapooltriesscored">TGA!#REF!</definedName>
    <definedName name="tgapoolwon">TGA!#REF!</definedName>
    <definedName name="tgared">TGA!#REF!</definedName>
    <definedName name="tgatb">TGA!#REF!</definedName>
    <definedName name="tgatbcon">TGA!#REF!</definedName>
    <definedName name="tgayellow">TGA!#REF!</definedName>
    <definedName name="Ton2019alltestsdrawn">TGA!$AA$17</definedName>
    <definedName name="Ton2019alltestslost">TGA!$AB$17</definedName>
    <definedName name="Ton2019alltestsplayed">TGA!$Y$17</definedName>
    <definedName name="Ton2019alltestsptscon">TGA!$G$17</definedName>
    <definedName name="Ton2019alltestsptsscored">TGA!$F$17</definedName>
    <definedName name="Ton2019allteststriescon">TGA!$R$17</definedName>
    <definedName name="Ton2019allteststriesscored">TGA!$J$17</definedName>
    <definedName name="Ton2019alltestswon">TGA!$Z$17</definedName>
    <definedName name="Ton2019pooldrawn">TGA!$AA$14</definedName>
    <definedName name="Ton2019poollbcon">TGA!$Q$14</definedName>
    <definedName name="Ton2019poollbscored">TGA!$I$14</definedName>
    <definedName name="Ton2019poollost">TGA!$AB$14</definedName>
    <definedName name="Ton2019poolplayed">TGA!$F$14</definedName>
    <definedName name="Ton2019poolplayedcorrect">TGA!$Y$14</definedName>
    <definedName name="Ton2019poolptscon">TGA!$G$14</definedName>
    <definedName name="Ton2019poolptsscored">TGA!$F$14</definedName>
    <definedName name="Ton2019poolrtbcon">TGA!$P$14</definedName>
    <definedName name="Ton2019pooltbscored">TGA!$H$14</definedName>
    <definedName name="Ton2019pooltriescon">TGA!$R$14</definedName>
    <definedName name="Ton2019pooltriesscored">TGA!$J$14</definedName>
    <definedName name="Ton2019poolwon">TGA!$Z$14</definedName>
    <definedName name="Ton2019RWCdrawn">TGA!$AA$16</definedName>
    <definedName name="Ton2019RWClost">TGA!$AB$16</definedName>
    <definedName name="Ton2019RWCplayed">TGA!$Y$16</definedName>
    <definedName name="Ton2019RWCptscon">TGA!$G$16</definedName>
    <definedName name="Ton2019RWCptsscored">TGA!$F$16</definedName>
    <definedName name="Ton2019RWCrc">TGA!$O$16</definedName>
    <definedName name="Ton2019RWCtriescon">TGA!$R$16</definedName>
    <definedName name="Ton2019RWCtriesscored">TGA!$J$16</definedName>
    <definedName name="Ton2019RWCwon">TGA!$Z$16</definedName>
    <definedName name="Ton2019RWCyc">TGA!$N$16</definedName>
    <definedName name="Tongaalltestshistdrawn">Sum!$E$20</definedName>
    <definedName name="Tongaalltestshistlost">Sum!$D$20</definedName>
    <definedName name="Tongaalltestshistplayed">Sum!$B$20</definedName>
    <definedName name="Tongaalltestshistptsagainst">Sum!$H$20</definedName>
    <definedName name="Tongaalltestshistptsscored">Sum!$G$20</definedName>
    <definedName name="Tongaalltestshisttriesscored">Sum!$I$20</definedName>
    <definedName name="Tongaalltestshistwon">Sum!$C$20</definedName>
    <definedName name="TongaRWChistdrawn">Sum!$E$48</definedName>
    <definedName name="TongaRWChistlost">Sum!$D$48</definedName>
    <definedName name="TongaRWChistplayed">Sum!$B$48</definedName>
    <definedName name="TongaRWChistptscon">Sum!$H$48</definedName>
    <definedName name="TongaRWChistptsscored">Sum!$G$48</definedName>
    <definedName name="TongaRWChisttriesscored">Sum!$I$48</definedName>
    <definedName name="TongaRWChistwon">Sum!$C$48</definedName>
    <definedName name="triesscored">ENG!#REF!</definedName>
    <definedName name="United_Statesalltestshistdrawn">Sum!$E$21</definedName>
    <definedName name="United_Statesalltestshistlost">Sum!$D$21</definedName>
    <definedName name="United_Statesalltestshistplayed">Sum!$B$21</definedName>
    <definedName name="United_Statesalltestshistptscon">Sum!$H$21</definedName>
    <definedName name="United_Statesalltestshistptsscored">Sum!$G$21</definedName>
    <definedName name="United_Statesalltestshisttriesscored">Sum!$I$21</definedName>
    <definedName name="United_Statesalltestshistwon">Sum!$C$21</definedName>
    <definedName name="United_StatesRWChistdrawn">Sum!$E$49</definedName>
    <definedName name="United_StatesRWChistlost">Sum!$D$49</definedName>
    <definedName name="United_StatesRWChistplayed">Sum!$B$49</definedName>
    <definedName name="United_StatesRWChistptscon">Sum!$H$49</definedName>
    <definedName name="United_StatesRWChistptsscored">Sum!$G$49</definedName>
    <definedName name="United_StatesRWChisttriesscored">Sum!$I$49</definedName>
    <definedName name="United_StatesRWChistwon">Sum!$C$49</definedName>
    <definedName name="Uru2019alltestsdrawn">URU!$AA$22</definedName>
    <definedName name="Uru2019alltestslost">URU!$AB$22</definedName>
    <definedName name="Uru2019alltestsplayed">URU!$F$22</definedName>
    <definedName name="Uru2019alltestsplayedcorrect">URU!$Y$22</definedName>
    <definedName name="Uru2019alltestsptscon">URU!$G$22</definedName>
    <definedName name="Uru2019alltestsptsscored">URU!$F$22</definedName>
    <definedName name="Uru2019allteststriescon">URU!$J$22</definedName>
    <definedName name="Uru2019allteststriesconcorrect">URU!$R$22</definedName>
    <definedName name="Uru2019allteststriesscored">URU!$J$22</definedName>
    <definedName name="Uru2019alltestswon">URU!$Z$22</definedName>
    <definedName name="Uru2019pooldrawn">URU!$AA$19</definedName>
    <definedName name="Uru2019poollbcon">URU!$Q$19</definedName>
    <definedName name="Uru2019poollbscored">URU!$I$19</definedName>
    <definedName name="Uru2019poollost">URU!$AB$19</definedName>
    <definedName name="Uru2019poolplayed">URU!$Y$19</definedName>
    <definedName name="Uru2019poolptsagainst">URU!$G$21</definedName>
    <definedName name="Uru2019poolptscon">URU!$G$19</definedName>
    <definedName name="Uru2019poolptsconcorrect">URU!$G$19</definedName>
    <definedName name="Uru2019poolptsscored">URU!$F$19</definedName>
    <definedName name="Uru2019pooltbcon">URU!$P$19</definedName>
    <definedName name="Uru2019pooltbscored">URU!$H$19</definedName>
    <definedName name="Uru2019pooltriescon">URU!$R$19</definedName>
    <definedName name="Uru2019pooltriesscored">URU!$J$19</definedName>
    <definedName name="uru2019poolwon">URU!$Z$19</definedName>
    <definedName name="Uru2019RWCdrawn">URU!$AA$21</definedName>
    <definedName name="Uru2019RWClostcorrect">URU!$AB$21</definedName>
    <definedName name="Uru2019RWCplayed">URU!$Y$21</definedName>
    <definedName name="Uru2019RWCptscon">URU!$G$21</definedName>
    <definedName name="Uru2019RWCptsscored">URU!$F$21</definedName>
    <definedName name="Uru2019RWCrc">URU!$O$21</definedName>
    <definedName name="Uru2019RWCtriescon">URU!$R$21</definedName>
    <definedName name="Uru2019RWCtriesscored">URU!$J$21</definedName>
    <definedName name="Uru2019RWCwon">URU!$Z$21</definedName>
    <definedName name="Uru2019RWCyc">URU!$N$21</definedName>
    <definedName name="Urualltestshistdrawn">Sum!$E$22</definedName>
    <definedName name="Urualltestshistlost">Sum!$D$22</definedName>
    <definedName name="Urualltestshistplayed">Sum!$B$22</definedName>
    <definedName name="Urualltestshistptscon">Sum!$H$22</definedName>
    <definedName name="Urualltestshistptsscored">Sum!$G$22</definedName>
    <definedName name="Urualltestshisttriesscored">Sum!$I$22</definedName>
    <definedName name="Urualltestshistwon">Sum!$C$22</definedName>
    <definedName name="urulb">URU!#REF!</definedName>
    <definedName name="urulbcon">URU!#REF!</definedName>
    <definedName name="uruoveralldrawn">URU!#REF!</definedName>
    <definedName name="uruoveralllost">URU!#REF!</definedName>
    <definedName name="uruoverallpld">URU!#REF!</definedName>
    <definedName name="uruoverallptsag">URU!#REF!</definedName>
    <definedName name="uruoverallptsscored">URU!#REF!</definedName>
    <definedName name="uruoveralltriescon">URU!#REF!</definedName>
    <definedName name="uruoveralltriesscored">URU!#REF!</definedName>
    <definedName name="uruoverallwon">URU!#REF!</definedName>
    <definedName name="urupooldrawn">URU!#REF!</definedName>
    <definedName name="urupoollost">URU!#REF!</definedName>
    <definedName name="urupoolpld">URU!#REF!</definedName>
    <definedName name="urupoolptsag">URU!#REF!</definedName>
    <definedName name="urupoolptsscored">URU!#REF!</definedName>
    <definedName name="urupooltriesscored">URU!#REF!</definedName>
    <definedName name="urupoolwon">URU!#REF!</definedName>
    <definedName name="urured">URU!#REF!</definedName>
    <definedName name="UruRWChistdrawn">Sum!$E$50</definedName>
    <definedName name="UruRWChistlost">Sum!$D$50</definedName>
    <definedName name="UruRWChistplayed">Sum!$B$50</definedName>
    <definedName name="UruRWChistptscon">Sum!$H$50</definedName>
    <definedName name="UruRWChistptsscored">Sum!$G$50</definedName>
    <definedName name="UruRWChisttriesscored">Sum!$I$50</definedName>
    <definedName name="UruRWChistwon">Sum!$C$50</definedName>
    <definedName name="urutb">URU!#REF!</definedName>
    <definedName name="urutbcon">URU!#REF!</definedName>
    <definedName name="urutriescon">URU!#REF!</definedName>
    <definedName name="uruyellow">URU!#REF!</definedName>
    <definedName name="USA2019alltestsdrawn">USA!$AA$21</definedName>
    <definedName name="USA2019alltestslost">USA!$AB$21</definedName>
    <definedName name="USA2019alltestsplayed">USA!$Y$21</definedName>
    <definedName name="USA2019alltestsptscon">USA!$G$21</definedName>
    <definedName name="USA2019alltestsptsscored">USA!$F$21</definedName>
    <definedName name="USA2019allteststriescon">USA!$R$21</definedName>
    <definedName name="USA2019allteststriesscored">USA!$J$21</definedName>
    <definedName name="USA2019alltestswon">USA!$Z$21</definedName>
    <definedName name="USA2019pooldrawn">USA!$AA$18</definedName>
    <definedName name="USA2019poollbcon">USA!$Q$18</definedName>
    <definedName name="USA2019poollbscored">USA!$I$18</definedName>
    <definedName name="USA2019poollost">USA!$AB$18</definedName>
    <definedName name="USA2019poolplayed">USA!$Y$18</definedName>
    <definedName name="USA2019poolptscon">USA!$G$18</definedName>
    <definedName name="USA2019poolptsscored">USA!$F$18</definedName>
    <definedName name="USA2019pooltbcon">USA!$P$18</definedName>
    <definedName name="USA2019pooltbscored">USA!$H$18</definedName>
    <definedName name="USA2019pooltriescon">USA!$R$18</definedName>
    <definedName name="USA2019pooltriesscored">USA!$J$18</definedName>
    <definedName name="USA2019poolwon">USA!$Z$18</definedName>
    <definedName name="USA2019RWCdrawn">USA!$AA$20</definedName>
    <definedName name="USA2019RWClost">USA!$AB$20</definedName>
    <definedName name="USA2019RWCplayed">USA!$Y$20</definedName>
    <definedName name="USA2019RWCptscon">USA!$G$20</definedName>
    <definedName name="USA2019RWCptsscored">USA!$F$20</definedName>
    <definedName name="USA2019RWCrc">USA!$O$20</definedName>
    <definedName name="USA2019RWCtriescon">USA!$R$20</definedName>
    <definedName name="USA2019RWCtriesscored">USA!$J$20</definedName>
    <definedName name="USA2019RWCwon">USA!$Z$20</definedName>
    <definedName name="USA2019RWCyc">USA!$N$20</definedName>
    <definedName name="usalb">USA!#REF!</definedName>
    <definedName name="usalbcon">USA!#REF!</definedName>
    <definedName name="usaoveralldrawn">USA!#REF!</definedName>
    <definedName name="usaoveralllost">USA!#REF!</definedName>
    <definedName name="usaoverallpld">USA!#REF!</definedName>
    <definedName name="usaoverallptsag">USA!#REF!</definedName>
    <definedName name="usaoverallptsscored">USA!#REF!</definedName>
    <definedName name="usaoveralltriescon">USA!#REF!</definedName>
    <definedName name="usaoveralltriesscored">USA!#REF!</definedName>
    <definedName name="usaoverallwon">USA!#REF!</definedName>
    <definedName name="usapooldrawn">USA!#REF!</definedName>
    <definedName name="usapoollost">USA!#REF!</definedName>
    <definedName name="usapoolpld">USA!#REF!</definedName>
    <definedName name="usapoolptsag">USA!#REF!</definedName>
    <definedName name="usapoolptsscored">USA!#REF!</definedName>
    <definedName name="usapooltriescon">USA!#REF!</definedName>
    <definedName name="usapooltriesscored">USA!#REF!</definedName>
    <definedName name="usapoolwon">USA!#REF!</definedName>
    <definedName name="usared">USA!#REF!</definedName>
    <definedName name="usatb">USA!#REF!</definedName>
    <definedName name="usatbcon">USA!#REF!</definedName>
    <definedName name="usayellow">USA!#REF!</definedName>
    <definedName name="vdrawn">FIJ!$AA$15</definedName>
    <definedName name="vlost">SCO!$AB$18</definedName>
    <definedName name="vrc">SAM!$O$15</definedName>
    <definedName name="vtriesscored">Sum!$I$17</definedName>
    <definedName name="vwon">URU!$Z$19</definedName>
    <definedName name="Wal2019alltestsdrawn">WAL!$AA$24</definedName>
    <definedName name="Wal2019alltestslostcorrect">WAL!$AB$24</definedName>
    <definedName name="Wal2019alltestsplayed">WAL!$Y$24</definedName>
    <definedName name="Wal2019alltestsptscon">WAL!$G$24</definedName>
    <definedName name="Wal2019alltestsptsscored">WAL!$F$24</definedName>
    <definedName name="Wal2019allteststriescon">WAL!$R$24</definedName>
    <definedName name="Wal2019allteststriesscored">WAL!$J$24</definedName>
    <definedName name="Wal2019alltestswon">WAL!$Z$24</definedName>
    <definedName name="Wal2019pooldrawn">WAL!$AA$21</definedName>
    <definedName name="Wal2019poollbcon">WAL!$Q$21</definedName>
    <definedName name="Wal2019poollbscored">WAL!$I$21</definedName>
    <definedName name="Wal2019poollostcorrect">WAL!$AB$21</definedName>
    <definedName name="Wal2019poolplayed">WAL!$Y$21</definedName>
    <definedName name="Wal2019poolptscon">WAL!$G$21</definedName>
    <definedName name="Wal2019poolptsscored">WAL!$F$21</definedName>
    <definedName name="Wal2019pooltbcon">WAL!$P$21</definedName>
    <definedName name="Wal2019pooltbscored">WAL!$H$21</definedName>
    <definedName name="Wal2019pooltriescon">WAL!$R$21</definedName>
    <definedName name="Wal2019pooltriesscored">WAL!$J$21</definedName>
    <definedName name="Wal2019poolwon">WAL!$Z$21</definedName>
    <definedName name="Wal2019RWCdrawn">WAL!$AA$23</definedName>
    <definedName name="Wal2019RWClost">WAL!$AB$23</definedName>
    <definedName name="Wal2019RWCplayed">WAL!$Y$23</definedName>
    <definedName name="Wal2019RWCptscon">WAL!$G$23</definedName>
    <definedName name="Wal2019RWCptsscored">WAL!$F$23</definedName>
    <definedName name="Wal2019RWCrc">WAL!$O$23</definedName>
    <definedName name="Wal2019RWCtriescon">WAL!$R$23</definedName>
    <definedName name="Wal2019RWCtriesscored">WAL!$J$23</definedName>
    <definedName name="Wal2019RWCwon">WAL!$Z$23</definedName>
    <definedName name="Wal2019RWCyc">WAL!$N$23</definedName>
    <definedName name="Walesalltestshistdrawn">Sum!$E$23</definedName>
    <definedName name="Walesalltestshistlost">Sum!$D$23</definedName>
    <definedName name="Walesalltestshistplayed">Sum!$B$23</definedName>
    <definedName name="Walesalltestshistptscon">Sum!$H$23</definedName>
    <definedName name="Walesalltestshistptsscored">Sum!$G$23</definedName>
    <definedName name="Walesalltestshisttriesscored">Sum!$I$23</definedName>
    <definedName name="Walesalltestshistwon">Sum!$C$23</definedName>
    <definedName name="Walesdrawn">WAL!$AA$19</definedName>
    <definedName name="Waleslosingbonus">WAL!$I$19</definedName>
    <definedName name="Waleslost">WAL!$AB$19</definedName>
    <definedName name="Walesplayed">WAL!$Y$19</definedName>
    <definedName name="Walesptsagainst">WAL!$G$19</definedName>
    <definedName name="Walesptsscored">WAL!$F$19</definedName>
    <definedName name="Walesred">WAL!$O$19</definedName>
    <definedName name="WalesRWChistdrawn">Sum!$E$51</definedName>
    <definedName name="WalesRWChistlost">Sum!$D$51</definedName>
    <definedName name="WalesRWChistplayed">Sum!$B$51</definedName>
    <definedName name="WalesRWChistptscon">Sum!$H$51</definedName>
    <definedName name="WalesRWChistptsscored">Sum!$G$51</definedName>
    <definedName name="WalesRWChisttriesscored">Sum!$I$51</definedName>
    <definedName name="WalesRWChistwon">Sum!$C$51</definedName>
    <definedName name="Walestriesagainst">WAL!$R$19</definedName>
    <definedName name="Walestriesscored">WAL!$J$19</definedName>
    <definedName name="Walestrybonus">WAL!$H$19</definedName>
    <definedName name="Waleswon">WAL!$Z$19</definedName>
    <definedName name="Walesyellow">WAL!$N$19</definedName>
    <definedName name="wallb">WAL!#REF!</definedName>
    <definedName name="wallbcon">WAL!#REF!</definedName>
    <definedName name="waloveralldrawn">WAL!#REF!</definedName>
    <definedName name="waloveralllost">WAL!#REF!</definedName>
    <definedName name="waloverallpld">WAL!#REF!</definedName>
    <definedName name="waloverallptsscored">WAL!#REF!</definedName>
    <definedName name="waloveralltriescon">WAL!#REF!</definedName>
    <definedName name="waloveralltriesconcorr">WAL!#REF!</definedName>
    <definedName name="waloveralltriesscored">WAL!#REF!</definedName>
    <definedName name="waloverallwon">WAL!#REF!</definedName>
    <definedName name="walpooldrawn">WAL!#REF!</definedName>
    <definedName name="walpoollost">WAL!#REF!</definedName>
    <definedName name="walpoolpld">WAL!#REF!</definedName>
    <definedName name="walpoolptsag">WAL!#REF!</definedName>
    <definedName name="walpoolptsscored">WAL!#REF!</definedName>
    <definedName name="walpooltriescon">WAL!#REF!</definedName>
    <definedName name="walpooltriesscored">WAL!#REF!</definedName>
    <definedName name="walpoolwon">WAL!#REF!</definedName>
    <definedName name="walred">WAL!#REF!</definedName>
    <definedName name="walredcorr">WAL!#REF!</definedName>
    <definedName name="waltb">WAL!#REF!</definedName>
    <definedName name="waltbcon">WAL!#REF!</definedName>
    <definedName name="walyellow">WAL!#REF!</definedName>
    <definedName name="walyellowcorr">WAL!#REF!</definedName>
    <definedName name="waspsbonus">NZL!#REF!</definedName>
    <definedName name="waspsconceded">NZL!#REF!</definedName>
    <definedName name="waspsdrawn">NZL!#REF!</definedName>
    <definedName name="waspsdrawncorrect">NZL!#REF!</definedName>
    <definedName name="waspslosingbonus">NZL!#REF!</definedName>
    <definedName name="waspslosingbonusconceded">NZL!#REF!</definedName>
    <definedName name="waspslost">NZL!#REF!</definedName>
    <definedName name="waspsplayed">NZL!#REF!</definedName>
    <definedName name="waspspremred">[2]WAS!$O$40</definedName>
    <definedName name="Waspspremtotalsdgs">[1]WAS!$L$37</definedName>
    <definedName name="waspspremtotalsdrawn">[1]WAS!$AA$37</definedName>
    <definedName name="Waspspremtotalslost">[1]WAS!$AB$37</definedName>
    <definedName name="Waspspremtotalsplayed">[1]WAS!$Y$37</definedName>
    <definedName name="Waspspremtotalsptsagainst">[1]WAS!$G$37</definedName>
    <definedName name="Waspspremtotalsptsscored">[1]WAS!$F$37</definedName>
    <definedName name="Waspspremtotalsrc">[1]WAS!$O$37</definedName>
    <definedName name="Waspspremtotalstriesconceded">[1]WAS!$R$37</definedName>
    <definedName name="Waspspremtotalstriesscored">[1]WAS!$J$37</definedName>
    <definedName name="Waspspremtotalswon">[1]WAS!$Z$37</definedName>
    <definedName name="Waspspremtotalsyc">[1]WAS!$N$37</definedName>
    <definedName name="waspspremtrybonusconc">[1]WAS!$P$35</definedName>
    <definedName name="waspspremtrybonusscored">[1]WAS!$H$35</definedName>
    <definedName name="waspspremyellow">[2]WAS!$N$40</definedName>
    <definedName name="waspsred">NZL!#REF!</definedName>
    <definedName name="waspsscored">NZL!#REF!</definedName>
    <definedName name="waspstriesconceded">NZL!#REF!</definedName>
    <definedName name="waspstriesscored">NZL!#REF!</definedName>
    <definedName name="waspstrybonus">NZL!#REF!</definedName>
    <definedName name="waspstrybonusconceded">NZL!#REF!</definedName>
    <definedName name="waspswon">NZL!#REF!</definedName>
    <definedName name="waspsyellow">NZL!#REF!</definedName>
    <definedName name="welshlosingbonus">GEO!#REF!</definedName>
    <definedName name="welshtrybonus">GEO!#REF!</definedName>
    <definedName name="worbonus">GEO!#REF!</definedName>
    <definedName name="worcester201314triesagainst">GEO!#REF!</definedName>
    <definedName name="worcesterpremred">[2]WOR!$O$35</definedName>
    <definedName name="worcesterpremseasontotalsdgs">[1]WOR!$L$39</definedName>
    <definedName name="worcesterpremseasontotalsdrawn">[1]WOR!$AA$39</definedName>
    <definedName name="worcesterpremseasontotalslost">[1]WOR!$AB$39</definedName>
    <definedName name="worcesterpremseasontotalsplayed">[1]WOR!$Y$39</definedName>
    <definedName name="worcesterpremseasontotalsptsagainst">[1]WOR!$G$39</definedName>
    <definedName name="worcesterpremseasontotalsptsscored">[1]WOR!$F$39</definedName>
    <definedName name="worcesterpremseasontotalsRC">[1]WOR!$O$39</definedName>
    <definedName name="worcesterpremseasontotalstriesconceded">[1]WOR!$R$39</definedName>
    <definedName name="worcesterpremseasontotalstriesscoredcorrect">[1]WOR!$J$39</definedName>
    <definedName name="worcesterpremseasontotalswon">[1]WOR!$Z$39</definedName>
    <definedName name="worcesterpremseasontotalsYC">[1]WOR!$N$39</definedName>
    <definedName name="worcesterpremtrybonusconc">[1]WOR!$P$37</definedName>
    <definedName name="worcesterpremtrybonusscored">[1]WOR!$H$37</definedName>
    <definedName name="worcesterpremyellow">[2]WOR!$N$35</definedName>
    <definedName name="worcestertriesscored">GEO!#REF!</definedName>
    <definedName name="worconceded">GEO!#REF!</definedName>
    <definedName name="wordrawn">GEO!#REF!</definedName>
    <definedName name="worlosingbonus">GEO!#REF!</definedName>
    <definedName name="worlosingbonusconceded">GEO!#REF!</definedName>
    <definedName name="worlost">GEO!#REF!</definedName>
    <definedName name="worplayed">GEO!#REF!</definedName>
    <definedName name="worred">GEO!#REF!</definedName>
    <definedName name="worscored">GEO!#REF!</definedName>
    <definedName name="wortriesconceded">GEO!#REF!</definedName>
    <definedName name="wortriesscored">GEO!#REF!</definedName>
    <definedName name="wortrybonus">GEO!#REF!</definedName>
    <definedName name="wortrybonusconceded">GEO!#REF!</definedName>
    <definedName name="worwon">GEO!#REF!</definedName>
    <definedName name="woryellow">GEO!#REF!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17" i="16" l="1"/>
  <c r="AM17" i="16"/>
  <c r="AL17" i="16"/>
  <c r="AK17" i="16"/>
  <c r="AJ17" i="16"/>
  <c r="AI17" i="16"/>
  <c r="AH17" i="16"/>
  <c r="AG17" i="16"/>
  <c r="AF17" i="16"/>
  <c r="AE17" i="16"/>
  <c r="AD17" i="16"/>
  <c r="AC17" i="16"/>
  <c r="AB17" i="16"/>
  <c r="AA17" i="16"/>
  <c r="Z17" i="16"/>
  <c r="Y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B19" i="11"/>
  <c r="AA19" i="11"/>
  <c r="Z19" i="11"/>
  <c r="Y19" i="11"/>
  <c r="R19" i="11"/>
  <c r="Q19" i="11"/>
  <c r="P19" i="11"/>
  <c r="O19" i="11"/>
  <c r="N19" i="11"/>
  <c r="M19" i="11"/>
  <c r="L19" i="11"/>
  <c r="K19" i="11"/>
  <c r="I19" i="11"/>
  <c r="H19" i="11"/>
  <c r="G19" i="11"/>
  <c r="F19" i="11"/>
  <c r="J19" i="11"/>
  <c r="J33" i="41" l="1"/>
  <c r="AB18" i="15"/>
  <c r="R22" i="11"/>
  <c r="J22" i="11"/>
  <c r="AN9" i="35"/>
  <c r="AM9" i="35"/>
  <c r="AL9" i="35"/>
  <c r="AK9" i="35"/>
  <c r="AJ9" i="35"/>
  <c r="AI9" i="35"/>
  <c r="AH9" i="35"/>
  <c r="AG9" i="35"/>
  <c r="AF9" i="35"/>
  <c r="AE9" i="35"/>
  <c r="AD9" i="35"/>
  <c r="AC9" i="35"/>
  <c r="AB9" i="35"/>
  <c r="AA9" i="35"/>
  <c r="Z9" i="35"/>
  <c r="Y9" i="35"/>
  <c r="R9" i="35"/>
  <c r="Q9" i="35"/>
  <c r="P9" i="35"/>
  <c r="O9" i="35"/>
  <c r="N9" i="35"/>
  <c r="M9" i="35"/>
  <c r="L9" i="35"/>
  <c r="K9" i="35"/>
  <c r="J9" i="35"/>
  <c r="I9" i="35"/>
  <c r="H9" i="35"/>
  <c r="G9" i="35"/>
  <c r="F9" i="35"/>
  <c r="P23" i="39"/>
  <c r="N23" i="39"/>
  <c r="M23" i="39"/>
  <c r="L23" i="39"/>
  <c r="K23" i="39"/>
  <c r="J23" i="39"/>
  <c r="I23" i="39"/>
  <c r="N52" i="39"/>
  <c r="M52" i="39"/>
  <c r="L52" i="39"/>
  <c r="K52" i="39"/>
  <c r="J52" i="39"/>
  <c r="I52" i="39"/>
  <c r="AN17" i="29"/>
  <c r="AM17" i="29"/>
  <c r="AL17" i="29"/>
  <c r="AK17" i="29"/>
  <c r="AJ17" i="29"/>
  <c r="AI17" i="29"/>
  <c r="AH17" i="29"/>
  <c r="AG17" i="29"/>
  <c r="AF17" i="29"/>
  <c r="AE17" i="29"/>
  <c r="AD17" i="29"/>
  <c r="AC17" i="29"/>
  <c r="AB17" i="29"/>
  <c r="AA17" i="29"/>
  <c r="Z17" i="29"/>
  <c r="Y17" i="29"/>
  <c r="R17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AN19" i="30"/>
  <c r="AM19" i="30"/>
  <c r="AL19" i="30"/>
  <c r="AK19" i="30"/>
  <c r="AJ19" i="30"/>
  <c r="AI19" i="30"/>
  <c r="AH19" i="30"/>
  <c r="AG19" i="30"/>
  <c r="AF19" i="30"/>
  <c r="AE19" i="30"/>
  <c r="AD19" i="30"/>
  <c r="AC19" i="30"/>
  <c r="AB19" i="30"/>
  <c r="AA19" i="30"/>
  <c r="Z19" i="30"/>
  <c r="Y19" i="30"/>
  <c r="R19" i="30"/>
  <c r="Q19" i="30"/>
  <c r="P19" i="30"/>
  <c r="O19" i="30"/>
  <c r="N19" i="30"/>
  <c r="M19" i="30"/>
  <c r="L19" i="30"/>
  <c r="K19" i="30"/>
  <c r="J19" i="30"/>
  <c r="I19" i="30"/>
  <c r="H19" i="30"/>
  <c r="G19" i="30"/>
  <c r="F19" i="30"/>
  <c r="AN16" i="15"/>
  <c r="AM16" i="15"/>
  <c r="AL16" i="15"/>
  <c r="AK16" i="15"/>
  <c r="AJ16" i="15"/>
  <c r="AI16" i="15"/>
  <c r="AH16" i="15"/>
  <c r="AG16" i="15"/>
  <c r="AF16" i="15"/>
  <c r="AE16" i="15"/>
  <c r="AD16" i="15"/>
  <c r="AC16" i="15"/>
  <c r="AB16" i="15"/>
  <c r="AA16" i="15"/>
  <c r="Z16" i="15"/>
  <c r="Y16" i="15"/>
  <c r="R16" i="15"/>
  <c r="O16" i="15"/>
  <c r="N16" i="15"/>
  <c r="M16" i="15"/>
  <c r="L16" i="15"/>
  <c r="K16" i="15"/>
  <c r="J16" i="15"/>
  <c r="G16" i="15"/>
  <c r="F16" i="15"/>
  <c r="AN15" i="15"/>
  <c r="AM15" i="15"/>
  <c r="AL15" i="15"/>
  <c r="AK15" i="15"/>
  <c r="AJ15" i="15"/>
  <c r="AI15" i="15"/>
  <c r="AH15" i="15"/>
  <c r="AG15" i="15"/>
  <c r="AF15" i="15"/>
  <c r="AE15" i="15"/>
  <c r="AD15" i="15"/>
  <c r="AC15" i="15"/>
  <c r="AB15" i="15"/>
  <c r="AA15" i="15"/>
  <c r="Z15" i="15"/>
  <c r="Y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AN18" i="29"/>
  <c r="AM18" i="29"/>
  <c r="AL18" i="29"/>
  <c r="AK18" i="29"/>
  <c r="AJ18" i="29"/>
  <c r="AI18" i="29"/>
  <c r="AH18" i="29"/>
  <c r="AG18" i="29"/>
  <c r="AF18" i="29"/>
  <c r="AE18" i="29"/>
  <c r="AD18" i="29"/>
  <c r="AC18" i="29"/>
  <c r="AB18" i="29"/>
  <c r="AA18" i="29"/>
  <c r="Z18" i="29"/>
  <c r="Y18" i="29"/>
  <c r="R18" i="29"/>
  <c r="O18" i="29"/>
  <c r="N18" i="29"/>
  <c r="M18" i="29"/>
  <c r="L18" i="29"/>
  <c r="K18" i="29"/>
  <c r="J18" i="29"/>
  <c r="G18" i="29"/>
  <c r="F18" i="29"/>
  <c r="AN14" i="20"/>
  <c r="AM14" i="20"/>
  <c r="AL14" i="20"/>
  <c r="AK14" i="20"/>
  <c r="AJ14" i="20"/>
  <c r="AI14" i="20"/>
  <c r="AH14" i="20"/>
  <c r="AG14" i="20"/>
  <c r="AF14" i="20"/>
  <c r="AE14" i="20"/>
  <c r="AD14" i="20"/>
  <c r="AC14" i="20"/>
  <c r="AB14" i="20"/>
  <c r="AA14" i="20"/>
  <c r="Z14" i="20"/>
  <c r="Y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AN16" i="25"/>
  <c r="AM16" i="25"/>
  <c r="AL16" i="25"/>
  <c r="AK16" i="25"/>
  <c r="AJ16" i="25"/>
  <c r="AI16" i="25"/>
  <c r="AH16" i="25"/>
  <c r="AG16" i="25"/>
  <c r="AF16" i="25"/>
  <c r="AE16" i="25"/>
  <c r="AD16" i="25"/>
  <c r="AC16" i="25"/>
  <c r="AB16" i="25"/>
  <c r="AA16" i="25"/>
  <c r="Z16" i="25"/>
  <c r="Y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AN17" i="36"/>
  <c r="AM17" i="36"/>
  <c r="AL17" i="36"/>
  <c r="AK17" i="36"/>
  <c r="AJ17" i="36"/>
  <c r="AI17" i="36"/>
  <c r="AH17" i="36"/>
  <c r="AG17" i="36"/>
  <c r="AF17" i="36"/>
  <c r="AE17" i="36"/>
  <c r="AD17" i="36"/>
  <c r="AC17" i="36"/>
  <c r="AB17" i="36"/>
  <c r="AA17" i="36"/>
  <c r="Z17" i="36"/>
  <c r="Y17" i="36"/>
  <c r="R17" i="36"/>
  <c r="O17" i="36"/>
  <c r="N17" i="36"/>
  <c r="M17" i="36"/>
  <c r="L17" i="36"/>
  <c r="K17" i="36"/>
  <c r="J17" i="36"/>
  <c r="G17" i="36"/>
  <c r="F17" i="36"/>
  <c r="AN16" i="13"/>
  <c r="AM16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Y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F16" i="25"/>
  <c r="AN12" i="27"/>
  <c r="AM12" i="27"/>
  <c r="AL12" i="27"/>
  <c r="AK12" i="27"/>
  <c r="AJ12" i="27"/>
  <c r="AI12" i="27"/>
  <c r="AH12" i="27"/>
  <c r="AG12" i="27"/>
  <c r="AF12" i="27"/>
  <c r="AE12" i="27"/>
  <c r="AD12" i="27"/>
  <c r="AC12" i="27"/>
  <c r="AB12" i="27"/>
  <c r="AA12" i="27"/>
  <c r="Z12" i="27"/>
  <c r="Y12" i="27"/>
  <c r="R12" i="27"/>
  <c r="Q12" i="27"/>
  <c r="P12" i="27"/>
  <c r="O12" i="27"/>
  <c r="N12" i="27"/>
  <c r="M12" i="27"/>
  <c r="L12" i="27"/>
  <c r="K12" i="27"/>
  <c r="J12" i="27"/>
  <c r="I12" i="27"/>
  <c r="H12" i="27"/>
  <c r="G12" i="27"/>
  <c r="F12" i="27"/>
  <c r="AN15" i="28"/>
  <c r="AM15" i="28"/>
  <c r="AL15" i="28"/>
  <c r="AK15" i="28"/>
  <c r="AJ15" i="28"/>
  <c r="AI15" i="28"/>
  <c r="AH15" i="28"/>
  <c r="AG15" i="28"/>
  <c r="AF15" i="28"/>
  <c r="AE15" i="28"/>
  <c r="AD15" i="28"/>
  <c r="AC15" i="28"/>
  <c r="AB15" i="28"/>
  <c r="AA15" i="28"/>
  <c r="Z15" i="28"/>
  <c r="Y15" i="28"/>
  <c r="R15" i="28"/>
  <c r="Q15" i="28"/>
  <c r="P15" i="28"/>
  <c r="O15" i="28"/>
  <c r="N15" i="28"/>
  <c r="M15" i="28"/>
  <c r="L15" i="28"/>
  <c r="K15" i="28"/>
  <c r="J15" i="28"/>
  <c r="I15" i="28"/>
  <c r="H15" i="28"/>
  <c r="G15" i="28"/>
  <c r="F15" i="28"/>
  <c r="AN15" i="14"/>
  <c r="AM15" i="14"/>
  <c r="AL15" i="14"/>
  <c r="AK15" i="14"/>
  <c r="AJ15" i="14"/>
  <c r="AI15" i="14"/>
  <c r="AH15" i="14"/>
  <c r="AG15" i="14"/>
  <c r="AF15" i="14"/>
  <c r="AE15" i="14"/>
  <c r="AD15" i="14"/>
  <c r="AC15" i="14"/>
  <c r="AB15" i="14"/>
  <c r="AA15" i="14"/>
  <c r="Z15" i="14"/>
  <c r="Y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J51" i="41"/>
  <c r="AN22" i="30"/>
  <c r="AM22" i="30"/>
  <c r="AM23" i="30" s="1"/>
  <c r="AL22" i="30"/>
  <c r="AK22" i="30"/>
  <c r="AJ22" i="30"/>
  <c r="AI22" i="30"/>
  <c r="AH22" i="30"/>
  <c r="AG22" i="30"/>
  <c r="AF22" i="30"/>
  <c r="AE22" i="30"/>
  <c r="AE23" i="30" s="1"/>
  <c r="AD22" i="30"/>
  <c r="AC22" i="30"/>
  <c r="AB22" i="30"/>
  <c r="AA22" i="30"/>
  <c r="Z22" i="30"/>
  <c r="Y22" i="30"/>
  <c r="R22" i="30"/>
  <c r="O22" i="30"/>
  <c r="N22" i="30"/>
  <c r="M22" i="30"/>
  <c r="L22" i="30"/>
  <c r="K22" i="30"/>
  <c r="K23" i="30" s="1"/>
  <c r="J22" i="30"/>
  <c r="G22" i="30"/>
  <c r="F22" i="30"/>
  <c r="AN21" i="30"/>
  <c r="AN23" i="30" s="1"/>
  <c r="AM21" i="30"/>
  <c r="AL21" i="30"/>
  <c r="AL23" i="30" s="1"/>
  <c r="AK21" i="30"/>
  <c r="AK23" i="30" s="1"/>
  <c r="AJ21" i="30"/>
  <c r="AI21" i="30"/>
  <c r="AH21" i="30"/>
  <c r="AH23" i="30" s="1"/>
  <c r="AG21" i="30"/>
  <c r="AF21" i="30"/>
  <c r="AF23" i="30" s="1"/>
  <c r="AE21" i="30"/>
  <c r="AD21" i="30"/>
  <c r="AC21" i="30"/>
  <c r="AC23" i="30" s="1"/>
  <c r="AB21" i="30"/>
  <c r="E72" i="37" s="1"/>
  <c r="AA21" i="30"/>
  <c r="D72" i="37" s="1"/>
  <c r="Z21" i="30"/>
  <c r="Y21" i="30"/>
  <c r="R21" i="30"/>
  <c r="J72" i="37"/>
  <c r="Q21" i="30"/>
  <c r="Q23" i="30"/>
  <c r="P21" i="30"/>
  <c r="P23" i="30"/>
  <c r="O21" i="30"/>
  <c r="O23" i="30"/>
  <c r="N21" i="30"/>
  <c r="N23" i="30" s="1"/>
  <c r="M21" i="30"/>
  <c r="L21" i="30"/>
  <c r="L23" i="30" s="1"/>
  <c r="K21" i="30"/>
  <c r="J21" i="30"/>
  <c r="J23" i="30" s="1"/>
  <c r="B5" i="40" s="1"/>
  <c r="I21" i="30"/>
  <c r="I23" i="30" s="1"/>
  <c r="H21" i="30"/>
  <c r="G21" i="30"/>
  <c r="G23" i="30" s="1"/>
  <c r="F21" i="30"/>
  <c r="F72" i="37"/>
  <c r="J50" i="41"/>
  <c r="AN22" i="29"/>
  <c r="AM22" i="29"/>
  <c r="AL22" i="29"/>
  <c r="AK22" i="29"/>
  <c r="AJ22" i="29"/>
  <c r="AI22" i="29"/>
  <c r="AH22" i="29"/>
  <c r="AG22" i="29"/>
  <c r="AF22" i="29"/>
  <c r="AE22" i="29"/>
  <c r="AD22" i="29"/>
  <c r="AC22" i="29"/>
  <c r="AB22" i="29"/>
  <c r="D22" i="41" s="1"/>
  <c r="AQ6" i="29" s="1"/>
  <c r="AA22" i="29"/>
  <c r="E22" i="41"/>
  <c r="AQ5" i="29" s="1"/>
  <c r="Z22" i="29"/>
  <c r="C22" i="41" s="1"/>
  <c r="AQ4" i="29" s="1"/>
  <c r="Y22" i="29"/>
  <c r="B22" i="41"/>
  <c r="AQ3" i="29" s="1"/>
  <c r="R22" i="29"/>
  <c r="Q22" i="29"/>
  <c r="P22" i="29"/>
  <c r="O22" i="29"/>
  <c r="N22" i="29"/>
  <c r="M22" i="29"/>
  <c r="L22" i="29"/>
  <c r="K22" i="29"/>
  <c r="J22" i="29"/>
  <c r="I22" i="41" s="1"/>
  <c r="AQ9" i="29" s="1"/>
  <c r="I22" i="29"/>
  <c r="H22" i="29"/>
  <c r="G22" i="29"/>
  <c r="H22" i="41"/>
  <c r="AQ8" i="29" s="1"/>
  <c r="F22" i="29"/>
  <c r="G22" i="41" s="1"/>
  <c r="AQ7" i="29"/>
  <c r="AN19" i="29"/>
  <c r="AM19" i="29"/>
  <c r="AL19" i="29"/>
  <c r="AK19" i="29"/>
  <c r="AK21" i="29" s="1"/>
  <c r="AJ19" i="29"/>
  <c r="AI19" i="29"/>
  <c r="AH19" i="29"/>
  <c r="AH21" i="29" s="1"/>
  <c r="AG19" i="29"/>
  <c r="AG21" i="29"/>
  <c r="AF19" i="29"/>
  <c r="AE19" i="29"/>
  <c r="AD19" i="29"/>
  <c r="AC19" i="29"/>
  <c r="AC21" i="29" s="1"/>
  <c r="AB19" i="29"/>
  <c r="E76" i="37" s="1"/>
  <c r="AA19" i="29"/>
  <c r="Z19" i="29"/>
  <c r="Z21" i="29" s="1"/>
  <c r="Y19" i="29"/>
  <c r="B76" i="37"/>
  <c r="R19" i="29"/>
  <c r="J76" i="37"/>
  <c r="Q19" i="29"/>
  <c r="Q21" i="29"/>
  <c r="P19" i="29"/>
  <c r="P21" i="29"/>
  <c r="O19" i="29"/>
  <c r="N19" i="29"/>
  <c r="N21" i="29" s="1"/>
  <c r="M19" i="29"/>
  <c r="M21" i="29"/>
  <c r="L19" i="29"/>
  <c r="K19" i="29"/>
  <c r="J19" i="29"/>
  <c r="I76" i="37"/>
  <c r="I19" i="29"/>
  <c r="I21" i="29"/>
  <c r="H19" i="29"/>
  <c r="H21" i="29"/>
  <c r="G19" i="29"/>
  <c r="G76" i="37"/>
  <c r="F19" i="29"/>
  <c r="F76" i="37"/>
  <c r="J49" i="41"/>
  <c r="AN21" i="28"/>
  <c r="AN18" i="28"/>
  <c r="AN20" i="28"/>
  <c r="AM18" i="28"/>
  <c r="AM20" i="28"/>
  <c r="AL18" i="28"/>
  <c r="AL20" i="28"/>
  <c r="AK18" i="28"/>
  <c r="AJ18" i="28"/>
  <c r="AJ20" i="28" s="1"/>
  <c r="AI18" i="28"/>
  <c r="AI20" i="28"/>
  <c r="AH18" i="28"/>
  <c r="AH20" i="28"/>
  <c r="AG18" i="28"/>
  <c r="AF18" i="28"/>
  <c r="AE18" i="28"/>
  <c r="AE20" i="28"/>
  <c r="AD18" i="28"/>
  <c r="AD20" i="28"/>
  <c r="AC18" i="28"/>
  <c r="AB18" i="28"/>
  <c r="AA18" i="28"/>
  <c r="Z18" i="28"/>
  <c r="C57" i="37" s="1"/>
  <c r="Y18" i="28"/>
  <c r="R18" i="28"/>
  <c r="Q18" i="28"/>
  <c r="Q20" i="28" s="1"/>
  <c r="P18" i="28"/>
  <c r="O18" i="28"/>
  <c r="O20" i="28" s="1"/>
  <c r="D13" i="39"/>
  <c r="N18" i="28"/>
  <c r="N20" i="28"/>
  <c r="S21" i="39" s="1"/>
  <c r="M18" i="28"/>
  <c r="L18" i="28"/>
  <c r="L20" i="28" s="1"/>
  <c r="K18" i="28"/>
  <c r="K20" i="28"/>
  <c r="J18" i="28"/>
  <c r="I57" i="37"/>
  <c r="I18" i="28"/>
  <c r="I20" i="28"/>
  <c r="H18" i="28"/>
  <c r="H20" i="28"/>
  <c r="G18" i="28"/>
  <c r="G57" i="37"/>
  <c r="F18" i="28"/>
  <c r="F57" i="37"/>
  <c r="Z17" i="28"/>
  <c r="Y17" i="28"/>
  <c r="AN17" i="28"/>
  <c r="AM17" i="28"/>
  <c r="AL17" i="28"/>
  <c r="AK17" i="28"/>
  <c r="AJ17" i="28"/>
  <c r="AI17" i="28"/>
  <c r="AH17" i="28"/>
  <c r="AG17" i="28"/>
  <c r="AF17" i="28"/>
  <c r="AE17" i="28"/>
  <c r="AD17" i="28"/>
  <c r="AC17" i="28"/>
  <c r="AB17" i="28"/>
  <c r="AA17" i="28"/>
  <c r="R17" i="28"/>
  <c r="O17" i="28"/>
  <c r="N17" i="28"/>
  <c r="M17" i="28"/>
  <c r="L17" i="28"/>
  <c r="K17" i="28"/>
  <c r="J17" i="28"/>
  <c r="G17" i="28"/>
  <c r="F17" i="28"/>
  <c r="AN16" i="28"/>
  <c r="AM16" i="28"/>
  <c r="AL16" i="28"/>
  <c r="AK16" i="28"/>
  <c r="AJ16" i="28"/>
  <c r="AI16" i="28"/>
  <c r="AH16" i="28"/>
  <c r="AG16" i="28"/>
  <c r="AF16" i="28"/>
  <c r="AE16" i="28"/>
  <c r="AD16" i="28"/>
  <c r="AC16" i="28"/>
  <c r="AB16" i="28"/>
  <c r="AA16" i="28"/>
  <c r="Z16" i="28"/>
  <c r="Y16" i="28"/>
  <c r="R16" i="28"/>
  <c r="Q16" i="28"/>
  <c r="P16" i="28"/>
  <c r="O16" i="28"/>
  <c r="N16" i="28"/>
  <c r="M16" i="28"/>
  <c r="L16" i="28"/>
  <c r="K16" i="28"/>
  <c r="J16" i="28"/>
  <c r="I16" i="28"/>
  <c r="H16" i="28"/>
  <c r="G16" i="28"/>
  <c r="F16" i="28"/>
  <c r="J48" i="41"/>
  <c r="Z13" i="27"/>
  <c r="Y13" i="27"/>
  <c r="AN17" i="27"/>
  <c r="AM17" i="27"/>
  <c r="AL17" i="27"/>
  <c r="AK17" i="27"/>
  <c r="AJ17" i="27"/>
  <c r="AI17" i="27"/>
  <c r="AH17" i="27"/>
  <c r="AG17" i="27"/>
  <c r="AF17" i="27"/>
  <c r="AE17" i="27"/>
  <c r="AD17" i="27"/>
  <c r="AC17" i="27"/>
  <c r="AB17" i="27"/>
  <c r="D20" i="41" s="1"/>
  <c r="AQ6" i="27"/>
  <c r="AA17" i="27"/>
  <c r="E20" i="41"/>
  <c r="AQ5" i="27" s="1"/>
  <c r="Z17" i="27"/>
  <c r="C20" i="41" s="1"/>
  <c r="AQ4" i="27"/>
  <c r="Y17" i="27"/>
  <c r="B20" i="41"/>
  <c r="AQ3" i="27" s="1"/>
  <c r="R17" i="27"/>
  <c r="Q17" i="27"/>
  <c r="P17" i="27"/>
  <c r="O17" i="27"/>
  <c r="N17" i="27"/>
  <c r="M17" i="27"/>
  <c r="L17" i="27"/>
  <c r="K17" i="27"/>
  <c r="J17" i="27"/>
  <c r="I20" i="41" s="1"/>
  <c r="AQ9" i="27"/>
  <c r="I17" i="27"/>
  <c r="H17" i="27"/>
  <c r="G17" i="27"/>
  <c r="H20" i="41"/>
  <c r="AQ8" i="27" s="1"/>
  <c r="F17" i="27"/>
  <c r="G20" i="41" s="1"/>
  <c r="AQ7" i="27" s="1"/>
  <c r="AN14" i="27"/>
  <c r="AN16" i="27"/>
  <c r="AM14" i="27"/>
  <c r="AM16" i="27"/>
  <c r="AL14" i="27"/>
  <c r="AL16" i="27"/>
  <c r="AK14" i="27"/>
  <c r="AK16" i="27"/>
  <c r="AJ14" i="27"/>
  <c r="AJ16" i="27"/>
  <c r="AI14" i="27"/>
  <c r="AI16" i="27"/>
  <c r="AH14" i="27"/>
  <c r="AH16" i="27"/>
  <c r="AG14" i="27"/>
  <c r="AG16" i="27"/>
  <c r="AF14" i="27"/>
  <c r="AF16" i="27"/>
  <c r="AE14" i="27"/>
  <c r="AE16" i="27"/>
  <c r="AD14" i="27"/>
  <c r="AD16" i="27"/>
  <c r="AC14" i="27"/>
  <c r="AC16" i="27"/>
  <c r="AB14" i="27"/>
  <c r="AB16" i="27"/>
  <c r="D48" i="41" s="1"/>
  <c r="AT6" i="27"/>
  <c r="AA14" i="27"/>
  <c r="AA16" i="27"/>
  <c r="E48" i="41" s="1"/>
  <c r="AT5" i="27"/>
  <c r="Z14" i="27"/>
  <c r="Z16" i="27"/>
  <c r="C48" i="41" s="1"/>
  <c r="AT4" i="27" s="1"/>
  <c r="Y14" i="27"/>
  <c r="Y16" i="27"/>
  <c r="B48" i="41" s="1"/>
  <c r="R14" i="27"/>
  <c r="R16" i="27"/>
  <c r="F12" i="40" s="1"/>
  <c r="Q14" i="27"/>
  <c r="Q16" i="27" s="1"/>
  <c r="P14" i="27"/>
  <c r="O14" i="27"/>
  <c r="O16" i="27" s="1"/>
  <c r="T19" i="39"/>
  <c r="N14" i="27"/>
  <c r="N16" i="27"/>
  <c r="M14" i="27"/>
  <c r="M16" i="27" s="1"/>
  <c r="L14" i="27"/>
  <c r="L16" i="27" s="1"/>
  <c r="K14" i="27"/>
  <c r="K16" i="27" s="1"/>
  <c r="J14" i="27"/>
  <c r="J16" i="27" s="1"/>
  <c r="B15" i="40" s="1"/>
  <c r="I14" i="27"/>
  <c r="I16" i="27"/>
  <c r="H14" i="27"/>
  <c r="H16" i="27"/>
  <c r="G14" i="27"/>
  <c r="G16" i="27"/>
  <c r="H48" i="41" s="1"/>
  <c r="AT8" i="27" s="1"/>
  <c r="F14" i="27"/>
  <c r="F16" i="27"/>
  <c r="G48" i="41" s="1"/>
  <c r="AT7" i="27"/>
  <c r="AI23" i="30"/>
  <c r="AG23" i="30"/>
  <c r="AD23" i="30"/>
  <c r="AA23" i="30"/>
  <c r="E51" i="41" s="1"/>
  <c r="AT5" i="30" s="1"/>
  <c r="Z23" i="30"/>
  <c r="C51" i="41"/>
  <c r="AT4" i="30" s="1"/>
  <c r="Y23" i="30"/>
  <c r="B51" i="41" s="1"/>
  <c r="AT3" i="30" s="1"/>
  <c r="AF20" i="28"/>
  <c r="D56" i="37"/>
  <c r="T21" i="39"/>
  <c r="J20" i="28"/>
  <c r="B17" i="40" s="1"/>
  <c r="D21" i="40"/>
  <c r="L57" i="37"/>
  <c r="F20" i="28"/>
  <c r="G49" i="41" s="1"/>
  <c r="AT7" i="28"/>
  <c r="H51" i="41"/>
  <c r="AT8" i="30" s="1"/>
  <c r="G72" i="37"/>
  <c r="D6" i="39"/>
  <c r="D16" i="40"/>
  <c r="B13" i="39"/>
  <c r="M20" i="28"/>
  <c r="I49" i="41"/>
  <c r="AT9" i="28" s="1"/>
  <c r="G20" i="28"/>
  <c r="H49" i="41" s="1"/>
  <c r="AT8" i="28" s="1"/>
  <c r="AK20" i="28"/>
  <c r="AG20" i="28"/>
  <c r="AC20" i="28"/>
  <c r="Z20" i="28"/>
  <c r="C49" i="41" s="1"/>
  <c r="AT4" i="28" s="1"/>
  <c r="H9" i="40"/>
  <c r="C72" i="37"/>
  <c r="B72" i="37"/>
  <c r="I72" i="37"/>
  <c r="E56" i="37"/>
  <c r="C56" i="37"/>
  <c r="B56" i="37"/>
  <c r="J56" i="37"/>
  <c r="I48" i="41"/>
  <c r="AT9" i="27" s="1"/>
  <c r="I56" i="37"/>
  <c r="L56" i="37"/>
  <c r="K21" i="29"/>
  <c r="O21" i="29"/>
  <c r="T20" i="39"/>
  <c r="L21" i="29"/>
  <c r="AE21" i="29"/>
  <c r="AI21" i="29"/>
  <c r="AM21" i="29"/>
  <c r="J21" i="29"/>
  <c r="B18" i="40"/>
  <c r="B20" i="39"/>
  <c r="F20" i="39" s="1"/>
  <c r="D20" i="40"/>
  <c r="F21" i="29"/>
  <c r="G50" i="41"/>
  <c r="AT7" i="29" s="1"/>
  <c r="R21" i="29"/>
  <c r="F17" i="40" s="1"/>
  <c r="AB21" i="29"/>
  <c r="D50" i="41" s="1"/>
  <c r="AT6" i="29"/>
  <c r="AF21" i="29"/>
  <c r="AJ21" i="29"/>
  <c r="AN21" i="29"/>
  <c r="Y21" i="29"/>
  <c r="B50" i="41" s="1"/>
  <c r="AT3" i="29" s="1"/>
  <c r="L76" i="37"/>
  <c r="H20" i="40"/>
  <c r="C50" i="41"/>
  <c r="AT4" i="29" s="1"/>
  <c r="AD21" i="29"/>
  <c r="AL21" i="29"/>
  <c r="G21" i="29"/>
  <c r="H50" i="41"/>
  <c r="AT8" i="29" s="1"/>
  <c r="C76" i="37"/>
  <c r="F56" i="37"/>
  <c r="G56" i="37"/>
  <c r="M23" i="30"/>
  <c r="F23" i="30"/>
  <c r="G51" i="41"/>
  <c r="AT7" i="30" s="1"/>
  <c r="R23" i="30"/>
  <c r="F16" i="40" s="1"/>
  <c r="AB23" i="30"/>
  <c r="D51" i="41" s="1"/>
  <c r="AT6" i="30" s="1"/>
  <c r="AJ23" i="30"/>
  <c r="J46" i="41"/>
  <c r="J44" i="41"/>
  <c r="J43" i="41"/>
  <c r="J40" i="41"/>
  <c r="J39" i="41"/>
  <c r="J38" i="41"/>
  <c r="J36" i="41"/>
  <c r="J35" i="41"/>
  <c r="J34" i="41"/>
  <c r="J32" i="41"/>
  <c r="J53" i="41" s="1"/>
  <c r="J31" i="41"/>
  <c r="J30" i="41"/>
  <c r="J29" i="41"/>
  <c r="J28" i="41"/>
  <c r="AN20" i="26"/>
  <c r="AM20" i="26"/>
  <c r="AL20" i="26"/>
  <c r="AK20" i="26"/>
  <c r="AJ20" i="26"/>
  <c r="AI20" i="26"/>
  <c r="AH20" i="26"/>
  <c r="AG20" i="26"/>
  <c r="AF20" i="26"/>
  <c r="AE20" i="26"/>
  <c r="AD20" i="26"/>
  <c r="AC20" i="26"/>
  <c r="AB20" i="26"/>
  <c r="D19" i="41" s="1"/>
  <c r="AQ6" i="26" s="1"/>
  <c r="AA20" i="26"/>
  <c r="E19" i="41" s="1"/>
  <c r="Z20" i="26"/>
  <c r="C19" i="41" s="1"/>
  <c r="AQ4" i="26" s="1"/>
  <c r="Y20" i="26"/>
  <c r="B19" i="41" s="1"/>
  <c r="AQ3" i="26" s="1"/>
  <c r="R20" i="26"/>
  <c r="Q20" i="26"/>
  <c r="P20" i="26"/>
  <c r="O20" i="26"/>
  <c r="N20" i="26"/>
  <c r="M20" i="26"/>
  <c r="L20" i="26"/>
  <c r="K20" i="26"/>
  <c r="J20" i="26"/>
  <c r="I19" i="41" s="1"/>
  <c r="AQ9" i="26" s="1"/>
  <c r="I20" i="26"/>
  <c r="H20" i="26"/>
  <c r="G20" i="26"/>
  <c r="H19" i="41" s="1"/>
  <c r="AQ8" i="26" s="1"/>
  <c r="F20" i="26"/>
  <c r="G19" i="41" s="1"/>
  <c r="AQ7" i="26" s="1"/>
  <c r="AN18" i="26"/>
  <c r="AM18" i="26"/>
  <c r="AL18" i="26"/>
  <c r="AK18" i="26"/>
  <c r="AJ18" i="26"/>
  <c r="AI18" i="26"/>
  <c r="AH18" i="26"/>
  <c r="AG18" i="26"/>
  <c r="AG19" i="26" s="1"/>
  <c r="AF18" i="26"/>
  <c r="AE18" i="26"/>
  <c r="AD18" i="26"/>
  <c r="AC18" i="26"/>
  <c r="AC19" i="26" s="1"/>
  <c r="AB18" i="26"/>
  <c r="AA18" i="26"/>
  <c r="Z18" i="26"/>
  <c r="Z19" i="26" s="1"/>
  <c r="C46" i="41" s="1"/>
  <c r="AT4" i="26" s="1"/>
  <c r="Y18" i="26"/>
  <c r="Y19" i="26" s="1"/>
  <c r="B46" i="41" s="1"/>
  <c r="AT3" i="26" s="1"/>
  <c r="R18" i="26"/>
  <c r="O18" i="26"/>
  <c r="O19" i="26" s="1"/>
  <c r="N18" i="26"/>
  <c r="N19" i="26" s="1"/>
  <c r="M18" i="26"/>
  <c r="L18" i="26"/>
  <c r="K18" i="26"/>
  <c r="J18" i="26"/>
  <c r="J19" i="26" s="1"/>
  <c r="G18" i="26"/>
  <c r="G19" i="26" s="1"/>
  <c r="H46" i="41" s="1"/>
  <c r="AT8" i="26" s="1"/>
  <c r="F18" i="26"/>
  <c r="F19" i="26" s="1"/>
  <c r="G46" i="41" s="1"/>
  <c r="AT7" i="26" s="1"/>
  <c r="AN17" i="26"/>
  <c r="AN19" i="26" s="1"/>
  <c r="AM17" i="26"/>
  <c r="AL17" i="26"/>
  <c r="AK17" i="26"/>
  <c r="AJ17" i="26"/>
  <c r="AI17" i="26"/>
  <c r="AH17" i="26"/>
  <c r="AH19" i="26" s="1"/>
  <c r="AG17" i="26"/>
  <c r="AF17" i="26"/>
  <c r="AE17" i="26"/>
  <c r="AD17" i="26"/>
  <c r="AC17" i="26"/>
  <c r="AB17" i="26"/>
  <c r="E34" i="37"/>
  <c r="AA17" i="26"/>
  <c r="Z17" i="26"/>
  <c r="Y17" i="26"/>
  <c r="B34" i="37"/>
  <c r="R17" i="26"/>
  <c r="Q17" i="26"/>
  <c r="Q19" i="26"/>
  <c r="P17" i="26"/>
  <c r="O17" i="26"/>
  <c r="N17" i="26"/>
  <c r="M17" i="26"/>
  <c r="L17" i="26"/>
  <c r="L19" i="26"/>
  <c r="K17" i="26"/>
  <c r="J17" i="26"/>
  <c r="I34" i="37"/>
  <c r="I17" i="26"/>
  <c r="H17" i="26"/>
  <c r="H19" i="26"/>
  <c r="G17" i="26"/>
  <c r="G34" i="37" s="1"/>
  <c r="F17" i="26"/>
  <c r="F34" i="37"/>
  <c r="AN16" i="26"/>
  <c r="AM16" i="26"/>
  <c r="AL16" i="26"/>
  <c r="AK16" i="26"/>
  <c r="AJ16" i="26"/>
  <c r="AI16" i="26"/>
  <c r="AH16" i="26"/>
  <c r="AG16" i="26"/>
  <c r="AF16" i="26"/>
  <c r="AE16" i="26"/>
  <c r="AD16" i="26"/>
  <c r="AC16" i="26"/>
  <c r="AB16" i="26"/>
  <c r="AA16" i="26"/>
  <c r="Z16" i="26"/>
  <c r="Y16" i="26"/>
  <c r="R16" i="26"/>
  <c r="O16" i="26"/>
  <c r="N16" i="26"/>
  <c r="M16" i="26"/>
  <c r="L16" i="26"/>
  <c r="K16" i="26"/>
  <c r="J16" i="26"/>
  <c r="G16" i="26"/>
  <c r="F16" i="26"/>
  <c r="AN15" i="26"/>
  <c r="AM15" i="26"/>
  <c r="AL15" i="26"/>
  <c r="AK15" i="26"/>
  <c r="AJ15" i="26"/>
  <c r="AI15" i="26"/>
  <c r="AH15" i="26"/>
  <c r="AG15" i="26"/>
  <c r="AF15" i="26"/>
  <c r="AE15" i="26"/>
  <c r="AD15" i="26"/>
  <c r="AC15" i="26"/>
  <c r="AB15" i="26"/>
  <c r="AA15" i="26"/>
  <c r="Z15" i="26"/>
  <c r="Y15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T18" i="39"/>
  <c r="AD19" i="26"/>
  <c r="D8" i="39"/>
  <c r="D6" i="40"/>
  <c r="C34" i="37"/>
  <c r="S20" i="39"/>
  <c r="I50" i="41"/>
  <c r="AT9" i="29"/>
  <c r="D20" i="39"/>
  <c r="AB19" i="26"/>
  <c r="D46" i="41" s="1"/>
  <c r="AT6" i="26" s="1"/>
  <c r="AF19" i="26"/>
  <c r="AJ19" i="26"/>
  <c r="J45" i="41"/>
  <c r="AJ20" i="25"/>
  <c r="L20" i="25"/>
  <c r="AN18" i="25"/>
  <c r="AM18" i="25"/>
  <c r="AM20" i="25"/>
  <c r="AL18" i="25"/>
  <c r="AL20" i="25" s="1"/>
  <c r="AK18" i="25"/>
  <c r="AJ18" i="25"/>
  <c r="AI18" i="25"/>
  <c r="AI20" i="25" s="1"/>
  <c r="AH18" i="25"/>
  <c r="AH20" i="25"/>
  <c r="AG18" i="25"/>
  <c r="AF18" i="25"/>
  <c r="AE18" i="25"/>
  <c r="AE20" i="25" s="1"/>
  <c r="AD18" i="25"/>
  <c r="AD20" i="25" s="1"/>
  <c r="AC18" i="25"/>
  <c r="AB18" i="25"/>
  <c r="AB20" i="25" s="1"/>
  <c r="D45" i="41" s="1"/>
  <c r="AT6" i="25" s="1"/>
  <c r="AA18" i="25"/>
  <c r="D16" i="37" s="1"/>
  <c r="Z18" i="25"/>
  <c r="Z20" i="25" s="1"/>
  <c r="Y18" i="25"/>
  <c r="Y20" i="25" s="1"/>
  <c r="B45" i="41" s="1"/>
  <c r="AT3" i="25" s="1"/>
  <c r="R18" i="25"/>
  <c r="Q18" i="25"/>
  <c r="Q20" i="25" s="1"/>
  <c r="P18" i="25"/>
  <c r="P20" i="25" s="1"/>
  <c r="O18" i="25"/>
  <c r="O20" i="25" s="1"/>
  <c r="N18" i="25"/>
  <c r="N20" i="25" s="1"/>
  <c r="M18" i="25"/>
  <c r="L18" i="25"/>
  <c r="K18" i="25"/>
  <c r="K20" i="25" s="1"/>
  <c r="J18" i="25"/>
  <c r="J20" i="25" s="1"/>
  <c r="I18" i="25"/>
  <c r="I20" i="25" s="1"/>
  <c r="H18" i="25"/>
  <c r="G18" i="25"/>
  <c r="G16" i="37" s="1"/>
  <c r="F18" i="25"/>
  <c r="F16" i="37" s="1"/>
  <c r="H16" i="37" s="1"/>
  <c r="AF20" i="25"/>
  <c r="AA20" i="25"/>
  <c r="E45" i="41" s="1"/>
  <c r="AT5" i="25" s="1"/>
  <c r="C45" i="41"/>
  <c r="AT4" i="25" s="1"/>
  <c r="C16" i="37"/>
  <c r="B16" i="37"/>
  <c r="H20" i="25"/>
  <c r="D12" i="40"/>
  <c r="F52" i="41"/>
  <c r="F47" i="41"/>
  <c r="F41" i="41"/>
  <c r="F37" i="41"/>
  <c r="H18" i="40"/>
  <c r="AN16" i="24"/>
  <c r="AM16" i="24"/>
  <c r="AL16" i="24"/>
  <c r="AK16" i="24"/>
  <c r="AJ16" i="24"/>
  <c r="AI16" i="24"/>
  <c r="AH16" i="24"/>
  <c r="AG16" i="24"/>
  <c r="AF16" i="24"/>
  <c r="AE16" i="24"/>
  <c r="AD16" i="24"/>
  <c r="AC16" i="24"/>
  <c r="AB16" i="24"/>
  <c r="D17" i="41" s="1"/>
  <c r="AQ6" i="24" s="1"/>
  <c r="AA16" i="24"/>
  <c r="E17" i="41" s="1"/>
  <c r="AQ5" i="24" s="1"/>
  <c r="Z16" i="24"/>
  <c r="C17" i="41"/>
  <c r="AQ4" i="24" s="1"/>
  <c r="Y16" i="24"/>
  <c r="B17" i="41"/>
  <c r="AQ3" i="24"/>
  <c r="R16" i="24"/>
  <c r="Q16" i="24"/>
  <c r="P16" i="24"/>
  <c r="O16" i="24"/>
  <c r="N16" i="24"/>
  <c r="M16" i="24"/>
  <c r="L16" i="24"/>
  <c r="K16" i="24"/>
  <c r="J16" i="24"/>
  <c r="I17" i="41" s="1"/>
  <c r="AQ9" i="24" s="1"/>
  <c r="I16" i="24"/>
  <c r="H16" i="24"/>
  <c r="G16" i="24"/>
  <c r="H17" i="41"/>
  <c r="AQ8" i="24"/>
  <c r="F16" i="24"/>
  <c r="G17" i="41" s="1"/>
  <c r="AQ7" i="24" s="1"/>
  <c r="Z12" i="24"/>
  <c r="Y12" i="24"/>
  <c r="AN12" i="24"/>
  <c r="AM12" i="24"/>
  <c r="AL12" i="24"/>
  <c r="AK12" i="24"/>
  <c r="AJ12" i="24"/>
  <c r="AI12" i="24"/>
  <c r="AH12" i="24"/>
  <c r="AG12" i="24"/>
  <c r="AF12" i="24"/>
  <c r="AE12" i="24"/>
  <c r="AD12" i="24"/>
  <c r="AC12" i="24"/>
  <c r="AB12" i="24"/>
  <c r="AA12" i="24"/>
  <c r="R12" i="24"/>
  <c r="O12" i="24"/>
  <c r="N12" i="24"/>
  <c r="M12" i="24"/>
  <c r="L12" i="24"/>
  <c r="K12" i="24"/>
  <c r="J12" i="24"/>
  <c r="G12" i="24"/>
  <c r="F12" i="24"/>
  <c r="I11" i="24"/>
  <c r="H11" i="24"/>
  <c r="Q11" i="24"/>
  <c r="P11" i="24"/>
  <c r="AN11" i="24"/>
  <c r="AM11" i="24"/>
  <c r="AL11" i="24"/>
  <c r="AK11" i="24"/>
  <c r="AJ11" i="24"/>
  <c r="AI11" i="24"/>
  <c r="AH11" i="24"/>
  <c r="AG11" i="24"/>
  <c r="AF11" i="24"/>
  <c r="AE11" i="24"/>
  <c r="AD11" i="24"/>
  <c r="AC11" i="24"/>
  <c r="AB11" i="24"/>
  <c r="AA11" i="24"/>
  <c r="Z11" i="24"/>
  <c r="Y11" i="24"/>
  <c r="R11" i="24"/>
  <c r="O11" i="24"/>
  <c r="N11" i="24"/>
  <c r="M11" i="24"/>
  <c r="L11" i="24"/>
  <c r="K11" i="24"/>
  <c r="J11" i="24"/>
  <c r="G11" i="24"/>
  <c r="F11" i="24"/>
  <c r="AN13" i="24"/>
  <c r="AM13" i="24"/>
  <c r="AM15" i="24"/>
  <c r="AL13" i="24"/>
  <c r="AL15" i="24" s="1"/>
  <c r="AK13" i="24"/>
  <c r="AK15" i="24"/>
  <c r="AJ13" i="24"/>
  <c r="AI13" i="24"/>
  <c r="AI15" i="24"/>
  <c r="AH13" i="24"/>
  <c r="AH15" i="24" s="1"/>
  <c r="AG13" i="24"/>
  <c r="AG15" i="24"/>
  <c r="AF13" i="24"/>
  <c r="AE13" i="24"/>
  <c r="AE15" i="24" s="1"/>
  <c r="AD13" i="24"/>
  <c r="AD15" i="24"/>
  <c r="AC13" i="24"/>
  <c r="AC15" i="24" s="1"/>
  <c r="AB13" i="24"/>
  <c r="E17" i="37"/>
  <c r="AA13" i="24"/>
  <c r="AA15" i="24" s="1"/>
  <c r="E44" i="41" s="1"/>
  <c r="AT5" i="24"/>
  <c r="Z13" i="24"/>
  <c r="Z15" i="24" s="1"/>
  <c r="C44" i="41" s="1"/>
  <c r="AT4" i="24"/>
  <c r="Y13" i="24"/>
  <c r="Y15" i="24" s="1"/>
  <c r="B44" i="41" s="1"/>
  <c r="AT3" i="24"/>
  <c r="R13" i="24"/>
  <c r="J17" i="37" s="1"/>
  <c r="Q13" i="24"/>
  <c r="Q15" i="24"/>
  <c r="P13" i="24"/>
  <c r="P15" i="24" s="1"/>
  <c r="O13" i="24"/>
  <c r="O15" i="24"/>
  <c r="N13" i="24"/>
  <c r="N15" i="24"/>
  <c r="S16" i="39"/>
  <c r="M13" i="24"/>
  <c r="L13" i="24"/>
  <c r="K13" i="24"/>
  <c r="K15" i="24"/>
  <c r="J13" i="24"/>
  <c r="J15" i="24" s="1"/>
  <c r="I44" i="41" s="1"/>
  <c r="AT9" i="24" s="1"/>
  <c r="I13" i="24"/>
  <c r="I15" i="24" s="1"/>
  <c r="H13" i="24"/>
  <c r="H15" i="24"/>
  <c r="G13" i="24"/>
  <c r="G15" i="24" s="1"/>
  <c r="H44" i="41" s="1"/>
  <c r="AT8" i="24"/>
  <c r="F13" i="24"/>
  <c r="F17" i="37" s="1"/>
  <c r="AN15" i="36"/>
  <c r="AM15" i="36"/>
  <c r="AL15" i="36"/>
  <c r="AK15" i="36"/>
  <c r="AJ15" i="36"/>
  <c r="AI15" i="36"/>
  <c r="AH15" i="36"/>
  <c r="AG15" i="36"/>
  <c r="AF15" i="36"/>
  <c r="AE15" i="36"/>
  <c r="AD15" i="36"/>
  <c r="AC15" i="36"/>
  <c r="AB15" i="36"/>
  <c r="AA15" i="36"/>
  <c r="Z15" i="36"/>
  <c r="Y15" i="36"/>
  <c r="R15" i="36"/>
  <c r="Q15" i="36"/>
  <c r="P15" i="36"/>
  <c r="O15" i="36"/>
  <c r="N15" i="36"/>
  <c r="M15" i="36"/>
  <c r="L15" i="36"/>
  <c r="K15" i="36"/>
  <c r="J15" i="36"/>
  <c r="I15" i="36"/>
  <c r="H15" i="36"/>
  <c r="AA21" i="36"/>
  <c r="E16" i="41"/>
  <c r="AQ5" i="36"/>
  <c r="AN21" i="36"/>
  <c r="AM21" i="36"/>
  <c r="AL21" i="36"/>
  <c r="AK21" i="36"/>
  <c r="AJ21" i="36"/>
  <c r="AI21" i="36"/>
  <c r="AH21" i="36"/>
  <c r="AG21" i="36"/>
  <c r="AF21" i="36"/>
  <c r="AE21" i="36"/>
  <c r="AD21" i="36"/>
  <c r="AC21" i="36"/>
  <c r="AB21" i="36"/>
  <c r="D16" i="41" s="1"/>
  <c r="AQ6" i="36" s="1"/>
  <c r="Z21" i="36"/>
  <c r="C16" i="41" s="1"/>
  <c r="AQ4" i="36" s="1"/>
  <c r="Y21" i="36"/>
  <c r="B16" i="41"/>
  <c r="AQ3" i="36" s="1"/>
  <c r="R21" i="36"/>
  <c r="Q21" i="36"/>
  <c r="P21" i="36"/>
  <c r="O21" i="36"/>
  <c r="N21" i="36"/>
  <c r="M21" i="36"/>
  <c r="L21" i="36"/>
  <c r="K21" i="36"/>
  <c r="J21" i="36"/>
  <c r="I16" i="41"/>
  <c r="AQ9" i="36"/>
  <c r="I21" i="36"/>
  <c r="H21" i="36"/>
  <c r="G21" i="36"/>
  <c r="H16" i="41"/>
  <c r="AQ8" i="36" s="1"/>
  <c r="F21" i="36"/>
  <c r="G16" i="41"/>
  <c r="AQ7" i="36"/>
  <c r="AN18" i="36"/>
  <c r="AM18" i="36"/>
  <c r="AL18" i="36"/>
  <c r="AL20" i="36"/>
  <c r="AK18" i="36"/>
  <c r="AJ18" i="36"/>
  <c r="AI18" i="36"/>
  <c r="AH18" i="36"/>
  <c r="AH20" i="36" s="1"/>
  <c r="AG18" i="36"/>
  <c r="AF18" i="36"/>
  <c r="AE18" i="36"/>
  <c r="AD18" i="36"/>
  <c r="AD20" i="36" s="1"/>
  <c r="AC18" i="36"/>
  <c r="AB18" i="36"/>
  <c r="AA18" i="36"/>
  <c r="Z18" i="36"/>
  <c r="Z20" i="36"/>
  <c r="C43" i="41"/>
  <c r="AT4" i="36" s="1"/>
  <c r="Y18" i="36"/>
  <c r="R18" i="36"/>
  <c r="Q18" i="36"/>
  <c r="Q20" i="36" s="1"/>
  <c r="P18" i="36"/>
  <c r="P20" i="36"/>
  <c r="O18" i="36"/>
  <c r="O20" i="36" s="1"/>
  <c r="D19" i="39" s="1"/>
  <c r="N18" i="36"/>
  <c r="M18" i="36"/>
  <c r="L18" i="36"/>
  <c r="K18" i="36"/>
  <c r="K20" i="36" s="1"/>
  <c r="J18" i="36"/>
  <c r="J20" i="36"/>
  <c r="B21" i="40" s="1"/>
  <c r="I18" i="36"/>
  <c r="I20" i="36"/>
  <c r="H18" i="36"/>
  <c r="G18" i="36"/>
  <c r="G18" i="37"/>
  <c r="F18" i="36"/>
  <c r="F20" i="36" s="1"/>
  <c r="F42" i="41"/>
  <c r="F15" i="41"/>
  <c r="AN10" i="23"/>
  <c r="AM10" i="23"/>
  <c r="AL10" i="23"/>
  <c r="AK10" i="23"/>
  <c r="AJ10" i="23"/>
  <c r="AI10" i="23"/>
  <c r="AH10" i="23"/>
  <c r="AG10" i="23"/>
  <c r="AF10" i="23"/>
  <c r="AE10" i="23"/>
  <c r="AD10" i="23"/>
  <c r="AC10" i="23"/>
  <c r="AB10" i="23"/>
  <c r="AA10" i="23"/>
  <c r="Z10" i="23"/>
  <c r="Y10" i="23"/>
  <c r="R10" i="23"/>
  <c r="Q10" i="23"/>
  <c r="P10" i="23"/>
  <c r="O10" i="23"/>
  <c r="N10" i="23"/>
  <c r="M10" i="23"/>
  <c r="L10" i="23"/>
  <c r="K10" i="23"/>
  <c r="J10" i="23"/>
  <c r="I10" i="23"/>
  <c r="H10" i="23"/>
  <c r="G10" i="23"/>
  <c r="F10" i="23"/>
  <c r="F12" i="23"/>
  <c r="AN11" i="23"/>
  <c r="AM11" i="23"/>
  <c r="AL11" i="23"/>
  <c r="AK11" i="23"/>
  <c r="AJ11" i="23"/>
  <c r="AI11" i="23"/>
  <c r="AH11" i="23"/>
  <c r="AG11" i="23"/>
  <c r="AF11" i="23"/>
  <c r="AE11" i="23"/>
  <c r="AD11" i="23"/>
  <c r="AC11" i="23"/>
  <c r="AB11" i="23"/>
  <c r="AA11" i="23"/>
  <c r="Z11" i="23"/>
  <c r="Y11" i="23"/>
  <c r="R11" i="23"/>
  <c r="O11" i="23"/>
  <c r="N11" i="23"/>
  <c r="M11" i="23"/>
  <c r="L11" i="23"/>
  <c r="K11" i="23"/>
  <c r="J11" i="23"/>
  <c r="G11" i="23"/>
  <c r="AN13" i="35"/>
  <c r="AM13" i="35"/>
  <c r="AL13" i="35"/>
  <c r="AK13" i="35"/>
  <c r="AJ13" i="35"/>
  <c r="AI13" i="35"/>
  <c r="AH13" i="35"/>
  <c r="AG13" i="35"/>
  <c r="AF13" i="35"/>
  <c r="AE13" i="35"/>
  <c r="AD13" i="35"/>
  <c r="AC13" i="35"/>
  <c r="AB13" i="35"/>
  <c r="D13" i="41" s="1"/>
  <c r="AQ6" i="35" s="1"/>
  <c r="AA13" i="35"/>
  <c r="E13" i="41" s="1"/>
  <c r="AQ5" i="35" s="1"/>
  <c r="Z13" i="35"/>
  <c r="C13" i="41"/>
  <c r="AQ4" i="35" s="1"/>
  <c r="Y13" i="35"/>
  <c r="B13" i="41"/>
  <c r="AQ3" i="35"/>
  <c r="R13" i="35"/>
  <c r="Q13" i="35"/>
  <c r="P13" i="35"/>
  <c r="O13" i="35"/>
  <c r="N13" i="35"/>
  <c r="M13" i="35"/>
  <c r="L13" i="35"/>
  <c r="K13" i="35"/>
  <c r="J13" i="35"/>
  <c r="I13" i="41" s="1"/>
  <c r="AQ9" i="35" s="1"/>
  <c r="I13" i="35"/>
  <c r="H13" i="35"/>
  <c r="G13" i="35"/>
  <c r="H13" i="41"/>
  <c r="AQ8" i="35"/>
  <c r="F13" i="35"/>
  <c r="G13" i="41" s="1"/>
  <c r="AQ7" i="35" s="1"/>
  <c r="AN20" i="15"/>
  <c r="AM20" i="15"/>
  <c r="AL20" i="15"/>
  <c r="AK20" i="15"/>
  <c r="AJ20" i="15"/>
  <c r="AI20" i="15"/>
  <c r="AH20" i="15"/>
  <c r="AG20" i="15"/>
  <c r="AF20" i="15"/>
  <c r="AE20" i="15"/>
  <c r="AD20" i="15"/>
  <c r="AC20" i="15"/>
  <c r="AB20" i="15"/>
  <c r="D14" i="41" s="1"/>
  <c r="AQ6" i="15" s="1"/>
  <c r="AA20" i="15"/>
  <c r="E14" i="41"/>
  <c r="AQ5" i="15" s="1"/>
  <c r="Z20" i="15"/>
  <c r="C14" i="41"/>
  <c r="AQ4" i="15"/>
  <c r="Y20" i="15"/>
  <c r="B14" i="41" s="1"/>
  <c r="AQ3" i="15" s="1"/>
  <c r="R20" i="15"/>
  <c r="Q20" i="15"/>
  <c r="P20" i="15"/>
  <c r="O20" i="15"/>
  <c r="N20" i="15"/>
  <c r="M20" i="15"/>
  <c r="L20" i="15"/>
  <c r="K20" i="15"/>
  <c r="J20" i="15"/>
  <c r="I14" i="41" s="1"/>
  <c r="AQ9" i="15" s="1"/>
  <c r="I20" i="15"/>
  <c r="H20" i="15"/>
  <c r="G20" i="15"/>
  <c r="H14" i="41" s="1"/>
  <c r="AQ8" i="15" s="1"/>
  <c r="F20" i="15"/>
  <c r="G14" i="41" s="1"/>
  <c r="AQ7" i="15" s="1"/>
  <c r="AN18" i="15"/>
  <c r="AM18" i="15"/>
  <c r="AL18" i="15"/>
  <c r="AK18" i="15"/>
  <c r="AJ18" i="15"/>
  <c r="AI18" i="15"/>
  <c r="AH18" i="15"/>
  <c r="AG18" i="15"/>
  <c r="AF18" i="15"/>
  <c r="AE18" i="15"/>
  <c r="AE19" i="15" s="1"/>
  <c r="AD18" i="15"/>
  <c r="AC18" i="15"/>
  <c r="AA18" i="15"/>
  <c r="Z18" i="15"/>
  <c r="Y18" i="15"/>
  <c r="R18" i="15"/>
  <c r="O18" i="15"/>
  <c r="N18" i="15"/>
  <c r="M18" i="15"/>
  <c r="L18" i="15"/>
  <c r="K18" i="15"/>
  <c r="J18" i="15"/>
  <c r="G18" i="15"/>
  <c r="F18" i="15"/>
  <c r="AN17" i="15"/>
  <c r="AM17" i="15"/>
  <c r="AM19" i="15" s="1"/>
  <c r="AL17" i="15"/>
  <c r="AK17" i="15"/>
  <c r="AJ17" i="15"/>
  <c r="AJ19" i="15" s="1"/>
  <c r="AI17" i="15"/>
  <c r="AH17" i="15"/>
  <c r="AH19" i="15"/>
  <c r="AG17" i="15"/>
  <c r="AF17" i="15"/>
  <c r="AE17" i="15"/>
  <c r="AD17" i="15"/>
  <c r="AC17" i="15"/>
  <c r="AC19" i="15" s="1"/>
  <c r="AB17" i="15"/>
  <c r="AB19" i="15" s="1"/>
  <c r="D40" i="41" s="1"/>
  <c r="AA17" i="15"/>
  <c r="Z17" i="15"/>
  <c r="Y17" i="15"/>
  <c r="B33" i="37" s="1"/>
  <c r="R17" i="15"/>
  <c r="Q17" i="15"/>
  <c r="Q19" i="15" s="1"/>
  <c r="P17" i="15"/>
  <c r="P19" i="15"/>
  <c r="O17" i="15"/>
  <c r="O19" i="15" s="1"/>
  <c r="T14" i="39" s="1"/>
  <c r="N17" i="15"/>
  <c r="M17" i="15"/>
  <c r="M19" i="15"/>
  <c r="L17" i="15"/>
  <c r="L19" i="15" s="1"/>
  <c r="K17" i="15"/>
  <c r="K19" i="15"/>
  <c r="J17" i="15"/>
  <c r="I33" i="37" s="1"/>
  <c r="I17" i="15"/>
  <c r="I19" i="15"/>
  <c r="H17" i="15"/>
  <c r="G17" i="15"/>
  <c r="G33" i="37"/>
  <c r="F17" i="15"/>
  <c r="Z10" i="35"/>
  <c r="C37" i="37"/>
  <c r="AN10" i="35"/>
  <c r="AN12" i="35" s="1"/>
  <c r="AM10" i="35"/>
  <c r="AM12" i="35"/>
  <c r="AL10" i="35"/>
  <c r="AL12" i="35" s="1"/>
  <c r="AK10" i="35"/>
  <c r="AJ10" i="35"/>
  <c r="AJ12" i="35"/>
  <c r="AI10" i="35"/>
  <c r="AI12" i="35" s="1"/>
  <c r="AH10" i="35"/>
  <c r="AH12" i="35"/>
  <c r="AG10" i="35"/>
  <c r="AF10" i="35"/>
  <c r="AF12" i="35"/>
  <c r="AE10" i="35"/>
  <c r="AE12" i="35" s="1"/>
  <c r="AD10" i="35"/>
  <c r="AC10" i="35"/>
  <c r="AB10" i="35"/>
  <c r="AA10" i="35"/>
  <c r="Y10" i="35"/>
  <c r="B37" i="37"/>
  <c r="R10" i="35"/>
  <c r="Q10" i="35"/>
  <c r="Q12" i="35"/>
  <c r="P10" i="35"/>
  <c r="O10" i="35"/>
  <c r="N10" i="35"/>
  <c r="N12" i="35"/>
  <c r="M10" i="35"/>
  <c r="M12" i="35" s="1"/>
  <c r="L10" i="35"/>
  <c r="K10" i="35"/>
  <c r="K12" i="35" s="1"/>
  <c r="J10" i="35"/>
  <c r="J12" i="35" s="1"/>
  <c r="B19" i="40" s="1"/>
  <c r="I10" i="35"/>
  <c r="I12" i="35" s="1"/>
  <c r="H10" i="35"/>
  <c r="D18" i="40"/>
  <c r="G10" i="35"/>
  <c r="G37" i="37" s="1"/>
  <c r="F10" i="35"/>
  <c r="F12" i="35"/>
  <c r="G39" i="41"/>
  <c r="AT7" i="35" s="1"/>
  <c r="AL19" i="15"/>
  <c r="AI19" i="15"/>
  <c r="AF19" i="15"/>
  <c r="AD19" i="15"/>
  <c r="AA19" i="15"/>
  <c r="E40" i="41" s="1"/>
  <c r="AT5" i="15" s="1"/>
  <c r="AT6" i="15"/>
  <c r="R19" i="15"/>
  <c r="F4" i="40" s="1"/>
  <c r="N19" i="15"/>
  <c r="AN19" i="15"/>
  <c r="Y12" i="35"/>
  <c r="B39" i="41"/>
  <c r="AT3" i="35" s="1"/>
  <c r="B22" i="39"/>
  <c r="AK19" i="15"/>
  <c r="AG19" i="15"/>
  <c r="B16" i="40"/>
  <c r="D15" i="40"/>
  <c r="AF15" i="24"/>
  <c r="F14" i="40"/>
  <c r="O12" i="35"/>
  <c r="D12" i="39"/>
  <c r="AJ15" i="24"/>
  <c r="AN15" i="24"/>
  <c r="AB15" i="24"/>
  <c r="D44" i="41"/>
  <c r="AT6" i="24" s="1"/>
  <c r="D17" i="37"/>
  <c r="C17" i="37"/>
  <c r="B17" i="37"/>
  <c r="R15" i="24"/>
  <c r="M15" i="24"/>
  <c r="I17" i="37"/>
  <c r="L17" i="37"/>
  <c r="B9" i="40"/>
  <c r="I45" i="41"/>
  <c r="AT9" i="25" s="1"/>
  <c r="AD12" i="35"/>
  <c r="AC12" i="35"/>
  <c r="Z12" i="35"/>
  <c r="C39" i="41"/>
  <c r="AT4" i="35" s="1"/>
  <c r="D33" i="37"/>
  <c r="Y19" i="15"/>
  <c r="B40" i="41"/>
  <c r="AT3" i="15" s="1"/>
  <c r="J33" i="37"/>
  <c r="H7" i="40"/>
  <c r="D18" i="39"/>
  <c r="J19" i="15"/>
  <c r="I40" i="41" s="1"/>
  <c r="AT9" i="15" s="1"/>
  <c r="N20" i="36"/>
  <c r="S15" i="39" s="1"/>
  <c r="H19" i="40"/>
  <c r="Y20" i="36"/>
  <c r="B43" i="41"/>
  <c r="AT3" i="36" s="1"/>
  <c r="AC20" i="36"/>
  <c r="AG20" i="36"/>
  <c r="AK20" i="36"/>
  <c r="M20" i="36"/>
  <c r="B18" i="37"/>
  <c r="G43" i="41"/>
  <c r="AT7" i="36" s="1"/>
  <c r="R20" i="36"/>
  <c r="F19" i="40" s="1"/>
  <c r="AB20" i="36"/>
  <c r="D43" i="41"/>
  <c r="AT6" i="36" s="1"/>
  <c r="AF20" i="36"/>
  <c r="AJ20" i="36"/>
  <c r="AN20" i="36"/>
  <c r="T15" i="39"/>
  <c r="E18" i="37"/>
  <c r="L20" i="36"/>
  <c r="C18" i="37"/>
  <c r="I18" i="37"/>
  <c r="K18" i="37" s="1"/>
  <c r="I43" i="41"/>
  <c r="AT9" i="36" s="1"/>
  <c r="AA20" i="36"/>
  <c r="E43" i="41"/>
  <c r="AE20" i="36"/>
  <c r="AI20" i="36"/>
  <c r="AM20" i="36"/>
  <c r="D18" i="37"/>
  <c r="J18" i="37"/>
  <c r="F18" i="37"/>
  <c r="G17" i="37"/>
  <c r="H17" i="37" s="1"/>
  <c r="F15" i="24"/>
  <c r="G44" i="41" s="1"/>
  <c r="AT7" i="24" s="1"/>
  <c r="G20" i="36"/>
  <c r="H43" i="41"/>
  <c r="AT8" i="36" s="1"/>
  <c r="G19" i="15"/>
  <c r="H40" i="41" s="1"/>
  <c r="AT8" i="15" s="1"/>
  <c r="S13" i="39"/>
  <c r="B12" i="39"/>
  <c r="I39" i="41"/>
  <c r="AT9" i="35" s="1"/>
  <c r="L37" i="37"/>
  <c r="H12" i="35"/>
  <c r="L12" i="35"/>
  <c r="I37" i="37"/>
  <c r="G12" i="35"/>
  <c r="H39" i="41"/>
  <c r="AT8" i="35"/>
  <c r="F37" i="37"/>
  <c r="L15" i="24"/>
  <c r="AG12" i="35"/>
  <c r="AK12" i="35"/>
  <c r="AN19" i="20"/>
  <c r="AM19" i="20"/>
  <c r="AL19" i="20"/>
  <c r="AK19" i="20"/>
  <c r="AJ19" i="20"/>
  <c r="AI19" i="20"/>
  <c r="AH19" i="20"/>
  <c r="AG19" i="20"/>
  <c r="AF19" i="20"/>
  <c r="AE19" i="20"/>
  <c r="AD19" i="20"/>
  <c r="AC19" i="20"/>
  <c r="AB19" i="20"/>
  <c r="AA19" i="20"/>
  <c r="Z19" i="20"/>
  <c r="C9" i="41" s="1"/>
  <c r="F9" i="41" s="1"/>
  <c r="Y19" i="20"/>
  <c r="R19" i="20"/>
  <c r="Q19" i="20"/>
  <c r="P19" i="20"/>
  <c r="O19" i="20"/>
  <c r="N19" i="20"/>
  <c r="M19" i="20"/>
  <c r="L19" i="20"/>
  <c r="K19" i="20"/>
  <c r="J19" i="20"/>
  <c r="I9" i="41"/>
  <c r="AQ9" i="20"/>
  <c r="I19" i="20"/>
  <c r="H19" i="20"/>
  <c r="G19" i="20"/>
  <c r="F19" i="20"/>
  <c r="G9" i="41" s="1"/>
  <c r="AQ7" i="20" s="1"/>
  <c r="AN16" i="12"/>
  <c r="AM16" i="12"/>
  <c r="AL16" i="12"/>
  <c r="AK16" i="12"/>
  <c r="AJ16" i="12"/>
  <c r="AI16" i="12"/>
  <c r="AH16" i="12"/>
  <c r="AG16" i="12"/>
  <c r="AF16" i="12"/>
  <c r="AE16" i="12"/>
  <c r="AD16" i="12"/>
  <c r="AC16" i="12"/>
  <c r="AB16" i="12"/>
  <c r="AA16" i="12"/>
  <c r="E7" i="41" s="1"/>
  <c r="AQ5" i="12" s="1"/>
  <c r="Z16" i="12"/>
  <c r="Y16" i="12"/>
  <c r="B7" i="41" s="1"/>
  <c r="R16" i="12"/>
  <c r="Q16" i="12"/>
  <c r="P16" i="12"/>
  <c r="O16" i="12"/>
  <c r="N16" i="12"/>
  <c r="M16" i="12"/>
  <c r="L16" i="12"/>
  <c r="K16" i="12"/>
  <c r="J16" i="12"/>
  <c r="I16" i="12"/>
  <c r="H16" i="12"/>
  <c r="G16" i="12"/>
  <c r="H7" i="41" s="1"/>
  <c r="AQ8" i="12" s="1"/>
  <c r="F16" i="12"/>
  <c r="AN17" i="18"/>
  <c r="AM17" i="18"/>
  <c r="AL17" i="18"/>
  <c r="AK17" i="18"/>
  <c r="AJ17" i="18"/>
  <c r="AI17" i="18"/>
  <c r="AH17" i="18"/>
  <c r="AG17" i="18"/>
  <c r="AF17" i="18"/>
  <c r="AE17" i="18"/>
  <c r="AD17" i="18"/>
  <c r="AC17" i="18"/>
  <c r="AB17" i="18"/>
  <c r="D12" i="41"/>
  <c r="AQ6" i="18"/>
  <c r="AA17" i="18"/>
  <c r="E12" i="41" s="1"/>
  <c r="AQ5" i="18" s="1"/>
  <c r="Z17" i="18"/>
  <c r="C12" i="41" s="1"/>
  <c r="Y17" i="18"/>
  <c r="B12" i="41"/>
  <c r="AQ3" i="18" s="1"/>
  <c r="R17" i="18"/>
  <c r="Q17" i="18"/>
  <c r="P17" i="18"/>
  <c r="O17" i="18"/>
  <c r="N17" i="18"/>
  <c r="M17" i="18"/>
  <c r="L17" i="18"/>
  <c r="K17" i="18"/>
  <c r="J17" i="18"/>
  <c r="I12" i="41"/>
  <c r="AQ9" i="18"/>
  <c r="I17" i="18"/>
  <c r="H17" i="18"/>
  <c r="G17" i="18"/>
  <c r="H12" i="41"/>
  <c r="AQ8" i="18" s="1"/>
  <c r="F17" i="18"/>
  <c r="G12" i="41"/>
  <c r="AQ7" i="18"/>
  <c r="AN15" i="18"/>
  <c r="AM15" i="18"/>
  <c r="AL15" i="18"/>
  <c r="AK15" i="18"/>
  <c r="AK16" i="18" s="1"/>
  <c r="AJ15" i="18"/>
  <c r="AI15" i="18"/>
  <c r="AH15" i="18"/>
  <c r="AG15" i="18"/>
  <c r="AF15" i="18"/>
  <c r="AE15" i="18"/>
  <c r="AD15" i="18"/>
  <c r="AC15" i="18"/>
  <c r="AB15" i="18"/>
  <c r="AA15" i="18"/>
  <c r="Z15" i="18"/>
  <c r="Y15" i="18"/>
  <c r="Y16" i="18" s="1"/>
  <c r="B38" i="41" s="1"/>
  <c r="AT3" i="18" s="1"/>
  <c r="R15" i="18"/>
  <c r="O15" i="18"/>
  <c r="N15" i="18"/>
  <c r="M15" i="18"/>
  <c r="M16" i="18" s="1"/>
  <c r="L15" i="18"/>
  <c r="K15" i="18"/>
  <c r="J15" i="18"/>
  <c r="G15" i="18"/>
  <c r="G16" i="18" s="1"/>
  <c r="H38" i="41" s="1"/>
  <c r="AT8" i="18" s="1"/>
  <c r="F15" i="18"/>
  <c r="AN14" i="18"/>
  <c r="AM14" i="18"/>
  <c r="AL14" i="18"/>
  <c r="AL16" i="18" s="1"/>
  <c r="AK14" i="18"/>
  <c r="AJ14" i="18"/>
  <c r="AJ16" i="18"/>
  <c r="AI14" i="18"/>
  <c r="AI16" i="18" s="1"/>
  <c r="AH14" i="18"/>
  <c r="AG14" i="18"/>
  <c r="AF14" i="18"/>
  <c r="AE14" i="18"/>
  <c r="AD14" i="18"/>
  <c r="AC14" i="18"/>
  <c r="AB14" i="18"/>
  <c r="E14" i="37" s="1"/>
  <c r="AA14" i="18"/>
  <c r="D14" i="37"/>
  <c r="Z14" i="18"/>
  <c r="C14" i="37" s="1"/>
  <c r="M14" i="37" s="1"/>
  <c r="Y14" i="18"/>
  <c r="B14" i="37"/>
  <c r="R14" i="18"/>
  <c r="J14" i="37" s="1"/>
  <c r="Q14" i="18"/>
  <c r="Q16" i="18"/>
  <c r="P14" i="18"/>
  <c r="H6" i="40" s="1"/>
  <c r="O14" i="18"/>
  <c r="N14" i="18"/>
  <c r="N16" i="18" s="1"/>
  <c r="M14" i="18"/>
  <c r="L14" i="18"/>
  <c r="K14" i="18"/>
  <c r="K16" i="18" s="1"/>
  <c r="J14" i="18"/>
  <c r="I14" i="18"/>
  <c r="I16" i="18"/>
  <c r="H14" i="18"/>
  <c r="H16" i="18" s="1"/>
  <c r="G14" i="18"/>
  <c r="G14" i="37"/>
  <c r="F14" i="18"/>
  <c r="F14" i="37" s="1"/>
  <c r="H14" i="37" s="1"/>
  <c r="AN13" i="18"/>
  <c r="AM13" i="18"/>
  <c r="AL13" i="18"/>
  <c r="AK13" i="18"/>
  <c r="AJ13" i="18"/>
  <c r="AI13" i="18"/>
  <c r="AH13" i="18"/>
  <c r="AG13" i="18"/>
  <c r="AF13" i="18"/>
  <c r="AE13" i="18"/>
  <c r="AD13" i="18"/>
  <c r="AC13" i="18"/>
  <c r="AB13" i="18"/>
  <c r="AA13" i="18"/>
  <c r="Z13" i="18"/>
  <c r="Y13" i="18"/>
  <c r="R13" i="18"/>
  <c r="O13" i="18"/>
  <c r="N13" i="18"/>
  <c r="M13" i="18"/>
  <c r="L13" i="18"/>
  <c r="K13" i="18"/>
  <c r="J13" i="18"/>
  <c r="G13" i="18"/>
  <c r="F13" i="18"/>
  <c r="AN18" i="17"/>
  <c r="AN20" i="17" s="1"/>
  <c r="AM18" i="17"/>
  <c r="AL18" i="17"/>
  <c r="AK18" i="17"/>
  <c r="AJ18" i="17"/>
  <c r="AJ20" i="17" s="1"/>
  <c r="AI18" i="17"/>
  <c r="AH18" i="17"/>
  <c r="AG18" i="17"/>
  <c r="AG20" i="17" s="1"/>
  <c r="AF18" i="17"/>
  <c r="AE18" i="17"/>
  <c r="AD18" i="17"/>
  <c r="AC18" i="17"/>
  <c r="AC20" i="17" s="1"/>
  <c r="AB18" i="17"/>
  <c r="E35" i="37"/>
  <c r="AA18" i="17"/>
  <c r="D35" i="37"/>
  <c r="Z18" i="17"/>
  <c r="Y18" i="17"/>
  <c r="B35" i="37" s="1"/>
  <c r="R18" i="17"/>
  <c r="Q18" i="17"/>
  <c r="Q20" i="17" s="1"/>
  <c r="P18" i="17"/>
  <c r="O18" i="17"/>
  <c r="N18" i="17"/>
  <c r="M18" i="17"/>
  <c r="L18" i="17"/>
  <c r="K18" i="17"/>
  <c r="J18" i="17"/>
  <c r="I35" i="37"/>
  <c r="I18" i="17"/>
  <c r="I20" i="17" s="1"/>
  <c r="H18" i="17"/>
  <c r="D10" i="40"/>
  <c r="G18" i="17"/>
  <c r="G35" i="37"/>
  <c r="F18" i="17"/>
  <c r="F35" i="37"/>
  <c r="H35" i="37" s="1"/>
  <c r="AN20" i="16"/>
  <c r="AM20" i="16"/>
  <c r="AL20" i="16"/>
  <c r="AK20" i="16"/>
  <c r="AK21" i="16" s="1"/>
  <c r="AJ20" i="16"/>
  <c r="AI20" i="16"/>
  <c r="AH20" i="16"/>
  <c r="AG20" i="16"/>
  <c r="AF20" i="16"/>
  <c r="AE20" i="16"/>
  <c r="AD20" i="16"/>
  <c r="AC20" i="16"/>
  <c r="AC21" i="16" s="1"/>
  <c r="AB20" i="16"/>
  <c r="AA20" i="16"/>
  <c r="Z20" i="16"/>
  <c r="Y20" i="16"/>
  <c r="Y21" i="16" s="1"/>
  <c r="B35" i="41" s="1"/>
  <c r="AT3" i="16" s="1"/>
  <c r="R20" i="16"/>
  <c r="O20" i="16"/>
  <c r="N20" i="16"/>
  <c r="M20" i="16"/>
  <c r="L20" i="16"/>
  <c r="K20" i="16"/>
  <c r="J20" i="16"/>
  <c r="G20" i="16"/>
  <c r="G21" i="16" s="1"/>
  <c r="H35" i="41" s="1"/>
  <c r="AT8" i="16" s="1"/>
  <c r="F20" i="16"/>
  <c r="AN19" i="16"/>
  <c r="AM19" i="16"/>
  <c r="AL19" i="16"/>
  <c r="AL21" i="16" s="1"/>
  <c r="AK19" i="16"/>
  <c r="AJ19" i="16"/>
  <c r="AI19" i="16"/>
  <c r="AI21" i="16" s="1"/>
  <c r="AH19" i="16"/>
  <c r="AG19" i="16"/>
  <c r="AF19" i="16"/>
  <c r="AF21" i="16" s="1"/>
  <c r="AE19" i="16"/>
  <c r="AD19" i="16"/>
  <c r="AC19" i="16"/>
  <c r="AB19" i="16"/>
  <c r="AA19" i="16"/>
  <c r="Z19" i="16"/>
  <c r="C15" i="37"/>
  <c r="M15" i="37" s="1"/>
  <c r="Y19" i="16"/>
  <c r="R19" i="16"/>
  <c r="Q19" i="16"/>
  <c r="Q21" i="16"/>
  <c r="P19" i="16"/>
  <c r="H5" i="40"/>
  <c r="O19" i="16"/>
  <c r="O21" i="16"/>
  <c r="N19" i="16"/>
  <c r="M19" i="16"/>
  <c r="L19" i="16"/>
  <c r="L21" i="16" s="1"/>
  <c r="K19" i="16"/>
  <c r="J19" i="16"/>
  <c r="I19" i="16"/>
  <c r="I21" i="16"/>
  <c r="H19" i="16"/>
  <c r="G19" i="16"/>
  <c r="G15" i="37" s="1"/>
  <c r="F19" i="16"/>
  <c r="F22" i="16"/>
  <c r="G10" i="41"/>
  <c r="AQ7" i="16" s="1"/>
  <c r="G22" i="16"/>
  <c r="H10" i="41" s="1"/>
  <c r="AQ8" i="16" s="1"/>
  <c r="H22" i="16"/>
  <c r="I22" i="16"/>
  <c r="J22" i="16"/>
  <c r="I10" i="41"/>
  <c r="AQ9" i="16" s="1"/>
  <c r="K22" i="16"/>
  <c r="L22" i="16"/>
  <c r="M22" i="16"/>
  <c r="N22" i="16"/>
  <c r="O22" i="16"/>
  <c r="P22" i="16"/>
  <c r="Q22" i="16"/>
  <c r="R22" i="16"/>
  <c r="Y22" i="16"/>
  <c r="B10" i="41" s="1"/>
  <c r="AQ3" i="16" s="1"/>
  <c r="Z22" i="16"/>
  <c r="C10" i="41"/>
  <c r="AA22" i="16"/>
  <c r="E10" i="41" s="1"/>
  <c r="AQ5" i="16"/>
  <c r="AB22" i="16"/>
  <c r="D10" i="41"/>
  <c r="AQ6" i="16" s="1"/>
  <c r="AC22" i="16"/>
  <c r="AD22" i="16"/>
  <c r="AE22" i="16"/>
  <c r="AF22" i="16"/>
  <c r="AG22" i="16"/>
  <c r="AH22" i="16"/>
  <c r="AI22" i="16"/>
  <c r="AJ22" i="16"/>
  <c r="AK22" i="16"/>
  <c r="AL22" i="16"/>
  <c r="AM22" i="16"/>
  <c r="AN22" i="16"/>
  <c r="AM16" i="18"/>
  <c r="AH16" i="18"/>
  <c r="O16" i="18"/>
  <c r="T12" i="39" s="1"/>
  <c r="J16" i="18"/>
  <c r="I38" i="41" s="1"/>
  <c r="AT9" i="18" s="1"/>
  <c r="AF16" i="18"/>
  <c r="AN16" i="18"/>
  <c r="L15" i="37"/>
  <c r="N21" i="16"/>
  <c r="R21" i="16"/>
  <c r="F7" i="40" s="1"/>
  <c r="M21" i="16"/>
  <c r="K21" i="16"/>
  <c r="J21" i="16"/>
  <c r="B7" i="40"/>
  <c r="AN21" i="16"/>
  <c r="AM21" i="16"/>
  <c r="AJ21" i="16"/>
  <c r="AE21" i="16"/>
  <c r="AB21" i="16"/>
  <c r="D35" i="41"/>
  <c r="AT6" i="16"/>
  <c r="AA21" i="16"/>
  <c r="E35" i="41"/>
  <c r="AT5" i="16"/>
  <c r="AA16" i="18"/>
  <c r="E38" i="41"/>
  <c r="T13" i="39"/>
  <c r="AI20" i="17"/>
  <c r="K20" i="17"/>
  <c r="O20" i="17"/>
  <c r="D11" i="39"/>
  <c r="Z20" i="17"/>
  <c r="C36" i="41"/>
  <c r="AH20" i="17"/>
  <c r="B15" i="37"/>
  <c r="AH21" i="16"/>
  <c r="AD21" i="16"/>
  <c r="E15" i="37"/>
  <c r="D15" i="37"/>
  <c r="AD16" i="18"/>
  <c r="Z21" i="16"/>
  <c r="C35" i="41" s="1"/>
  <c r="AT4" i="16"/>
  <c r="I15" i="37"/>
  <c r="AF20" i="17"/>
  <c r="J20" i="17"/>
  <c r="I36" i="41"/>
  <c r="AT9" i="17" s="1"/>
  <c r="B2" i="40"/>
  <c r="B19" i="39"/>
  <c r="F19" i="39" s="1"/>
  <c r="AE16" i="18"/>
  <c r="AB16" i="18"/>
  <c r="D38" i="41" s="1"/>
  <c r="AT6" i="18" s="1"/>
  <c r="Z16" i="18"/>
  <c r="C38" i="41"/>
  <c r="AT4" i="18" s="1"/>
  <c r="P16" i="18"/>
  <c r="AA20" i="17"/>
  <c r="E36" i="41" s="1"/>
  <c r="AT5" i="17"/>
  <c r="N20" i="17"/>
  <c r="S11" i="39"/>
  <c r="AB20" i="17"/>
  <c r="D36" i="41"/>
  <c r="AT6" i="17" s="1"/>
  <c r="F16" i="18"/>
  <c r="G38" i="41" s="1"/>
  <c r="AT7" i="18"/>
  <c r="D4" i="39"/>
  <c r="D5" i="40"/>
  <c r="I14" i="37"/>
  <c r="L16" i="18"/>
  <c r="L14" i="37"/>
  <c r="M20" i="17"/>
  <c r="L35" i="37"/>
  <c r="AD20" i="17"/>
  <c r="AL20" i="17"/>
  <c r="C35" i="37"/>
  <c r="M35" i="37" s="1"/>
  <c r="AE20" i="17"/>
  <c r="AM20" i="17"/>
  <c r="T11" i="39"/>
  <c r="H20" i="17"/>
  <c r="F20" i="17"/>
  <c r="G36" i="41"/>
  <c r="H21" i="16"/>
  <c r="P21" i="16"/>
  <c r="J15" i="37"/>
  <c r="D4" i="40"/>
  <c r="I35" i="41"/>
  <c r="AT9" i="16" s="1"/>
  <c r="R16" i="18"/>
  <c r="F9" i="40" s="1"/>
  <c r="L20" i="17"/>
  <c r="Y20" i="17"/>
  <c r="B36" i="41"/>
  <c r="AT3" i="17" s="1"/>
  <c r="AK20" i="17"/>
  <c r="G20" i="17"/>
  <c r="H36" i="41"/>
  <c r="H9" i="41"/>
  <c r="AQ8" i="20"/>
  <c r="E9" i="41"/>
  <c r="AQ5" i="20"/>
  <c r="D9" i="41"/>
  <c r="AQ6" i="20"/>
  <c r="AQ4" i="20"/>
  <c r="B9" i="41"/>
  <c r="AQ3" i="20"/>
  <c r="AN16" i="20"/>
  <c r="AM16" i="20"/>
  <c r="AM18" i="20" s="1"/>
  <c r="AL16" i="20"/>
  <c r="AL18" i="20"/>
  <c r="AK16" i="20"/>
  <c r="AJ16" i="20"/>
  <c r="AJ18" i="20" s="1"/>
  <c r="AI16" i="20"/>
  <c r="AH16" i="20"/>
  <c r="AH18" i="20" s="1"/>
  <c r="AG16" i="20"/>
  <c r="AG18" i="20" s="1"/>
  <c r="AF16" i="20"/>
  <c r="AF18" i="20"/>
  <c r="AE16" i="20"/>
  <c r="AD16" i="20"/>
  <c r="AD18" i="20" s="1"/>
  <c r="AC16" i="20"/>
  <c r="AB16" i="20"/>
  <c r="E75" i="37"/>
  <c r="AA16" i="20"/>
  <c r="D75" i="37"/>
  <c r="Z16" i="20"/>
  <c r="Y16" i="20"/>
  <c r="B75" i="37" s="1"/>
  <c r="R16" i="20"/>
  <c r="J75" i="37"/>
  <c r="Q16" i="20"/>
  <c r="Q18" i="20"/>
  <c r="P16" i="20"/>
  <c r="H16" i="40"/>
  <c r="O16" i="20"/>
  <c r="N16" i="20"/>
  <c r="N18" i="20" s="1"/>
  <c r="S9" i="39" s="1"/>
  <c r="M16" i="20"/>
  <c r="L16" i="20"/>
  <c r="K16" i="20"/>
  <c r="K18" i="20" s="1"/>
  <c r="J16" i="20"/>
  <c r="I75" i="37"/>
  <c r="I16" i="20"/>
  <c r="I18" i="20"/>
  <c r="H16" i="20"/>
  <c r="L75" i="37"/>
  <c r="G16" i="20"/>
  <c r="F16" i="20"/>
  <c r="Z15" i="20"/>
  <c r="Y15" i="20"/>
  <c r="AN15" i="20"/>
  <c r="AM15" i="20"/>
  <c r="AL15" i="20"/>
  <c r="AK15" i="20"/>
  <c r="AJ15" i="20"/>
  <c r="AI15" i="20"/>
  <c r="AH15" i="20"/>
  <c r="AG15" i="20"/>
  <c r="AF15" i="20"/>
  <c r="AE15" i="20"/>
  <c r="AD15" i="20"/>
  <c r="AC15" i="20"/>
  <c r="AB15" i="20"/>
  <c r="AA15" i="20"/>
  <c r="R15" i="20"/>
  <c r="O15" i="20"/>
  <c r="N15" i="20"/>
  <c r="M15" i="20"/>
  <c r="L15" i="20"/>
  <c r="K15" i="20"/>
  <c r="J15" i="20"/>
  <c r="G15" i="20"/>
  <c r="F15" i="20"/>
  <c r="AK18" i="20"/>
  <c r="B11" i="39"/>
  <c r="F11" i="39" s="1"/>
  <c r="R18" i="20"/>
  <c r="F15" i="40" s="1"/>
  <c r="P18" i="20"/>
  <c r="B11" i="40"/>
  <c r="AI18" i="20"/>
  <c r="AE18" i="20"/>
  <c r="AA18" i="20"/>
  <c r="E34" i="41" s="1"/>
  <c r="AT5" i="20" s="1"/>
  <c r="L18" i="20"/>
  <c r="Y18" i="20"/>
  <c r="B34" i="41" s="1"/>
  <c r="AT3" i="20" s="1"/>
  <c r="AB18" i="20"/>
  <c r="D34" i="41" s="1"/>
  <c r="AT6" i="20" s="1"/>
  <c r="AN18" i="20"/>
  <c r="AC18" i="20"/>
  <c r="J18" i="20"/>
  <c r="I34" i="41" s="1"/>
  <c r="AT9" i="20" s="1"/>
  <c r="Z18" i="20"/>
  <c r="C34" i="41" s="1"/>
  <c r="AT4" i="20" s="1"/>
  <c r="C75" i="37"/>
  <c r="AT7" i="17"/>
  <c r="AT8" i="17"/>
  <c r="M18" i="20"/>
  <c r="B7" i="39"/>
  <c r="G18" i="20"/>
  <c r="H34" i="41"/>
  <c r="AT8" i="20" s="1"/>
  <c r="G75" i="37"/>
  <c r="H18" i="20"/>
  <c r="D14" i="40"/>
  <c r="O18" i="20"/>
  <c r="T9" i="39" s="1"/>
  <c r="AN19" i="13"/>
  <c r="AM19" i="13"/>
  <c r="AL19" i="13"/>
  <c r="AK19" i="13"/>
  <c r="AJ19" i="13"/>
  <c r="AI19" i="13"/>
  <c r="AH19" i="13"/>
  <c r="AG19" i="13"/>
  <c r="AF19" i="13"/>
  <c r="AE19" i="13"/>
  <c r="AD19" i="13"/>
  <c r="AC19" i="13"/>
  <c r="AC20" i="13" s="1"/>
  <c r="AB19" i="13"/>
  <c r="AA19" i="13"/>
  <c r="Z19" i="13"/>
  <c r="Y19" i="13"/>
  <c r="R19" i="13"/>
  <c r="O19" i="13"/>
  <c r="N19" i="13"/>
  <c r="M19" i="13"/>
  <c r="L19" i="13"/>
  <c r="K19" i="13"/>
  <c r="J19" i="13"/>
  <c r="G19" i="13"/>
  <c r="G20" i="13" s="1"/>
  <c r="H33" i="41" s="1"/>
  <c r="AT8" i="13" s="1"/>
  <c r="F19" i="13"/>
  <c r="AN18" i="13"/>
  <c r="AN20" i="13" s="1"/>
  <c r="AM18" i="13"/>
  <c r="AM20" i="13" s="1"/>
  <c r="AL18" i="13"/>
  <c r="AK18" i="13"/>
  <c r="AK20" i="13" s="1"/>
  <c r="AJ18" i="13"/>
  <c r="AJ20" i="13" s="1"/>
  <c r="AI18" i="13"/>
  <c r="AI20" i="13"/>
  <c r="AH18" i="13"/>
  <c r="AG18" i="13"/>
  <c r="AG20" i="13" s="1"/>
  <c r="AF18" i="13"/>
  <c r="AE18" i="13"/>
  <c r="AD18" i="13"/>
  <c r="AD20" i="13" s="1"/>
  <c r="AC18" i="13"/>
  <c r="AB18" i="13"/>
  <c r="AA18" i="13"/>
  <c r="Z18" i="13"/>
  <c r="C54" i="37" s="1"/>
  <c r="Y18" i="13"/>
  <c r="B54" i="37"/>
  <c r="R18" i="13"/>
  <c r="Q18" i="13"/>
  <c r="Q20" i="13"/>
  <c r="P18" i="13"/>
  <c r="H4" i="40"/>
  <c r="O18" i="13"/>
  <c r="O20" i="13"/>
  <c r="N18" i="13"/>
  <c r="M18" i="13"/>
  <c r="L18" i="13"/>
  <c r="K18" i="13"/>
  <c r="J18" i="13"/>
  <c r="I18" i="13"/>
  <c r="H18" i="13"/>
  <c r="G18" i="13"/>
  <c r="G54" i="37"/>
  <c r="F18" i="13"/>
  <c r="AE20" i="13"/>
  <c r="N20" i="13"/>
  <c r="M20" i="13"/>
  <c r="L20" i="13"/>
  <c r="K20" i="13"/>
  <c r="AL20" i="13"/>
  <c r="AF20" i="13"/>
  <c r="Y20" i="13"/>
  <c r="B33" i="41" s="1"/>
  <c r="AT3" i="13" s="1"/>
  <c r="J20" i="13"/>
  <c r="I54" i="37"/>
  <c r="AH20" i="13"/>
  <c r="AB20" i="13"/>
  <c r="D33" i="41" s="1"/>
  <c r="AT6" i="13" s="1"/>
  <c r="E54" i="37"/>
  <c r="AA20" i="13"/>
  <c r="E33" i="41" s="1"/>
  <c r="AT5" i="13" s="1"/>
  <c r="D54" i="37"/>
  <c r="T8" i="39"/>
  <c r="D10" i="39"/>
  <c r="D13" i="40"/>
  <c r="H20" i="13"/>
  <c r="P20" i="13"/>
  <c r="B10" i="39"/>
  <c r="S8" i="39"/>
  <c r="F20" i="13"/>
  <c r="G33" i="41" s="1"/>
  <c r="AT7" i="13" s="1"/>
  <c r="F54" i="37"/>
  <c r="AQ3" i="12"/>
  <c r="I7" i="41"/>
  <c r="AQ9" i="12" s="1"/>
  <c r="G7" i="41"/>
  <c r="AQ7" i="12" s="1"/>
  <c r="D7" i="41"/>
  <c r="AQ6" i="12" s="1"/>
  <c r="C7" i="41"/>
  <c r="AQ4" i="12" s="1"/>
  <c r="AN15" i="12"/>
  <c r="AJ15" i="12"/>
  <c r="AF15" i="12"/>
  <c r="AN13" i="12"/>
  <c r="AM13" i="12"/>
  <c r="AM15" i="12"/>
  <c r="AL13" i="12"/>
  <c r="AL15" i="12"/>
  <c r="AK13" i="12"/>
  <c r="AK15" i="12"/>
  <c r="AJ13" i="12"/>
  <c r="AI13" i="12"/>
  <c r="AI15" i="12"/>
  <c r="AH13" i="12"/>
  <c r="AH15" i="12"/>
  <c r="AG13" i="12"/>
  <c r="AG15" i="12"/>
  <c r="AF13" i="12"/>
  <c r="AE13" i="12"/>
  <c r="AE15" i="12"/>
  <c r="AD13" i="12"/>
  <c r="AD15" i="12"/>
  <c r="AC13" i="12"/>
  <c r="AC15" i="12" s="1"/>
  <c r="AB13" i="12"/>
  <c r="AB15" i="12" s="1"/>
  <c r="D32" i="41" s="1"/>
  <c r="AT6" i="12" s="1"/>
  <c r="AA13" i="12"/>
  <c r="AA15" i="12"/>
  <c r="E32" i="41" s="1"/>
  <c r="AT5" i="12" s="1"/>
  <c r="Z13" i="12"/>
  <c r="C74" i="37" s="1"/>
  <c r="Y13" i="12"/>
  <c r="Y15" i="12" s="1"/>
  <c r="B32" i="41" s="1"/>
  <c r="AT3" i="12" s="1"/>
  <c r="R13" i="12"/>
  <c r="Q13" i="12"/>
  <c r="Q15" i="12" s="1"/>
  <c r="P13" i="12"/>
  <c r="P15" i="12" s="1"/>
  <c r="O13" i="12"/>
  <c r="O15" i="12" s="1"/>
  <c r="N13" i="12"/>
  <c r="N15" i="12" s="1"/>
  <c r="M13" i="12"/>
  <c r="M15" i="12" s="1"/>
  <c r="L13" i="12"/>
  <c r="K13" i="12"/>
  <c r="K15" i="12"/>
  <c r="J13" i="12"/>
  <c r="J15" i="12" s="1"/>
  <c r="I13" i="12"/>
  <c r="I15" i="12" s="1"/>
  <c r="H13" i="12"/>
  <c r="H15" i="12" s="1"/>
  <c r="G13" i="12"/>
  <c r="G15" i="12" s="1"/>
  <c r="H32" i="41" s="1"/>
  <c r="AT8" i="12" s="1"/>
  <c r="F13" i="12"/>
  <c r="F15" i="12" s="1"/>
  <c r="G32" i="41" s="1"/>
  <c r="AT7" i="12" s="1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Z12" i="12"/>
  <c r="Y12" i="12"/>
  <c r="R12" i="12"/>
  <c r="O12" i="12"/>
  <c r="N12" i="12"/>
  <c r="M12" i="12"/>
  <c r="L12" i="12"/>
  <c r="K12" i="12"/>
  <c r="J12" i="12"/>
  <c r="G12" i="12"/>
  <c r="F12" i="12"/>
  <c r="AN11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A11" i="12"/>
  <c r="Z11" i="12"/>
  <c r="Y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74" i="37"/>
  <c r="D74" i="37"/>
  <c r="G74" i="37"/>
  <c r="H12" i="40"/>
  <c r="D9" i="40"/>
  <c r="F74" i="37"/>
  <c r="AN22" i="11"/>
  <c r="AM22" i="11"/>
  <c r="AM23" i="11" s="1"/>
  <c r="AL22" i="11"/>
  <c r="AL23" i="11" s="1"/>
  <c r="AK22" i="11"/>
  <c r="AJ22" i="11"/>
  <c r="AI22" i="11"/>
  <c r="AI23" i="11" s="1"/>
  <c r="AH22" i="11"/>
  <c r="AH23" i="11" s="1"/>
  <c r="AG22" i="11"/>
  <c r="AF22" i="11"/>
  <c r="AE22" i="11"/>
  <c r="AE23" i="11" s="1"/>
  <c r="AD22" i="11"/>
  <c r="AC22" i="11"/>
  <c r="AB22" i="11"/>
  <c r="AA22" i="11"/>
  <c r="Z22" i="11"/>
  <c r="Z23" i="11" s="1"/>
  <c r="C31" i="41" s="1"/>
  <c r="Y22" i="11"/>
  <c r="O22" i="11"/>
  <c r="N22" i="11"/>
  <c r="M22" i="11"/>
  <c r="L22" i="11"/>
  <c r="L23" i="11" s="1"/>
  <c r="K22" i="11"/>
  <c r="K23" i="11" s="1"/>
  <c r="G22" i="11"/>
  <c r="F22" i="11"/>
  <c r="F23" i="11" s="1"/>
  <c r="G31" i="41" s="1"/>
  <c r="AT7" i="11" s="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E53" i="37"/>
  <c r="AA21" i="11"/>
  <c r="D53" i="37" s="1"/>
  <c r="Z21" i="11"/>
  <c r="Y21" i="11"/>
  <c r="B53" i="37" s="1"/>
  <c r="R21" i="11"/>
  <c r="Q21" i="11"/>
  <c r="Q23" i="11" s="1"/>
  <c r="P21" i="11"/>
  <c r="O21" i="11"/>
  <c r="N21" i="11"/>
  <c r="M21" i="11"/>
  <c r="L21" i="11"/>
  <c r="K21" i="11"/>
  <c r="J21" i="11"/>
  <c r="I53" i="37"/>
  <c r="I21" i="11"/>
  <c r="I23" i="11"/>
  <c r="H21" i="11"/>
  <c r="H23" i="11"/>
  <c r="G21" i="11"/>
  <c r="G53" i="37"/>
  <c r="F21" i="11"/>
  <c r="F24" i="11"/>
  <c r="G6" i="41" s="1"/>
  <c r="AQ7" i="11" s="1"/>
  <c r="G24" i="11"/>
  <c r="H6" i="41" s="1"/>
  <c r="AQ8" i="11" s="1"/>
  <c r="H24" i="11"/>
  <c r="I24" i="11"/>
  <c r="J24" i="11"/>
  <c r="I6" i="41" s="1"/>
  <c r="AQ9" i="11" s="1"/>
  <c r="K24" i="11"/>
  <c r="L24" i="11"/>
  <c r="M24" i="11"/>
  <c r="N24" i="11"/>
  <c r="O24" i="11"/>
  <c r="P24" i="11"/>
  <c r="Q24" i="11"/>
  <c r="R24" i="11"/>
  <c r="Y24" i="11"/>
  <c r="B6" i="41" s="1"/>
  <c r="Z24" i="11"/>
  <c r="C6" i="41"/>
  <c r="AQ4" i="11" s="1"/>
  <c r="AA24" i="11"/>
  <c r="E6" i="41" s="1"/>
  <c r="AQ5" i="11" s="1"/>
  <c r="AB24" i="11"/>
  <c r="D6" i="41" s="1"/>
  <c r="AQ6" i="11" s="1"/>
  <c r="AC24" i="11"/>
  <c r="AD24" i="11"/>
  <c r="AE24" i="11"/>
  <c r="AF24" i="11"/>
  <c r="AG24" i="11"/>
  <c r="AH24" i="11"/>
  <c r="AI24" i="11"/>
  <c r="AJ24" i="11"/>
  <c r="AK24" i="11"/>
  <c r="AL24" i="11"/>
  <c r="AM24" i="11"/>
  <c r="AN24" i="11"/>
  <c r="AN23" i="11"/>
  <c r="AJ23" i="11"/>
  <c r="AF23" i="11"/>
  <c r="AD23" i="11"/>
  <c r="AB23" i="11"/>
  <c r="D31" i="41" s="1"/>
  <c r="AT6" i="11" s="1"/>
  <c r="C53" i="37"/>
  <c r="D3" i="40"/>
  <c r="L53" i="37"/>
  <c r="F53" i="37"/>
  <c r="N23" i="11"/>
  <c r="B3" i="39" s="1"/>
  <c r="O23" i="11"/>
  <c r="T6" i="39" s="1"/>
  <c r="M23" i="11"/>
  <c r="G23" i="11"/>
  <c r="H31" i="41" s="1"/>
  <c r="AT8" i="11" s="1"/>
  <c r="D3" i="39"/>
  <c r="S6" i="39"/>
  <c r="F51" i="41"/>
  <c r="F44" i="41"/>
  <c r="O51" i="39"/>
  <c r="O50" i="39"/>
  <c r="O49" i="39"/>
  <c r="O48" i="39"/>
  <c r="O47" i="39"/>
  <c r="O46" i="39"/>
  <c r="O45" i="39"/>
  <c r="O44" i="39"/>
  <c r="O22" i="39"/>
  <c r="O21" i="39"/>
  <c r="O20" i="39"/>
  <c r="O19" i="39"/>
  <c r="O18" i="39"/>
  <c r="O17" i="39"/>
  <c r="O16" i="39"/>
  <c r="O15" i="39"/>
  <c r="F13" i="39"/>
  <c r="O43" i="39"/>
  <c r="O42" i="39"/>
  <c r="O41" i="39"/>
  <c r="O40" i="39"/>
  <c r="O39" i="39"/>
  <c r="O38" i="39"/>
  <c r="O37" i="39"/>
  <c r="O36" i="39"/>
  <c r="O35" i="39"/>
  <c r="O34" i="39"/>
  <c r="O33" i="39"/>
  <c r="P33" i="39"/>
  <c r="O32" i="39"/>
  <c r="O14" i="39"/>
  <c r="O13" i="39"/>
  <c r="F12" i="39"/>
  <c r="O12" i="39"/>
  <c r="O11" i="39"/>
  <c r="O10" i="39"/>
  <c r="O9" i="39"/>
  <c r="O8" i="39"/>
  <c r="O7" i="39"/>
  <c r="O6" i="39"/>
  <c r="O5" i="39"/>
  <c r="Q5" i="39" s="1"/>
  <c r="O4" i="39"/>
  <c r="O3" i="39"/>
  <c r="Q41" i="39"/>
  <c r="P41" i="39"/>
  <c r="R14" i="39"/>
  <c r="Q14" i="39"/>
  <c r="R20" i="39"/>
  <c r="Q20" i="39"/>
  <c r="Q39" i="39"/>
  <c r="P39" i="39"/>
  <c r="Q45" i="39"/>
  <c r="P45" i="39"/>
  <c r="Q38" i="39"/>
  <c r="P38" i="39"/>
  <c r="Q4" i="39"/>
  <c r="R4" i="39"/>
  <c r="R22" i="39"/>
  <c r="Q22" i="39"/>
  <c r="Q51" i="39"/>
  <c r="P51" i="39"/>
  <c r="Q47" i="39"/>
  <c r="P47" i="39"/>
  <c r="R16" i="39"/>
  <c r="Q16" i="39"/>
  <c r="F13" i="41"/>
  <c r="Q33" i="39"/>
  <c r="AN21" i="14"/>
  <c r="AM21" i="14"/>
  <c r="AL21" i="14"/>
  <c r="AK21" i="14"/>
  <c r="AJ21" i="14"/>
  <c r="AI21" i="14"/>
  <c r="AH21" i="14"/>
  <c r="AG21" i="14"/>
  <c r="AF21" i="14"/>
  <c r="AE21" i="14"/>
  <c r="AD21" i="14"/>
  <c r="AC21" i="14"/>
  <c r="AB21" i="14"/>
  <c r="D5" i="41"/>
  <c r="AQ6" i="14" s="1"/>
  <c r="AA21" i="14"/>
  <c r="E5" i="41" s="1"/>
  <c r="AQ5" i="14" s="1"/>
  <c r="Z21" i="14"/>
  <c r="C5" i="41"/>
  <c r="AQ4" i="14" s="1"/>
  <c r="Y21" i="14"/>
  <c r="B5" i="41" s="1"/>
  <c r="F5" i="41" s="1"/>
  <c r="R21" i="14"/>
  <c r="Q21" i="14"/>
  <c r="P21" i="14"/>
  <c r="O21" i="14"/>
  <c r="N21" i="14"/>
  <c r="M21" i="14"/>
  <c r="L21" i="14"/>
  <c r="K21" i="14"/>
  <c r="J21" i="14"/>
  <c r="I5" i="41" s="1"/>
  <c r="AQ9" i="14" s="1"/>
  <c r="I21" i="14"/>
  <c r="H21" i="14"/>
  <c r="G21" i="14"/>
  <c r="H5" i="41"/>
  <c r="AQ8" i="14"/>
  <c r="F21" i="14"/>
  <c r="G5" i="41" s="1"/>
  <c r="AQ7" i="14" s="1"/>
  <c r="AN18" i="14"/>
  <c r="AN20" i="14"/>
  <c r="AM18" i="14"/>
  <c r="AM20" i="14"/>
  <c r="AL18" i="14"/>
  <c r="AL20" i="14"/>
  <c r="AK18" i="14"/>
  <c r="AJ18" i="14"/>
  <c r="AJ20" i="14" s="1"/>
  <c r="AI18" i="14"/>
  <c r="AI20" i="14" s="1"/>
  <c r="AH18" i="14"/>
  <c r="AG18" i="14"/>
  <c r="AF18" i="14"/>
  <c r="AF20" i="14" s="1"/>
  <c r="AE18" i="14"/>
  <c r="AE20" i="14" s="1"/>
  <c r="AD18" i="14"/>
  <c r="AC18" i="14"/>
  <c r="AB18" i="14"/>
  <c r="E36" i="37"/>
  <c r="AA18" i="14"/>
  <c r="D36" i="37" s="1"/>
  <c r="Z18" i="14"/>
  <c r="Y18" i="14"/>
  <c r="B36" i="37"/>
  <c r="R18" i="14"/>
  <c r="R20" i="14" s="1"/>
  <c r="Q18" i="14"/>
  <c r="Q20" i="14"/>
  <c r="P18" i="14"/>
  <c r="H15" i="40" s="1"/>
  <c r="O18" i="14"/>
  <c r="O20" i="14"/>
  <c r="D15" i="39" s="1"/>
  <c r="N18" i="14"/>
  <c r="M18" i="14"/>
  <c r="M20" i="14" s="1"/>
  <c r="L18" i="14"/>
  <c r="K18" i="14"/>
  <c r="K20" i="14"/>
  <c r="J18" i="14"/>
  <c r="J20" i="14" s="1"/>
  <c r="I30" i="41" s="1"/>
  <c r="AT9" i="14" s="1"/>
  <c r="I18" i="14"/>
  <c r="I20" i="14"/>
  <c r="H18" i="14"/>
  <c r="H20" i="14"/>
  <c r="G18" i="14"/>
  <c r="F18" i="14"/>
  <c r="F36" i="37" s="1"/>
  <c r="H36" i="37" s="1"/>
  <c r="AN17" i="14"/>
  <c r="AM17" i="14"/>
  <c r="AL17" i="14"/>
  <c r="AK17" i="14"/>
  <c r="AJ17" i="14"/>
  <c r="AI17" i="14"/>
  <c r="AH17" i="14"/>
  <c r="AG17" i="14"/>
  <c r="AF17" i="14"/>
  <c r="AE17" i="14"/>
  <c r="AD17" i="14"/>
  <c r="AC17" i="14"/>
  <c r="AB17" i="14"/>
  <c r="AA17" i="14"/>
  <c r="Z17" i="14"/>
  <c r="Y17" i="14"/>
  <c r="R17" i="14"/>
  <c r="O17" i="14"/>
  <c r="N17" i="14"/>
  <c r="M17" i="14"/>
  <c r="L17" i="14"/>
  <c r="K17" i="14"/>
  <c r="J17" i="14"/>
  <c r="G17" i="14"/>
  <c r="F17" i="14"/>
  <c r="AN16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Y16" i="14"/>
  <c r="R16" i="14"/>
  <c r="O16" i="14"/>
  <c r="N16" i="14"/>
  <c r="M16" i="14"/>
  <c r="L16" i="14"/>
  <c r="K16" i="14"/>
  <c r="J16" i="14"/>
  <c r="G16" i="14"/>
  <c r="F16" i="14"/>
  <c r="AN18" i="10"/>
  <c r="AM18" i="10"/>
  <c r="AL18" i="10"/>
  <c r="AK18" i="10"/>
  <c r="AJ18" i="10"/>
  <c r="AI18" i="10"/>
  <c r="AH18" i="10"/>
  <c r="AG18" i="10"/>
  <c r="AF18" i="10"/>
  <c r="AE18" i="10"/>
  <c r="AD18" i="10"/>
  <c r="AC18" i="10"/>
  <c r="AB18" i="10"/>
  <c r="D4" i="41" s="1"/>
  <c r="AQ6" i="10" s="1"/>
  <c r="AA18" i="10"/>
  <c r="E4" i="41"/>
  <c r="AQ5" i="10" s="1"/>
  <c r="Z18" i="10"/>
  <c r="C4" i="41" s="1"/>
  <c r="Y18" i="10"/>
  <c r="B4" i="41"/>
  <c r="AQ3" i="10" s="1"/>
  <c r="R18" i="10"/>
  <c r="Q18" i="10"/>
  <c r="P18" i="10"/>
  <c r="O18" i="10"/>
  <c r="N18" i="10"/>
  <c r="M18" i="10"/>
  <c r="L18" i="10"/>
  <c r="K18" i="10"/>
  <c r="J18" i="10"/>
  <c r="I4" i="41" s="1"/>
  <c r="AQ9" i="10" s="1"/>
  <c r="I18" i="10"/>
  <c r="H18" i="10"/>
  <c r="G18" i="10"/>
  <c r="H4" i="41"/>
  <c r="AQ8" i="10" s="1"/>
  <c r="F18" i="10"/>
  <c r="G4" i="41" s="1"/>
  <c r="AQ7" i="10" s="1"/>
  <c r="AN16" i="10"/>
  <c r="AM16" i="10"/>
  <c r="AM17" i="10" s="1"/>
  <c r="AL16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R16" i="10"/>
  <c r="O16" i="10"/>
  <c r="N16" i="10"/>
  <c r="M16" i="10"/>
  <c r="L16" i="10"/>
  <c r="K16" i="10"/>
  <c r="J16" i="10"/>
  <c r="G16" i="10"/>
  <c r="G17" i="10" s="1"/>
  <c r="H29" i="41" s="1"/>
  <c r="AT8" i="10" s="1"/>
  <c r="F16" i="10"/>
  <c r="AN15" i="10"/>
  <c r="AN17" i="10" s="1"/>
  <c r="AM15" i="10"/>
  <c r="AL15" i="10"/>
  <c r="AL17" i="10" s="1"/>
  <c r="AK15" i="10"/>
  <c r="AJ15" i="10"/>
  <c r="AJ17" i="10" s="1"/>
  <c r="AI15" i="10"/>
  <c r="AI17" i="10" s="1"/>
  <c r="AH15" i="10"/>
  <c r="AH17" i="10" s="1"/>
  <c r="AG15" i="10"/>
  <c r="AF15" i="10"/>
  <c r="AF17" i="10" s="1"/>
  <c r="AE15" i="10"/>
  <c r="AE17" i="10"/>
  <c r="AD15" i="10"/>
  <c r="AC15" i="10"/>
  <c r="AC17" i="10" s="1"/>
  <c r="AB15" i="10"/>
  <c r="AA15" i="10"/>
  <c r="D73" i="37" s="1"/>
  <c r="M73" i="37" s="1"/>
  <c r="Z15" i="10"/>
  <c r="C73" i="37"/>
  <c r="Y15" i="10"/>
  <c r="B73" i="37"/>
  <c r="R15" i="10"/>
  <c r="Q15" i="10"/>
  <c r="Q17" i="10" s="1"/>
  <c r="P15" i="10"/>
  <c r="H2" i="40" s="1"/>
  <c r="O15" i="10"/>
  <c r="N15" i="10"/>
  <c r="N17" i="10"/>
  <c r="S4" i="39" s="1"/>
  <c r="M15" i="10"/>
  <c r="M17" i="10"/>
  <c r="L15" i="10"/>
  <c r="K15" i="10"/>
  <c r="J15" i="10"/>
  <c r="I15" i="10"/>
  <c r="I17" i="10" s="1"/>
  <c r="H15" i="10"/>
  <c r="D2" i="40"/>
  <c r="G15" i="10"/>
  <c r="G73" i="37"/>
  <c r="F15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R14" i="10"/>
  <c r="O14" i="10"/>
  <c r="N14" i="10"/>
  <c r="M14" i="10"/>
  <c r="L14" i="10"/>
  <c r="K14" i="10"/>
  <c r="J14" i="10"/>
  <c r="G14" i="10"/>
  <c r="F14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D3" i="41" s="1"/>
  <c r="AQ6" i="9" s="1"/>
  <c r="AA16" i="9"/>
  <c r="E3" i="41"/>
  <c r="AQ5" i="9" s="1"/>
  <c r="Z16" i="9"/>
  <c r="C3" i="41" s="1"/>
  <c r="Y16" i="9"/>
  <c r="B3" i="41"/>
  <c r="AQ3" i="9" s="1"/>
  <c r="R16" i="9"/>
  <c r="Q16" i="9"/>
  <c r="P16" i="9"/>
  <c r="O16" i="9"/>
  <c r="N16" i="9"/>
  <c r="M16" i="9"/>
  <c r="L16" i="9"/>
  <c r="K16" i="9"/>
  <c r="J16" i="9"/>
  <c r="I3" i="41"/>
  <c r="AQ9" i="9" s="1"/>
  <c r="I16" i="9"/>
  <c r="H16" i="9"/>
  <c r="G16" i="9"/>
  <c r="H3" i="41" s="1"/>
  <c r="AQ8" i="9" s="1"/>
  <c r="F16" i="9"/>
  <c r="G3" i="41"/>
  <c r="AQ7" i="9" s="1"/>
  <c r="AN13" i="9"/>
  <c r="AM13" i="9"/>
  <c r="AL13" i="9"/>
  <c r="AK13" i="9"/>
  <c r="AK15" i="9"/>
  <c r="AJ13" i="9"/>
  <c r="AI13" i="9"/>
  <c r="AH13" i="9"/>
  <c r="AG13" i="9"/>
  <c r="AG15" i="9" s="1"/>
  <c r="AF13" i="9"/>
  <c r="AE13" i="9"/>
  <c r="AD13" i="9"/>
  <c r="AD15" i="9" s="1"/>
  <c r="AC13" i="9"/>
  <c r="AC15" i="9"/>
  <c r="AB13" i="9"/>
  <c r="E55" i="37"/>
  <c r="AA13" i="9"/>
  <c r="D55" i="37"/>
  <c r="Z13" i="9"/>
  <c r="C55" i="37"/>
  <c r="M55" i="37" s="1"/>
  <c r="Y13" i="9"/>
  <c r="B55" i="37"/>
  <c r="R13" i="9"/>
  <c r="J55" i="37"/>
  <c r="Q13" i="9"/>
  <c r="Q15" i="9"/>
  <c r="P13" i="9"/>
  <c r="H10" i="40"/>
  <c r="O13" i="9"/>
  <c r="O15" i="9"/>
  <c r="T3" i="39" s="1"/>
  <c r="N13" i="9"/>
  <c r="M13" i="9"/>
  <c r="M15" i="9" s="1"/>
  <c r="L13" i="9"/>
  <c r="K13" i="9"/>
  <c r="K15" i="9" s="1"/>
  <c r="J13" i="9"/>
  <c r="I55" i="37" s="1"/>
  <c r="K55" i="37" s="1"/>
  <c r="I13" i="9"/>
  <c r="I15" i="9" s="1"/>
  <c r="H13" i="9"/>
  <c r="D8" i="40" s="1"/>
  <c r="G13" i="9"/>
  <c r="G55" i="37" s="1"/>
  <c r="F13" i="9"/>
  <c r="F55" i="37" s="1"/>
  <c r="H55" i="37" s="1"/>
  <c r="Z12" i="9"/>
  <c r="Y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R12" i="9"/>
  <c r="O12" i="9"/>
  <c r="N12" i="9"/>
  <c r="M12" i="9"/>
  <c r="L12" i="9"/>
  <c r="K12" i="9"/>
  <c r="J12" i="9"/>
  <c r="G12" i="9"/>
  <c r="F12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Y16" i="36"/>
  <c r="Z16" i="36"/>
  <c r="AG17" i="10"/>
  <c r="L17" i="10"/>
  <c r="AK17" i="10"/>
  <c r="AD17" i="10"/>
  <c r="N20" i="14"/>
  <c r="B15" i="39" s="1"/>
  <c r="F15" i="39" s="1"/>
  <c r="AB20" i="14"/>
  <c r="D30" i="41" s="1"/>
  <c r="AT6" i="14" s="1"/>
  <c r="AH20" i="14"/>
  <c r="AH15" i="9"/>
  <c r="AL15" i="9"/>
  <c r="AE15" i="9"/>
  <c r="AI15" i="9"/>
  <c r="AM15" i="9"/>
  <c r="AA20" i="14"/>
  <c r="E30" i="41" s="1"/>
  <c r="AT5" i="14" s="1"/>
  <c r="B20" i="40"/>
  <c r="O17" i="10"/>
  <c r="T4" i="39" s="1"/>
  <c r="AD20" i="14"/>
  <c r="Z20" i="14"/>
  <c r="C30" i="41"/>
  <c r="AT4" i="14" s="1"/>
  <c r="C36" i="37"/>
  <c r="M36" i="37" s="1"/>
  <c r="AN15" i="9"/>
  <c r="AJ15" i="9"/>
  <c r="AF15" i="9"/>
  <c r="AB15" i="9"/>
  <c r="D28" i="41"/>
  <c r="AT6" i="9" s="1"/>
  <c r="AA15" i="9"/>
  <c r="E28" i="41" s="1"/>
  <c r="Z15" i="9"/>
  <c r="C28" i="41"/>
  <c r="AB17" i="10"/>
  <c r="D29" i="41"/>
  <c r="AT6" i="10" s="1"/>
  <c r="E73" i="37"/>
  <c r="Z17" i="10"/>
  <c r="C29" i="41"/>
  <c r="AT4" i="10" s="1"/>
  <c r="Y17" i="10"/>
  <c r="B29" i="41" s="1"/>
  <c r="AT3" i="10" s="1"/>
  <c r="K17" i="10"/>
  <c r="L15" i="9"/>
  <c r="N15" i="9"/>
  <c r="S3" i="39" s="1"/>
  <c r="Y15" i="9"/>
  <c r="B28" i="41" s="1"/>
  <c r="AQ3" i="14"/>
  <c r="R15" i="9"/>
  <c r="F11" i="40"/>
  <c r="P20" i="14"/>
  <c r="S5" i="39"/>
  <c r="L36" i="37"/>
  <c r="I36" i="37"/>
  <c r="D17" i="40"/>
  <c r="J36" i="37"/>
  <c r="F20" i="40"/>
  <c r="G20" i="14"/>
  <c r="H30" i="41"/>
  <c r="AT8" i="14" s="1"/>
  <c r="G36" i="37"/>
  <c r="T5" i="39"/>
  <c r="J17" i="10"/>
  <c r="I73" i="37"/>
  <c r="L73" i="37"/>
  <c r="H17" i="10"/>
  <c r="R17" i="10"/>
  <c r="F8" i="40" s="1"/>
  <c r="J73" i="37"/>
  <c r="D9" i="39"/>
  <c r="L55" i="37"/>
  <c r="G15" i="9"/>
  <c r="H28" i="41" s="1"/>
  <c r="H15" i="9"/>
  <c r="P15" i="9"/>
  <c r="F17" i="10"/>
  <c r="G29" i="41"/>
  <c r="AT7" i="10" s="1"/>
  <c r="F73" i="37"/>
  <c r="H73" i="37" s="1"/>
  <c r="Y20" i="14"/>
  <c r="B30" i="41" s="1"/>
  <c r="AT3" i="14" s="1"/>
  <c r="AC20" i="14"/>
  <c r="AG20" i="14"/>
  <c r="AK20" i="14"/>
  <c r="L20" i="14"/>
  <c r="O97" i="37"/>
  <c r="N97" i="37"/>
  <c r="G97" i="37"/>
  <c r="F97" i="37"/>
  <c r="M75" i="37"/>
  <c r="H37" i="37"/>
  <c r="H34" i="37"/>
  <c r="K17" i="37"/>
  <c r="K15" i="37"/>
  <c r="AT4" i="9"/>
  <c r="K73" i="37"/>
  <c r="I29" i="41"/>
  <c r="AT9" i="10"/>
  <c r="B6" i="40"/>
  <c r="H57" i="37"/>
  <c r="M17" i="37"/>
  <c r="H72" i="37"/>
  <c r="K75" i="37"/>
  <c r="K76" i="37"/>
  <c r="K72" i="37"/>
  <c r="H18" i="37"/>
  <c r="K14" i="37"/>
  <c r="H56" i="37"/>
  <c r="H76" i="37"/>
  <c r="K36" i="37"/>
  <c r="H54" i="37"/>
  <c r="K33" i="37"/>
  <c r="P97" i="37"/>
  <c r="M56" i="37"/>
  <c r="K56" i="37"/>
  <c r="F11" i="23"/>
  <c r="AN16" i="36"/>
  <c r="AM16" i="36"/>
  <c r="AL16" i="36"/>
  <c r="AK16" i="36"/>
  <c r="AJ16" i="36"/>
  <c r="AI16" i="36"/>
  <c r="AH16" i="36"/>
  <c r="AG16" i="36"/>
  <c r="AF16" i="36"/>
  <c r="AE16" i="36"/>
  <c r="AD16" i="36"/>
  <c r="AC16" i="36"/>
  <c r="AB16" i="36"/>
  <c r="AA16" i="36"/>
  <c r="R16" i="36"/>
  <c r="Q16" i="36"/>
  <c r="P16" i="36"/>
  <c r="O16" i="36"/>
  <c r="N16" i="36"/>
  <c r="M16" i="36"/>
  <c r="L16" i="36"/>
  <c r="K16" i="36"/>
  <c r="J16" i="36"/>
  <c r="I16" i="36"/>
  <c r="H16" i="36"/>
  <c r="G16" i="36"/>
  <c r="F16" i="36"/>
  <c r="AN16" i="29"/>
  <c r="AM16" i="29"/>
  <c r="AL16" i="29"/>
  <c r="AK16" i="29"/>
  <c r="AJ16" i="29"/>
  <c r="AI16" i="29"/>
  <c r="AH16" i="29"/>
  <c r="AG16" i="29"/>
  <c r="AF16" i="29"/>
  <c r="AE16" i="29"/>
  <c r="AD16" i="29"/>
  <c r="AC16" i="29"/>
  <c r="AB16" i="29"/>
  <c r="AA16" i="29"/>
  <c r="Z16" i="29"/>
  <c r="Y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G15" i="36"/>
  <c r="F15" i="36"/>
  <c r="AN21" i="17"/>
  <c r="AM21" i="17"/>
  <c r="AL21" i="17"/>
  <c r="AK21" i="17"/>
  <c r="AJ21" i="17"/>
  <c r="AI21" i="17"/>
  <c r="AH21" i="17"/>
  <c r="AG21" i="17"/>
  <c r="AF21" i="17"/>
  <c r="AE21" i="17"/>
  <c r="AD21" i="17"/>
  <c r="AC21" i="17"/>
  <c r="AB21" i="17"/>
  <c r="D11" i="41"/>
  <c r="AQ6" i="17" s="1"/>
  <c r="AA21" i="17"/>
  <c r="E11" i="41" s="1"/>
  <c r="AQ5" i="17" s="1"/>
  <c r="Z21" i="17"/>
  <c r="C11" i="41"/>
  <c r="F11" i="41" s="1"/>
  <c r="Y21" i="17"/>
  <c r="B11" i="41"/>
  <c r="AQ3" i="17" s="1"/>
  <c r="R21" i="17"/>
  <c r="Q21" i="17"/>
  <c r="P21" i="17"/>
  <c r="O21" i="17"/>
  <c r="N21" i="17"/>
  <c r="M21" i="17"/>
  <c r="L21" i="17"/>
  <c r="K21" i="17"/>
  <c r="J21" i="17"/>
  <c r="I11" i="41" s="1"/>
  <c r="AQ9" i="17" s="1"/>
  <c r="I21" i="17"/>
  <c r="H21" i="17"/>
  <c r="G21" i="17"/>
  <c r="H11" i="41"/>
  <c r="AQ8" i="17" s="1"/>
  <c r="F21" i="17"/>
  <c r="G11" i="41" s="1"/>
  <c r="AQ7" i="17" s="1"/>
  <c r="AN17" i="17"/>
  <c r="AM17" i="17"/>
  <c r="AL17" i="17"/>
  <c r="AK17" i="17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R17" i="17"/>
  <c r="O17" i="17"/>
  <c r="N17" i="17"/>
  <c r="M17" i="17"/>
  <c r="L17" i="17"/>
  <c r="K17" i="17"/>
  <c r="J17" i="17"/>
  <c r="G17" i="17"/>
  <c r="F17" i="17"/>
  <c r="AN16" i="17"/>
  <c r="AM16" i="17"/>
  <c r="AL16" i="17"/>
  <c r="AK16" i="17"/>
  <c r="AJ16" i="17"/>
  <c r="AI16" i="17"/>
  <c r="AH16" i="17"/>
  <c r="AG16" i="17"/>
  <c r="AF16" i="17"/>
  <c r="AE16" i="17"/>
  <c r="AD16" i="17"/>
  <c r="AC16" i="17"/>
  <c r="AB16" i="17"/>
  <c r="AA16" i="17"/>
  <c r="Z16" i="17"/>
  <c r="Y16" i="17"/>
  <c r="R16" i="17"/>
  <c r="Q16" i="17"/>
  <c r="P16" i="17"/>
  <c r="O16" i="17"/>
  <c r="N16" i="17"/>
  <c r="B4" i="32" s="1"/>
  <c r="M16" i="17"/>
  <c r="L16" i="17"/>
  <c r="K16" i="17"/>
  <c r="J16" i="17"/>
  <c r="N7" i="31" s="1"/>
  <c r="I16" i="17"/>
  <c r="H16" i="17"/>
  <c r="K7" i="31" s="1"/>
  <c r="G16" i="17"/>
  <c r="F16" i="17"/>
  <c r="H7" i="31" s="1"/>
  <c r="J7" i="31" s="1"/>
  <c r="AN21" i="25"/>
  <c r="AM21" i="25"/>
  <c r="AL21" i="25"/>
  <c r="AK21" i="25"/>
  <c r="AJ21" i="25"/>
  <c r="AI21" i="25"/>
  <c r="AH21" i="25"/>
  <c r="AG21" i="25"/>
  <c r="AF21" i="25"/>
  <c r="AE21" i="25"/>
  <c r="AD21" i="25"/>
  <c r="AC21" i="25"/>
  <c r="AB21" i="25"/>
  <c r="D18" i="41"/>
  <c r="AQ6" i="25" s="1"/>
  <c r="AA21" i="25"/>
  <c r="E18" i="41" s="1"/>
  <c r="AQ5" i="25" s="1"/>
  <c r="Z21" i="25"/>
  <c r="C18" i="41" s="1"/>
  <c r="AQ4" i="25" s="1"/>
  <c r="Y21" i="25"/>
  <c r="B18" i="41" s="1"/>
  <c r="AQ3" i="25" s="1"/>
  <c r="R21" i="25"/>
  <c r="Q21" i="25"/>
  <c r="P21" i="25"/>
  <c r="O21" i="25"/>
  <c r="N21" i="25"/>
  <c r="M21" i="25"/>
  <c r="L21" i="25"/>
  <c r="K21" i="25"/>
  <c r="J21" i="25"/>
  <c r="I18" i="41" s="1"/>
  <c r="AQ9" i="25" s="1"/>
  <c r="I21" i="25"/>
  <c r="H21" i="25"/>
  <c r="G21" i="25"/>
  <c r="H18" i="41"/>
  <c r="AQ8" i="25" s="1"/>
  <c r="F21" i="25"/>
  <c r="G18" i="41" s="1"/>
  <c r="AQ7" i="25" s="1"/>
  <c r="AN17" i="25"/>
  <c r="AM17" i="25"/>
  <c r="AL17" i="25"/>
  <c r="AK17" i="25"/>
  <c r="AJ17" i="25"/>
  <c r="AI17" i="25"/>
  <c r="AH17" i="25"/>
  <c r="AG17" i="25"/>
  <c r="AF17" i="25"/>
  <c r="AE17" i="25"/>
  <c r="AD17" i="25"/>
  <c r="AC17" i="25"/>
  <c r="AB17" i="25"/>
  <c r="AA17" i="25"/>
  <c r="Z17" i="25"/>
  <c r="Y17" i="25"/>
  <c r="R17" i="25"/>
  <c r="O17" i="25"/>
  <c r="N17" i="25"/>
  <c r="M17" i="25"/>
  <c r="L17" i="25"/>
  <c r="K17" i="25"/>
  <c r="J17" i="25"/>
  <c r="G17" i="25"/>
  <c r="F17" i="25"/>
  <c r="R8" i="32"/>
  <c r="AQ4" i="17"/>
  <c r="AN24" i="30"/>
  <c r="AM24" i="30"/>
  <c r="AL24" i="30"/>
  <c r="AK24" i="30"/>
  <c r="AJ24" i="30"/>
  <c r="AI24" i="30"/>
  <c r="AH24" i="30"/>
  <c r="AG24" i="30"/>
  <c r="AF24" i="30"/>
  <c r="AE24" i="30"/>
  <c r="AD24" i="30"/>
  <c r="AC24" i="30"/>
  <c r="AB24" i="30"/>
  <c r="D23" i="41" s="1"/>
  <c r="AQ6" i="30" s="1"/>
  <c r="AA24" i="30"/>
  <c r="E23" i="41"/>
  <c r="AQ5" i="30" s="1"/>
  <c r="Z24" i="30"/>
  <c r="C23" i="41" s="1"/>
  <c r="Y24" i="30"/>
  <c r="B23" i="41"/>
  <c r="AQ3" i="30" s="1"/>
  <c r="R24" i="30"/>
  <c r="Q24" i="30"/>
  <c r="P24" i="30"/>
  <c r="O24" i="30"/>
  <c r="N24" i="30"/>
  <c r="M24" i="30"/>
  <c r="L24" i="30"/>
  <c r="K24" i="30"/>
  <c r="J24" i="30"/>
  <c r="I23" i="41"/>
  <c r="AQ9" i="30" s="1"/>
  <c r="I24" i="30"/>
  <c r="H24" i="30"/>
  <c r="G24" i="30"/>
  <c r="H23" i="41" s="1"/>
  <c r="AQ8" i="30" s="1"/>
  <c r="F24" i="30"/>
  <c r="G23" i="41"/>
  <c r="AQ7" i="30" s="1"/>
  <c r="AN20" i="30"/>
  <c r="AM20" i="30"/>
  <c r="AL20" i="30"/>
  <c r="AK20" i="30"/>
  <c r="AJ20" i="30"/>
  <c r="AI20" i="30"/>
  <c r="AH20" i="30"/>
  <c r="AG20" i="30"/>
  <c r="AF20" i="30"/>
  <c r="AE20" i="30"/>
  <c r="AD20" i="30"/>
  <c r="AC20" i="30"/>
  <c r="AB20" i="30"/>
  <c r="AA20" i="30"/>
  <c r="Z20" i="30"/>
  <c r="Y20" i="30"/>
  <c r="R20" i="30"/>
  <c r="O20" i="30"/>
  <c r="N20" i="30"/>
  <c r="M20" i="30"/>
  <c r="L20" i="30"/>
  <c r="K20" i="30"/>
  <c r="J20" i="30"/>
  <c r="G20" i="30"/>
  <c r="F20" i="30"/>
  <c r="AN18" i="16"/>
  <c r="AM18" i="16"/>
  <c r="AL18" i="16"/>
  <c r="AK18" i="16"/>
  <c r="AJ18" i="16"/>
  <c r="AI18" i="16"/>
  <c r="AH18" i="16"/>
  <c r="AG18" i="16"/>
  <c r="AF18" i="16"/>
  <c r="AE18" i="16"/>
  <c r="AD18" i="16"/>
  <c r="AC18" i="16"/>
  <c r="AB18" i="16"/>
  <c r="AA18" i="16"/>
  <c r="Z18" i="16"/>
  <c r="Y18" i="16"/>
  <c r="R18" i="16"/>
  <c r="O18" i="16"/>
  <c r="N18" i="16"/>
  <c r="M18" i="16"/>
  <c r="L18" i="16"/>
  <c r="K18" i="16"/>
  <c r="J18" i="16"/>
  <c r="G18" i="16"/>
  <c r="F18" i="16"/>
  <c r="AN17" i="13"/>
  <c r="AM17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Y17" i="13"/>
  <c r="R17" i="13"/>
  <c r="O17" i="13"/>
  <c r="N17" i="13"/>
  <c r="M17" i="13"/>
  <c r="L17" i="13"/>
  <c r="K17" i="13"/>
  <c r="J17" i="13"/>
  <c r="G17" i="13"/>
  <c r="F17" i="13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R20" i="11"/>
  <c r="O20" i="11"/>
  <c r="N20" i="11"/>
  <c r="M20" i="11"/>
  <c r="L20" i="11"/>
  <c r="K20" i="11"/>
  <c r="J20" i="11"/>
  <c r="G20" i="11"/>
  <c r="F20" i="11"/>
  <c r="H5" i="31"/>
  <c r="I5" i="31"/>
  <c r="AN12" i="18"/>
  <c r="AM12" i="18"/>
  <c r="AL12" i="18"/>
  <c r="AK12" i="18"/>
  <c r="AJ12" i="18"/>
  <c r="AI12" i="18"/>
  <c r="AH12" i="18"/>
  <c r="AG12" i="18"/>
  <c r="AF12" i="18"/>
  <c r="AE12" i="18"/>
  <c r="AD12" i="18"/>
  <c r="AC12" i="18"/>
  <c r="AB12" i="18"/>
  <c r="AA12" i="18"/>
  <c r="Z12" i="18"/>
  <c r="Y12" i="18"/>
  <c r="R12" i="18"/>
  <c r="O12" i="18"/>
  <c r="N12" i="18"/>
  <c r="M12" i="18"/>
  <c r="L12" i="18"/>
  <c r="K12" i="18"/>
  <c r="J12" i="18"/>
  <c r="G12" i="18"/>
  <c r="F12" i="18"/>
  <c r="G2" i="31"/>
  <c r="F2" i="31"/>
  <c r="E2" i="31"/>
  <c r="D2" i="31"/>
  <c r="O2" i="31"/>
  <c r="D5" i="32"/>
  <c r="F5" i="32" s="1"/>
  <c r="B5" i="32"/>
  <c r="N2" i="31"/>
  <c r="L2" i="31"/>
  <c r="K2" i="31"/>
  <c r="I2" i="31"/>
  <c r="H2" i="31"/>
  <c r="G6" i="31"/>
  <c r="G8" i="31" s="1"/>
  <c r="F6" i="31"/>
  <c r="E6" i="31"/>
  <c r="D6" i="31"/>
  <c r="O6" i="31"/>
  <c r="D7" i="32"/>
  <c r="F7" i="32" s="1"/>
  <c r="B7" i="32"/>
  <c r="N6" i="31"/>
  <c r="L6" i="31"/>
  <c r="K6" i="31"/>
  <c r="I6" i="31"/>
  <c r="H6" i="31"/>
  <c r="J6" i="31" s="1"/>
  <c r="G5" i="31"/>
  <c r="F5" i="31"/>
  <c r="E5" i="31"/>
  <c r="P5" i="31" s="1"/>
  <c r="D5" i="31"/>
  <c r="O5" i="31"/>
  <c r="D8" i="32"/>
  <c r="B8" i="32"/>
  <c r="N5" i="31"/>
  <c r="L5" i="31"/>
  <c r="K5" i="31"/>
  <c r="F3" i="31"/>
  <c r="O3" i="31"/>
  <c r="D6" i="32"/>
  <c r="B6" i="32"/>
  <c r="F6" i="32" s="1"/>
  <c r="N3" i="31"/>
  <c r="L3" i="31"/>
  <c r="L8" i="31" s="1"/>
  <c r="K3" i="31"/>
  <c r="P3" i="31" s="1"/>
  <c r="I3" i="31"/>
  <c r="J3" i="31" s="1"/>
  <c r="H3" i="31"/>
  <c r="F4" i="31"/>
  <c r="E8" i="31"/>
  <c r="O4" i="31"/>
  <c r="D3" i="32"/>
  <c r="D9" i="32" s="1"/>
  <c r="B3" i="32"/>
  <c r="F3" i="32" s="1"/>
  <c r="N4" i="31"/>
  <c r="L4" i="31"/>
  <c r="K4" i="31"/>
  <c r="P4" i="31" s="1"/>
  <c r="I4" i="31"/>
  <c r="H4" i="31"/>
  <c r="G7" i="31"/>
  <c r="F7" i="31"/>
  <c r="E7" i="31"/>
  <c r="P7" i="31" s="1"/>
  <c r="D7" i="31"/>
  <c r="O7" i="31"/>
  <c r="D4" i="32"/>
  <c r="L7" i="31"/>
  <c r="I7" i="31"/>
  <c r="AN13" i="27"/>
  <c r="AM13" i="27"/>
  <c r="AL13" i="27"/>
  <c r="AK13" i="27"/>
  <c r="AJ13" i="27"/>
  <c r="AI13" i="27"/>
  <c r="AH13" i="27"/>
  <c r="AG13" i="27"/>
  <c r="AF13" i="27"/>
  <c r="AE13" i="27"/>
  <c r="AD13" i="27"/>
  <c r="AC13" i="27"/>
  <c r="AB13" i="27"/>
  <c r="AA13" i="27"/>
  <c r="R13" i="27"/>
  <c r="O13" i="27"/>
  <c r="N13" i="27"/>
  <c r="M13" i="27"/>
  <c r="L13" i="27"/>
  <c r="K13" i="27"/>
  <c r="J13" i="27"/>
  <c r="G13" i="27"/>
  <c r="F13" i="27"/>
  <c r="AN12" i="23"/>
  <c r="AM12" i="23"/>
  <c r="AL12" i="23"/>
  <c r="AK12" i="23"/>
  <c r="AJ12" i="23"/>
  <c r="AI12" i="23"/>
  <c r="AH12" i="23"/>
  <c r="AG12" i="23"/>
  <c r="AF12" i="23"/>
  <c r="AE12" i="23"/>
  <c r="AD12" i="23"/>
  <c r="AC12" i="23"/>
  <c r="AB12" i="23"/>
  <c r="AA12" i="23"/>
  <c r="Z12" i="23"/>
  <c r="Y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AM21" i="28"/>
  <c r="AL21" i="28"/>
  <c r="AK21" i="28"/>
  <c r="AJ21" i="28"/>
  <c r="AI21" i="28"/>
  <c r="AH21" i="28"/>
  <c r="AG21" i="28"/>
  <c r="AF21" i="28"/>
  <c r="AE21" i="28"/>
  <c r="AD21" i="28"/>
  <c r="AC21" i="28"/>
  <c r="AB21" i="28"/>
  <c r="D21" i="41"/>
  <c r="AQ6" i="28" s="1"/>
  <c r="AA21" i="28"/>
  <c r="E21" i="41" s="1"/>
  <c r="Z21" i="28"/>
  <c r="C21" i="41"/>
  <c r="AQ4" i="28" s="1"/>
  <c r="Y21" i="28"/>
  <c r="B21" i="41" s="1"/>
  <c r="AQ3" i="28" s="1"/>
  <c r="R21" i="28"/>
  <c r="Q21" i="28"/>
  <c r="P21" i="28"/>
  <c r="O21" i="28"/>
  <c r="N21" i="28"/>
  <c r="M21" i="28"/>
  <c r="L21" i="28"/>
  <c r="K21" i="28"/>
  <c r="J21" i="28"/>
  <c r="I21" i="41" s="1"/>
  <c r="AQ9" i="28" s="1"/>
  <c r="I21" i="28"/>
  <c r="H21" i="28"/>
  <c r="G21" i="28"/>
  <c r="H21" i="41"/>
  <c r="AQ8" i="28" s="1"/>
  <c r="F21" i="28"/>
  <c r="G21" i="41" s="1"/>
  <c r="AQ7" i="28" s="1"/>
  <c r="AN21" i="13"/>
  <c r="AM21" i="13"/>
  <c r="AL21" i="13"/>
  <c r="AK21" i="13"/>
  <c r="AJ21" i="13"/>
  <c r="AI21" i="13"/>
  <c r="AH21" i="13"/>
  <c r="AG21" i="13"/>
  <c r="AF21" i="13"/>
  <c r="AE21" i="13"/>
  <c r="AD21" i="13"/>
  <c r="AC21" i="13"/>
  <c r="AB21" i="13"/>
  <c r="D8" i="41"/>
  <c r="AQ6" i="13" s="1"/>
  <c r="AA21" i="13"/>
  <c r="E8" i="41" s="1"/>
  <c r="Z21" i="13"/>
  <c r="C8" i="41"/>
  <c r="AQ4" i="13" s="1"/>
  <c r="Y21" i="13"/>
  <c r="B8" i="41" s="1"/>
  <c r="AQ3" i="13" s="1"/>
  <c r="R21" i="13"/>
  <c r="Q21" i="13"/>
  <c r="P21" i="13"/>
  <c r="O21" i="13"/>
  <c r="N21" i="13"/>
  <c r="M21" i="13"/>
  <c r="L21" i="13"/>
  <c r="K21" i="13"/>
  <c r="J21" i="13"/>
  <c r="I8" i="41" s="1"/>
  <c r="AQ9" i="13" s="1"/>
  <c r="I21" i="13"/>
  <c r="H21" i="13"/>
  <c r="G21" i="13"/>
  <c r="H8" i="41"/>
  <c r="AQ8" i="13" s="1"/>
  <c r="F21" i="13"/>
  <c r="G8" i="41" s="1"/>
  <c r="AQ7" i="13" s="1"/>
  <c r="O8" i="32"/>
  <c r="Q8" i="32" s="1"/>
  <c r="P19" i="32"/>
  <c r="R19" i="32" s="1"/>
  <c r="O6" i="32"/>
  <c r="P21" i="32"/>
  <c r="P17" i="32"/>
  <c r="P10" i="32"/>
  <c r="O7" i="32"/>
  <c r="O5" i="32"/>
  <c r="R5" i="32" s="1"/>
  <c r="O9" i="32"/>
  <c r="N10" i="32"/>
  <c r="M10" i="32"/>
  <c r="L10" i="32"/>
  <c r="K10" i="32"/>
  <c r="J10" i="32"/>
  <c r="I10" i="32"/>
  <c r="O4" i="32"/>
  <c r="Q4" i="32" s="1"/>
  <c r="K22" i="32"/>
  <c r="P16" i="32"/>
  <c r="R16" i="32" s="1"/>
  <c r="P18" i="32"/>
  <c r="P20" i="32"/>
  <c r="R20" i="32" s="1"/>
  <c r="J22" i="32"/>
  <c r="O22" i="32"/>
  <c r="N22" i="32"/>
  <c r="M22" i="32"/>
  <c r="L22" i="32"/>
  <c r="F8" i="32"/>
  <c r="P2" i="31"/>
  <c r="M8" i="31"/>
  <c r="D8" i="31"/>
  <c r="J5" i="31"/>
  <c r="Q19" i="32"/>
  <c r="R18" i="32"/>
  <c r="Q18" i="32"/>
  <c r="F16" i="41"/>
  <c r="F17" i="41"/>
  <c r="T7" i="39" l="1"/>
  <c r="D16" i="39"/>
  <c r="L74" i="37"/>
  <c r="M74" i="37" s="1"/>
  <c r="B74" i="37"/>
  <c r="L15" i="12"/>
  <c r="F7" i="41"/>
  <c r="H74" i="37"/>
  <c r="F45" i="41"/>
  <c r="S17" i="39"/>
  <c r="B5" i="39"/>
  <c r="T17" i="39"/>
  <c r="D5" i="39"/>
  <c r="I16" i="37"/>
  <c r="E16" i="37"/>
  <c r="AK20" i="25"/>
  <c r="O8" i="31"/>
  <c r="P6" i="31"/>
  <c r="F20" i="25"/>
  <c r="G45" i="41" s="1"/>
  <c r="AT7" i="25" s="1"/>
  <c r="AN20" i="25"/>
  <c r="L16" i="37"/>
  <c r="M16" i="37" s="1"/>
  <c r="M20" i="25"/>
  <c r="AG20" i="25"/>
  <c r="J4" i="31"/>
  <c r="I8" i="31"/>
  <c r="M53" i="37"/>
  <c r="AA23" i="11"/>
  <c r="E31" i="41" s="1"/>
  <c r="AT5" i="11" s="1"/>
  <c r="Y23" i="11"/>
  <c r="B31" i="41" s="1"/>
  <c r="AT3" i="11" s="1"/>
  <c r="R106" i="37"/>
  <c r="F10" i="39"/>
  <c r="B8" i="39"/>
  <c r="F8" i="39" s="1"/>
  <c r="S18" i="39"/>
  <c r="I46" i="41"/>
  <c r="AT9" i="26" s="1"/>
  <c r="M19" i="26"/>
  <c r="K19" i="26"/>
  <c r="AM19" i="26"/>
  <c r="AL19" i="26"/>
  <c r="AK19" i="26"/>
  <c r="AI19" i="26"/>
  <c r="AE19" i="26"/>
  <c r="AK23" i="11"/>
  <c r="AG23" i="11"/>
  <c r="AC23" i="11"/>
  <c r="F3" i="39"/>
  <c r="J23" i="11"/>
  <c r="F8" i="41"/>
  <c r="AQ5" i="13"/>
  <c r="F21" i="41"/>
  <c r="AQ5" i="28"/>
  <c r="K8" i="31"/>
  <c r="P8" i="31"/>
  <c r="B53" i="41"/>
  <c r="AT3" i="9"/>
  <c r="F28" i="41"/>
  <c r="AT5" i="9"/>
  <c r="AQ4" i="10"/>
  <c r="F4" i="41"/>
  <c r="R10" i="32"/>
  <c r="B9" i="32"/>
  <c r="F4" i="32"/>
  <c r="AT8" i="9"/>
  <c r="AQ4" i="9"/>
  <c r="F3" i="41"/>
  <c r="R104" i="37"/>
  <c r="H8" i="31"/>
  <c r="N8" i="31"/>
  <c r="AQ4" i="30"/>
  <c r="F23" i="41"/>
  <c r="Q20" i="32"/>
  <c r="R7" i="39"/>
  <c r="Q7" i="39"/>
  <c r="R13" i="39"/>
  <c r="Q13" i="39"/>
  <c r="R23" i="11"/>
  <c r="J53" i="37"/>
  <c r="K53" i="37" s="1"/>
  <c r="S7" i="39"/>
  <c r="B16" i="39"/>
  <c r="R15" i="12"/>
  <c r="F13" i="40" s="1"/>
  <c r="J74" i="37"/>
  <c r="AT4" i="17"/>
  <c r="F36" i="41"/>
  <c r="F21" i="16"/>
  <c r="G35" i="41" s="1"/>
  <c r="AT7" i="16" s="1"/>
  <c r="F15" i="37"/>
  <c r="H15" i="37" s="1"/>
  <c r="J35" i="37"/>
  <c r="K35" i="37" s="1"/>
  <c r="R20" i="17"/>
  <c r="F10" i="40" s="1"/>
  <c r="AQ4" i="18"/>
  <c r="F12" i="41"/>
  <c r="S14" i="39"/>
  <c r="B18" i="39"/>
  <c r="F18" i="39" s="1"/>
  <c r="D37" i="37"/>
  <c r="M37" i="37" s="1"/>
  <c r="AA12" i="35"/>
  <c r="E39" i="41" s="1"/>
  <c r="F33" i="37"/>
  <c r="F19" i="15"/>
  <c r="G40" i="41" s="1"/>
  <c r="AT7" i="15" s="1"/>
  <c r="H20" i="36"/>
  <c r="L18" i="37"/>
  <c r="M18" i="37" s="1"/>
  <c r="D19" i="40"/>
  <c r="F14" i="41"/>
  <c r="O10" i="32"/>
  <c r="Q10" i="32" s="1"/>
  <c r="J2" i="31"/>
  <c r="J8" i="31" s="1"/>
  <c r="F18" i="41"/>
  <c r="R4" i="32"/>
  <c r="D14" i="39"/>
  <c r="R102" i="37"/>
  <c r="B14" i="39"/>
  <c r="F14" i="39" s="1"/>
  <c r="AA17" i="10"/>
  <c r="E29" i="41" s="1"/>
  <c r="AT5" i="10" s="1"/>
  <c r="J15" i="9"/>
  <c r="P17" i="10"/>
  <c r="R11" i="39"/>
  <c r="Q11" i="39"/>
  <c r="Q15" i="39"/>
  <c r="R15" i="39"/>
  <c r="I74" i="37"/>
  <c r="K74" i="37" s="1"/>
  <c r="B12" i="40"/>
  <c r="AQ5" i="26"/>
  <c r="F19" i="41"/>
  <c r="Q5" i="32"/>
  <c r="F8" i="31"/>
  <c r="R5" i="39"/>
  <c r="O23" i="39"/>
  <c r="P23" i="11"/>
  <c r="H3" i="40"/>
  <c r="AQ4" i="16"/>
  <c r="F10" i="41"/>
  <c r="T10" i="39"/>
  <c r="D17" i="39"/>
  <c r="H11" i="40"/>
  <c r="P20" i="17"/>
  <c r="B4" i="39"/>
  <c r="S12" i="39"/>
  <c r="AC16" i="18"/>
  <c r="AG16" i="18"/>
  <c r="AQ3" i="11"/>
  <c r="F6" i="41"/>
  <c r="Q16" i="32"/>
  <c r="B9" i="39"/>
  <c r="F9" i="39" s="1"/>
  <c r="F20" i="14"/>
  <c r="G30" i="41" s="1"/>
  <c r="AT7" i="14" s="1"/>
  <c r="F22" i="41"/>
  <c r="B8" i="40"/>
  <c r="I32" i="41"/>
  <c r="AT9" i="12" s="1"/>
  <c r="I33" i="41"/>
  <c r="AT9" i="13" s="1"/>
  <c r="B13" i="40"/>
  <c r="B17" i="39"/>
  <c r="F17" i="39" s="1"/>
  <c r="S10" i="39"/>
  <c r="P22" i="32"/>
  <c r="F30" i="41"/>
  <c r="H53" i="37"/>
  <c r="F15" i="9"/>
  <c r="G28" i="41" s="1"/>
  <c r="Q36" i="39"/>
  <c r="P36" i="39"/>
  <c r="O52" i="39"/>
  <c r="P40" i="39"/>
  <c r="Q40" i="39"/>
  <c r="F34" i="41"/>
  <c r="AT4" i="11"/>
  <c r="F31" i="41"/>
  <c r="Z15" i="12"/>
  <c r="C32" i="41" s="1"/>
  <c r="Z20" i="13"/>
  <c r="C33" i="41" s="1"/>
  <c r="I20" i="13"/>
  <c r="L54" i="37"/>
  <c r="M54" i="37" s="1"/>
  <c r="J54" i="37"/>
  <c r="K54" i="37" s="1"/>
  <c r="R20" i="13"/>
  <c r="F5" i="40" s="1"/>
  <c r="D7" i="39"/>
  <c r="F75" i="37"/>
  <c r="F18" i="20"/>
  <c r="G34" i="41" s="1"/>
  <c r="AT7" i="20" s="1"/>
  <c r="F35" i="41"/>
  <c r="AT5" i="18"/>
  <c r="F38" i="41"/>
  <c r="AG21" i="16"/>
  <c r="AT5" i="36"/>
  <c r="F43" i="41"/>
  <c r="T16" i="39"/>
  <c r="D22" i="39"/>
  <c r="F22" i="39" s="1"/>
  <c r="Q37" i="39"/>
  <c r="P37" i="39"/>
  <c r="P49" i="39"/>
  <c r="Q49" i="39"/>
  <c r="B14" i="40"/>
  <c r="J37" i="37"/>
  <c r="K37" i="37" s="1"/>
  <c r="R12" i="35"/>
  <c r="F21" i="40" s="1"/>
  <c r="AB12" i="35"/>
  <c r="D39" i="41" s="1"/>
  <c r="AT6" i="35" s="1"/>
  <c r="E37" i="37"/>
  <c r="J16" i="37"/>
  <c r="K16" i="37" s="1"/>
  <c r="R20" i="25"/>
  <c r="F6" i="40" s="1"/>
  <c r="AT3" i="27"/>
  <c r="F48" i="41"/>
  <c r="S22" i="39"/>
  <c r="B21" i="39"/>
  <c r="R3" i="39"/>
  <c r="Q3" i="39"/>
  <c r="R8" i="39"/>
  <c r="Q8" i="39"/>
  <c r="R10" i="39"/>
  <c r="Q10" i="39"/>
  <c r="P42" i="39"/>
  <c r="Q42" i="39"/>
  <c r="R21" i="39"/>
  <c r="Q21" i="39"/>
  <c r="Q46" i="39"/>
  <c r="P46" i="39"/>
  <c r="H17" i="40"/>
  <c r="P12" i="35"/>
  <c r="I19" i="26"/>
  <c r="L34" i="37"/>
  <c r="J34" i="37"/>
  <c r="K34" i="37" s="1"/>
  <c r="R19" i="26"/>
  <c r="F2" i="40" s="1"/>
  <c r="AA19" i="26"/>
  <c r="E46" i="41" s="1"/>
  <c r="D34" i="37"/>
  <c r="M34" i="37" s="1"/>
  <c r="AA20" i="28"/>
  <c r="E49" i="41" s="1"/>
  <c r="D57" i="37"/>
  <c r="M57" i="37" s="1"/>
  <c r="P35" i="39"/>
  <c r="Q35" i="39"/>
  <c r="R18" i="39"/>
  <c r="Q18" i="39"/>
  <c r="H19" i="15"/>
  <c r="D11" i="40"/>
  <c r="L33" i="37"/>
  <c r="C33" i="37"/>
  <c r="M33" i="37" s="1"/>
  <c r="Z19" i="15"/>
  <c r="C40" i="41" s="1"/>
  <c r="H8" i="40"/>
  <c r="P19" i="26"/>
  <c r="J57" i="37"/>
  <c r="K57" i="37" s="1"/>
  <c r="R20" i="28"/>
  <c r="F18" i="40" s="1"/>
  <c r="L72" i="37"/>
  <c r="M72" i="37" s="1"/>
  <c r="H23" i="30"/>
  <c r="D7" i="40"/>
  <c r="D22" i="40" s="1"/>
  <c r="B57" i="37"/>
  <c r="Y20" i="28"/>
  <c r="B49" i="41" s="1"/>
  <c r="AT3" i="28" s="1"/>
  <c r="E57" i="37"/>
  <c r="AB20" i="28"/>
  <c r="D49" i="41" s="1"/>
  <c r="AT6" i="28" s="1"/>
  <c r="AA21" i="29"/>
  <c r="E50" i="41" s="1"/>
  <c r="D76" i="37"/>
  <c r="M76" i="37" s="1"/>
  <c r="T22" i="39"/>
  <c r="D21" i="39"/>
  <c r="E33" i="37"/>
  <c r="G20" i="25"/>
  <c r="H45" i="41" s="1"/>
  <c r="AT8" i="25" s="1"/>
  <c r="H13" i="40"/>
  <c r="AC20" i="25"/>
  <c r="H21" i="40"/>
  <c r="P20" i="28"/>
  <c r="I51" i="41"/>
  <c r="AT9" i="30" s="1"/>
  <c r="S19" i="39"/>
  <c r="B6" i="39"/>
  <c r="F6" i="39" s="1"/>
  <c r="P16" i="27"/>
  <c r="H14" i="40"/>
  <c r="F16" i="39" l="1"/>
  <c r="S23" i="39"/>
  <c r="T23" i="39"/>
  <c r="F5" i="39"/>
  <c r="H53" i="41"/>
  <c r="H22" i="40"/>
  <c r="D23" i="39"/>
  <c r="B4" i="40"/>
  <c r="I31" i="41"/>
  <c r="AT9" i="11" s="1"/>
  <c r="AT5" i="29"/>
  <c r="F50" i="41"/>
  <c r="AT4" i="15"/>
  <c r="F40" i="41"/>
  <c r="AT5" i="26"/>
  <c r="F46" i="41"/>
  <c r="Q52" i="39"/>
  <c r="P52" i="39"/>
  <c r="Q22" i="32"/>
  <c r="R22" i="32"/>
  <c r="F4" i="39"/>
  <c r="B23" i="39"/>
  <c r="E53" i="41"/>
  <c r="F33" i="41"/>
  <c r="AT4" i="13"/>
  <c r="R103" i="37"/>
  <c r="H33" i="37"/>
  <c r="AT5" i="28"/>
  <c r="F49" i="41"/>
  <c r="F32" i="41"/>
  <c r="AT4" i="12"/>
  <c r="D53" i="41"/>
  <c r="R23" i="39"/>
  <c r="Q23" i="39"/>
  <c r="AT5" i="35"/>
  <c r="F39" i="41"/>
  <c r="C53" i="41"/>
  <c r="F21" i="39"/>
  <c r="R105" i="37"/>
  <c r="H75" i="37"/>
  <c r="AT7" i="9"/>
  <c r="G53" i="41"/>
  <c r="F29" i="41"/>
  <c r="F7" i="39"/>
  <c r="B10" i="40"/>
  <c r="B22" i="40" s="1"/>
  <c r="I28" i="41"/>
  <c r="F22" i="40"/>
  <c r="R107" i="37" l="1"/>
  <c r="AT9" i="9"/>
  <c r="I53" i="41"/>
</calcChain>
</file>

<file path=xl/sharedStrings.xml><?xml version="1.0" encoding="utf-8"?>
<sst xmlns="http://schemas.openxmlformats.org/spreadsheetml/2006/main" count="6725" uniqueCount="1016">
  <si>
    <t>PL</t>
  </si>
  <si>
    <t>W</t>
  </si>
  <si>
    <t>D</t>
  </si>
  <si>
    <t>L</t>
  </si>
  <si>
    <t>F</t>
  </si>
  <si>
    <t>A</t>
  </si>
  <si>
    <t>Scores</t>
  </si>
  <si>
    <t>Cards</t>
  </si>
  <si>
    <t>Att</t>
  </si>
  <si>
    <t>HT</t>
  </si>
  <si>
    <t>Referee</t>
  </si>
  <si>
    <t>TMO</t>
  </si>
  <si>
    <t>T</t>
  </si>
  <si>
    <t>C</t>
  </si>
  <si>
    <t>P</t>
  </si>
  <si>
    <t>Y</t>
  </si>
  <si>
    <t>R</t>
  </si>
  <si>
    <t>Opponents</t>
  </si>
  <si>
    <t>Cmp</t>
  </si>
  <si>
    <t>Date</t>
  </si>
  <si>
    <t>OVERALL</t>
  </si>
  <si>
    <t>TB</t>
  </si>
  <si>
    <t>LB</t>
  </si>
  <si>
    <t>Bonus</t>
  </si>
  <si>
    <t>Result</t>
  </si>
  <si>
    <t>Conceded</t>
  </si>
  <si>
    <t>AR1</t>
  </si>
  <si>
    <t>AR2</t>
  </si>
  <si>
    <t>© Hillsport Media Ltd</t>
  </si>
  <si>
    <t>Australia</t>
  </si>
  <si>
    <t>England</t>
  </si>
  <si>
    <t>Fiji</t>
  </si>
  <si>
    <t>Wales</t>
  </si>
  <si>
    <t>Italy</t>
  </si>
  <si>
    <t>France</t>
  </si>
  <si>
    <t>Scotland</t>
  </si>
  <si>
    <t>Japan</t>
  </si>
  <si>
    <t>Argentina</t>
  </si>
  <si>
    <t>Georgia</t>
  </si>
  <si>
    <t>Ireland</t>
  </si>
  <si>
    <t>Canada</t>
  </si>
  <si>
    <t>Gd</t>
  </si>
  <si>
    <t>Away</t>
  </si>
  <si>
    <t>Neutral Ground</t>
  </si>
  <si>
    <t>Home</t>
  </si>
  <si>
    <t>INT</t>
  </si>
  <si>
    <t>6N</t>
  </si>
  <si>
    <t>Pos</t>
  </si>
  <si>
    <t>Chg</t>
  </si>
  <si>
    <t>DIFF</t>
  </si>
  <si>
    <t>PTS</t>
  </si>
  <si>
    <t>→</t>
  </si>
  <si>
    <t>TF</t>
  </si>
  <si>
    <t>TA</t>
  </si>
  <si>
    <t>Yellows</t>
  </si>
  <si>
    <t>Reds</t>
  </si>
  <si>
    <t>Pts</t>
  </si>
  <si>
    <t>TOTALS</t>
  </si>
  <si>
    <t xml:space="preserve"> </t>
  </si>
  <si>
    <t>Teams ordered on unofficial “points” ratio of “2” for a Red, “1” for a Yellow</t>
  </si>
  <si>
    <t>USA</t>
  </si>
  <si>
    <t>HOME</t>
  </si>
  <si>
    <t>AWAY</t>
  </si>
  <si>
    <t>NEUTRAL</t>
  </si>
  <si>
    <t>GSB</t>
  </si>
  <si>
    <t>TB = Try Bonus Points; LB = Losing Bonus Points; GSB = Grand Slam Bonus Points</t>
  </si>
  <si>
    <t>BT Murrayfield</t>
  </si>
  <si>
    <t>Twickenham</t>
  </si>
  <si>
    <t>Stadio Olimpico</t>
  </si>
  <si>
    <t>Principality Stadium</t>
  </si>
  <si>
    <t>Stade de France</t>
  </si>
  <si>
    <t xml:space="preserve">BT Murrayfield </t>
  </si>
  <si>
    <t>Aviva Stadium</t>
  </si>
  <si>
    <t> 10</t>
  </si>
  <si>
    <t> 9</t>
  </si>
  <si>
    <t> 27</t>
  </si>
  <si>
    <t> 23</t>
  </si>
  <si>
    <t> 40</t>
  </si>
  <si>
    <t>19 </t>
  </si>
  <si>
    <t>10 </t>
  </si>
  <si>
    <t>20 </t>
  </si>
  <si>
    <t>36 </t>
  </si>
  <si>
    <t>21 </t>
  </si>
  <si>
    <t>58 </t>
  </si>
  <si>
    <t>15 </t>
  </si>
  <si>
    <t>25 </t>
  </si>
  <si>
    <t>29 </t>
  </si>
  <si>
    <t>18 </t>
  </si>
  <si>
    <t> 67</t>
  </si>
  <si>
    <t>14 </t>
  </si>
  <si>
    <t> 35</t>
  </si>
  <si>
    <t>Millennium Stadium</t>
  </si>
  <si>
    <t>Points Scored</t>
  </si>
  <si>
    <t>Minutes S/handed</t>
  </si>
  <si>
    <t>Opponent</t>
  </si>
  <si>
    <t>Ave per 10 mins</t>
  </si>
  <si>
    <t>14 men</t>
  </si>
  <si>
    <t>13 men</t>
  </si>
  <si>
    <t>12 men</t>
  </si>
  <si>
    <t>11 men</t>
  </si>
  <si>
    <t>Total</t>
  </si>
  <si>
    <t>Also S/H</t>
  </si>
  <si>
    <t>POWERPLAYS (periods when teams are playing against short-handed opposition only)</t>
  </si>
  <si>
    <t>15 v 14</t>
  </si>
  <si>
    <t>15 v 13</t>
  </si>
  <si>
    <t>Russia</t>
  </si>
  <si>
    <t>AC</t>
  </si>
  <si>
    <t>Uruguay</t>
  </si>
  <si>
    <t>na</t>
  </si>
  <si>
    <t>RC</t>
  </si>
  <si>
    <t>WCQ</t>
  </si>
  <si>
    <t>Car = Principality Stadium, Cardiff; Tw = Twickenham Stadium, London</t>
  </si>
  <si>
    <t>ALL TESTS</t>
  </si>
  <si>
    <t>RUGBY CHAMPS</t>
  </si>
  <si>
    <t>MID YEAR TESTS</t>
  </si>
  <si>
    <t>AMERICAS CHAMPS</t>
  </si>
  <si>
    <t>SIX NATIONS</t>
  </si>
  <si>
    <t>RUGBY EUROPE</t>
  </si>
  <si>
    <t>REC</t>
  </si>
  <si>
    <t>Orange Velodrome</t>
  </si>
  <si>
    <t>Car</t>
  </si>
  <si>
    <t>Prs</t>
  </si>
  <si>
    <t>Rm</t>
  </si>
  <si>
    <t>Dbl</t>
  </si>
  <si>
    <t>Tw</t>
  </si>
  <si>
    <t>Mfl</t>
  </si>
  <si>
    <t>N Zealand</t>
  </si>
  <si>
    <t>Kbe</t>
  </si>
  <si>
    <t>Toy</t>
  </si>
  <si>
    <t>Andrew Brace (Ire)</t>
  </si>
  <si>
    <t>Romain Poite (Fra)</t>
  </si>
  <si>
    <t>Rowan Kitt (Eng)</t>
  </si>
  <si>
    <t>Wayne Barnes (Eng)</t>
  </si>
  <si>
    <t>Luke Pearce (Eng)</t>
  </si>
  <si>
    <t>Federico Anselmi (Arg)</t>
  </si>
  <si>
    <t>10-17</t>
  </si>
  <si>
    <t>Mathieu Raynal (Fra)</t>
  </si>
  <si>
    <t>Glenn Newman (Nzl)</t>
  </si>
  <si>
    <t>Jerome Garces (Fra)</t>
  </si>
  <si>
    <t>17-10</t>
  </si>
  <si>
    <t>Tbl</t>
  </si>
  <si>
    <t>Yok</t>
  </si>
  <si>
    <t>12-3</t>
  </si>
  <si>
    <t>3-12</t>
  </si>
  <si>
    <t>Simon McDowell (Ire)</t>
  </si>
  <si>
    <t>Tonga</t>
  </si>
  <si>
    <t>Brendon Pickerill (Nzl)</t>
  </si>
  <si>
    <t>PNC</t>
  </si>
  <si>
    <t>Samoa</t>
  </si>
  <si>
    <t>Shuhei Kubo (Jpn)</t>
  </si>
  <si>
    <t>After Round 1 (Feb 3 Evening - Feb 9 Morning)</t>
  </si>
  <si>
    <t>GMT</t>
  </si>
  <si>
    <t>ARGENTINA IN 2019</t>
  </si>
  <si>
    <t>AUSTRALIA IN 2019</t>
  </si>
  <si>
    <t>CANADA IN 2019</t>
  </si>
  <si>
    <t>ENGLAND IN 2019</t>
  </si>
  <si>
    <t>Dbl = Aviva Stadium, Dublin; Tw = Twickenham Stadium, London</t>
  </si>
  <si>
    <t>Nw</t>
  </si>
  <si>
    <t>WC</t>
  </si>
  <si>
    <t>Sap</t>
  </si>
  <si>
    <t>Tok</t>
  </si>
  <si>
    <t>WCS</t>
  </si>
  <si>
    <t>WCF</t>
  </si>
  <si>
    <t>RWC WARM-UPS</t>
  </si>
  <si>
    <t>FIJI IN 2019</t>
  </si>
  <si>
    <t>FRANCE IN 2019</t>
  </si>
  <si>
    <t>Prs = Stade de France, Paris; Tw = Twickenham Stadium, London; Dbl = Aviva Stadium, Dublin</t>
  </si>
  <si>
    <t>Rm = Stadio Olimpico, Rome; Mfl = BT Murrayfield, Edinburgh; Tok = Tokyo Stadium</t>
  </si>
  <si>
    <t>Fuk</t>
  </si>
  <si>
    <t>GEORGIA IN 2019</t>
  </si>
  <si>
    <t>IRELAND IN 2019</t>
  </si>
  <si>
    <t>Dbl = Aviva Stadium, Dublin; Mfl = BT Murrayfield, Edinburgh; Rm = Stadio Olimpico, Rome</t>
  </si>
  <si>
    <t>Shz</t>
  </si>
  <si>
    <t>Yok = International Stadium, Yokohama; Shz = Shizuoka Stadium Ecopa, Shizuoka</t>
  </si>
  <si>
    <t>Kbe = Misaki Stadium, Kobe; Fuk = Hakatanomori Stadium, Fukuoka</t>
  </si>
  <si>
    <t>16-0</t>
  </si>
  <si>
    <t>WALES IN 2019</t>
  </si>
  <si>
    <t>0-16</t>
  </si>
  <si>
    <t>Prs = Stade de France, Paris; Rm = Stadio Olimpico, Rome; Car = Principality Stadium, Cardiff</t>
  </si>
  <si>
    <t>Tw = Twickenham Stadium, London; Dbl = Aviva Stadium, Dublin</t>
  </si>
  <si>
    <t>Oit</t>
  </si>
  <si>
    <t>tbc = Date to be confirmed</t>
  </si>
  <si>
    <t>Yok = International Stadium, Yokohama; Oit = Oita Stadium, Oita</t>
  </si>
  <si>
    <t>SCOTLAND IN 2019</t>
  </si>
  <si>
    <t>Berghan</t>
  </si>
  <si>
    <t>Mfl = BT Murrayfield, Edinburgh; Prs = Stade de France, Paris</t>
  </si>
  <si>
    <t>Tw = Twickenham Stadium, London; Tbl = Dinamo Arena, Tbilisi</t>
  </si>
  <si>
    <t>Yok = International Stadium, Yokohama; Kbe = Misaki Stadium, Kobe</t>
  </si>
  <si>
    <t>Sap = Sapporo Dome, Sapporo; Kbe = Misaki Stadium, Kobe; Tok = Tokyo Stadium, Tokyo</t>
  </si>
  <si>
    <t>Shz = Shizuoka Stadium Ecopa, Shizuoka; Tok = Tokyo Stadium, Tokyo</t>
  </si>
  <si>
    <t>ITALY IN 2019</t>
  </si>
  <si>
    <t>Mfl = BT Murrayfield, Edinburgh; Rm = Stadio Olimpico, Rome</t>
  </si>
  <si>
    <t>Car = Principality Stadium, Cardiff; Nw = St James' Park, Newcastle</t>
  </si>
  <si>
    <t>Namibia</t>
  </si>
  <si>
    <t>Fuk = Hakatanomori Stadium, Fukuoka; Shz = Shizuoka Stadium Ecopa, Shizuoka</t>
  </si>
  <si>
    <t>Toy = City of Toyota Stadium, Toyota; Tok = Tokyo Stadium, Tokyo</t>
  </si>
  <si>
    <t>Six Nations</t>
  </si>
  <si>
    <t>Six Nations / Millennium Trophy</t>
  </si>
  <si>
    <t>Curry T</t>
  </si>
  <si>
    <t>JAPAN IN 2019</t>
  </si>
  <si>
    <t>NAMIBIA IN 2019</t>
  </si>
  <si>
    <t>NEW ZEALAND IN 2019</t>
  </si>
  <si>
    <t>ROMANIA IN 2019</t>
  </si>
  <si>
    <t>SAMOA IN 2019</t>
  </si>
  <si>
    <t>SOUTH AFRICA IN 2019</t>
  </si>
  <si>
    <t>TONGA IN 2019</t>
  </si>
  <si>
    <t>USA IN 2019</t>
  </si>
  <si>
    <t>URUGUAY IN 2019</t>
  </si>
  <si>
    <t>Tok = Tokyo Stadium, Tokyo; tbc = Date to be confirmed</t>
  </si>
  <si>
    <t>Yok = International Stadium, Yokohama; Oita = Oita Stadium, Oita</t>
  </si>
  <si>
    <t>10-12</t>
  </si>
  <si>
    <t>Pascal Gauzere (Fra)</t>
  </si>
  <si>
    <t>Alexandre Ruiz (Fra)</t>
  </si>
  <si>
    <t>12-10</t>
  </si>
  <si>
    <t>7-12</t>
  </si>
  <si>
    <t>David Grashoff (Eng)</t>
  </si>
  <si>
    <t>12-7</t>
  </si>
  <si>
    <t>Penalty Tries: v Fra (Feb 10)</t>
  </si>
  <si>
    <t>30-8</t>
  </si>
  <si>
    <t>Nigel Owens (Wal)</t>
  </si>
  <si>
    <t>8-30</t>
  </si>
  <si>
    <t>Most points scored in Powerplay:</t>
  </si>
  <si>
    <t>17 Italy v Scotland</t>
  </si>
  <si>
    <t>↑1</t>
  </si>
  <si>
    <t xml:space="preserve"> ↓2</t>
  </si>
  <si>
    <t>After Round 2 (Feb 10 Evening - Feb 23 Morning)</t>
  </si>
  <si>
    <t>10-3</t>
  </si>
  <si>
    <t>Nic Berry (Aus)</t>
  </si>
  <si>
    <t>3-10</t>
  </si>
  <si>
    <t>Jaco Peyper (Rsa)</t>
  </si>
  <si>
    <t>16-12</t>
  </si>
  <si>
    <t>Glen Jackson (Nzl)</t>
  </si>
  <si>
    <t>Graham Hughes (Eng)</t>
  </si>
  <si>
    <t>Karl Dickson (Eng)</t>
  </si>
  <si>
    <t>12-16</t>
  </si>
  <si>
    <t xml:space="preserve"> ↓1</t>
  </si>
  <si>
    <t>After Round 3 (Feb 24 Evening - Mar 9 Morning)</t>
  </si>
  <si>
    <t>Chile</t>
  </si>
  <si>
    <t>Americas Rugby Championship</t>
  </si>
  <si>
    <t>Maipu</t>
  </si>
  <si>
    <t>Montevideo</t>
  </si>
  <si>
    <t>Belgium</t>
  </si>
  <si>
    <t>Germany</t>
  </si>
  <si>
    <t>Six Nations B</t>
  </si>
  <si>
    <t>Romania</t>
  </si>
  <si>
    <t>Cluj</t>
  </si>
  <si>
    <t>Six Nations / Centenary Quaich</t>
  </si>
  <si>
    <t>Cayman Is</t>
  </si>
  <si>
    <t>Guyana</t>
  </si>
  <si>
    <t>Rugby Americas North</t>
  </si>
  <si>
    <t>Grand Caymans</t>
  </si>
  <si>
    <t>Brazil</t>
  </si>
  <si>
    <t>Sao Paulo</t>
  </si>
  <si>
    <t>Spain</t>
  </si>
  <si>
    <t>Madrid</t>
  </si>
  <si>
    <t>Botoşani</t>
  </si>
  <si>
    <t>Sotchi</t>
  </si>
  <si>
    <t>Portugal</t>
  </si>
  <si>
    <t>Poland</t>
  </si>
  <si>
    <t>-</t>
  </si>
  <si>
    <t>FIRA Championship D1</t>
  </si>
  <si>
    <t>Setubal</t>
  </si>
  <si>
    <t>Tbilisi</t>
  </si>
  <si>
    <t>Langford</t>
  </si>
  <si>
    <t>Six Nations / Auld Alliance Trophy</t>
  </si>
  <si>
    <t>Heidelburg</t>
  </si>
  <si>
    <t>Brussels</t>
  </si>
  <si>
    <t>Jundiai</t>
  </si>
  <si>
    <t>Seattle</t>
  </si>
  <si>
    <t>6-15</t>
  </si>
  <si>
    <t>Marius Jonker (Rsa)</t>
  </si>
  <si>
    <t>15-6</t>
  </si>
  <si>
    <t>31-7</t>
  </si>
  <si>
    <t>Paul Williams (Nzl)</t>
  </si>
  <si>
    <t>7-31</t>
  </si>
  <si>
    <t>19-0</t>
  </si>
  <si>
    <t>Ben O'Keeffe (Nzl)</t>
  </si>
  <si>
    <t>Ben Skeen (Nzl)</t>
  </si>
  <si>
    <t>Angus Gardner (Aus)</t>
  </si>
  <si>
    <t>0-19</t>
  </si>
  <si>
    <t>↓1</t>
  </si>
  <si>
    <t>After Round 4 (Mar 10 Evening - Mar 16 Morning)</t>
  </si>
  <si>
    <t>Netherlands</t>
  </si>
  <si>
    <t>Amsterdam</t>
  </si>
  <si>
    <t>Bermuda</t>
  </si>
  <si>
    <t>Jamaica</t>
  </si>
  <si>
    <t>Hamilton</t>
  </si>
  <si>
    <t>Kutaisi</t>
  </si>
  <si>
    <t>Stadio Olimpico, Rome</t>
  </si>
  <si>
    <t>Principality Stadium, Cardiff</t>
  </si>
  <si>
    <t>Aviva Stadium, Dublin</t>
  </si>
  <si>
    <t>Stade de France, Paris</t>
  </si>
  <si>
    <t>BT Murrayfield, Edinburgh</t>
  </si>
  <si>
    <t>Twickenham, London</t>
  </si>
  <si>
    <t>6-10</t>
  </si>
  <si>
    <t>Matthew Carley (Eng)</t>
  </si>
  <si>
    <t>10-6</t>
  </si>
  <si>
    <t>Aldegheri, Chat, Fickou, Huget</t>
  </si>
  <si>
    <t>at end of tournament</t>
  </si>
  <si>
    <t>Mai</t>
  </si>
  <si>
    <t>38-3</t>
  </si>
  <si>
    <t>Damian Schneider (Arg)</t>
  </si>
  <si>
    <t>Gabriel Pinter (Arg)</t>
  </si>
  <si>
    <t>Luis Diaz (Chl)</t>
  </si>
  <si>
    <t>Frank Mendez (Chl)</t>
  </si>
  <si>
    <t>Mv</t>
  </si>
  <si>
    <t>5-8</t>
  </si>
  <si>
    <t>Alejandro Longres (Uru)</t>
  </si>
  <si>
    <t>Francisco Gonzalez (Uru)</t>
  </si>
  <si>
    <t>Santago Romero (Uru)</t>
  </si>
  <si>
    <t>8-5</t>
  </si>
  <si>
    <t>10-0</t>
  </si>
  <si>
    <t>6-3</t>
  </si>
  <si>
    <t>Shaun Gallagher (Ire)</t>
  </si>
  <si>
    <t>n/a</t>
  </si>
  <si>
    <t>George Clancy (Ire)</t>
  </si>
  <si>
    <t>Mark Patton (Ire)</t>
  </si>
  <si>
    <t>3-6</t>
  </si>
  <si>
    <t>SP</t>
  </si>
  <si>
    <t>10-9</t>
  </si>
  <si>
    <t>Diego Pazman (Uru)</t>
  </si>
  <si>
    <t>Victor Barbosa (Bra)</t>
  </si>
  <si>
    <t>Braz Magaldi (Bra)</t>
  </si>
  <si>
    <t>RUSSIA IN 2019</t>
  </si>
  <si>
    <t>14-7</t>
  </si>
  <si>
    <t>Joy Neville (Ire)</t>
  </si>
  <si>
    <t>Chris Busby (Ire)</t>
  </si>
  <si>
    <t>Frank Murphy (Ire)</t>
  </si>
  <si>
    <t>Mad</t>
  </si>
  <si>
    <t>Bot</t>
  </si>
  <si>
    <t>17-3</t>
  </si>
  <si>
    <t>Nika Amushukeli (Geo)</t>
  </si>
  <si>
    <t>Tomike Gvirjishvili (Geo)</t>
  </si>
  <si>
    <t>Irakli Tchanukvadze</t>
  </si>
  <si>
    <t>Soc</t>
  </si>
  <si>
    <t>Mad = Campo Universitaria, Madrid; Central Stadium, Sochi</t>
  </si>
  <si>
    <t>33-7</t>
  </si>
  <si>
    <t>Cristian Serban (Rom)</t>
  </si>
  <si>
    <t>Alexandru Ionescu (Rom)</t>
  </si>
  <si>
    <t>Madalin Garbau (Rom)</t>
  </si>
  <si>
    <t>12-5</t>
  </si>
  <si>
    <t>Christophe Ridley (Eng)</t>
  </si>
  <si>
    <t>Jack Makepeace</t>
  </si>
  <si>
    <t>Tim Wigglesworth</t>
  </si>
  <si>
    <t>Lang</t>
  </si>
  <si>
    <t>Mv = Estadio Churrua, Montevideo; SP = Athletic Club, Sao Paulo; Westhills Stadium, Langford</t>
  </si>
  <si>
    <t>31-0</t>
  </si>
  <si>
    <t>Henrique Platais (Bra)</t>
  </si>
  <si>
    <t>David Smortchevsky (Can)</t>
  </si>
  <si>
    <t>Robin Kaluzniak (Can)</t>
  </si>
  <si>
    <t>Chris Assmus (Can)</t>
  </si>
  <si>
    <t>RR</t>
  </si>
  <si>
    <t>25-13</t>
  </si>
  <si>
    <t>Mike O'Brien (USA)</t>
  </si>
  <si>
    <t>Scott Green (USA)</t>
  </si>
  <si>
    <t>Hei</t>
  </si>
  <si>
    <t>12-6</t>
  </si>
  <si>
    <t>Ludovic Cayre (Fra)</t>
  </si>
  <si>
    <t>Mathieu Noirot (Fra)</t>
  </si>
  <si>
    <t>Nicolas Datas (Fra)</t>
  </si>
  <si>
    <t>Bru</t>
  </si>
  <si>
    <t>Cluj = Cluj Arena, Cluj; Tbl = Avchala Stadium, Tbilisi; Bru = Le Stade du Petit Heysel, Brussels</t>
  </si>
  <si>
    <t>22-3</t>
  </si>
  <si>
    <t>Ben Blain (Sco)</t>
  </si>
  <si>
    <t>Mike Todd (Sco)</t>
  </si>
  <si>
    <t>Alistair Watt (Sco)</t>
  </si>
  <si>
    <t>Sea</t>
  </si>
  <si>
    <t>13-19</t>
  </si>
  <si>
    <t>Davey Ardey (Usa)</t>
  </si>
  <si>
    <t>Phil Akroyd (Usa)</t>
  </si>
  <si>
    <t>Josh Houston (Usa)</t>
  </si>
  <si>
    <t>19-13</t>
  </si>
  <si>
    <t>Mv = Estadio Churrua, Montevideo; Sea = Starfire Sports Club, Seattle</t>
  </si>
  <si>
    <t>13-14</t>
  </si>
  <si>
    <t>Adam Jones (Wal)</t>
  </si>
  <si>
    <t>Aled Evans (Wal)</t>
  </si>
  <si>
    <t>Richard Brace (Wal)</t>
  </si>
  <si>
    <t>15-12</t>
  </si>
  <si>
    <t>Denny Russell (USA)</t>
  </si>
  <si>
    <t>Phil Akroyd (USA)</t>
  </si>
  <si>
    <t>Davey Ardey (USA)</t>
  </si>
  <si>
    <t>12-15</t>
  </si>
  <si>
    <t>Pablo Deluca (Arg)</t>
  </si>
  <si>
    <t>16-5</t>
  </si>
  <si>
    <t>Pierre Brousset (Fra)</t>
  </si>
  <si>
    <t>Thomas Charabas (Fra)</t>
  </si>
  <si>
    <t>Luc Ramos (Fra)</t>
  </si>
  <si>
    <t>5-16</t>
  </si>
  <si>
    <t>Cluj = Cluj Arena, Cluj; Bot = Stadionul Municipal, Botesani</t>
  </si>
  <si>
    <t>Hei = Fritz Grunebaum Sportpark, Heidelberg; Bot = Stadionul Municipal, Botesani</t>
  </si>
  <si>
    <t>11-15</t>
  </si>
  <si>
    <t>Talal Chaudhry (Can)</t>
  </si>
  <si>
    <t>Francisco Pesce (Uru)</t>
  </si>
  <si>
    <t>Gonzalo Ventoso (Uru)</t>
  </si>
  <si>
    <t>Marcelo Pineyro (Uru)</t>
  </si>
  <si>
    <t>Kut</t>
  </si>
  <si>
    <t>21-3</t>
  </si>
  <si>
    <t>Keith Allen (Sco)</t>
  </si>
  <si>
    <t>Graeme Ormiston (Sco)</t>
  </si>
  <si>
    <t>Bob Nevins (Sco)</t>
  </si>
  <si>
    <t>Mad = Campo Universitaria, Madrid; Bru = Le Stade du Petit Heysel, Brussels</t>
  </si>
  <si>
    <t>26-10</t>
  </si>
  <si>
    <t>Craig Evans (Wal)</t>
  </si>
  <si>
    <t>Mike English (Wal)</t>
  </si>
  <si>
    <t>Chris Oliver (Wal)</t>
  </si>
  <si>
    <t>Penalty Tries: v Rus (9 Mar), v Bel (17 Mar)</t>
  </si>
  <si>
    <t>Kra</t>
  </si>
  <si>
    <t>Tom Foley (Eng)</t>
  </si>
  <si>
    <t>Anthony Woodthorpe (Eng)</t>
  </si>
  <si>
    <t>Phil Watters (Eng)</t>
  </si>
  <si>
    <t>Penalty Tries: v Rom (9 Feb), v Rus (17 Mar)</t>
  </si>
  <si>
    <t>BA</t>
  </si>
  <si>
    <t>Canada lost 23-39 to Argentina XV in Langford in a non-cap match on 1 March</t>
  </si>
  <si>
    <t>USA lost 14-45 away to Argentina XV in a non-cap match on 9 Feb</t>
  </si>
  <si>
    <t>NC</t>
  </si>
  <si>
    <t>NATIONS CUP</t>
  </si>
  <si>
    <t>29-12</t>
  </si>
  <si>
    <t>(Uru)</t>
  </si>
  <si>
    <t>12-29</t>
  </si>
  <si>
    <t>Kra = Kuban Stadium, Krasnodar; Mv = Estadio Churrua, Montevideo</t>
  </si>
  <si>
    <t>Namibia lost 25-39 to Argentina XV in Montevideo in a non-cap match on 4 June</t>
  </si>
  <si>
    <t>Val</t>
  </si>
  <si>
    <t>13-3</t>
  </si>
  <si>
    <t>Claudio Antonio (Arg)</t>
  </si>
  <si>
    <t>(Arg)</t>
  </si>
  <si>
    <t>(Chl)</t>
  </si>
  <si>
    <t>7-17</t>
  </si>
  <si>
    <t>Ben Whitehouse (Wal)</t>
  </si>
  <si>
    <t>17-7</t>
  </si>
  <si>
    <t>0-13</t>
  </si>
  <si>
    <t>13-0</t>
  </si>
  <si>
    <t>Val = Estadio Elías Figueroa Brander, Valparaiso; Jun = Estadio Jayme Cintra, Jundiai</t>
  </si>
  <si>
    <t>Jun</t>
  </si>
  <si>
    <t>7-13</t>
  </si>
  <si>
    <t>(Bra)</t>
  </si>
  <si>
    <t>7-26</t>
  </si>
  <si>
    <t>Israel</t>
  </si>
  <si>
    <t>Bosnia &amp; Her</t>
  </si>
  <si>
    <t>FIRA Championship D2</t>
  </si>
  <si>
    <t>Netanya</t>
  </si>
  <si>
    <t>Six Nations / Trophee Garibaldi</t>
  </si>
  <si>
    <t>Rome</t>
  </si>
  <si>
    <t>Czechia</t>
  </si>
  <si>
    <t>Prague</t>
  </si>
  <si>
    <t>Switzerland</t>
  </si>
  <si>
    <t>Nyon</t>
  </si>
  <si>
    <t>Six Nations / Calcutta Cup</t>
  </si>
  <si>
    <t>Martinique</t>
  </si>
  <si>
    <t>Barbados</t>
  </si>
  <si>
    <t>Rugby Americas North 2</t>
  </si>
  <si>
    <t>Le Diamant</t>
  </si>
  <si>
    <t>Cologne</t>
  </si>
  <si>
    <t>Krasnodar</t>
  </si>
  <si>
    <t>Cyprus</t>
  </si>
  <si>
    <t>Malta</t>
  </si>
  <si>
    <t>Paphos</t>
  </si>
  <si>
    <t>Lodz</t>
  </si>
  <si>
    <t>Caldas da Rainha</t>
  </si>
  <si>
    <t>Curacao</t>
  </si>
  <si>
    <t>Qatar</t>
  </si>
  <si>
    <t>Jordan</t>
  </si>
  <si>
    <t>Asian - Division 3</t>
  </si>
  <si>
    <t>Doha</t>
  </si>
  <si>
    <t>Austria</t>
  </si>
  <si>
    <t>Finland</t>
  </si>
  <si>
    <t>Vienna</t>
  </si>
  <si>
    <t>Lebanon</t>
  </si>
  <si>
    <t>Lithuania</t>
  </si>
  <si>
    <t>Jurbarkas</t>
  </si>
  <si>
    <t>Zenica</t>
  </si>
  <si>
    <t>Bridgetown</t>
  </si>
  <si>
    <t>Turk &amp; Caic</t>
  </si>
  <si>
    <t>Dominican</t>
  </si>
  <si>
    <t>Providenciales</t>
  </si>
  <si>
    <t>Croatia</t>
  </si>
  <si>
    <t>Paola</t>
  </si>
  <si>
    <t>Schaffhausen</t>
  </si>
  <si>
    <t>Luxembourg</t>
  </si>
  <si>
    <t>Moldova</t>
  </si>
  <si>
    <t>Luxembourg City</t>
  </si>
  <si>
    <t>Slovakia</t>
  </si>
  <si>
    <t>Bulgaria</t>
  </si>
  <si>
    <t>Piestany</t>
  </si>
  <si>
    <t>Turkey</t>
  </si>
  <si>
    <t>Estonia</t>
  </si>
  <si>
    <t>FIRA Championship D3</t>
  </si>
  <si>
    <t>Istanbul</t>
  </si>
  <si>
    <t>Ukraine</t>
  </si>
  <si>
    <t>Drochia</t>
  </si>
  <si>
    <t>Denmark</t>
  </si>
  <si>
    <t>Copenhagen</t>
  </si>
  <si>
    <t>Guadeloupe</t>
  </si>
  <si>
    <t>Georgetown</t>
  </si>
  <si>
    <t>Pakistan</t>
  </si>
  <si>
    <t>Uzbekistan</t>
  </si>
  <si>
    <t>Lahore</t>
  </si>
  <si>
    <t>B Virgin Is</t>
  </si>
  <si>
    <t>Tortola</t>
  </si>
  <si>
    <t>Hungary</t>
  </si>
  <si>
    <t>Szazhalombatta</t>
  </si>
  <si>
    <t>Latvia</t>
  </si>
  <si>
    <t>Baldones</t>
  </si>
  <si>
    <t>Andorra</t>
  </si>
  <si>
    <t>Sofia</t>
  </si>
  <si>
    <t>Serbia &amp; Mon</t>
  </si>
  <si>
    <t>Slovenia</t>
  </si>
  <si>
    <t>Starcevo</t>
  </si>
  <si>
    <t>Sweden</t>
  </si>
  <si>
    <t>Norrkoping</t>
  </si>
  <si>
    <t>Paraguay</t>
  </si>
  <si>
    <t>South American 6 Nations</t>
  </si>
  <si>
    <t>Asuncion</t>
  </si>
  <si>
    <t>Guam</t>
  </si>
  <si>
    <t>UAE</t>
  </si>
  <si>
    <t>Asian - Division 2</t>
  </si>
  <si>
    <t>Hua Hin</t>
  </si>
  <si>
    <t>Thailand</t>
  </si>
  <si>
    <t>Kazakhstan</t>
  </si>
  <si>
    <t>Korea</t>
  </si>
  <si>
    <t>Malaysia</t>
  </si>
  <si>
    <t>Asian - Top 3</t>
  </si>
  <si>
    <t>Incheon</t>
  </si>
  <si>
    <t>Ljubliana</t>
  </si>
  <si>
    <t>Andorra la Vella</t>
  </si>
  <si>
    <t>Colombia</t>
  </si>
  <si>
    <t>Medellin</t>
  </si>
  <si>
    <t>Odessa</t>
  </si>
  <si>
    <t>Tallin</t>
  </si>
  <si>
    <t>Kuala Lumpur</t>
  </si>
  <si>
    <t>Norway</t>
  </si>
  <si>
    <t>Horten</t>
  </si>
  <si>
    <t>Philippines</t>
  </si>
  <si>
    <t>Sri Lanka</t>
  </si>
  <si>
    <t>Asian - Division 1</t>
  </si>
  <si>
    <t>Taipei</t>
  </si>
  <si>
    <t>C Taipai</t>
  </si>
  <si>
    <t>Singapore</t>
  </si>
  <si>
    <t>Helsinki</t>
  </si>
  <si>
    <t>Nations Cup</t>
  </si>
  <si>
    <t>Hong Kong</t>
  </si>
  <si>
    <t>Panevezio</t>
  </si>
  <si>
    <t>Romania tour</t>
  </si>
  <si>
    <t>Valparaiso</t>
  </si>
  <si>
    <t>Spain tour</t>
  </si>
  <si>
    <t>FIRA Championship</t>
  </si>
  <si>
    <t>Frankfurt</t>
  </si>
  <si>
    <t>Curico</t>
  </si>
  <si>
    <t>Kenya</t>
  </si>
  <si>
    <t>Uganda</t>
  </si>
  <si>
    <t>Victoria Cup / Elgon Cup</t>
  </si>
  <si>
    <t>Kisumu</t>
  </si>
  <si>
    <t>Indonesia</t>
  </si>
  <si>
    <t>China</t>
  </si>
  <si>
    <t>Jakata</t>
  </si>
  <si>
    <t>India</t>
  </si>
  <si>
    <t>POOL A</t>
  </si>
  <si>
    <t>Capacity</t>
  </si>
  <si>
    <t>PTS F</t>
  </si>
  <si>
    <t>PTS A</t>
  </si>
  <si>
    <t>BP</t>
  </si>
  <si>
    <t>POOL B</t>
  </si>
  <si>
    <t>South Africa</t>
  </si>
  <si>
    <t>POOL C</t>
  </si>
  <si>
    <t>New Zealand</t>
  </si>
  <si>
    <t>POOL D</t>
  </si>
  <si>
    <t>FINAL</t>
  </si>
  <si>
    <t>Total Att</t>
  </si>
  <si>
    <t>Total Cap</t>
  </si>
  <si>
    <t>% Cap</t>
  </si>
  <si>
    <t>Tokyo</t>
  </si>
  <si>
    <t>Yokohama</t>
  </si>
  <si>
    <t>Kumagaya</t>
  </si>
  <si>
    <t>Shizuoka</t>
  </si>
  <si>
    <t>Kobe</t>
  </si>
  <si>
    <t>Toyota</t>
  </si>
  <si>
    <t>Fukuoka</t>
  </si>
  <si>
    <t>Oita</t>
  </si>
  <si>
    <t>Kamaishi</t>
  </si>
  <si>
    <t>Sapporo</t>
  </si>
  <si>
    <t>Kumamoto</t>
  </si>
  <si>
    <t>Jbg</t>
  </si>
  <si>
    <t>Api</t>
  </si>
  <si>
    <t>Kmi</t>
  </si>
  <si>
    <t>Wl</t>
  </si>
  <si>
    <t>Jbg = Ellis Park, Johannesburg; Wl = Westpac Stadium, Wellington</t>
  </si>
  <si>
    <t>Bb</t>
  </si>
  <si>
    <t>Suv</t>
  </si>
  <si>
    <t>Kmi = Recovery Memorial Stadium, Kamaishi; Suv = National Stadium, Suva</t>
  </si>
  <si>
    <t>Lau</t>
  </si>
  <si>
    <t>Sea = Starfire Sports Club, Seattle; Suv = National Stadium, Suva; Lau = Churchill Park, Lautoka</t>
  </si>
  <si>
    <t>Pth</t>
  </si>
  <si>
    <t>Jbg = Ellis Park, Johannesburg; Bb = Suncorp Stadium, Brisbane; Pth = Optus Stadium, Perth</t>
  </si>
  <si>
    <t xml:space="preserve">BA = Estadio Jose Amalfitani, Buenos Aires; Wl = Westpac Stadium, Wellington; </t>
  </si>
  <si>
    <t>BA = Estadio Jose Amalfitani, Buenos Aires; Bb = Suncorp Stadium, Brisbane</t>
  </si>
  <si>
    <t>Sal</t>
  </si>
  <si>
    <t>Akl</t>
  </si>
  <si>
    <t>Nce</t>
  </si>
  <si>
    <t xml:space="preserve">Kut = AIA Arena, Kutaisi; Kra = Kuban Stadium, Krasnodar; </t>
  </si>
  <si>
    <t>Prt</t>
  </si>
  <si>
    <t>Sal = Padre Ernesto Martearena Stadium, Salta; Prt = Loftus Versfeld, Pretoria</t>
  </si>
  <si>
    <t xml:space="preserve">Sal = Padre Ernesto Martearena Stadium, Salta; Prt = Loftus Versfeld, Pretoria
PADRE ERNESTO MARTEARENA
PADRE ERNESTO MARTEARENA
</t>
  </si>
  <si>
    <t>Tbi</t>
  </si>
  <si>
    <t>Tbs = Mikheil Meskhi Stadium, Tbilisi; Tbi = Dinamo Arena, Tbilisi</t>
  </si>
  <si>
    <t>Kmy</t>
  </si>
  <si>
    <t>Van</t>
  </si>
  <si>
    <t>Sea = Starfire Sports Club, Seattle; Suv = National Stadium, Suva; Van = BC Place, Vancouver</t>
  </si>
  <si>
    <t>Hm</t>
  </si>
  <si>
    <t>Pth = Optus Stadium, Perth; Akl = Eden Park, Auckland; Hm = Waikato Stadium, Hamilton</t>
  </si>
  <si>
    <t>Par</t>
  </si>
  <si>
    <t>Akl = Eden Park, Auckland; Par = Western Sydney Stadium, Parramatta</t>
  </si>
  <si>
    <t>WORLD CUP</t>
  </si>
  <si>
    <t>WORLD CUP POOL</t>
  </si>
  <si>
    <t>WORLD CUP KO</t>
  </si>
  <si>
    <t>WORLD CUP TOTALS</t>
  </si>
  <si>
    <t>Sap = Sapporo Dome, Sapporo; Tok = Tokyo Stadium, Tokyo; Oit = Oita Stadium, Oita</t>
  </si>
  <si>
    <t>PACIFIC NATIONS CUP</t>
  </si>
  <si>
    <t>Fuk = Hakatanomori Stadium, Fukuoka; Kbe = Misaki Stadium, Kobe</t>
  </si>
  <si>
    <t>Kmi = Recovery Memorial Stadium, Kamaishi; Tok = Tokyo Stadium, Tokyo</t>
  </si>
  <si>
    <t>Clubs ordered on unofficial “points” ratio of “2” for a Red, “1” for a Yellow</t>
  </si>
  <si>
    <r>
      <t>POWERPLAYS (</t>
    </r>
    <r>
      <rPr>
        <b/>
        <sz val="11"/>
        <color rgb="FFFF0000"/>
        <rFont val="Calibri"/>
        <family val="2"/>
        <scheme val="minor"/>
      </rPr>
      <t xml:space="preserve">periods when teams are playing against short-handed opposition </t>
    </r>
    <r>
      <rPr>
        <b/>
        <u/>
        <sz val="11"/>
        <color rgb="FFFF0000"/>
        <rFont val="Calibri"/>
        <family val="2"/>
        <scheme val="minor"/>
      </rPr>
      <t>only</t>
    </r>
    <r>
      <rPr>
        <b/>
        <sz val="11"/>
        <color theme="1"/>
        <rFont val="Calibri"/>
        <family val="2"/>
        <scheme val="minor"/>
      </rPr>
      <t>)</t>
    </r>
  </si>
  <si>
    <t>15 v 12</t>
  </si>
  <si>
    <t>15 v 11</t>
  </si>
  <si>
    <t xml:space="preserve">Most points scored/conceded in a sin-bin period: </t>
  </si>
  <si>
    <t>Tries Scored</t>
  </si>
  <si>
    <t>Try Bonus Points</t>
  </si>
  <si>
    <t>Tries Conceded</t>
  </si>
  <si>
    <t>Try Bonus Conceded</t>
  </si>
  <si>
    <t>Played</t>
  </si>
  <si>
    <t>Won</t>
  </si>
  <si>
    <t>Lost</t>
  </si>
  <si>
    <t>%</t>
  </si>
  <si>
    <t>Pts For</t>
  </si>
  <si>
    <t>Pts Aga</t>
  </si>
  <si>
    <t>Tries For</t>
  </si>
  <si>
    <t>Drawn</t>
  </si>
  <si>
    <t>Pts Scored</t>
  </si>
  <si>
    <t>Pts Conceded</t>
  </si>
  <si>
    <t>ARGENTINA</t>
  </si>
  <si>
    <t>AUSTRALIA</t>
  </si>
  <si>
    <t>CANADA</t>
  </si>
  <si>
    <t>ENGLAND</t>
  </si>
  <si>
    <t>Oit = Oita Stadium, Oita; Yok = International Stadium, Yokohama</t>
  </si>
  <si>
    <t>PAC NATIONS CUP</t>
  </si>
  <si>
    <t>FIJI</t>
  </si>
  <si>
    <t>Q-FINALS</t>
  </si>
  <si>
    <t>PD</t>
  </si>
  <si>
    <t>TD</t>
  </si>
  <si>
    <t>JPN</t>
  </si>
  <si>
    <t>RUS</t>
  </si>
  <si>
    <t>IRE</t>
  </si>
  <si>
    <t>SCO</t>
  </si>
  <si>
    <t>SAM</t>
  </si>
  <si>
    <t>NZL</t>
  </si>
  <si>
    <t>RSA</t>
  </si>
  <si>
    <t>NAM</t>
  </si>
  <si>
    <t>ITA</t>
  </si>
  <si>
    <t>CAN</t>
  </si>
  <si>
    <t>FRA</t>
  </si>
  <si>
    <t>ARG</t>
  </si>
  <si>
    <t>ENG</t>
  </si>
  <si>
    <t>AUS</t>
  </si>
  <si>
    <t>FIJ</t>
  </si>
  <si>
    <t>WAL</t>
  </si>
  <si>
    <t>GEO</t>
  </si>
  <si>
    <t>URU</t>
  </si>
  <si>
    <t xml:space="preserve">KO </t>
  </si>
  <si>
    <t>TRS F</t>
  </si>
  <si>
    <t>TRS A</t>
  </si>
  <si>
    <t>S-FINALS</t>
  </si>
  <si>
    <t>BRONZE F</t>
  </si>
  <si>
    <t>Mfl = BT Murrayfield, Edinburgh; Toy = City of Toyota Stadium, Toyota</t>
  </si>
  <si>
    <t>Shz = Shizuoka Stadium Ecopa, Shizuoka; Oit = Oita Stadium, Oita</t>
  </si>
  <si>
    <t>FRANCE</t>
  </si>
  <si>
    <t>GEORGIA</t>
  </si>
  <si>
    <t>IRELAND</t>
  </si>
  <si>
    <t>ITALY</t>
  </si>
  <si>
    <t>Tok = Tokyo Stadium, Tokyo; Shz = Shizuoka Stadium Ecopa, Shizuoka</t>
  </si>
  <si>
    <t>Toy = City of Toyota Stadium, Toyota; Yok = International Stadium, Yokohama</t>
  </si>
  <si>
    <t>JAPAN</t>
  </si>
  <si>
    <t>S Africa</t>
  </si>
  <si>
    <t>NAMIBIA</t>
  </si>
  <si>
    <t>Yok = International Stadium, Yokohama; tbc = Date to be confirmed</t>
  </si>
  <si>
    <t>Nce = Allianz Riviera, Nice; tbc = Date to be confirmed</t>
  </si>
  <si>
    <t>Kmi = Recovery Memorial Stadium, Kamaishi; tbc = Date to be confirmed</t>
  </si>
  <si>
    <t>Tok = Tokyo Stadium, Tokyo; Toy = City of Toyota Stadium, Toyota</t>
  </si>
  <si>
    <t>N ZEALAND</t>
  </si>
  <si>
    <t>Shz = Shizuoka Stadium Ecopa, Shizuoka</t>
  </si>
  <si>
    <t>RUSSIA</t>
  </si>
  <si>
    <t>Api = Apia Park, Apia; Suv = National Stadium, Suva</t>
  </si>
  <si>
    <t>Kbe = Misaki Stadium, Kobe; Toy = City of Toyota Stadium, Toyota</t>
  </si>
  <si>
    <t>Fuk = Hakatanomori Stadium, Fukuoka; Tok = Tokyo Stadium, Tokyo</t>
  </si>
  <si>
    <t>SAMOA</t>
  </si>
  <si>
    <t>Ivory Coast</t>
  </si>
  <si>
    <t>Zimbabwe</t>
  </si>
  <si>
    <t>Tournaments</t>
  </si>
  <si>
    <t>United States</t>
  </si>
  <si>
    <t>SCOTLAND</t>
  </si>
  <si>
    <t>Toy = City of Toyota Stadium, Toyota; Shz = Shizuoka Stadium Ecopa, Shizuoka</t>
  </si>
  <si>
    <t>Kbe = Misaki Stadium, Kobe; Tok = Tokyo Stadium, Tokyo</t>
  </si>
  <si>
    <t>S AFRICA</t>
  </si>
  <si>
    <t>Han = Hanazono Stadium, Hanazono; Oit = Oita Stadium, Oita</t>
  </si>
  <si>
    <t>Yok = International Stadium, Yokohama</t>
  </si>
  <si>
    <t>TONGA</t>
  </si>
  <si>
    <t>tbc = to be confirmed</t>
  </si>
  <si>
    <t>BA = Estadio Jose Amalfitani, Buenos Aires; Kmi = Recovery Memorial Stadium, Kamaishi</t>
  </si>
  <si>
    <t>Kmt</t>
  </si>
  <si>
    <t>Fuk = Hakatanomori Stadium, Fukuoka; Kmt = Kumamoto Stadium, Kumamoto</t>
  </si>
  <si>
    <t>Kmt = Kumamoto Stadium, Kumamoto; Yok = International Stadium, Yokohama</t>
  </si>
  <si>
    <t>Kmy = Kumagaya Rugby Stadium, Kumagaya; Oit = Oita Stadium, Oita</t>
  </si>
  <si>
    <t>Kmy = Kumagaya Rugby Stadium, Kumagaya; Kbe = Misaki Stadium, Kobe</t>
  </si>
  <si>
    <t>Par = Western Sydney Stadium, Parramatta; Kmy = Kumagaya Rugby Stadium, Kumagaya</t>
  </si>
  <si>
    <t>Han = Hanazono Stadium, Hanazono; Kmy = Kumagaya Rugby Stadium, Kumagaya</t>
  </si>
  <si>
    <t>Fuk = Hakatanomori Stadium, Fukuoka; Kmy = Kumagaya Rugby Stadium, Kumagaya</t>
  </si>
  <si>
    <t>Suv = National Stadium, Suva; Kmy = Kumagaya Rugby Stadium, Kumagaya</t>
  </si>
  <si>
    <t>Kmy = Kumagaya Rugby Stadium, Kumagaya; Yok = International Stadium, Yokohama</t>
  </si>
  <si>
    <t>URUGUAY</t>
  </si>
  <si>
    <t>Toy = City of Toyota Stadium, Toyota; Tok = Tokyo Stadium; Oit = Oita Stadium, Oita</t>
  </si>
  <si>
    <t>WALES</t>
  </si>
  <si>
    <t>14-10</t>
  </si>
  <si>
    <t>10-14</t>
  </si>
  <si>
    <t>9-20</t>
  </si>
  <si>
    <t>20-9</t>
  </si>
  <si>
    <t>Kampala</t>
  </si>
  <si>
    <t>Zambia</t>
  </si>
  <si>
    <t>Victoria Cup</t>
  </si>
  <si>
    <t>Harare</t>
  </si>
  <si>
    <t>Rugby Championship / Mandela Challenge Plate</t>
  </si>
  <si>
    <t>Johannesburg</t>
  </si>
  <si>
    <t>Rugby Championship</t>
  </si>
  <si>
    <t>Buenos Aires</t>
  </si>
  <si>
    <t>Mike Fraser (Nzl)</t>
  </si>
  <si>
    <t>Graham Cooper (Aus)</t>
  </si>
  <si>
    <t>Kaveni Talemalvalagi (Fij)</t>
  </si>
  <si>
    <t>29-14</t>
  </si>
  <si>
    <t>Mike Adamson (Sco)</t>
  </si>
  <si>
    <t>Cam Stone (Nzl)</t>
  </si>
  <si>
    <t>14-29</t>
  </si>
  <si>
    <t>7-6</t>
  </si>
  <si>
    <t>6-7</t>
  </si>
  <si>
    <t>Gle</t>
  </si>
  <si>
    <t>Gle = Infinity Park, Glendale;  Kbe = Misaki Stadium, Kobe</t>
  </si>
  <si>
    <t>Van = BC Place, Vancouver; Gle = Infinity Park, Glendale; Oit = Oita Stadium, Oita</t>
  </si>
  <si>
    <t>20-0</t>
  </si>
  <si>
    <t>0-20</t>
  </si>
  <si>
    <t>Penalty Tries: v USA (27 Jul)</t>
  </si>
  <si>
    <t>7-10</t>
  </si>
  <si>
    <t>Damon Murphy (Aus)</t>
  </si>
  <si>
    <t>10-7</t>
  </si>
  <si>
    <t>Nick Briant (Nzl)</t>
  </si>
  <si>
    <t>21-0</t>
  </si>
  <si>
    <t>0-21</t>
  </si>
  <si>
    <t>Sbt</t>
  </si>
  <si>
    <t>Prs = Stade de France, Paris; Sbt = Stadio Riviera delle Palme, San Benedetto del Tronto</t>
  </si>
  <si>
    <t>Sbt = Stadio Riviera delle Palme, San Benedetto del Tronto</t>
  </si>
  <si>
    <t>Mai = Estadio Santiago Bueras, Maipu; RR = Dell Diamond Stadium, Round Rock</t>
  </si>
  <si>
    <t>*Uruguay lost to Argentina XV 10-35 on 23 Feb (Americas Champs) &amp; beat them 28-15 (Nats Cup)</t>
  </si>
  <si>
    <t>in non-cap matches (neither are included in totals)</t>
  </si>
  <si>
    <t>8-19</t>
  </si>
  <si>
    <t>Ben O'Keefee (Nzl)</t>
  </si>
  <si>
    <t>Tevita Rokovereni (Fij)</t>
  </si>
  <si>
    <t>19-8</t>
  </si>
  <si>
    <t>20-13</t>
  </si>
  <si>
    <t>13-20</t>
  </si>
  <si>
    <t>3-3</t>
  </si>
  <si>
    <t>Jordan Way (Aus)</t>
  </si>
  <si>
    <t>13-24</t>
  </si>
  <si>
    <t>Matthew Carley (Eng(</t>
  </si>
  <si>
    <t>24-13</t>
  </si>
  <si>
    <t>19-10</t>
  </si>
  <si>
    <t>10-19</t>
  </si>
  <si>
    <t>21-7</t>
  </si>
  <si>
    <t>Brian MacNeice (Ire)</t>
  </si>
  <si>
    <t>7-21</t>
  </si>
  <si>
    <t>Pacific Nations Cup</t>
  </si>
  <si>
    <t>Apia</t>
  </si>
  <si>
    <t>Rugby Championship / Freedom Cup</t>
  </si>
  <si>
    <t>Wellington</t>
  </si>
  <si>
    <t>Rugby Championship / Puma Trophy</t>
  </si>
  <si>
    <t>Brisbane</t>
  </si>
  <si>
    <t>Kitwe</t>
  </si>
  <si>
    <t>Glendale</t>
  </si>
  <si>
    <t>Ghana</t>
  </si>
  <si>
    <t>West Africa Series</t>
  </si>
  <si>
    <t>Elmina</t>
  </si>
  <si>
    <t>Nigeria</t>
  </si>
  <si>
    <t>Suva</t>
  </si>
  <si>
    <t>Osaka</t>
  </si>
  <si>
    <t>Bulawayo</t>
  </si>
  <si>
    <t>Lautoka</t>
  </si>
  <si>
    <t>Rugby Championship / Bledisloe Cup</t>
  </si>
  <si>
    <t>Perth</t>
  </si>
  <si>
    <t>Salta</t>
  </si>
  <si>
    <t>Argentina XV</t>
  </si>
  <si>
    <t>17-0</t>
  </si>
  <si>
    <t>0-17</t>
  </si>
  <si>
    <t>0-10</t>
  </si>
  <si>
    <t>8-3</t>
  </si>
  <si>
    <t>3-8</t>
  </si>
  <si>
    <t>38-8</t>
  </si>
  <si>
    <t>Sean Gallagher (Ire)</t>
  </si>
  <si>
    <t>8-38</t>
  </si>
  <si>
    <t>20-3</t>
  </si>
  <si>
    <t>3-20</t>
  </si>
  <si>
    <t>22-10</t>
  </si>
  <si>
    <t>Philippe Bonhoure (Fra)</t>
  </si>
  <si>
    <t>10-22</t>
  </si>
  <si>
    <t>Auckland</t>
  </si>
  <si>
    <t>Pretoria</t>
  </si>
  <si>
    <t>San Benedetto del Tronto</t>
  </si>
  <si>
    <t>Nice</t>
  </si>
  <si>
    <t>Americas Rugby Challenge</t>
  </si>
  <si>
    <t>Mexico</t>
  </si>
  <si>
    <t xml:space="preserve"> Bledisloe Cup</t>
  </si>
  <si>
    <t>3-15</t>
  </si>
  <si>
    <t>15-3</t>
  </si>
  <si>
    <t>Penalty Tries: v Ita (30 Aug)</t>
  </si>
  <si>
    <t>19-7</t>
  </si>
  <si>
    <t>7-19</t>
  </si>
  <si>
    <t>17-12</t>
  </si>
  <si>
    <t>Aaron Patterson (Nzl)</t>
  </si>
  <si>
    <t>Akl = Eden Park, Auckland; Sap = Sapporo Dome, Sapporo</t>
  </si>
  <si>
    <t>Akl = Eden Park, Auckland; Hm = Waikato Stadium, Hamilton; Sap = Sapporo Dome, Sapporo</t>
  </si>
  <si>
    <t>12-17</t>
  </si>
  <si>
    <t>3-23</t>
  </si>
  <si>
    <t>Trevor Fisher (Eng)</t>
  </si>
  <si>
    <t>23-3</t>
  </si>
  <si>
    <t>Nauru</t>
  </si>
  <si>
    <t>Niue Island</t>
  </si>
  <si>
    <t>Oceania Cup</t>
  </si>
  <si>
    <t>Port Moresby</t>
  </si>
  <si>
    <t>PNG</t>
  </si>
  <si>
    <t>Solomon Is</t>
  </si>
  <si>
    <t>Lusaka</t>
  </si>
  <si>
    <t>World Cup warm-up</t>
  </si>
  <si>
    <t>0-22</t>
  </si>
  <si>
    <t>Shane McDermott (Nzl)</t>
  </si>
  <si>
    <t>22-0</t>
  </si>
  <si>
    <t>9-10</t>
  </si>
  <si>
    <t>9-0</t>
  </si>
  <si>
    <t>0-9</t>
  </si>
  <si>
    <t>54-0</t>
  </si>
  <si>
    <t>James Leckie (Aus)</t>
  </si>
  <si>
    <t>0-54</t>
  </si>
  <si>
    <t>3-22</t>
  </si>
  <si>
    <t>Olly Hodges (Ire)</t>
  </si>
  <si>
    <t>Parramatta</t>
  </si>
  <si>
    <t>Vancouver</t>
  </si>
  <si>
    <t>Round Rock, Texas</t>
  </si>
  <si>
    <t>10-28</t>
  </si>
  <si>
    <t>Derek Summers (USA)</t>
  </si>
  <si>
    <t>Santiago Borsani (Arg)</t>
  </si>
  <si>
    <t>Pali Deluca (Arg)</t>
  </si>
  <si>
    <t>Santiago Romero (Uru)</t>
  </si>
  <si>
    <t>Juan Pablo Federico (Arg)</t>
  </si>
  <si>
    <t>20-10</t>
  </si>
  <si>
    <t>Tok = Tokyo Stadium, Tokyo</t>
  </si>
  <si>
    <t>World Cup Pool A</t>
  </si>
  <si>
    <t>Tokyo Stadium, Tokyo</t>
  </si>
  <si>
    <t>12-14</t>
  </si>
  <si>
    <t>14-12</t>
  </si>
  <si>
    <r>
      <rPr>
        <b/>
        <sz val="11"/>
        <color rgb="FFFF0000"/>
        <rFont val="Calibri"/>
        <family val="2"/>
        <scheme val="minor"/>
      </rPr>
      <t xml:space="preserve">12 </t>
    </r>
    <r>
      <rPr>
        <b/>
        <sz val="11"/>
        <color theme="1"/>
        <rFont val="Calibri"/>
        <family val="2"/>
        <scheme val="minor"/>
      </rPr>
      <t>by Aus v Fij (Sep 21)</t>
    </r>
  </si>
  <si>
    <t>World Cup Pool D</t>
  </si>
  <si>
    <t>Sapporo Dome, Sapporo</t>
  </si>
  <si>
    <t>World Cup Pool C</t>
  </si>
  <si>
    <t>3-17</t>
  </si>
  <si>
    <t xml:space="preserve">New Zealand </t>
  </si>
  <si>
    <t>World Cup Pool B</t>
  </si>
  <si>
    <t>International Stadium, Yokohama</t>
  </si>
  <si>
    <t>Kmy = Kumagaya Rugby Stadium, Kumagaya;Osa = Hanazono Stadium, Osaka</t>
  </si>
  <si>
    <t>Nw = St James' Park, Newcastle;Osa = Hanazono Stadium, Osaka</t>
  </si>
  <si>
    <t>Kmi = Recovery Memorial Stadium, Kamaishi;Osa = Hanazono Stadium, Osaka</t>
  </si>
  <si>
    <t>Api = Apia Park, Apia;Osa = Hanazono Stadium, Osaka; Lau = Churchill Park, Lautoka</t>
  </si>
  <si>
    <t>Osa</t>
  </si>
  <si>
    <t>Osa = Hanazono Stadium, Osaka; Kmt = Kumamoto Stadium, Kumamoto</t>
  </si>
  <si>
    <t>Mv = Estadio Churrua, Montevideo; Osa = Hanazono Stadium, Osaka</t>
  </si>
  <si>
    <t>Hanazono Stadium, Osaka</t>
  </si>
  <si>
    <t>19-3</t>
  </si>
  <si>
    <t>3-19</t>
  </si>
  <si>
    <t>Beirne</t>
  </si>
  <si>
    <t>18-3</t>
  </si>
  <si>
    <t>3-18</t>
  </si>
  <si>
    <t>Osa = Hanazono Stadium, Osaka; Oit = Oita Stadium, Oita;</t>
  </si>
  <si>
    <t>29-0</t>
  </si>
  <si>
    <t>0-29</t>
  </si>
  <si>
    <t>Toyota Stadium, Toyota</t>
  </si>
  <si>
    <t>Bregvadze</t>
  </si>
  <si>
    <t>6-5</t>
  </si>
  <si>
    <t>5-6</t>
  </si>
  <si>
    <t>Kumagaya Rugby Stadium, Kumagaya</t>
  </si>
  <si>
    <r>
      <rPr>
        <b/>
        <sz val="11"/>
        <color rgb="FFFF0000"/>
        <rFont val="Calibri"/>
        <family val="2"/>
        <scheme val="minor"/>
      </rPr>
      <t xml:space="preserve">14 </t>
    </r>
    <r>
      <rPr>
        <b/>
        <sz val="11"/>
        <color theme="1"/>
        <rFont val="Calibri"/>
        <family val="2"/>
        <scheme val="minor"/>
      </rPr>
      <t>by Sam v Rus (Sep 24)</t>
    </r>
  </si>
  <si>
    <t>12-24</t>
  </si>
  <si>
    <t>24-12</t>
  </si>
  <si>
    <t>Recovery Memorial Stadium, Kamaishi</t>
  </si>
  <si>
    <t>Penalty Tries: v Nam (22 Sep), Can (26 Sep)</t>
  </si>
  <si>
    <t>Hakatanomori Stadium, Fukuoka</t>
  </si>
  <si>
    <t>Heaton</t>
  </si>
  <si>
    <t>Quill</t>
  </si>
  <si>
    <t>28-7</t>
  </si>
  <si>
    <t>7-28</t>
  </si>
  <si>
    <t>TIE-BREAKERS IN POOL STAGE</t>
  </si>
  <si>
    <t>1. Head to Head Match</t>
  </si>
  <si>
    <t>2. Points Difference</t>
  </si>
  <si>
    <t xml:space="preserve">3. Tries Difference </t>
  </si>
  <si>
    <t>4. Points Scored</t>
  </si>
  <si>
    <t>5. Tries Scored</t>
  </si>
  <si>
    <t xml:space="preserve">6. World Rankings on October 14, 2019 </t>
  </si>
  <si>
    <t>9-12</t>
  </si>
  <si>
    <t>Jerome Garces )Fra)</t>
  </si>
  <si>
    <t>12-9</t>
  </si>
  <si>
    <t>Ecopa Stadium, Shizuoka</t>
  </si>
  <si>
    <t>TGA</t>
  </si>
  <si>
    <t>31-3</t>
  </si>
  <si>
    <t>3-31</t>
  </si>
  <si>
    <t>Booysen, Coetzee</t>
  </si>
  <si>
    <t>Gattas</t>
  </si>
  <si>
    <t>8-23</t>
  </si>
  <si>
    <t>23-8</t>
  </si>
  <si>
    <t>St James' Park, Newcastle</t>
  </si>
  <si>
    <t>Misagi Stadium, Kobe</t>
  </si>
  <si>
    <t>Fidow</t>
  </si>
  <si>
    <t>N.B. Fidow was shown 2 yellow cards v Sco</t>
  </si>
  <si>
    <t>Penalty tries: v Can (2 Oct)</t>
  </si>
  <si>
    <t>6-12</t>
  </si>
  <si>
    <t>28-0</t>
  </si>
  <si>
    <t>0-28</t>
  </si>
  <si>
    <t>Oita Stadium, Oita</t>
  </si>
  <si>
    <t>7-3</t>
  </si>
  <si>
    <t>Paul Williams(Nzl)</t>
  </si>
  <si>
    <t>3-7</t>
  </si>
  <si>
    <t>Fedotko, Gotovtsev, Ostrikov</t>
  </si>
  <si>
    <t>Lovotti</t>
  </si>
  <si>
    <t>Lavanini</t>
  </si>
  <si>
    <t>16-9</t>
  </si>
  <si>
    <t>9-16</t>
  </si>
  <si>
    <r>
      <rPr>
        <b/>
        <sz val="11"/>
        <color rgb="FFFF0000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by Nzl v Nam (Oct 6)</t>
    </r>
  </si>
  <si>
    <t>24-9</t>
  </si>
  <si>
    <t>9-24</t>
  </si>
  <si>
    <t>Kumamoto Stadium, Kumamoto</t>
  </si>
  <si>
    <t>Q = Pool winners qualified for Q-Finals &amp; 2023 World Cup; q = Qualified for QF &amp; 2023 World Cup</t>
  </si>
  <si>
    <t>*Qualified for 2023 RWC</t>
  </si>
  <si>
    <t>47-0</t>
  </si>
  <si>
    <t>0-47</t>
  </si>
  <si>
    <t>N Zealand (Q)</t>
  </si>
  <si>
    <t>England (Q)</t>
  </si>
  <si>
    <t>Australia (q)</t>
  </si>
  <si>
    <t>Larsen</t>
  </si>
  <si>
    <t>19-5</t>
  </si>
  <si>
    <t>5-19</t>
  </si>
  <si>
    <t>l</t>
  </si>
  <si>
    <t>Scotland*</t>
  </si>
  <si>
    <t>Penalty Tries: v Wal (9 Oct)</t>
  </si>
  <si>
    <t>C = Match v Nzl (12 Oct) cancelled due to Typhoon Hagibis, result declared as a 0-0 draw</t>
  </si>
  <si>
    <t>C = Match v Fra (12 Oct) cancelled due to Typhoon Hagibis, result declared as a 0-0 draw</t>
  </si>
  <si>
    <t>C = Match v Eng (12 Oct) cancelled due to Typhoon Hagibis, result declared as a 0-0 draw</t>
  </si>
  <si>
    <t>C = Match v Ita (12 Oct) cancelled due to Typhoon Hagibis, result declared as a 0-0 draw</t>
  </si>
  <si>
    <t>Italy*</t>
  </si>
  <si>
    <t>Argentina*</t>
  </si>
  <si>
    <t>Botia, Cavubati, Kunatani</t>
  </si>
  <si>
    <t>S Africa (q)</t>
  </si>
  <si>
    <t>France (q)</t>
  </si>
  <si>
    <t>Coleman, Naisarani, Salakaia-Loto</t>
  </si>
  <si>
    <t>Aki</t>
  </si>
  <si>
    <t>26-5</t>
  </si>
  <si>
    <t>5-26</t>
  </si>
  <si>
    <t xml:space="preserve">Ireland </t>
  </si>
  <si>
    <t>Ioane (2), Fidow, Lam S, Lee-Lo, Matu'u</t>
  </si>
  <si>
    <t>Japan (Q)</t>
  </si>
  <si>
    <t>Ireland (q)</t>
  </si>
  <si>
    <t>Wales (Q)</t>
  </si>
  <si>
    <t>Fiji*</t>
  </si>
  <si>
    <t>Penalty Tries: v Uru (13 Oct)</t>
  </si>
  <si>
    <t>Civetta</t>
  </si>
  <si>
    <r>
      <rPr>
        <b/>
        <sz val="11"/>
        <color rgb="FFFF0000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 xml:space="preserve"> vy Wal v Uru (Oct 13)</t>
    </r>
  </si>
  <si>
    <t>17-9</t>
  </si>
  <si>
    <t>World Cup Quarter-Final</t>
  </si>
  <si>
    <t>Penalty Tries: v Wal (31 Aug), v Nzl (19 Oct)</t>
  </si>
  <si>
    <t>Laulala, Todd, Tuungafasi</t>
  </si>
  <si>
    <t>Davies (James), Moriarty, Owens</t>
  </si>
  <si>
    <t>Vahaamahina</t>
  </si>
  <si>
    <t>3-5</t>
  </si>
  <si>
    <t>5-3</t>
  </si>
  <si>
    <t>Mtawarira</t>
  </si>
  <si>
    <t>BPs</t>
  </si>
  <si>
    <t>WCB</t>
  </si>
  <si>
    <t>World Cup Semi-Final</t>
  </si>
  <si>
    <t>WORLD CUP (includes cancelled matches in 2019 tournament)</t>
  </si>
  <si>
    <t>(Cancelled match v Ita included in totals)</t>
  </si>
  <si>
    <t>(Includes Cancelled)</t>
  </si>
  <si>
    <t>6-9</t>
  </si>
  <si>
    <t>9-6</t>
  </si>
  <si>
    <t>ALL TESTS  (includes cancelled matches in 2019 World Cup)</t>
  </si>
  <si>
    <t>28-10</t>
  </si>
  <si>
    <t>World Cup Bronze Final</t>
  </si>
  <si>
    <t>Ben O'Keefe (Nzl)</t>
  </si>
  <si>
    <t>Malmo</t>
  </si>
  <si>
    <t>Andorra-la-Vella</t>
  </si>
  <si>
    <t>Portugal tour</t>
  </si>
  <si>
    <t>Criuleni</t>
  </si>
  <si>
    <t>Siauliai</t>
  </si>
  <si>
    <t>Hong Kong tour</t>
  </si>
  <si>
    <t>Neder-over-Heembeek</t>
  </si>
  <si>
    <t>Santiago</t>
  </si>
  <si>
    <t>Botswana</t>
  </si>
  <si>
    <t>2023 Rugby World Cup Qualifier / Rugby Africa Cup</t>
  </si>
  <si>
    <t>Yverdon</t>
  </si>
  <si>
    <t>Rwanda</t>
  </si>
  <si>
    <t>Abidjan</t>
  </si>
  <si>
    <t>Senegal</t>
  </si>
  <si>
    <t>Mauritius</t>
  </si>
  <si>
    <t>Dakar</t>
  </si>
  <si>
    <t>Madagascar</t>
  </si>
  <si>
    <t>Antananarive</t>
  </si>
  <si>
    <t>Rugby World Cup Final</t>
  </si>
  <si>
    <t>as at 31/12/19</t>
  </si>
  <si>
    <t>as at 31/08/23</t>
  </si>
  <si>
    <t>9-17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</si>
</sst>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color theme="1"/>
      <name val="Calibri"/>
      <family val="2"/>
    </font>
    <font>
      <b/>
      <sz val="11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theme="3" tint="0.59999389629810485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5" tint="0.59999389629810485"/>
      <name val="Calibri"/>
      <family val="2"/>
      <scheme val="minor"/>
    </font>
    <font>
      <sz val="11"/>
      <color theme="5" tint="0.59999389629810485"/>
      <name val="Calibri"/>
      <family val="2"/>
      <scheme val="minor"/>
    </font>
    <font>
      <b/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rgb="FF002060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sz val="11"/>
      <color theme="8" tint="0.39997558519241921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4B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259">
    <xf numFmtId="0" fontId="0" fillId="0" borderId="0" xfId="0"/>
    <xf numFmtId="0" fontId="23" fillId="4" borderId="2" xfId="0" applyFont="1" applyFill="1" applyBorder="1"/>
    <xf numFmtId="0" fontId="24" fillId="4" borderId="7" xfId="0" applyFont="1" applyFill="1" applyBorder="1"/>
    <xf numFmtId="49" fontId="24" fillId="4" borderId="7" xfId="0" applyNumberFormat="1" applyFont="1" applyFill="1" applyBorder="1"/>
    <xf numFmtId="0" fontId="24" fillId="4" borderId="8" xfId="0" applyFont="1" applyFill="1" applyBorder="1"/>
    <xf numFmtId="0" fontId="24" fillId="4" borderId="9" xfId="0" applyFont="1" applyFill="1" applyBorder="1"/>
    <xf numFmtId="0" fontId="23" fillId="4" borderId="1" xfId="0" applyFont="1" applyFill="1" applyBorder="1"/>
    <xf numFmtId="0" fontId="23" fillId="4" borderId="10" xfId="0" applyFont="1" applyFill="1" applyBorder="1" applyAlignment="1">
      <alignment vertical="center" wrapText="1"/>
    </xf>
    <xf numFmtId="0" fontId="23" fillId="4" borderId="5" xfId="0" applyFont="1" applyFill="1" applyBorder="1" applyAlignment="1">
      <alignment vertical="center" wrapText="1"/>
    </xf>
    <xf numFmtId="0" fontId="23" fillId="4" borderId="1" xfId="0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0" fontId="23" fillId="3" borderId="0" xfId="0" applyFont="1" applyFill="1"/>
    <xf numFmtId="0" fontId="0" fillId="3" borderId="0" xfId="0" applyFill="1"/>
    <xf numFmtId="0" fontId="26" fillId="0" borderId="0" xfId="0" applyFont="1"/>
    <xf numFmtId="0" fontId="25" fillId="9" borderId="1" xfId="0" applyFont="1" applyFill="1" applyBorder="1"/>
    <xf numFmtId="0" fontId="25" fillId="9" borderId="2" xfId="0" applyFont="1" applyFill="1" applyBorder="1"/>
    <xf numFmtId="0" fontId="25" fillId="9" borderId="11" xfId="0" applyFont="1" applyFill="1" applyBorder="1"/>
    <xf numFmtId="0" fontId="25" fillId="9" borderId="10" xfId="0" applyFont="1" applyFill="1" applyBorder="1" applyAlignment="1">
      <alignment vertical="center" wrapText="1"/>
    </xf>
    <xf numFmtId="0" fontId="25" fillId="9" borderId="5" xfId="0" applyFont="1" applyFill="1" applyBorder="1" applyAlignment="1">
      <alignment vertical="center" wrapText="1"/>
    </xf>
    <xf numFmtId="0" fontId="25" fillId="9" borderId="1" xfId="0" applyFont="1" applyFill="1" applyBorder="1" applyAlignment="1">
      <alignment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6" xfId="0" applyFont="1" applyFill="1" applyBorder="1" applyAlignment="1">
      <alignment horizontal="center" vertical="center" wrapText="1"/>
    </xf>
    <xf numFmtId="0" fontId="22" fillId="9" borderId="7" xfId="0" applyFont="1" applyFill="1" applyBorder="1"/>
    <xf numFmtId="49" fontId="22" fillId="9" borderId="7" xfId="0" applyNumberFormat="1" applyFont="1" applyFill="1" applyBorder="1"/>
    <xf numFmtId="0" fontId="22" fillId="9" borderId="8" xfId="0" applyFont="1" applyFill="1" applyBorder="1"/>
    <xf numFmtId="0" fontId="22" fillId="9" borderId="9" xfId="0" applyFont="1" applyFill="1" applyBorder="1"/>
    <xf numFmtId="0" fontId="17" fillId="10" borderId="1" xfId="0" applyFont="1" applyFill="1" applyBorder="1"/>
    <xf numFmtId="0" fontId="17" fillId="10" borderId="2" xfId="0" applyFont="1" applyFill="1" applyBorder="1"/>
    <xf numFmtId="0" fontId="17" fillId="10" borderId="11" xfId="0" applyFont="1" applyFill="1" applyBorder="1"/>
    <xf numFmtId="0" fontId="17" fillId="10" borderId="10" xfId="0" applyFont="1" applyFill="1" applyBorder="1" applyAlignment="1">
      <alignment vertical="center" wrapText="1"/>
    </xf>
    <xf numFmtId="0" fontId="17" fillId="10" borderId="5" xfId="0" applyFont="1" applyFill="1" applyBorder="1" applyAlignment="1">
      <alignment vertical="center" wrapText="1"/>
    </xf>
    <xf numFmtId="0" fontId="17" fillId="10" borderId="1" xfId="0" applyFont="1" applyFill="1" applyBorder="1" applyAlignment="1">
      <alignment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center" vertical="center" wrapText="1"/>
    </xf>
    <xf numFmtId="0" fontId="15" fillId="10" borderId="7" xfId="0" applyFont="1" applyFill="1" applyBorder="1"/>
    <xf numFmtId="49" fontId="15" fillId="10" borderId="7" xfId="0" applyNumberFormat="1" applyFont="1" applyFill="1" applyBorder="1"/>
    <xf numFmtId="0" fontId="15" fillId="10" borderId="8" xfId="0" applyFont="1" applyFill="1" applyBorder="1"/>
    <xf numFmtId="0" fontId="15" fillId="10" borderId="12" xfId="0" applyFont="1" applyFill="1" applyBorder="1"/>
    <xf numFmtId="0" fontId="15" fillId="10" borderId="9" xfId="0" applyFont="1" applyFill="1" applyBorder="1"/>
    <xf numFmtId="0" fontId="16" fillId="3" borderId="1" xfId="0" applyFont="1" applyFill="1" applyBorder="1"/>
    <xf numFmtId="0" fontId="16" fillId="3" borderId="2" xfId="0" applyFont="1" applyFill="1" applyBorder="1"/>
    <xf numFmtId="0" fontId="16" fillId="3" borderId="11" xfId="0" applyFont="1" applyFill="1" applyBorder="1"/>
    <xf numFmtId="0" fontId="16" fillId="3" borderId="5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0" fillId="3" borderId="7" xfId="0" applyFill="1" applyBorder="1"/>
    <xf numFmtId="49" fontId="0" fillId="3" borderId="7" xfId="0" applyNumberFormat="1" applyFill="1" applyBorder="1"/>
    <xf numFmtId="0" fontId="0" fillId="3" borderId="8" xfId="0" applyFill="1" applyBorder="1"/>
    <xf numFmtId="0" fontId="0" fillId="3" borderId="9" xfId="0" applyFill="1" applyBorder="1"/>
    <xf numFmtId="0" fontId="23" fillId="4" borderId="11" xfId="0" applyFont="1" applyFill="1" applyBorder="1"/>
    <xf numFmtId="0" fontId="24" fillId="4" borderId="12" xfId="0" applyFont="1" applyFill="1" applyBorder="1"/>
    <xf numFmtId="0" fontId="23" fillId="7" borderId="1" xfId="0" applyFont="1" applyFill="1" applyBorder="1"/>
    <xf numFmtId="0" fontId="23" fillId="7" borderId="2" xfId="0" applyFont="1" applyFill="1" applyBorder="1"/>
    <xf numFmtId="0" fontId="23" fillId="7" borderId="11" xfId="0" applyFont="1" applyFill="1" applyBorder="1"/>
    <xf numFmtId="0" fontId="23" fillId="7" borderId="10" xfId="0" applyFont="1" applyFill="1" applyBorder="1" applyAlignment="1">
      <alignment vertical="center" wrapText="1"/>
    </xf>
    <xf numFmtId="0" fontId="23" fillId="7" borderId="5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center" vertical="center" wrapText="1"/>
    </xf>
    <xf numFmtId="0" fontId="24" fillId="7" borderId="7" xfId="0" applyFont="1" applyFill="1" applyBorder="1"/>
    <xf numFmtId="49" fontId="24" fillId="7" borderId="7" xfId="0" applyNumberFormat="1" applyFont="1" applyFill="1" applyBorder="1"/>
    <xf numFmtId="0" fontId="24" fillId="7" borderId="8" xfId="0" applyFont="1" applyFill="1" applyBorder="1"/>
    <xf numFmtId="0" fontId="24" fillId="7" borderId="12" xfId="0" applyFont="1" applyFill="1" applyBorder="1"/>
    <xf numFmtId="0" fontId="24" fillId="7" borderId="9" xfId="0" applyFont="1" applyFill="1" applyBorder="1"/>
    <xf numFmtId="0" fontId="23" fillId="12" borderId="1" xfId="0" applyFont="1" applyFill="1" applyBorder="1"/>
    <xf numFmtId="0" fontId="23" fillId="12" borderId="2" xfId="0" applyFont="1" applyFill="1" applyBorder="1"/>
    <xf numFmtId="0" fontId="23" fillId="12" borderId="11" xfId="0" applyFont="1" applyFill="1" applyBorder="1"/>
    <xf numFmtId="0" fontId="23" fillId="12" borderId="10" xfId="0" applyFont="1" applyFill="1" applyBorder="1" applyAlignment="1">
      <alignment vertical="center" wrapText="1"/>
    </xf>
    <xf numFmtId="0" fontId="23" fillId="12" borderId="5" xfId="0" applyFont="1" applyFill="1" applyBorder="1" applyAlignment="1">
      <alignment vertical="center" wrapText="1"/>
    </xf>
    <xf numFmtId="0" fontId="23" fillId="12" borderId="1" xfId="0" applyFont="1" applyFill="1" applyBorder="1" applyAlignment="1">
      <alignment vertical="center" wrapText="1"/>
    </xf>
    <xf numFmtId="0" fontId="23" fillId="12" borderId="1" xfId="0" applyFont="1" applyFill="1" applyBorder="1" applyAlignment="1">
      <alignment horizontal="center" vertical="center" wrapText="1"/>
    </xf>
    <xf numFmtId="0" fontId="23" fillId="12" borderId="6" xfId="0" applyFont="1" applyFill="1" applyBorder="1" applyAlignment="1">
      <alignment horizontal="center" vertical="center" wrapText="1"/>
    </xf>
    <xf numFmtId="0" fontId="24" fillId="12" borderId="7" xfId="0" applyFont="1" applyFill="1" applyBorder="1"/>
    <xf numFmtId="49" fontId="24" fillId="12" borderId="7" xfId="0" applyNumberFormat="1" applyFont="1" applyFill="1" applyBorder="1"/>
    <xf numFmtId="0" fontId="24" fillId="12" borderId="8" xfId="0" applyFont="1" applyFill="1" applyBorder="1"/>
    <xf numFmtId="0" fontId="24" fillId="12" borderId="12" xfId="0" applyFont="1" applyFill="1" applyBorder="1"/>
    <xf numFmtId="0" fontId="24" fillId="12" borderId="9" xfId="0" applyFont="1" applyFill="1" applyBorder="1"/>
    <xf numFmtId="0" fontId="23" fillId="13" borderId="1" xfId="0" applyFont="1" applyFill="1" applyBorder="1"/>
    <xf numFmtId="0" fontId="23" fillId="13" borderId="2" xfId="0" applyFont="1" applyFill="1" applyBorder="1"/>
    <xf numFmtId="0" fontId="23" fillId="13" borderId="11" xfId="0" applyFont="1" applyFill="1" applyBorder="1"/>
    <xf numFmtId="0" fontId="23" fillId="13" borderId="10" xfId="0" applyFont="1" applyFill="1" applyBorder="1" applyAlignment="1">
      <alignment vertical="center" wrapText="1"/>
    </xf>
    <xf numFmtId="0" fontId="23" fillId="13" borderId="5" xfId="0" applyFont="1" applyFill="1" applyBorder="1" applyAlignment="1">
      <alignment vertical="center" wrapText="1"/>
    </xf>
    <xf numFmtId="0" fontId="23" fillId="13" borderId="1" xfId="0" applyFont="1" applyFill="1" applyBorder="1" applyAlignment="1">
      <alignment vertical="center" wrapText="1"/>
    </xf>
    <xf numFmtId="0" fontId="23" fillId="13" borderId="1" xfId="0" applyFont="1" applyFill="1" applyBorder="1" applyAlignment="1">
      <alignment horizontal="center" vertical="center" wrapText="1"/>
    </xf>
    <xf numFmtId="0" fontId="23" fillId="13" borderId="6" xfId="0" applyFont="1" applyFill="1" applyBorder="1" applyAlignment="1">
      <alignment horizontal="center" vertical="center" wrapText="1"/>
    </xf>
    <xf numFmtId="0" fontId="24" fillId="13" borderId="7" xfId="0" applyFont="1" applyFill="1" applyBorder="1"/>
    <xf numFmtId="0" fontId="24" fillId="13" borderId="8" xfId="0" applyFont="1" applyFill="1" applyBorder="1"/>
    <xf numFmtId="0" fontId="24" fillId="13" borderId="12" xfId="0" applyFont="1" applyFill="1" applyBorder="1"/>
    <xf numFmtId="0" fontId="24" fillId="13" borderId="9" xfId="0" applyFont="1" applyFill="1" applyBorder="1"/>
    <xf numFmtId="0" fontId="31" fillId="6" borderId="1" xfId="0" applyFont="1" applyFill="1" applyBorder="1"/>
    <xf numFmtId="0" fontId="31" fillId="6" borderId="2" xfId="0" applyFont="1" applyFill="1" applyBorder="1"/>
    <xf numFmtId="0" fontId="31" fillId="6" borderId="11" xfId="0" applyFont="1" applyFill="1" applyBorder="1"/>
    <xf numFmtId="0" fontId="31" fillId="6" borderId="10" xfId="0" applyFont="1" applyFill="1" applyBorder="1" applyAlignment="1">
      <alignment vertical="center" wrapText="1"/>
    </xf>
    <xf numFmtId="0" fontId="31" fillId="6" borderId="5" xfId="0" applyFont="1" applyFill="1" applyBorder="1" applyAlignment="1">
      <alignment vertical="center" wrapText="1"/>
    </xf>
    <xf numFmtId="0" fontId="31" fillId="6" borderId="1" xfId="0" applyFont="1" applyFill="1" applyBorder="1" applyAlignment="1">
      <alignment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6" borderId="6" xfId="0" applyFont="1" applyFill="1" applyBorder="1" applyAlignment="1">
      <alignment horizontal="center" vertical="center" wrapText="1"/>
    </xf>
    <xf numFmtId="0" fontId="32" fillId="6" borderId="7" xfId="0" applyFont="1" applyFill="1" applyBorder="1"/>
    <xf numFmtId="49" fontId="32" fillId="6" borderId="7" xfId="0" applyNumberFormat="1" applyFont="1" applyFill="1" applyBorder="1"/>
    <xf numFmtId="0" fontId="32" fillId="6" borderId="8" xfId="0" applyFont="1" applyFill="1" applyBorder="1"/>
    <xf numFmtId="0" fontId="32" fillId="6" borderId="12" xfId="0" applyFont="1" applyFill="1" applyBorder="1"/>
    <xf numFmtId="0" fontId="32" fillId="6" borderId="9" xfId="0" applyFont="1" applyFill="1" applyBorder="1"/>
    <xf numFmtId="0" fontId="27" fillId="2" borderId="1" xfId="0" applyFont="1" applyFill="1" applyBorder="1"/>
    <xf numFmtId="0" fontId="27" fillId="2" borderId="2" xfId="0" applyFont="1" applyFill="1" applyBorder="1"/>
    <xf numFmtId="0" fontId="27" fillId="2" borderId="11" xfId="0" applyFont="1" applyFill="1" applyBorder="1"/>
    <xf numFmtId="0" fontId="27" fillId="2" borderId="0" xfId="0" applyFont="1" applyFill="1"/>
    <xf numFmtId="0" fontId="18" fillId="2" borderId="0" xfId="0" applyFont="1" applyFill="1"/>
    <xf numFmtId="0" fontId="27" fillId="2" borderId="10" xfId="0" applyFont="1" applyFill="1" applyBorder="1" applyAlignment="1">
      <alignment vertical="center" wrapText="1"/>
    </xf>
    <xf numFmtId="0" fontId="27" fillId="2" borderId="5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/>
    <xf numFmtId="49" fontId="18" fillId="2" borderId="7" xfId="0" applyNumberFormat="1" applyFont="1" applyFill="1" applyBorder="1"/>
    <xf numFmtId="0" fontId="18" fillId="2" borderId="8" xfId="0" applyFont="1" applyFill="1" applyBorder="1"/>
    <xf numFmtId="0" fontId="23" fillId="11" borderId="1" xfId="0" applyFont="1" applyFill="1" applyBorder="1"/>
    <xf numFmtId="0" fontId="23" fillId="11" borderId="2" xfId="0" applyFont="1" applyFill="1" applyBorder="1"/>
    <xf numFmtId="0" fontId="23" fillId="11" borderId="11" xfId="0" applyFont="1" applyFill="1" applyBorder="1"/>
    <xf numFmtId="0" fontId="24" fillId="11" borderId="3" xfId="0" applyFont="1" applyFill="1" applyBorder="1"/>
    <xf numFmtId="0" fontId="23" fillId="11" borderId="10" xfId="0" applyFont="1" applyFill="1" applyBorder="1" applyAlignment="1">
      <alignment vertical="center" wrapText="1"/>
    </xf>
    <xf numFmtId="0" fontId="23" fillId="11" borderId="5" xfId="0" applyFont="1" applyFill="1" applyBorder="1" applyAlignment="1">
      <alignment vertical="center" wrapText="1"/>
    </xf>
    <xf numFmtId="0" fontId="23" fillId="11" borderId="1" xfId="0" applyFont="1" applyFill="1" applyBorder="1" applyAlignment="1">
      <alignment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6" xfId="0" applyFont="1" applyFill="1" applyBorder="1" applyAlignment="1">
      <alignment horizontal="center" vertical="center" wrapText="1"/>
    </xf>
    <xf numFmtId="0" fontId="24" fillId="11" borderId="7" xfId="0" applyFont="1" applyFill="1" applyBorder="1"/>
    <xf numFmtId="49" fontId="24" fillId="11" borderId="7" xfId="0" applyNumberFormat="1" applyFont="1" applyFill="1" applyBorder="1"/>
    <xf numFmtId="0" fontId="24" fillId="11" borderId="8" xfId="0" applyFont="1" applyFill="1" applyBorder="1"/>
    <xf numFmtId="0" fontId="24" fillId="11" borderId="12" xfId="0" applyFont="1" applyFill="1" applyBorder="1"/>
    <xf numFmtId="0" fontId="24" fillId="11" borderId="9" xfId="0" applyFont="1" applyFill="1" applyBorder="1"/>
    <xf numFmtId="0" fontId="28" fillId="4" borderId="1" xfId="0" applyFont="1" applyFill="1" applyBorder="1"/>
    <xf numFmtId="0" fontId="28" fillId="4" borderId="2" xfId="0" applyFont="1" applyFill="1" applyBorder="1"/>
    <xf numFmtId="0" fontId="28" fillId="4" borderId="11" xfId="0" applyFont="1" applyFill="1" applyBorder="1"/>
    <xf numFmtId="0" fontId="28" fillId="4" borderId="10" xfId="0" applyFont="1" applyFill="1" applyBorder="1" applyAlignment="1">
      <alignment vertical="center" wrapText="1"/>
    </xf>
    <xf numFmtId="0" fontId="28" fillId="4" borderId="5" xfId="0" applyFont="1" applyFill="1" applyBorder="1" applyAlignment="1">
      <alignment vertical="center" wrapText="1"/>
    </xf>
    <xf numFmtId="0" fontId="28" fillId="4" borderId="1" xfId="0" applyFont="1" applyFill="1" applyBorder="1" applyAlignment="1">
      <alignment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21" fillId="4" borderId="7" xfId="0" applyFont="1" applyFill="1" applyBorder="1"/>
    <xf numFmtId="49" fontId="21" fillId="4" borderId="7" xfId="0" applyNumberFormat="1" applyFont="1" applyFill="1" applyBorder="1"/>
    <xf numFmtId="0" fontId="21" fillId="4" borderId="8" xfId="0" applyFont="1" applyFill="1" applyBorder="1"/>
    <xf numFmtId="0" fontId="21" fillId="4" borderId="9" xfId="0" applyFont="1" applyFill="1" applyBorder="1"/>
    <xf numFmtId="0" fontId="19" fillId="13" borderId="1" xfId="0" applyFont="1" applyFill="1" applyBorder="1"/>
    <xf numFmtId="0" fontId="19" fillId="13" borderId="10" xfId="0" applyFont="1" applyFill="1" applyBorder="1" applyAlignment="1">
      <alignment vertical="center" wrapText="1"/>
    </xf>
    <xf numFmtId="0" fontId="19" fillId="13" borderId="5" xfId="0" applyFont="1" applyFill="1" applyBorder="1" applyAlignment="1">
      <alignment vertical="center" wrapText="1"/>
    </xf>
    <xf numFmtId="0" fontId="19" fillId="13" borderId="1" xfId="0" applyFont="1" applyFill="1" applyBorder="1" applyAlignment="1">
      <alignment vertical="center" wrapText="1"/>
    </xf>
    <xf numFmtId="0" fontId="19" fillId="13" borderId="1" xfId="0" applyFont="1" applyFill="1" applyBorder="1" applyAlignment="1">
      <alignment horizontal="center" vertical="center" wrapText="1"/>
    </xf>
    <xf numFmtId="0" fontId="19" fillId="13" borderId="6" xfId="0" applyFont="1" applyFill="1" applyBorder="1" applyAlignment="1">
      <alignment horizontal="center" vertical="center" wrapText="1"/>
    </xf>
    <xf numFmtId="0" fontId="20" fillId="13" borderId="7" xfId="0" applyFont="1" applyFill="1" applyBorder="1"/>
    <xf numFmtId="0" fontId="20" fillId="13" borderId="8" xfId="0" applyFont="1" applyFill="1" applyBorder="1"/>
    <xf numFmtId="0" fontId="20" fillId="13" borderId="9" xfId="0" applyFont="1" applyFill="1" applyBorder="1"/>
    <xf numFmtId="0" fontId="25" fillId="9" borderId="3" xfId="0" applyFont="1" applyFill="1" applyBorder="1" applyAlignment="1">
      <alignment horizontal="left" wrapText="1"/>
    </xf>
    <xf numFmtId="0" fontId="17" fillId="10" borderId="3" xfId="0" applyFont="1" applyFill="1" applyBorder="1" applyAlignment="1">
      <alignment horizontal="left" wrapText="1"/>
    </xf>
    <xf numFmtId="0" fontId="16" fillId="3" borderId="3" xfId="0" applyFont="1" applyFill="1" applyBorder="1" applyAlignment="1">
      <alignment horizontal="left" wrapText="1"/>
    </xf>
    <xf numFmtId="0" fontId="23" fillId="7" borderId="3" xfId="0" applyFont="1" applyFill="1" applyBorder="1" applyAlignment="1">
      <alignment horizontal="left" wrapText="1"/>
    </xf>
    <xf numFmtId="0" fontId="0" fillId="15" borderId="0" xfId="0" applyFill="1"/>
    <xf numFmtId="0" fontId="0" fillId="5" borderId="0" xfId="0" applyFill="1"/>
    <xf numFmtId="0" fontId="0" fillId="8" borderId="0" xfId="0" applyFill="1"/>
    <xf numFmtId="0" fontId="31" fillId="6" borderId="3" xfId="0" applyFont="1" applyFill="1" applyBorder="1" applyAlignment="1">
      <alignment horizontal="left" wrapText="1"/>
    </xf>
    <xf numFmtId="0" fontId="27" fillId="2" borderId="3" xfId="0" applyFont="1" applyFill="1" applyBorder="1" applyAlignment="1">
      <alignment horizontal="left" wrapText="1"/>
    </xf>
    <xf numFmtId="0" fontId="23" fillId="11" borderId="3" xfId="0" applyFont="1" applyFill="1" applyBorder="1" applyAlignment="1">
      <alignment horizontal="left" wrapText="1"/>
    </xf>
    <xf numFmtId="0" fontId="23" fillId="12" borderId="3" xfId="0" applyFont="1" applyFill="1" applyBorder="1" applyAlignment="1">
      <alignment horizontal="left" wrapText="1"/>
    </xf>
    <xf numFmtId="0" fontId="28" fillId="4" borderId="3" xfId="0" applyFont="1" applyFill="1" applyBorder="1" applyAlignment="1">
      <alignment horizontal="left" wrapText="1"/>
    </xf>
    <xf numFmtId="0" fontId="19" fillId="13" borderId="3" xfId="0" applyFont="1" applyFill="1" applyBorder="1" applyAlignment="1">
      <alignment horizontal="left" wrapText="1"/>
    </xf>
    <xf numFmtId="0" fontId="23" fillId="4" borderId="3" xfId="0" applyFont="1" applyFill="1" applyBorder="1" applyAlignment="1">
      <alignment horizontal="left" wrapText="1"/>
    </xf>
    <xf numFmtId="0" fontId="23" fillId="4" borderId="3" xfId="0" applyFont="1" applyFill="1" applyBorder="1"/>
    <xf numFmtId="0" fontId="27" fillId="2" borderId="3" xfId="0" applyFont="1" applyFill="1" applyBorder="1"/>
    <xf numFmtId="0" fontId="28" fillId="4" borderId="3" xfId="0" applyFont="1" applyFill="1" applyBorder="1"/>
    <xf numFmtId="0" fontId="23" fillId="12" borderId="3" xfId="0" applyFont="1" applyFill="1" applyBorder="1"/>
    <xf numFmtId="0" fontId="31" fillId="6" borderId="3" xfId="0" applyFont="1" applyFill="1" applyBorder="1"/>
    <xf numFmtId="0" fontId="23" fillId="13" borderId="3" xfId="0" applyFont="1" applyFill="1" applyBorder="1"/>
    <xf numFmtId="0" fontId="23" fillId="7" borderId="3" xfId="0" applyFont="1" applyFill="1" applyBorder="1"/>
    <xf numFmtId="0" fontId="16" fillId="3" borderId="3" xfId="0" applyFont="1" applyFill="1" applyBorder="1"/>
    <xf numFmtId="0" fontId="17" fillId="10" borderId="3" xfId="0" applyFont="1" applyFill="1" applyBorder="1"/>
    <xf numFmtId="0" fontId="25" fillId="9" borderId="3" xfId="0" applyFont="1" applyFill="1" applyBorder="1"/>
    <xf numFmtId="0" fontId="22" fillId="9" borderId="1" xfId="0" applyFont="1" applyFill="1" applyBorder="1"/>
    <xf numFmtId="0" fontId="19" fillId="15" borderId="6" xfId="0" applyFont="1" applyFill="1" applyBorder="1" applyAlignment="1">
      <alignment vertical="center" wrapText="1"/>
    </xf>
    <xf numFmtId="0" fontId="19" fillId="15" borderId="6" xfId="0" applyFont="1" applyFill="1" applyBorder="1" applyAlignment="1">
      <alignment horizontal="center" vertical="center" wrapText="1"/>
    </xf>
    <xf numFmtId="0" fontId="20" fillId="15" borderId="7" xfId="0" applyFont="1" applyFill="1" applyBorder="1"/>
    <xf numFmtId="0" fontId="20" fillId="15" borderId="8" xfId="0" applyFont="1" applyFill="1" applyBorder="1"/>
    <xf numFmtId="0" fontId="20" fillId="15" borderId="1" xfId="0" applyFont="1" applyFill="1" applyBorder="1"/>
    <xf numFmtId="0" fontId="20" fillId="15" borderId="9" xfId="0" applyFont="1" applyFill="1" applyBorder="1"/>
    <xf numFmtId="0" fontId="19" fillId="15" borderId="1" xfId="0" applyFont="1" applyFill="1" applyBorder="1"/>
    <xf numFmtId="0" fontId="19" fillId="15" borderId="4" xfId="0" applyFont="1" applyFill="1" applyBorder="1"/>
    <xf numFmtId="0" fontId="20" fillId="15" borderId="4" xfId="0" applyFont="1" applyFill="1" applyBorder="1"/>
    <xf numFmtId="16" fontId="19" fillId="15" borderId="5" xfId="0" applyNumberFormat="1" applyFont="1" applyFill="1" applyBorder="1" applyAlignment="1">
      <alignment horizontal="left" vertical="center" wrapText="1"/>
    </xf>
    <xf numFmtId="16" fontId="19" fillId="5" borderId="5" xfId="0" applyNumberFormat="1" applyFont="1" applyFill="1" applyBorder="1" applyAlignment="1">
      <alignment horizontal="left" vertical="center" wrapText="1"/>
    </xf>
    <xf numFmtId="0" fontId="19" fillId="5" borderId="6" xfId="0" applyFont="1" applyFill="1" applyBorder="1" applyAlignment="1">
      <alignment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20" fillId="5" borderId="1" xfId="0" applyFont="1" applyFill="1" applyBorder="1"/>
    <xf numFmtId="0" fontId="19" fillId="15" borderId="6" xfId="0" applyFont="1" applyFill="1" applyBorder="1" applyAlignment="1">
      <alignment horizontal="left" vertical="center" wrapText="1"/>
    </xf>
    <xf numFmtId="1" fontId="19" fillId="15" borderId="6" xfId="0" applyNumberFormat="1" applyFont="1" applyFill="1" applyBorder="1" applyAlignment="1">
      <alignment horizontal="center" vertical="center" wrapText="1"/>
    </xf>
    <xf numFmtId="0" fontId="20" fillId="15" borderId="2" xfId="0" applyFont="1" applyFill="1" applyBorder="1"/>
    <xf numFmtId="16" fontId="19" fillId="8" borderId="5" xfId="0" applyNumberFormat="1" applyFont="1" applyFill="1" applyBorder="1" applyAlignment="1">
      <alignment horizontal="left" vertical="center" wrapText="1"/>
    </xf>
    <xf numFmtId="0" fontId="19" fillId="8" borderId="6" xfId="0" applyFont="1" applyFill="1" applyBorder="1" applyAlignment="1">
      <alignment vertical="center" wrapText="1"/>
    </xf>
    <xf numFmtId="0" fontId="19" fillId="8" borderId="6" xfId="0" applyFont="1" applyFill="1" applyBorder="1" applyAlignment="1">
      <alignment horizontal="center" vertical="center" wrapText="1"/>
    </xf>
    <xf numFmtId="0" fontId="20" fillId="8" borderId="1" xfId="0" applyFont="1" applyFill="1" applyBorder="1"/>
    <xf numFmtId="0" fontId="20" fillId="8" borderId="3" xfId="0" applyFont="1" applyFill="1" applyBorder="1"/>
    <xf numFmtId="0" fontId="20" fillId="15" borderId="3" xfId="0" applyFont="1" applyFill="1" applyBorder="1"/>
    <xf numFmtId="0" fontId="0" fillId="9" borderId="0" xfId="0" applyFill="1"/>
    <xf numFmtId="0" fontId="0" fillId="3" borderId="1" xfId="0" applyFill="1" applyBorder="1"/>
    <xf numFmtId="0" fontId="20" fillId="5" borderId="7" xfId="0" applyFont="1" applyFill="1" applyBorder="1"/>
    <xf numFmtId="0" fontId="20" fillId="5" borderId="8" xfId="0" applyFont="1" applyFill="1" applyBorder="1"/>
    <xf numFmtId="0" fontId="20" fillId="5" borderId="9" xfId="0" applyFont="1" applyFill="1" applyBorder="1"/>
    <xf numFmtId="0" fontId="19" fillId="5" borderId="1" xfId="0" applyFont="1" applyFill="1" applyBorder="1"/>
    <xf numFmtId="0" fontId="19" fillId="5" borderId="4" xfId="0" applyFont="1" applyFill="1" applyBorder="1"/>
    <xf numFmtId="0" fontId="19" fillId="15" borderId="1" xfId="0" applyFont="1" applyFill="1" applyBorder="1" applyAlignment="1">
      <alignment vertical="center" wrapText="1"/>
    </xf>
    <xf numFmtId="0" fontId="20" fillId="8" borderId="7" xfId="0" applyFont="1" applyFill="1" applyBorder="1"/>
    <xf numFmtId="0" fontId="20" fillId="8" borderId="8" xfId="0" applyFont="1" applyFill="1" applyBorder="1"/>
    <xf numFmtId="0" fontId="20" fillId="8" borderId="9" xfId="0" applyFont="1" applyFill="1" applyBorder="1"/>
    <xf numFmtId="0" fontId="19" fillId="8" borderId="1" xfId="0" applyFont="1" applyFill="1" applyBorder="1"/>
    <xf numFmtId="0" fontId="19" fillId="8" borderId="4" xfId="0" applyFont="1" applyFill="1" applyBorder="1"/>
    <xf numFmtId="0" fontId="19" fillId="8" borderId="1" xfId="0" applyFont="1" applyFill="1" applyBorder="1" applyAlignment="1">
      <alignment vertical="center" wrapText="1"/>
    </xf>
    <xf numFmtId="0" fontId="19" fillId="15" borderId="5" xfId="0" applyFont="1" applyFill="1" applyBorder="1" applyAlignment="1">
      <alignment vertical="center" wrapText="1"/>
    </xf>
    <xf numFmtId="0" fontId="19" fillId="8" borderId="5" xfId="0" applyFont="1" applyFill="1" applyBorder="1" applyAlignment="1">
      <alignment vertical="center" wrapText="1"/>
    </xf>
    <xf numFmtId="0" fontId="21" fillId="4" borderId="1" xfId="0" applyFont="1" applyFill="1" applyBorder="1"/>
    <xf numFmtId="0" fontId="18" fillId="2" borderId="1" xfId="0" applyFont="1" applyFill="1" applyBorder="1"/>
    <xf numFmtId="0" fontId="20" fillId="13" borderId="1" xfId="0" applyFont="1" applyFill="1" applyBorder="1"/>
    <xf numFmtId="0" fontId="23" fillId="13" borderId="3" xfId="0" applyFont="1" applyFill="1" applyBorder="1" applyAlignment="1">
      <alignment horizontal="left" wrapText="1"/>
    </xf>
    <xf numFmtId="49" fontId="24" fillId="13" borderId="7" xfId="0" applyNumberFormat="1" applyFont="1" applyFill="1" applyBorder="1" applyAlignment="1">
      <alignment horizontal="center"/>
    </xf>
    <xf numFmtId="49" fontId="34" fillId="8" borderId="7" xfId="0" applyNumberFormat="1" applyFont="1" applyFill="1" applyBorder="1" applyAlignment="1">
      <alignment horizontal="center"/>
    </xf>
    <xf numFmtId="49" fontId="34" fillId="15" borderId="7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right" vertical="center" wrapText="1"/>
    </xf>
    <xf numFmtId="0" fontId="16" fillId="3" borderId="6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19" fillId="8" borderId="6" xfId="0" applyFont="1" applyFill="1" applyBorder="1" applyAlignment="1">
      <alignment horizontal="left" vertical="center" wrapText="1"/>
    </xf>
    <xf numFmtId="1" fontId="19" fillId="8" borderId="6" xfId="0" applyNumberFormat="1" applyFont="1" applyFill="1" applyBorder="1" applyAlignment="1">
      <alignment horizontal="center" vertical="center" wrapText="1"/>
    </xf>
    <xf numFmtId="0" fontId="20" fillId="8" borderId="2" xfId="0" applyFont="1" applyFill="1" applyBorder="1"/>
    <xf numFmtId="0" fontId="20" fillId="8" borderId="4" xfId="0" applyFont="1" applyFill="1" applyBorder="1"/>
    <xf numFmtId="1" fontId="19" fillId="3" borderId="0" xfId="0" applyNumberFormat="1" applyFont="1" applyFill="1" applyAlignment="1">
      <alignment horizontal="left" vertical="center" wrapText="1"/>
    </xf>
    <xf numFmtId="0" fontId="20" fillId="3" borderId="0" xfId="0" applyFont="1" applyFill="1" applyAlignment="1">
      <alignment vertical="center" wrapText="1"/>
    </xf>
    <xf numFmtId="0" fontId="20" fillId="3" borderId="0" xfId="0" applyFont="1" applyFill="1" applyAlignment="1">
      <alignment horizontal="right" vertical="center" wrapText="1"/>
    </xf>
    <xf numFmtId="0" fontId="23" fillId="4" borderId="6" xfId="0" applyFont="1" applyFill="1" applyBorder="1" applyAlignment="1">
      <alignment vertical="center" wrapText="1"/>
    </xf>
    <xf numFmtId="0" fontId="23" fillId="11" borderId="6" xfId="0" applyFont="1" applyFill="1" applyBorder="1" applyAlignment="1">
      <alignment vertical="center" wrapText="1"/>
    </xf>
    <xf numFmtId="0" fontId="23" fillId="7" borderId="6" xfId="0" applyFont="1" applyFill="1" applyBorder="1" applyAlignment="1">
      <alignment vertical="center" wrapText="1"/>
    </xf>
    <xf numFmtId="0" fontId="23" fillId="3" borderId="0" xfId="0" applyFont="1" applyFill="1" applyAlignment="1">
      <alignment vertical="center" wrapText="1"/>
    </xf>
    <xf numFmtId="0" fontId="16" fillId="19" borderId="1" xfId="0" applyFont="1" applyFill="1" applyBorder="1" applyAlignment="1">
      <alignment horizontal="right"/>
    </xf>
    <xf numFmtId="0" fontId="19" fillId="18" borderId="6" xfId="0" applyFont="1" applyFill="1" applyBorder="1" applyAlignment="1">
      <alignment vertical="center" wrapText="1"/>
    </xf>
    <xf numFmtId="0" fontId="19" fillId="18" borderId="1" xfId="0" applyFont="1" applyFill="1" applyBorder="1" applyAlignment="1">
      <alignment vertical="center" wrapText="1"/>
    </xf>
    <xf numFmtId="0" fontId="16" fillId="19" borderId="1" xfId="0" applyFont="1" applyFill="1" applyBorder="1"/>
    <xf numFmtId="0" fontId="16" fillId="17" borderId="5" xfId="0" applyFont="1" applyFill="1" applyBorder="1" applyAlignment="1">
      <alignment horizontal="right" vertical="center" wrapText="1"/>
    </xf>
    <xf numFmtId="0" fontId="19" fillId="17" borderId="5" xfId="0" applyFont="1" applyFill="1" applyBorder="1" applyAlignment="1">
      <alignment horizontal="right" vertical="center" wrapText="1"/>
    </xf>
    <xf numFmtId="0" fontId="19" fillId="17" borderId="5" xfId="0" applyFont="1" applyFill="1" applyBorder="1" applyAlignment="1">
      <alignment horizontal="left" vertical="center" wrapText="1"/>
    </xf>
    <xf numFmtId="0" fontId="16" fillId="17" borderId="5" xfId="0" applyFont="1" applyFill="1" applyBorder="1" applyAlignment="1">
      <alignment horizontal="left" vertical="center" wrapText="1"/>
    </xf>
    <xf numFmtId="0" fontId="19" fillId="18" borderId="6" xfId="0" applyFont="1" applyFill="1" applyBorder="1" applyAlignment="1">
      <alignment horizontal="right" vertical="center" wrapText="1"/>
    </xf>
    <xf numFmtId="0" fontId="19" fillId="18" borderId="1" xfId="0" applyFont="1" applyFill="1" applyBorder="1" applyAlignment="1">
      <alignment horizontal="right" vertical="center" wrapText="1"/>
    </xf>
    <xf numFmtId="0" fontId="16" fillId="3" borderId="9" xfId="0" applyFont="1" applyFill="1" applyBorder="1" applyAlignment="1">
      <alignment horizontal="left" vertical="center" wrapText="1"/>
    </xf>
    <xf numFmtId="0" fontId="0" fillId="0" borderId="9" xfId="0" applyBorder="1"/>
    <xf numFmtId="0" fontId="16" fillId="0" borderId="0" xfId="0" applyFont="1"/>
    <xf numFmtId="0" fontId="19" fillId="8" borderId="13" xfId="0" applyFont="1" applyFill="1" applyBorder="1"/>
    <xf numFmtId="0" fontId="19" fillId="15" borderId="13" xfId="0" applyFont="1" applyFill="1" applyBorder="1"/>
    <xf numFmtId="0" fontId="16" fillId="8" borderId="1" xfId="0" applyFont="1" applyFill="1" applyBorder="1"/>
    <xf numFmtId="0" fontId="19" fillId="15" borderId="1" xfId="0" applyFont="1" applyFill="1" applyBorder="1" applyAlignment="1">
      <alignment horizontal="center"/>
    </xf>
    <xf numFmtId="0" fontId="17" fillId="5" borderId="3" xfId="0" applyFont="1" applyFill="1" applyBorder="1" applyAlignment="1">
      <alignment horizontal="left" wrapText="1"/>
    </xf>
    <xf numFmtId="0" fontId="17" fillId="5" borderId="1" xfId="0" applyFont="1" applyFill="1" applyBorder="1"/>
    <xf numFmtId="0" fontId="17" fillId="5" borderId="2" xfId="0" applyFont="1" applyFill="1" applyBorder="1"/>
    <xf numFmtId="0" fontId="17" fillId="5" borderId="11" xfId="0" applyFont="1" applyFill="1" applyBorder="1"/>
    <xf numFmtId="0" fontId="17" fillId="5" borderId="3" xfId="0" applyFont="1" applyFill="1" applyBorder="1"/>
    <xf numFmtId="0" fontId="17" fillId="5" borderId="10" xfId="0" applyFont="1" applyFill="1" applyBorder="1" applyAlignment="1">
      <alignment vertical="center" wrapText="1"/>
    </xf>
    <xf numFmtId="0" fontId="17" fillId="5" borderId="5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5" fillId="5" borderId="7" xfId="0" applyFont="1" applyFill="1" applyBorder="1"/>
    <xf numFmtId="49" fontId="15" fillId="5" borderId="7" xfId="0" applyNumberFormat="1" applyFont="1" applyFill="1" applyBorder="1"/>
    <xf numFmtId="0" fontId="15" fillId="5" borderId="12" xfId="0" applyFont="1" applyFill="1" applyBorder="1"/>
    <xf numFmtId="0" fontId="15" fillId="5" borderId="9" xfId="0" applyFont="1" applyFill="1" applyBorder="1"/>
    <xf numFmtId="0" fontId="19" fillId="4" borderId="3" xfId="0" applyFont="1" applyFill="1" applyBorder="1" applyAlignment="1">
      <alignment horizontal="left" wrapText="1"/>
    </xf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11" xfId="0" applyFont="1" applyFill="1" applyBorder="1"/>
    <xf numFmtId="0" fontId="19" fillId="4" borderId="3" xfId="0" applyFont="1" applyFill="1" applyBorder="1"/>
    <xf numFmtId="0" fontId="19" fillId="4" borderId="0" xfId="0" applyFont="1" applyFill="1"/>
    <xf numFmtId="0" fontId="19" fillId="4" borderId="10" xfId="0" applyFont="1" applyFill="1" applyBorder="1" applyAlignment="1">
      <alignment vertical="center" wrapText="1"/>
    </xf>
    <xf numFmtId="0" fontId="19" fillId="4" borderId="5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/>
    <xf numFmtId="49" fontId="20" fillId="4" borderId="7" xfId="0" applyNumberFormat="1" applyFont="1" applyFill="1" applyBorder="1"/>
    <xf numFmtId="0" fontId="20" fillId="4" borderId="8" xfId="0" applyFont="1" applyFill="1" applyBorder="1"/>
    <xf numFmtId="0" fontId="20" fillId="4" borderId="12" xfId="0" applyFont="1" applyFill="1" applyBorder="1"/>
    <xf numFmtId="0" fontId="20" fillId="4" borderId="9" xfId="0" applyFont="1" applyFill="1" applyBorder="1"/>
    <xf numFmtId="0" fontId="29" fillId="14" borderId="3" xfId="0" applyFont="1" applyFill="1" applyBorder="1" applyAlignment="1">
      <alignment horizontal="left" wrapText="1"/>
    </xf>
    <xf numFmtId="0" fontId="29" fillId="14" borderId="1" xfId="0" applyFont="1" applyFill="1" applyBorder="1"/>
    <xf numFmtId="0" fontId="29" fillId="14" borderId="2" xfId="0" applyFont="1" applyFill="1" applyBorder="1"/>
    <xf numFmtId="0" fontId="29" fillId="14" borderId="11" xfId="0" applyFont="1" applyFill="1" applyBorder="1"/>
    <xf numFmtId="0" fontId="30" fillId="14" borderId="3" xfId="0" applyFont="1" applyFill="1" applyBorder="1"/>
    <xf numFmtId="0" fontId="29" fillId="14" borderId="10" xfId="0" applyFont="1" applyFill="1" applyBorder="1" applyAlignment="1">
      <alignment vertical="center" wrapText="1"/>
    </xf>
    <xf numFmtId="0" fontId="29" fillId="14" borderId="5" xfId="0" applyFont="1" applyFill="1" applyBorder="1" applyAlignment="1">
      <alignment vertical="center" wrapText="1"/>
    </xf>
    <xf numFmtId="0" fontId="29" fillId="14" borderId="1" xfId="0" applyFont="1" applyFill="1" applyBorder="1" applyAlignment="1">
      <alignment vertical="center" wrapText="1"/>
    </xf>
    <xf numFmtId="0" fontId="29" fillId="14" borderId="1" xfId="0" applyFont="1" applyFill="1" applyBorder="1" applyAlignment="1">
      <alignment horizontal="center" vertical="center" wrapText="1"/>
    </xf>
    <xf numFmtId="0" fontId="29" fillId="14" borderId="6" xfId="0" applyFont="1" applyFill="1" applyBorder="1" applyAlignment="1">
      <alignment horizontal="center" vertical="center" wrapText="1"/>
    </xf>
    <xf numFmtId="0" fontId="30" fillId="14" borderId="7" xfId="0" applyFont="1" applyFill="1" applyBorder="1"/>
    <xf numFmtId="49" fontId="30" fillId="14" borderId="7" xfId="0" applyNumberFormat="1" applyFont="1" applyFill="1" applyBorder="1"/>
    <xf numFmtId="0" fontId="30" fillId="14" borderId="8" xfId="0" applyFont="1" applyFill="1" applyBorder="1"/>
    <xf numFmtId="0" fontId="30" fillId="14" borderId="12" xfId="0" applyFont="1" applyFill="1" applyBorder="1"/>
    <xf numFmtId="0" fontId="30" fillId="14" borderId="9" xfId="0" applyFont="1" applyFill="1" applyBorder="1"/>
    <xf numFmtId="16" fontId="28" fillId="8" borderId="10" xfId="0" applyNumberFormat="1" applyFont="1" applyFill="1" applyBorder="1" applyAlignment="1">
      <alignment horizontal="left" vertical="center" wrapText="1"/>
    </xf>
    <xf numFmtId="0" fontId="28" fillId="8" borderId="5" xfId="0" applyFont="1" applyFill="1" applyBorder="1" applyAlignment="1">
      <alignment vertical="center" wrapText="1"/>
    </xf>
    <xf numFmtId="0" fontId="28" fillId="8" borderId="6" xfId="0" applyFont="1" applyFill="1" applyBorder="1" applyAlignment="1">
      <alignment vertical="center" wrapText="1"/>
    </xf>
    <xf numFmtId="0" fontId="28" fillId="8" borderId="6" xfId="0" applyFont="1" applyFill="1" applyBorder="1" applyAlignment="1">
      <alignment horizontal="center" vertical="center" wrapText="1"/>
    </xf>
    <xf numFmtId="0" fontId="21" fillId="8" borderId="7" xfId="0" applyFont="1" applyFill="1" applyBorder="1"/>
    <xf numFmtId="0" fontId="21" fillId="8" borderId="8" xfId="0" applyFont="1" applyFill="1" applyBorder="1"/>
    <xf numFmtId="0" fontId="21" fillId="8" borderId="1" xfId="0" applyFont="1" applyFill="1" applyBorder="1"/>
    <xf numFmtId="0" fontId="21" fillId="8" borderId="9" xfId="0" applyFont="1" applyFill="1" applyBorder="1"/>
    <xf numFmtId="0" fontId="28" fillId="8" borderId="1" xfId="0" applyFont="1" applyFill="1" applyBorder="1"/>
    <xf numFmtId="0" fontId="28" fillId="8" borderId="4" xfId="0" applyFont="1" applyFill="1" applyBorder="1"/>
    <xf numFmtId="16" fontId="28" fillId="15" borderId="10" xfId="0" applyNumberFormat="1" applyFont="1" applyFill="1" applyBorder="1" applyAlignment="1">
      <alignment horizontal="left" vertical="center" wrapText="1"/>
    </xf>
    <xf numFmtId="0" fontId="28" fillId="15" borderId="5" xfId="0" applyFont="1" applyFill="1" applyBorder="1" applyAlignment="1">
      <alignment vertical="center" wrapText="1"/>
    </xf>
    <xf numFmtId="0" fontId="28" fillId="15" borderId="6" xfId="0" applyFont="1" applyFill="1" applyBorder="1" applyAlignment="1">
      <alignment vertical="center" wrapText="1"/>
    </xf>
    <xf numFmtId="0" fontId="28" fillId="15" borderId="6" xfId="0" applyFont="1" applyFill="1" applyBorder="1" applyAlignment="1">
      <alignment horizontal="center" vertical="center" wrapText="1"/>
    </xf>
    <xf numFmtId="0" fontId="21" fillId="15" borderId="7" xfId="0" applyFont="1" applyFill="1" applyBorder="1"/>
    <xf numFmtId="0" fontId="21" fillId="15" borderId="8" xfId="0" applyFont="1" applyFill="1" applyBorder="1"/>
    <xf numFmtId="0" fontId="21" fillId="15" borderId="1" xfId="0" applyFont="1" applyFill="1" applyBorder="1"/>
    <xf numFmtId="0" fontId="21" fillId="15" borderId="9" xfId="0" applyFont="1" applyFill="1" applyBorder="1"/>
    <xf numFmtId="0" fontId="28" fillId="15" borderId="1" xfId="0" applyFont="1" applyFill="1" applyBorder="1"/>
    <xf numFmtId="0" fontId="28" fillId="15" borderId="4" xfId="0" applyFont="1" applyFill="1" applyBorder="1"/>
    <xf numFmtId="0" fontId="36" fillId="20" borderId="0" xfId="0" applyFont="1" applyFill="1"/>
    <xf numFmtId="0" fontId="37" fillId="20" borderId="0" xfId="0" applyFont="1" applyFill="1" applyAlignment="1">
      <alignment vertical="center"/>
    </xf>
    <xf numFmtId="0" fontId="38" fillId="20" borderId="0" xfId="0" applyFont="1" applyFill="1" applyAlignment="1">
      <alignment vertical="center"/>
    </xf>
    <xf numFmtId="14" fontId="37" fillId="20" borderId="0" xfId="0" applyNumberFormat="1" applyFont="1" applyFill="1" applyAlignment="1">
      <alignment vertical="center"/>
    </xf>
    <xf numFmtId="0" fontId="37" fillId="20" borderId="0" xfId="0" applyFont="1" applyFill="1" applyAlignment="1">
      <alignment horizontal="center" vertical="center"/>
    </xf>
    <xf numFmtId="0" fontId="37" fillId="20" borderId="0" xfId="0" applyFont="1" applyFill="1" applyAlignment="1">
      <alignment horizontal="right" vertical="center"/>
    </xf>
    <xf numFmtId="2" fontId="37" fillId="20" borderId="0" xfId="0" applyNumberFormat="1" applyFont="1" applyFill="1" applyAlignment="1">
      <alignment horizontal="center" vertical="center"/>
    </xf>
    <xf numFmtId="0" fontId="38" fillId="3" borderId="0" xfId="0" applyFont="1" applyFill="1" applyAlignment="1">
      <alignment vertical="center"/>
    </xf>
    <xf numFmtId="0" fontId="17" fillId="11" borderId="3" xfId="0" applyFont="1" applyFill="1" applyBorder="1" applyAlignment="1">
      <alignment horizontal="left" wrapText="1"/>
    </xf>
    <xf numFmtId="0" fontId="17" fillId="11" borderId="1" xfId="0" applyFont="1" applyFill="1" applyBorder="1"/>
    <xf numFmtId="0" fontId="17" fillId="11" borderId="2" xfId="0" applyFont="1" applyFill="1" applyBorder="1"/>
    <xf numFmtId="0" fontId="17" fillId="11" borderId="11" xfId="0" applyFont="1" applyFill="1" applyBorder="1"/>
    <xf numFmtId="0" fontId="17" fillId="11" borderId="3" xfId="0" applyFont="1" applyFill="1" applyBorder="1"/>
    <xf numFmtId="0" fontId="17" fillId="11" borderId="10" xfId="0" applyFont="1" applyFill="1" applyBorder="1" applyAlignment="1">
      <alignment vertical="center" wrapText="1"/>
    </xf>
    <xf numFmtId="0" fontId="17" fillId="11" borderId="5" xfId="0" applyFont="1" applyFill="1" applyBorder="1" applyAlignment="1">
      <alignment vertical="center" wrapText="1"/>
    </xf>
    <xf numFmtId="0" fontId="17" fillId="11" borderId="1" xfId="0" applyFont="1" applyFill="1" applyBorder="1" applyAlignment="1">
      <alignment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17" fillId="11" borderId="6" xfId="0" applyFont="1" applyFill="1" applyBorder="1" applyAlignment="1">
      <alignment horizontal="center" vertical="center" wrapText="1"/>
    </xf>
    <xf numFmtId="0" fontId="15" fillId="11" borderId="7" xfId="0" applyFont="1" applyFill="1" applyBorder="1"/>
    <xf numFmtId="49" fontId="15" fillId="11" borderId="7" xfId="0" applyNumberFormat="1" applyFont="1" applyFill="1" applyBorder="1"/>
    <xf numFmtId="0" fontId="15" fillId="11" borderId="8" xfId="0" applyFont="1" applyFill="1" applyBorder="1"/>
    <xf numFmtId="0" fontId="15" fillId="11" borderId="12" xfId="0" applyFont="1" applyFill="1" applyBorder="1"/>
    <xf numFmtId="0" fontId="15" fillId="11" borderId="9" xfId="0" applyFont="1" applyFill="1" applyBorder="1"/>
    <xf numFmtId="49" fontId="40" fillId="8" borderId="7" xfId="0" applyNumberFormat="1" applyFont="1" applyFill="1" applyBorder="1" applyAlignment="1">
      <alignment horizontal="center"/>
    </xf>
    <xf numFmtId="0" fontId="36" fillId="3" borderId="0" xfId="0" applyFont="1" applyFill="1"/>
    <xf numFmtId="0" fontId="37" fillId="3" borderId="0" xfId="0" applyFont="1" applyFill="1" applyAlignment="1">
      <alignment horizontal="center" vertical="center"/>
    </xf>
    <xf numFmtId="0" fontId="37" fillId="3" borderId="0" xfId="0" applyFont="1" applyFill="1" applyAlignment="1">
      <alignment vertical="center"/>
    </xf>
    <xf numFmtId="0" fontId="37" fillId="3" borderId="0" xfId="0" applyFont="1" applyFill="1" applyAlignment="1">
      <alignment horizontal="right" vertical="center"/>
    </xf>
    <xf numFmtId="0" fontId="37" fillId="2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8" borderId="7" xfId="0" applyFont="1" applyFill="1" applyBorder="1" applyAlignment="1">
      <alignment horizontal="center"/>
    </xf>
    <xf numFmtId="0" fontId="16" fillId="8" borderId="5" xfId="0" applyFont="1" applyFill="1" applyBorder="1" applyAlignment="1">
      <alignment horizontal="center"/>
    </xf>
    <xf numFmtId="0" fontId="16" fillId="8" borderId="11" xfId="0" applyFont="1" applyFill="1" applyBorder="1" applyAlignment="1">
      <alignment horizontal="center"/>
    </xf>
    <xf numFmtId="0" fontId="16" fillId="8" borderId="14" xfId="0" applyFont="1" applyFill="1" applyBorder="1" applyAlignment="1">
      <alignment horizontal="center"/>
    </xf>
    <xf numFmtId="0" fontId="16" fillId="8" borderId="15" xfId="0" applyFont="1" applyFill="1" applyBorder="1" applyAlignment="1">
      <alignment horizontal="center"/>
    </xf>
    <xf numFmtId="0" fontId="16" fillId="8" borderId="6" xfId="0" applyFont="1" applyFill="1" applyBorder="1" applyAlignment="1">
      <alignment horizontal="center"/>
    </xf>
    <xf numFmtId="0" fontId="16" fillId="8" borderId="16" xfId="0" applyFont="1" applyFill="1" applyBorder="1" applyAlignment="1">
      <alignment horizontal="center"/>
    </xf>
    <xf numFmtId="0" fontId="0" fillId="0" borderId="17" xfId="0" applyBorder="1"/>
    <xf numFmtId="1" fontId="0" fillId="0" borderId="13" xfId="0" applyNumberFormat="1" applyBorder="1"/>
    <xf numFmtId="2" fontId="0" fillId="0" borderId="17" xfId="0" applyNumberFormat="1" applyBorder="1"/>
    <xf numFmtId="2" fontId="0" fillId="0" borderId="13" xfId="0" applyNumberFormat="1" applyBorder="1"/>
    <xf numFmtId="0" fontId="16" fillId="0" borderId="11" xfId="0" applyFont="1" applyBorder="1"/>
    <xf numFmtId="0" fontId="16" fillId="0" borderId="4" xfId="0" applyFont="1" applyBorder="1"/>
    <xf numFmtId="0" fontId="16" fillId="0" borderId="14" xfId="0" applyFont="1" applyBorder="1"/>
    <xf numFmtId="2" fontId="0" fillId="0" borderId="11" xfId="0" applyNumberFormat="1" applyBorder="1"/>
    <xf numFmtId="2" fontId="0" fillId="0" borderId="4" xfId="0" applyNumberFormat="1" applyBorder="1"/>
    <xf numFmtId="0" fontId="16" fillId="5" borderId="1" xfId="0" applyFont="1" applyFill="1" applyBorder="1"/>
    <xf numFmtId="0" fontId="28" fillId="13" borderId="3" xfId="0" applyFont="1" applyFill="1" applyBorder="1" applyAlignment="1">
      <alignment horizontal="left" wrapText="1"/>
    </xf>
    <xf numFmtId="0" fontId="28" fillId="13" borderId="1" xfId="0" applyFont="1" applyFill="1" applyBorder="1"/>
    <xf numFmtId="0" fontId="28" fillId="13" borderId="2" xfId="0" applyFont="1" applyFill="1" applyBorder="1"/>
    <xf numFmtId="0" fontId="28" fillId="13" borderId="11" xfId="0" applyFont="1" applyFill="1" applyBorder="1"/>
    <xf numFmtId="0" fontId="28" fillId="13" borderId="3" xfId="0" applyFont="1" applyFill="1" applyBorder="1"/>
    <xf numFmtId="0" fontId="28" fillId="13" borderId="10" xfId="0" applyFont="1" applyFill="1" applyBorder="1" applyAlignment="1">
      <alignment vertical="center" wrapText="1"/>
    </xf>
    <xf numFmtId="0" fontId="28" fillId="13" borderId="5" xfId="0" applyFont="1" applyFill="1" applyBorder="1" applyAlignment="1">
      <alignment vertical="center" wrapText="1"/>
    </xf>
    <xf numFmtId="0" fontId="28" fillId="13" borderId="1" xfId="0" applyFont="1" applyFill="1" applyBorder="1" applyAlignment="1">
      <alignment vertical="center" wrapText="1"/>
    </xf>
    <xf numFmtId="0" fontId="28" fillId="13" borderId="1" xfId="0" applyFont="1" applyFill="1" applyBorder="1" applyAlignment="1">
      <alignment horizontal="center" vertical="center" wrapText="1"/>
    </xf>
    <xf numFmtId="0" fontId="28" fillId="13" borderId="6" xfId="0" applyFont="1" applyFill="1" applyBorder="1" applyAlignment="1">
      <alignment horizontal="center" vertical="center" wrapText="1"/>
    </xf>
    <xf numFmtId="0" fontId="21" fillId="13" borderId="7" xfId="0" applyFont="1" applyFill="1" applyBorder="1"/>
    <xf numFmtId="49" fontId="21" fillId="13" borderId="7" xfId="0" applyNumberFormat="1" applyFont="1" applyFill="1" applyBorder="1"/>
    <xf numFmtId="0" fontId="21" fillId="13" borderId="8" xfId="0" applyFont="1" applyFill="1" applyBorder="1"/>
    <xf numFmtId="0" fontId="21" fillId="13" borderId="12" xfId="0" applyFont="1" applyFill="1" applyBorder="1"/>
    <xf numFmtId="0" fontId="21" fillId="13" borderId="9" xfId="0" applyFont="1" applyFill="1" applyBorder="1"/>
    <xf numFmtId="2" fontId="0" fillId="0" borderId="18" xfId="0" applyNumberFormat="1" applyBorder="1"/>
    <xf numFmtId="2" fontId="0" fillId="0" borderId="19" xfId="0" applyNumberFormat="1" applyBorder="1"/>
    <xf numFmtId="0" fontId="28" fillId="14" borderId="6" xfId="0" applyFont="1" applyFill="1" applyBorder="1" applyAlignment="1">
      <alignment vertical="center" wrapText="1"/>
    </xf>
    <xf numFmtId="0" fontId="28" fillId="14" borderId="5" xfId="0" applyFont="1" applyFill="1" applyBorder="1" applyAlignment="1">
      <alignment vertical="center" wrapText="1"/>
    </xf>
    <xf numFmtId="0" fontId="17" fillId="11" borderId="6" xfId="0" applyFont="1" applyFill="1" applyBorder="1" applyAlignment="1">
      <alignment vertical="center" wrapText="1"/>
    </xf>
    <xf numFmtId="0" fontId="41" fillId="3" borderId="6" xfId="0" applyFont="1" applyFill="1" applyBorder="1" applyAlignment="1">
      <alignment vertical="center" wrapText="1"/>
    </xf>
    <xf numFmtId="0" fontId="41" fillId="3" borderId="5" xfId="0" applyFont="1" applyFill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4" xfId="0" applyFont="1" applyBorder="1" applyAlignment="1">
      <alignment horizontal="center" vertical="center" wrapText="1"/>
    </xf>
    <xf numFmtId="0" fontId="16" fillId="21" borderId="5" xfId="0" applyFont="1" applyFill="1" applyBorder="1" applyAlignment="1">
      <alignment vertical="center" wrapText="1"/>
    </xf>
    <xf numFmtId="0" fontId="0" fillId="21" borderId="6" xfId="0" applyFill="1" applyBorder="1" applyAlignment="1">
      <alignment vertical="center" wrapText="1"/>
    </xf>
    <xf numFmtId="49" fontId="40" fillId="15" borderId="7" xfId="0" applyNumberFormat="1" applyFont="1" applyFill="1" applyBorder="1" applyAlignment="1">
      <alignment horizontal="center"/>
    </xf>
    <xf numFmtId="0" fontId="20" fillId="16" borderId="7" xfId="0" applyFont="1" applyFill="1" applyBorder="1"/>
    <xf numFmtId="49" fontId="34" fillId="16" borderId="7" xfId="0" applyNumberFormat="1" applyFont="1" applyFill="1" applyBorder="1" applyAlignment="1">
      <alignment horizontal="center"/>
    </xf>
    <xf numFmtId="0" fontId="20" fillId="16" borderId="8" xfId="0" applyFont="1" applyFill="1" applyBorder="1"/>
    <xf numFmtId="0" fontId="20" fillId="16" borderId="1" xfId="0" applyFont="1" applyFill="1" applyBorder="1"/>
    <xf numFmtId="0" fontId="20" fillId="16" borderId="9" xfId="0" applyFont="1" applyFill="1" applyBorder="1"/>
    <xf numFmtId="0" fontId="41" fillId="3" borderId="1" xfId="0" applyFont="1" applyFill="1" applyBorder="1" applyAlignment="1">
      <alignment vertical="center" wrapText="1"/>
    </xf>
    <xf numFmtId="0" fontId="28" fillId="14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0" fontId="37" fillId="3" borderId="0" xfId="0" applyFont="1" applyFill="1" applyAlignment="1">
      <alignment horizontal="left" vertical="center"/>
    </xf>
    <xf numFmtId="49" fontId="34" fillId="5" borderId="7" xfId="0" applyNumberFormat="1" applyFont="1" applyFill="1" applyBorder="1" applyAlignment="1">
      <alignment horizontal="center"/>
    </xf>
    <xf numFmtId="16" fontId="19" fillId="15" borderId="1" xfId="0" applyNumberFormat="1" applyFont="1" applyFill="1" applyBorder="1" applyAlignment="1">
      <alignment horizontal="left" vertical="center" wrapText="1"/>
    </xf>
    <xf numFmtId="16" fontId="19" fillId="8" borderId="10" xfId="0" applyNumberFormat="1" applyFont="1" applyFill="1" applyBorder="1" applyAlignment="1">
      <alignment horizontal="left" vertical="center" wrapText="1"/>
    </xf>
    <xf numFmtId="16" fontId="19" fillId="15" borderId="10" xfId="0" applyNumberFormat="1" applyFont="1" applyFill="1" applyBorder="1" applyAlignment="1">
      <alignment horizontal="left" vertical="center" wrapText="1"/>
    </xf>
    <xf numFmtId="0" fontId="16" fillId="15" borderId="1" xfId="0" applyFont="1" applyFill="1" applyBorder="1"/>
    <xf numFmtId="49" fontId="40" fillId="5" borderId="7" xfId="0" applyNumberFormat="1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49" fontId="40" fillId="8" borderId="1" xfId="0" applyNumberFormat="1" applyFont="1" applyFill="1" applyBorder="1" applyAlignment="1">
      <alignment horizontal="center"/>
    </xf>
    <xf numFmtId="49" fontId="34" fillId="8" borderId="1" xfId="0" applyNumberFormat="1" applyFont="1" applyFill="1" applyBorder="1" applyAlignment="1">
      <alignment horizontal="center"/>
    </xf>
    <xf numFmtId="49" fontId="42" fillId="8" borderId="7" xfId="0" applyNumberFormat="1" applyFont="1" applyFill="1" applyBorder="1" applyAlignment="1">
      <alignment horizontal="center"/>
    </xf>
    <xf numFmtId="15" fontId="0" fillId="0" borderId="0" xfId="0" applyNumberFormat="1"/>
    <xf numFmtId="0" fontId="43" fillId="11" borderId="3" xfId="0" applyFont="1" applyFill="1" applyBorder="1" applyAlignment="1">
      <alignment horizontal="left" wrapText="1"/>
    </xf>
    <xf numFmtId="0" fontId="43" fillId="11" borderId="1" xfId="0" applyFont="1" applyFill="1" applyBorder="1"/>
    <xf numFmtId="0" fontId="43" fillId="11" borderId="2" xfId="0" applyFont="1" applyFill="1" applyBorder="1"/>
    <xf numFmtId="0" fontId="43" fillId="11" borderId="11" xfId="0" applyFont="1" applyFill="1" applyBorder="1"/>
    <xf numFmtId="0" fontId="43" fillId="11" borderId="3" xfId="0" applyFont="1" applyFill="1" applyBorder="1"/>
    <xf numFmtId="0" fontId="43" fillId="11" borderId="10" xfId="0" applyFont="1" applyFill="1" applyBorder="1" applyAlignment="1">
      <alignment vertical="center" wrapText="1"/>
    </xf>
    <xf numFmtId="0" fontId="43" fillId="11" borderId="5" xfId="0" applyFont="1" applyFill="1" applyBorder="1" applyAlignment="1">
      <alignment vertical="center" wrapText="1"/>
    </xf>
    <xf numFmtId="0" fontId="43" fillId="11" borderId="1" xfId="0" applyFont="1" applyFill="1" applyBorder="1" applyAlignment="1">
      <alignment vertical="center" wrapText="1"/>
    </xf>
    <xf numFmtId="0" fontId="43" fillId="11" borderId="1" xfId="0" applyFont="1" applyFill="1" applyBorder="1" applyAlignment="1">
      <alignment horizontal="center" vertical="center" wrapText="1"/>
    </xf>
    <xf numFmtId="0" fontId="43" fillId="11" borderId="6" xfId="0" applyFont="1" applyFill="1" applyBorder="1" applyAlignment="1">
      <alignment horizontal="center" vertical="center" wrapText="1"/>
    </xf>
    <xf numFmtId="0" fontId="44" fillId="11" borderId="7" xfId="0" applyFont="1" applyFill="1" applyBorder="1"/>
    <xf numFmtId="49" fontId="44" fillId="11" borderId="7" xfId="0" applyNumberFormat="1" applyFont="1" applyFill="1" applyBorder="1"/>
    <xf numFmtId="0" fontId="44" fillId="11" borderId="8" xfId="0" applyFont="1" applyFill="1" applyBorder="1"/>
    <xf numFmtId="0" fontId="44" fillId="11" borderId="1" xfId="0" applyFont="1" applyFill="1" applyBorder="1"/>
    <xf numFmtId="0" fontId="44" fillId="11" borderId="9" xfId="0" applyFont="1" applyFill="1" applyBorder="1"/>
    <xf numFmtId="49" fontId="34" fillId="15" borderId="1" xfId="0" applyNumberFormat="1" applyFont="1" applyFill="1" applyBorder="1" applyAlignment="1">
      <alignment horizontal="center"/>
    </xf>
    <xf numFmtId="0" fontId="45" fillId="23" borderId="1" xfId="0" applyFont="1" applyFill="1" applyBorder="1" applyAlignment="1">
      <alignment horizontal="center" vertical="center" wrapText="1"/>
    </xf>
    <xf numFmtId="0" fontId="45" fillId="3" borderId="0" xfId="0" applyFont="1" applyFill="1"/>
    <xf numFmtId="0" fontId="45" fillId="6" borderId="1" xfId="0" applyFont="1" applyFill="1" applyBorder="1" applyAlignment="1">
      <alignment horizontal="center" vertical="center" wrapText="1"/>
    </xf>
    <xf numFmtId="0" fontId="45" fillId="24" borderId="1" xfId="0" applyFont="1" applyFill="1" applyBorder="1" applyAlignment="1">
      <alignment horizontal="center" vertical="center" wrapText="1"/>
    </xf>
    <xf numFmtId="0" fontId="45" fillId="22" borderId="1" xfId="0" applyFont="1" applyFill="1" applyBorder="1" applyAlignment="1">
      <alignment horizontal="center" vertical="center" wrapText="1"/>
    </xf>
    <xf numFmtId="16" fontId="19" fillId="3" borderId="0" xfId="0" applyNumberFormat="1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46" fillId="23" borderId="4" xfId="0" applyFont="1" applyFill="1" applyBorder="1" applyAlignment="1">
      <alignment horizontal="center" vertical="center" wrapText="1"/>
    </xf>
    <xf numFmtId="0" fontId="47" fillId="0" borderId="0" xfId="0" applyFont="1"/>
    <xf numFmtId="0" fontId="46" fillId="3" borderId="0" xfId="0" applyFont="1" applyFill="1"/>
    <xf numFmtId="0" fontId="46" fillId="6" borderId="4" xfId="0" applyFont="1" applyFill="1" applyBorder="1" applyAlignment="1">
      <alignment horizontal="center" vertical="center" wrapText="1"/>
    </xf>
    <xf numFmtId="0" fontId="46" fillId="24" borderId="4" xfId="0" applyFont="1" applyFill="1" applyBorder="1" applyAlignment="1">
      <alignment horizontal="center" vertical="center" wrapText="1"/>
    </xf>
    <xf numFmtId="0" fontId="46" fillId="22" borderId="4" xfId="0" applyFont="1" applyFill="1" applyBorder="1" applyAlignment="1">
      <alignment horizontal="center" vertical="center" wrapText="1"/>
    </xf>
    <xf numFmtId="0" fontId="48" fillId="23" borderId="4" xfId="0" applyFont="1" applyFill="1" applyBorder="1" applyAlignment="1">
      <alignment horizontal="center" vertical="center" wrapText="1"/>
    </xf>
    <xf numFmtId="0" fontId="49" fillId="0" borderId="0" xfId="0" applyFont="1"/>
    <xf numFmtId="0" fontId="48" fillId="3" borderId="0" xfId="0" applyFont="1" applyFill="1"/>
    <xf numFmtId="0" fontId="48" fillId="23" borderId="1" xfId="0" applyFont="1" applyFill="1" applyBorder="1" applyAlignment="1">
      <alignment horizontal="center" vertical="center" wrapText="1"/>
    </xf>
    <xf numFmtId="0" fontId="48" fillId="6" borderId="4" xfId="0" applyFont="1" applyFill="1" applyBorder="1" applyAlignment="1">
      <alignment horizontal="center" vertical="center" wrapText="1"/>
    </xf>
    <xf numFmtId="0" fontId="48" fillId="24" borderId="4" xfId="0" applyFont="1" applyFill="1" applyBorder="1" applyAlignment="1">
      <alignment horizontal="center" vertical="center" wrapText="1"/>
    </xf>
    <xf numFmtId="0" fontId="48" fillId="22" borderId="4" xfId="0" applyFont="1" applyFill="1" applyBorder="1" applyAlignment="1">
      <alignment horizontal="center" vertical="center" wrapText="1"/>
    </xf>
    <xf numFmtId="0" fontId="41" fillId="23" borderId="4" xfId="0" applyFont="1" applyFill="1" applyBorder="1" applyAlignment="1">
      <alignment horizontal="center" vertical="center" wrapText="1"/>
    </xf>
    <xf numFmtId="0" fontId="50" fillId="0" borderId="0" xfId="0" applyFont="1"/>
    <xf numFmtId="0" fontId="41" fillId="3" borderId="0" xfId="0" applyFont="1" applyFill="1"/>
    <xf numFmtId="0" fontId="41" fillId="6" borderId="4" xfId="0" applyFont="1" applyFill="1" applyBorder="1" applyAlignment="1">
      <alignment horizontal="center" vertical="center" wrapText="1"/>
    </xf>
    <xf numFmtId="0" fontId="41" fillId="24" borderId="4" xfId="0" applyFont="1" applyFill="1" applyBorder="1" applyAlignment="1">
      <alignment horizontal="center" vertical="center" wrapText="1"/>
    </xf>
    <xf numFmtId="0" fontId="41" fillId="22" borderId="4" xfId="0" applyFont="1" applyFill="1" applyBorder="1" applyAlignment="1">
      <alignment horizontal="center" vertical="center" wrapText="1"/>
    </xf>
    <xf numFmtId="0" fontId="45" fillId="23" borderId="1" xfId="0" applyFont="1" applyFill="1" applyBorder="1"/>
    <xf numFmtId="0" fontId="46" fillId="23" borderId="1" xfId="0" applyFont="1" applyFill="1" applyBorder="1"/>
    <xf numFmtId="0" fontId="48" fillId="23" borderId="1" xfId="0" applyFont="1" applyFill="1" applyBorder="1"/>
    <xf numFmtId="0" fontId="41" fillId="23" borderId="1" xfId="0" applyFont="1" applyFill="1" applyBorder="1"/>
    <xf numFmtId="49" fontId="51" fillId="8" borderId="7" xfId="0" applyNumberFormat="1" applyFont="1" applyFill="1" applyBorder="1" applyAlignment="1">
      <alignment horizontal="center"/>
    </xf>
    <xf numFmtId="49" fontId="51" fillId="15" borderId="7" xfId="0" applyNumberFormat="1" applyFont="1" applyFill="1" applyBorder="1" applyAlignment="1">
      <alignment horizontal="center"/>
    </xf>
    <xf numFmtId="0" fontId="52" fillId="23" borderId="4" xfId="0" applyFont="1" applyFill="1" applyBorder="1" applyAlignment="1">
      <alignment horizontal="center" vertical="center" wrapText="1"/>
    </xf>
    <xf numFmtId="0" fontId="53" fillId="0" borderId="0" xfId="0" applyFont="1"/>
    <xf numFmtId="0" fontId="52" fillId="3" borderId="0" xfId="0" applyFont="1" applyFill="1"/>
    <xf numFmtId="0" fontId="52" fillId="23" borderId="1" xfId="0" applyFont="1" applyFill="1" applyBorder="1"/>
    <xf numFmtId="0" fontId="52" fillId="6" borderId="4" xfId="0" applyFont="1" applyFill="1" applyBorder="1" applyAlignment="1">
      <alignment horizontal="center" vertical="center" wrapText="1"/>
    </xf>
    <xf numFmtId="0" fontId="52" fillId="24" borderId="4" xfId="0" applyFont="1" applyFill="1" applyBorder="1" applyAlignment="1">
      <alignment horizontal="center" vertical="center" wrapText="1"/>
    </xf>
    <xf numFmtId="0" fontId="52" fillId="22" borderId="4" xfId="0" applyFont="1" applyFill="1" applyBorder="1" applyAlignment="1">
      <alignment horizontal="center" vertical="center" wrapText="1"/>
    </xf>
    <xf numFmtId="0" fontId="52" fillId="23" borderId="1" xfId="0" applyFont="1" applyFill="1" applyBorder="1" applyAlignment="1">
      <alignment horizontal="center" vertical="center" wrapText="1"/>
    </xf>
    <xf numFmtId="49" fontId="40" fillId="15" borderId="1" xfId="0" applyNumberFormat="1" applyFont="1" applyFill="1" applyBorder="1" applyAlignment="1">
      <alignment horizontal="center"/>
    </xf>
    <xf numFmtId="0" fontId="19" fillId="15" borderId="1" xfId="0" applyFont="1" applyFill="1" applyBorder="1" applyAlignment="1">
      <alignment horizontal="center" vertical="center" wrapText="1"/>
    </xf>
    <xf numFmtId="16" fontId="19" fillId="8" borderId="1" xfId="0" applyNumberFormat="1" applyFont="1" applyFill="1" applyBorder="1" applyAlignment="1">
      <alignment horizontal="left" vertical="center" wrapText="1"/>
    </xf>
    <xf numFmtId="0" fontId="19" fillId="8" borderId="1" xfId="0" applyFont="1" applyFill="1" applyBorder="1" applyAlignment="1">
      <alignment horizontal="center" vertical="center" wrapText="1"/>
    </xf>
    <xf numFmtId="49" fontId="54" fillId="15" borderId="1" xfId="0" applyNumberFormat="1" applyFont="1" applyFill="1" applyBorder="1" applyAlignment="1">
      <alignment horizontal="center"/>
    </xf>
    <xf numFmtId="49" fontId="20" fillId="13" borderId="7" xfId="0" applyNumberFormat="1" applyFont="1" applyFill="1" applyBorder="1" applyAlignment="1">
      <alignment horizontal="center"/>
    </xf>
    <xf numFmtId="0" fontId="55" fillId="5" borderId="8" xfId="0" applyFont="1" applyFill="1" applyBorder="1"/>
    <xf numFmtId="0" fontId="16" fillId="17" borderId="1" xfId="0" applyFont="1" applyFill="1" applyBorder="1"/>
    <xf numFmtId="49" fontId="54" fillId="8" borderId="7" xfId="0" applyNumberFormat="1" applyFont="1" applyFill="1" applyBorder="1" applyAlignment="1">
      <alignment horizontal="center"/>
    </xf>
    <xf numFmtId="0" fontId="56" fillId="0" borderId="0" xfId="0" applyFont="1"/>
    <xf numFmtId="0" fontId="19" fillId="5" borderId="6" xfId="0" applyFont="1" applyFill="1" applyBorder="1" applyAlignment="1">
      <alignment horizontal="left" vertical="center" wrapText="1"/>
    </xf>
    <xf numFmtId="1" fontId="19" fillId="5" borderId="6" xfId="0" applyNumberFormat="1" applyFont="1" applyFill="1" applyBorder="1" applyAlignment="1">
      <alignment horizontal="center" vertical="center" wrapText="1"/>
    </xf>
    <xf numFmtId="0" fontId="20" fillId="5" borderId="2" xfId="0" applyFont="1" applyFill="1" applyBorder="1"/>
    <xf numFmtId="0" fontId="20" fillId="5" borderId="3" xfId="0" applyFont="1" applyFill="1" applyBorder="1"/>
    <xf numFmtId="0" fontId="20" fillId="5" borderId="4" xfId="0" applyFont="1" applyFill="1" applyBorder="1"/>
    <xf numFmtId="49" fontId="54" fillId="15" borderId="7" xfId="0" applyNumberFormat="1" applyFont="1" applyFill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right"/>
    </xf>
    <xf numFmtId="49" fontId="37" fillId="20" borderId="0" xfId="0" applyNumberFormat="1" applyFont="1" applyFill="1" applyAlignment="1">
      <alignment horizontal="center" vertical="center"/>
    </xf>
    <xf numFmtId="49" fontId="37" fillId="20" borderId="0" xfId="0" applyNumberFormat="1" applyFont="1" applyFill="1" applyAlignment="1">
      <alignment vertical="center"/>
    </xf>
    <xf numFmtId="49" fontId="0" fillId="0" borderId="0" xfId="0" applyNumberFormat="1"/>
    <xf numFmtId="49" fontId="37" fillId="3" borderId="0" xfId="0" applyNumberFormat="1" applyFont="1" applyFill="1" applyAlignment="1">
      <alignment vertical="center"/>
    </xf>
    <xf numFmtId="0" fontId="19" fillId="5" borderId="5" xfId="0" applyFont="1" applyFill="1" applyBorder="1" applyAlignment="1">
      <alignment vertical="center" wrapText="1"/>
    </xf>
    <xf numFmtId="0" fontId="16" fillId="17" borderId="1" xfId="0" applyFont="1" applyFill="1" applyBorder="1" applyAlignment="1">
      <alignment horizontal="right" vertical="center" wrapText="1"/>
    </xf>
    <xf numFmtId="0" fontId="33" fillId="6" borderId="1" xfId="0" applyFont="1" applyFill="1" applyBorder="1" applyAlignment="1">
      <alignment horizontal="right"/>
    </xf>
    <xf numFmtId="0" fontId="23" fillId="12" borderId="1" xfId="0" applyFont="1" applyFill="1" applyBorder="1" applyAlignment="1">
      <alignment horizontal="right"/>
    </xf>
    <xf numFmtId="0" fontId="23" fillId="13" borderId="1" xfId="0" applyFont="1" applyFill="1" applyBorder="1" applyAlignment="1">
      <alignment horizontal="right"/>
    </xf>
    <xf numFmtId="0" fontId="25" fillId="9" borderId="1" xfId="0" applyFont="1" applyFill="1" applyBorder="1" applyAlignment="1">
      <alignment horizontal="right"/>
    </xf>
    <xf numFmtId="49" fontId="40" fillId="5" borderId="1" xfId="0" applyNumberFormat="1" applyFont="1" applyFill="1" applyBorder="1" applyAlignment="1">
      <alignment horizontal="center"/>
    </xf>
    <xf numFmtId="0" fontId="14" fillId="0" borderId="0" xfId="0" applyFont="1"/>
    <xf numFmtId="16" fontId="28" fillId="5" borderId="10" xfId="0" applyNumberFormat="1" applyFont="1" applyFill="1" applyBorder="1" applyAlignment="1">
      <alignment horizontal="left" vertical="center" wrapText="1"/>
    </xf>
    <xf numFmtId="0" fontId="28" fillId="5" borderId="5" xfId="0" applyFont="1" applyFill="1" applyBorder="1" applyAlignment="1">
      <alignment vertical="center" wrapText="1"/>
    </xf>
    <xf numFmtId="0" fontId="28" fillId="5" borderId="6" xfId="0" applyFont="1" applyFill="1" applyBorder="1" applyAlignment="1">
      <alignment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1" fillId="5" borderId="1" xfId="0" applyFont="1" applyFill="1" applyBorder="1"/>
    <xf numFmtId="0" fontId="28" fillId="5" borderId="1" xfId="0" applyFont="1" applyFill="1" applyBorder="1"/>
    <xf numFmtId="0" fontId="28" fillId="5" borderId="4" xfId="0" applyFont="1" applyFill="1" applyBorder="1"/>
    <xf numFmtId="0" fontId="28" fillId="13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0" fontId="19" fillId="3" borderId="1" xfId="0" applyFont="1" applyFill="1" applyBorder="1" applyAlignment="1">
      <alignment horizontal="right"/>
    </xf>
    <xf numFmtId="0" fontId="19" fillId="5" borderId="1" xfId="0" applyFont="1" applyFill="1" applyBorder="1" applyAlignment="1">
      <alignment vertical="center" wrapText="1"/>
    </xf>
    <xf numFmtId="49" fontId="51" fillId="5" borderId="7" xfId="0" applyNumberFormat="1" applyFont="1" applyFill="1" applyBorder="1" applyAlignment="1">
      <alignment horizontal="center"/>
    </xf>
    <xf numFmtId="0" fontId="23" fillId="7" borderId="1" xfId="0" applyFont="1" applyFill="1" applyBorder="1" applyAlignment="1">
      <alignment horizontal="right"/>
    </xf>
    <xf numFmtId="0" fontId="0" fillId="0" borderId="0" xfId="0" applyAlignment="1">
      <alignment horizontal="left"/>
    </xf>
    <xf numFmtId="1" fontId="13" fillId="0" borderId="0" xfId="0" applyNumberFormat="1" applyFont="1"/>
    <xf numFmtId="49" fontId="19" fillId="5" borderId="1" xfId="0" applyNumberFormat="1" applyFont="1" applyFill="1" applyBorder="1" applyAlignment="1">
      <alignment horizontal="center"/>
    </xf>
    <xf numFmtId="0" fontId="17" fillId="11" borderId="1" xfId="0" applyFont="1" applyFill="1" applyBorder="1" applyAlignment="1">
      <alignment horizontal="right"/>
    </xf>
    <xf numFmtId="0" fontId="23" fillId="4" borderId="1" xfId="0" applyFont="1" applyFill="1" applyBorder="1" applyAlignment="1">
      <alignment horizontal="right"/>
    </xf>
    <xf numFmtId="0" fontId="12" fillId="0" borderId="0" xfId="0" applyFont="1"/>
    <xf numFmtId="0" fontId="23" fillId="11" borderId="1" xfId="0" applyFont="1" applyFill="1" applyBorder="1" applyAlignment="1">
      <alignment horizontal="right"/>
    </xf>
    <xf numFmtId="0" fontId="19" fillId="15" borderId="2" xfId="0" applyFont="1" applyFill="1" applyBorder="1"/>
    <xf numFmtId="16" fontId="19" fillId="9" borderId="5" xfId="0" applyNumberFormat="1" applyFont="1" applyFill="1" applyBorder="1" applyAlignment="1">
      <alignment horizontal="left" vertical="center" wrapText="1"/>
    </xf>
    <xf numFmtId="0" fontId="19" fillId="9" borderId="6" xfId="0" applyFont="1" applyFill="1" applyBorder="1" applyAlignment="1">
      <alignment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7" xfId="0" applyFont="1" applyFill="1" applyBorder="1"/>
    <xf numFmtId="49" fontId="34" fillId="9" borderId="7" xfId="0" applyNumberFormat="1" applyFont="1" applyFill="1" applyBorder="1" applyAlignment="1">
      <alignment horizontal="center"/>
    </xf>
    <xf numFmtId="0" fontId="20" fillId="9" borderId="8" xfId="0" applyFont="1" applyFill="1" applyBorder="1"/>
    <xf numFmtId="0" fontId="20" fillId="9" borderId="3" xfId="0" applyFont="1" applyFill="1" applyBorder="1"/>
    <xf numFmtId="0" fontId="19" fillId="9" borderId="1" xfId="0" applyFont="1" applyFill="1" applyBorder="1"/>
    <xf numFmtId="0" fontId="19" fillId="9" borderId="4" xfId="0" applyFont="1" applyFill="1" applyBorder="1"/>
    <xf numFmtId="0" fontId="20" fillId="9" borderId="1" xfId="0" applyFont="1" applyFill="1" applyBorder="1"/>
    <xf numFmtId="0" fontId="20" fillId="9" borderId="9" xfId="0" applyFont="1" applyFill="1" applyBorder="1"/>
    <xf numFmtId="0" fontId="16" fillId="17" borderId="5" xfId="0" applyFont="1" applyFill="1" applyBorder="1"/>
    <xf numFmtId="0" fontId="37" fillId="0" borderId="4" xfId="0" applyFont="1" applyBorder="1" applyAlignment="1">
      <alignment horizontal="center" vertical="center" wrapText="1"/>
    </xf>
    <xf numFmtId="0" fontId="37" fillId="21" borderId="5" xfId="0" applyFont="1" applyFill="1" applyBorder="1" applyAlignment="1">
      <alignment horizontal="right" vertical="center" wrapText="1"/>
    </xf>
    <xf numFmtId="0" fontId="38" fillId="21" borderId="6" xfId="0" applyFont="1" applyFill="1" applyBorder="1" applyAlignment="1">
      <alignment vertical="center" wrapText="1"/>
    </xf>
    <xf numFmtId="0" fontId="59" fillId="11" borderId="6" xfId="0" applyFont="1" applyFill="1" applyBorder="1" applyAlignment="1">
      <alignment vertical="center" wrapText="1"/>
    </xf>
    <xf numFmtId="0" fontId="0" fillId="21" borderId="6" xfId="0" applyFill="1" applyBorder="1" applyAlignment="1">
      <alignment horizontal="right" vertical="center" wrapText="1"/>
    </xf>
    <xf numFmtId="0" fontId="16" fillId="21" borderId="6" xfId="0" applyFont="1" applyFill="1" applyBorder="1" applyAlignment="1">
      <alignment horizontal="right" vertical="center" wrapText="1"/>
    </xf>
    <xf numFmtId="0" fontId="41" fillId="21" borderId="6" xfId="0" applyFont="1" applyFill="1" applyBorder="1" applyAlignment="1">
      <alignment vertical="center" wrapText="1"/>
    </xf>
    <xf numFmtId="0" fontId="38" fillId="21" borderId="6" xfId="0" applyFont="1" applyFill="1" applyBorder="1" applyAlignment="1">
      <alignment horizontal="right" vertical="center" wrapText="1"/>
    </xf>
    <xf numFmtId="0" fontId="37" fillId="21" borderId="6" xfId="0" applyFont="1" applyFill="1" applyBorder="1" applyAlignment="1">
      <alignment horizontal="right" vertical="center" wrapText="1"/>
    </xf>
    <xf numFmtId="0" fontId="59" fillId="4" borderId="6" xfId="0" applyFont="1" applyFill="1" applyBorder="1" applyAlignment="1">
      <alignment vertical="center" wrapText="1"/>
    </xf>
    <xf numFmtId="0" fontId="59" fillId="7" borderId="6" xfId="0" applyFont="1" applyFill="1" applyBorder="1" applyAlignment="1">
      <alignment vertical="center" wrapText="1"/>
    </xf>
    <xf numFmtId="0" fontId="19" fillId="17" borderId="1" xfId="0" applyFont="1" applyFill="1" applyBorder="1" applyAlignment="1">
      <alignment horizontal="left" vertical="center" wrapText="1"/>
    </xf>
    <xf numFmtId="49" fontId="51" fillId="9" borderId="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42" fillId="15" borderId="7" xfId="0" applyNumberFormat="1" applyFont="1" applyFill="1" applyBorder="1" applyAlignment="1">
      <alignment horizontal="center"/>
    </xf>
    <xf numFmtId="0" fontId="60" fillId="4" borderId="3" xfId="0" applyFont="1" applyFill="1" applyBorder="1" applyAlignment="1">
      <alignment horizontal="left" wrapText="1"/>
    </xf>
    <xf numFmtId="0" fontId="60" fillId="4" borderId="1" xfId="0" applyFont="1" applyFill="1" applyBorder="1"/>
    <xf numFmtId="0" fontId="60" fillId="4" borderId="2" xfId="0" applyFont="1" applyFill="1" applyBorder="1"/>
    <xf numFmtId="0" fontId="60" fillId="4" borderId="11" xfId="0" applyFont="1" applyFill="1" applyBorder="1"/>
    <xf numFmtId="0" fontId="60" fillId="4" borderId="3" xfId="0" applyFont="1" applyFill="1" applyBorder="1"/>
    <xf numFmtId="0" fontId="60" fillId="4" borderId="0" xfId="0" applyFont="1" applyFill="1"/>
    <xf numFmtId="0" fontId="60" fillId="4" borderId="10" xfId="0" applyFont="1" applyFill="1" applyBorder="1" applyAlignment="1">
      <alignment vertical="center" wrapText="1"/>
    </xf>
    <xf numFmtId="0" fontId="60" fillId="4" borderId="5" xfId="0" applyFont="1" applyFill="1" applyBorder="1" applyAlignment="1">
      <alignment vertical="center" wrapText="1"/>
    </xf>
    <xf numFmtId="0" fontId="60" fillId="4" borderId="1" xfId="0" applyFont="1" applyFill="1" applyBorder="1" applyAlignment="1">
      <alignment vertical="center" wrapText="1"/>
    </xf>
    <xf numFmtId="0" fontId="60" fillId="4" borderId="1" xfId="0" applyFont="1" applyFill="1" applyBorder="1" applyAlignment="1">
      <alignment horizontal="center" vertical="center" wrapText="1"/>
    </xf>
    <xf numFmtId="0" fontId="60" fillId="4" borderId="6" xfId="0" applyFont="1" applyFill="1" applyBorder="1" applyAlignment="1">
      <alignment horizontal="center" vertical="center" wrapText="1"/>
    </xf>
    <xf numFmtId="0" fontId="61" fillId="4" borderId="7" xfId="0" applyFont="1" applyFill="1" applyBorder="1"/>
    <xf numFmtId="49" fontId="61" fillId="4" borderId="7" xfId="0" applyNumberFormat="1" applyFont="1" applyFill="1" applyBorder="1"/>
    <xf numFmtId="0" fontId="61" fillId="4" borderId="8" xfId="0" applyFont="1" applyFill="1" applyBorder="1"/>
    <xf numFmtId="0" fontId="61" fillId="4" borderId="1" xfId="0" applyFont="1" applyFill="1" applyBorder="1"/>
    <xf numFmtId="0" fontId="27" fillId="2" borderId="1" xfId="0" applyFont="1" applyFill="1" applyBorder="1" applyAlignment="1">
      <alignment horizontal="center"/>
    </xf>
    <xf numFmtId="0" fontId="11" fillId="0" borderId="0" xfId="0" applyFont="1"/>
    <xf numFmtId="0" fontId="62" fillId="23" borderId="4" xfId="0" applyFont="1" applyFill="1" applyBorder="1" applyAlignment="1">
      <alignment horizontal="center" vertical="center" wrapText="1"/>
    </xf>
    <xf numFmtId="0" fontId="63" fillId="0" borderId="0" xfId="0" applyFont="1"/>
    <xf numFmtId="0" fontId="62" fillId="3" borderId="0" xfId="0" applyFont="1" applyFill="1"/>
    <xf numFmtId="0" fontId="62" fillId="23" borderId="1" xfId="0" applyFont="1" applyFill="1" applyBorder="1"/>
    <xf numFmtId="0" fontId="62" fillId="6" borderId="4" xfId="0" applyFont="1" applyFill="1" applyBorder="1" applyAlignment="1">
      <alignment horizontal="center" vertical="center" wrapText="1"/>
    </xf>
    <xf numFmtId="0" fontId="62" fillId="24" borderId="4" xfId="0" applyFont="1" applyFill="1" applyBorder="1" applyAlignment="1">
      <alignment horizontal="center" vertical="center" wrapText="1"/>
    </xf>
    <xf numFmtId="0" fontId="62" fillId="22" borderId="4" xfId="0" applyFont="1" applyFill="1" applyBorder="1" applyAlignment="1">
      <alignment horizontal="center" vertical="center" wrapText="1"/>
    </xf>
    <xf numFmtId="0" fontId="62" fillId="23" borderId="1" xfId="0" applyFont="1" applyFill="1" applyBorder="1" applyAlignment="1">
      <alignment horizontal="center" vertical="center" wrapText="1"/>
    </xf>
    <xf numFmtId="0" fontId="62" fillId="6" borderId="1" xfId="0" applyFont="1" applyFill="1" applyBorder="1" applyAlignment="1">
      <alignment horizontal="center" vertical="center" wrapText="1"/>
    </xf>
    <xf numFmtId="0" fontId="62" fillId="24" borderId="1" xfId="0" applyFont="1" applyFill="1" applyBorder="1" applyAlignment="1">
      <alignment horizontal="center" vertical="center" wrapText="1"/>
    </xf>
    <xf numFmtId="0" fontId="62" fillId="22" borderId="1" xfId="0" applyFont="1" applyFill="1" applyBorder="1" applyAlignment="1">
      <alignment horizontal="center" vertical="center" wrapText="1"/>
    </xf>
    <xf numFmtId="16" fontId="19" fillId="5" borderId="1" xfId="0" applyNumberFormat="1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/>
    </xf>
    <xf numFmtId="0" fontId="19" fillId="15" borderId="4" xfId="0" applyFont="1" applyFill="1" applyBorder="1" applyAlignment="1">
      <alignment horizontal="center"/>
    </xf>
    <xf numFmtId="0" fontId="19" fillId="13" borderId="1" xfId="0" applyFont="1" applyFill="1" applyBorder="1" applyAlignment="1">
      <alignment horizontal="center"/>
    </xf>
    <xf numFmtId="0" fontId="19" fillId="13" borderId="2" xfId="0" applyFont="1" applyFill="1" applyBorder="1" applyAlignment="1">
      <alignment horizontal="center"/>
    </xf>
    <xf numFmtId="0" fontId="19" fillId="13" borderId="11" xfId="0" applyFont="1" applyFill="1" applyBorder="1" applyAlignment="1">
      <alignment horizontal="center"/>
    </xf>
    <xf numFmtId="0" fontId="19" fillId="13" borderId="3" xfId="0" applyFont="1" applyFill="1" applyBorder="1" applyAlignment="1">
      <alignment horizontal="center"/>
    </xf>
    <xf numFmtId="0" fontId="16" fillId="3" borderId="0" xfId="0" applyFont="1" applyFill="1" applyAlignment="1">
      <alignment horizontal="left"/>
    </xf>
    <xf numFmtId="20" fontId="16" fillId="3" borderId="0" xfId="0" applyNumberFormat="1" applyFont="1" applyFill="1" applyAlignment="1">
      <alignment horizontal="center"/>
    </xf>
    <xf numFmtId="0" fontId="16" fillId="3" borderId="0" xfId="0" applyFont="1" applyFill="1"/>
    <xf numFmtId="0" fontId="16" fillId="3" borderId="0" xfId="0" applyFont="1" applyFill="1" applyAlignment="1">
      <alignment horizontal="right"/>
    </xf>
    <xf numFmtId="20" fontId="16" fillId="15" borderId="0" xfId="0" applyNumberFormat="1" applyFont="1" applyFill="1" applyAlignment="1">
      <alignment horizontal="center"/>
    </xf>
    <xf numFmtId="0" fontId="16" fillId="15" borderId="0" xfId="0" applyFont="1" applyFill="1"/>
    <xf numFmtId="164" fontId="16" fillId="15" borderId="0" xfId="0" applyNumberFormat="1" applyFont="1" applyFill="1" applyAlignment="1">
      <alignment horizontal="left"/>
    </xf>
    <xf numFmtId="1" fontId="0" fillId="15" borderId="1" xfId="0" applyNumberFormat="1" applyFill="1" applyBorder="1" applyAlignment="1">
      <alignment horizontal="left" vertical="center" wrapText="1"/>
    </xf>
    <xf numFmtId="0" fontId="0" fillId="15" borderId="4" xfId="0" applyFill="1" applyBorder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1" fontId="19" fillId="15" borderId="5" xfId="0" applyNumberFormat="1" applyFont="1" applyFill="1" applyBorder="1" applyAlignment="1">
      <alignment horizontal="left" vertical="center" wrapText="1"/>
    </xf>
    <xf numFmtId="0" fontId="20" fillId="15" borderId="6" xfId="0" applyFont="1" applyFill="1" applyBorder="1" applyAlignment="1">
      <alignment horizontal="center" vertical="center" wrapText="1"/>
    </xf>
    <xf numFmtId="0" fontId="0" fillId="15" borderId="6" xfId="0" applyFill="1" applyBorder="1" applyAlignment="1">
      <alignment horizontal="center" vertical="center" wrapText="1"/>
    </xf>
    <xf numFmtId="0" fontId="0" fillId="15" borderId="6" xfId="0" applyFill="1" applyBorder="1" applyAlignment="1">
      <alignment horizontal="right" vertical="center" wrapText="1"/>
    </xf>
    <xf numFmtId="0" fontId="19" fillId="15" borderId="6" xfId="0" applyFont="1" applyFill="1" applyBorder="1" applyAlignment="1">
      <alignment horizontal="right" vertical="center" wrapText="1"/>
    </xf>
    <xf numFmtId="0" fontId="20" fillId="15" borderId="6" xfId="0" applyFont="1" applyFill="1" applyBorder="1" applyAlignment="1">
      <alignment horizontal="right" vertical="center" wrapText="1"/>
    </xf>
    <xf numFmtId="1" fontId="19" fillId="3" borderId="9" xfId="0" applyNumberFormat="1" applyFont="1" applyFill="1" applyBorder="1" applyAlignment="1">
      <alignment horizontal="left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right" vertical="center" wrapText="1"/>
    </xf>
    <xf numFmtId="0" fontId="19" fillId="3" borderId="9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16" fillId="3" borderId="0" xfId="0" applyFont="1" applyFill="1" applyAlignment="1">
      <alignment horizontal="center"/>
    </xf>
    <xf numFmtId="49" fontId="16" fillId="3" borderId="0" xfId="0" applyNumberFormat="1" applyFont="1" applyFill="1" applyAlignment="1">
      <alignment horizontal="right"/>
    </xf>
    <xf numFmtId="0" fontId="16" fillId="26" borderId="0" xfId="0" applyFont="1" applyFill="1"/>
    <xf numFmtId="49" fontId="16" fillId="26" borderId="0" xfId="0" applyNumberFormat="1" applyFont="1" applyFill="1" applyAlignment="1">
      <alignment horizontal="right"/>
    </xf>
    <xf numFmtId="0" fontId="0" fillId="26" borderId="0" xfId="0" applyFill="1"/>
    <xf numFmtId="9" fontId="0" fillId="0" borderId="0" xfId="0" applyNumberFormat="1"/>
    <xf numFmtId="1" fontId="19" fillId="26" borderId="5" xfId="0" applyNumberFormat="1" applyFont="1" applyFill="1" applyBorder="1" applyAlignment="1">
      <alignment horizontal="left" vertical="center" wrapText="1"/>
    </xf>
    <xf numFmtId="0" fontId="20" fillId="26" borderId="6" xfId="0" applyFont="1" applyFill="1" applyBorder="1" applyAlignment="1">
      <alignment horizontal="center" vertical="center" wrapText="1"/>
    </xf>
    <xf numFmtId="0" fontId="19" fillId="26" borderId="6" xfId="0" applyFont="1" applyFill="1" applyBorder="1" applyAlignment="1">
      <alignment horizontal="right" vertical="center" wrapText="1"/>
    </xf>
    <xf numFmtId="0" fontId="20" fillId="26" borderId="6" xfId="0" applyFont="1" applyFill="1" applyBorder="1" applyAlignment="1">
      <alignment horizontal="right" vertical="center" wrapText="1"/>
    </xf>
    <xf numFmtId="1" fontId="16" fillId="26" borderId="5" xfId="0" applyNumberFormat="1" applyFont="1" applyFill="1" applyBorder="1" applyAlignment="1">
      <alignment horizontal="left" vertical="center" wrapText="1"/>
    </xf>
    <xf numFmtId="0" fontId="16" fillId="15" borderId="0" xfId="0" applyFont="1" applyFill="1" applyAlignment="1">
      <alignment horizontal="right"/>
    </xf>
    <xf numFmtId="0" fontId="16" fillId="15" borderId="0" xfId="0" applyFont="1" applyFill="1" applyAlignment="1">
      <alignment horizontal="left"/>
    </xf>
    <xf numFmtId="0" fontId="35" fillId="17" borderId="2" xfId="0" applyFont="1" applyFill="1" applyBorder="1" applyAlignment="1">
      <alignment horizontal="center" vertical="center" wrapText="1"/>
    </xf>
    <xf numFmtId="0" fontId="48" fillId="23" borderId="2" xfId="0" applyFont="1" applyFill="1" applyBorder="1" applyAlignment="1">
      <alignment horizontal="left" vertical="center" wrapText="1"/>
    </xf>
    <xf numFmtId="0" fontId="10" fillId="0" borderId="0" xfId="0" applyFont="1"/>
    <xf numFmtId="0" fontId="21" fillId="5" borderId="7" xfId="0" applyFont="1" applyFill="1" applyBorder="1"/>
    <xf numFmtId="49" fontId="42" fillId="5" borderId="7" xfId="0" applyNumberFormat="1" applyFont="1" applyFill="1" applyBorder="1" applyAlignment="1">
      <alignment horizontal="center"/>
    </xf>
    <xf numFmtId="0" fontId="21" fillId="5" borderId="8" xfId="0" applyFont="1" applyFill="1" applyBorder="1"/>
    <xf numFmtId="0" fontId="21" fillId="5" borderId="9" xfId="0" applyFont="1" applyFill="1" applyBorder="1"/>
    <xf numFmtId="49" fontId="57" fillId="5" borderId="7" xfId="0" applyNumberFormat="1" applyFont="1" applyFill="1" applyBorder="1" applyAlignment="1">
      <alignment horizontal="center"/>
    </xf>
    <xf numFmtId="0" fontId="19" fillId="15" borderId="4" xfId="0" applyFont="1" applyFill="1" applyBorder="1" applyAlignment="1">
      <alignment horizontal="center" vertical="center" wrapText="1"/>
    </xf>
    <xf numFmtId="0" fontId="16" fillId="26" borderId="0" xfId="0" applyFont="1" applyFill="1" applyAlignment="1">
      <alignment horizontal="right"/>
    </xf>
    <xf numFmtId="0" fontId="16" fillId="26" borderId="0" xfId="0" applyFont="1" applyFill="1" applyAlignment="1">
      <alignment horizontal="left"/>
    </xf>
    <xf numFmtId="0" fontId="0" fillId="26" borderId="0" xfId="0" applyFill="1" applyAlignment="1">
      <alignment horizontal="left"/>
    </xf>
    <xf numFmtId="0" fontId="19" fillId="5" borderId="1" xfId="0" applyFont="1" applyFill="1" applyBorder="1" applyAlignment="1">
      <alignment horizontal="center"/>
    </xf>
    <xf numFmtId="49" fontId="20" fillId="5" borderId="1" xfId="0" applyNumberFormat="1" applyFont="1" applyFill="1" applyBorder="1" applyAlignment="1">
      <alignment horizontal="center"/>
    </xf>
    <xf numFmtId="0" fontId="9" fillId="0" borderId="0" xfId="0" applyFont="1"/>
    <xf numFmtId="0" fontId="19" fillId="5" borderId="4" xfId="0" applyFont="1" applyFill="1" applyBorder="1" applyAlignment="1">
      <alignment horizontal="center" vertical="center" wrapText="1"/>
    </xf>
    <xf numFmtId="0" fontId="49" fillId="23" borderId="1" xfId="0" applyFont="1" applyFill="1" applyBorder="1" applyAlignment="1">
      <alignment horizontal="center" vertical="center" wrapText="1"/>
    </xf>
    <xf numFmtId="0" fontId="49" fillId="23" borderId="4" xfId="0" applyFont="1" applyFill="1" applyBorder="1" applyAlignment="1">
      <alignment horizontal="center" vertical="center" wrapText="1"/>
    </xf>
    <xf numFmtId="0" fontId="16" fillId="27" borderId="0" xfId="0" applyFont="1" applyFill="1" applyAlignment="1">
      <alignment horizontal="left"/>
    </xf>
    <xf numFmtId="20" fontId="16" fillId="27" borderId="0" xfId="0" applyNumberFormat="1" applyFont="1" applyFill="1" applyAlignment="1">
      <alignment horizontal="center"/>
    </xf>
    <xf numFmtId="0" fontId="16" fillId="27" borderId="0" xfId="0" applyFont="1" applyFill="1"/>
    <xf numFmtId="0" fontId="16" fillId="27" borderId="0" xfId="0" applyFont="1" applyFill="1" applyAlignment="1">
      <alignment horizontal="right"/>
    </xf>
    <xf numFmtId="0" fontId="0" fillId="27" borderId="0" xfId="0" applyFill="1"/>
    <xf numFmtId="164" fontId="16" fillId="27" borderId="0" xfId="0" applyNumberFormat="1" applyFont="1" applyFill="1" applyAlignment="1">
      <alignment horizontal="left"/>
    </xf>
    <xf numFmtId="1" fontId="0" fillId="27" borderId="1" xfId="0" applyNumberFormat="1" applyFill="1" applyBorder="1" applyAlignment="1">
      <alignment horizontal="left" vertical="center" wrapText="1"/>
    </xf>
    <xf numFmtId="0" fontId="0" fillId="27" borderId="4" xfId="0" applyFill="1" applyBorder="1" applyAlignment="1">
      <alignment horizontal="center" vertical="center" wrapText="1"/>
    </xf>
    <xf numFmtId="0" fontId="16" fillId="27" borderId="4" xfId="0" applyFont="1" applyFill="1" applyBorder="1" applyAlignment="1">
      <alignment horizontal="center" vertical="center" wrapText="1"/>
    </xf>
    <xf numFmtId="1" fontId="19" fillId="27" borderId="5" xfId="0" applyNumberFormat="1" applyFont="1" applyFill="1" applyBorder="1" applyAlignment="1">
      <alignment horizontal="left" vertical="center" wrapText="1"/>
    </xf>
    <xf numFmtId="0" fontId="20" fillId="27" borderId="6" xfId="0" applyFont="1" applyFill="1" applyBorder="1" applyAlignment="1">
      <alignment horizontal="center" vertical="center" wrapText="1"/>
    </xf>
    <xf numFmtId="0" fontId="20" fillId="27" borderId="6" xfId="0" applyFont="1" applyFill="1" applyBorder="1" applyAlignment="1">
      <alignment horizontal="right" vertical="center" wrapText="1"/>
    </xf>
    <xf numFmtId="0" fontId="19" fillId="27" borderId="6" xfId="0" applyFont="1" applyFill="1" applyBorder="1" applyAlignment="1">
      <alignment horizontal="right" vertical="center" wrapText="1"/>
    </xf>
    <xf numFmtId="0" fontId="0" fillId="27" borderId="6" xfId="0" applyFill="1" applyBorder="1" applyAlignment="1">
      <alignment horizontal="center" vertical="center" wrapText="1"/>
    </xf>
    <xf numFmtId="0" fontId="0" fillId="27" borderId="6" xfId="0" applyFill="1" applyBorder="1" applyAlignment="1">
      <alignment horizontal="right" vertical="center" wrapText="1"/>
    </xf>
    <xf numFmtId="0" fontId="16" fillId="28" borderId="0" xfId="0" applyFont="1" applyFill="1" applyAlignment="1">
      <alignment horizontal="left"/>
    </xf>
    <xf numFmtId="0" fontId="16" fillId="28" borderId="0" xfId="0" applyFont="1" applyFill="1"/>
    <xf numFmtId="0" fontId="0" fillId="28" borderId="0" xfId="0" applyFill="1"/>
    <xf numFmtId="164" fontId="16" fillId="28" borderId="0" xfId="0" applyNumberFormat="1" applyFont="1" applyFill="1" applyAlignment="1">
      <alignment horizontal="left"/>
    </xf>
    <xf numFmtId="20" fontId="16" fillId="28" borderId="0" xfId="0" applyNumberFormat="1" applyFont="1" applyFill="1" applyAlignment="1">
      <alignment horizontal="center"/>
    </xf>
    <xf numFmtId="0" fontId="16" fillId="28" borderId="0" xfId="0" applyFont="1" applyFill="1" applyAlignment="1">
      <alignment horizontal="right"/>
    </xf>
    <xf numFmtId="1" fontId="0" fillId="28" borderId="1" xfId="0" applyNumberFormat="1" applyFill="1" applyBorder="1" applyAlignment="1">
      <alignment horizontal="left" vertical="center" wrapText="1"/>
    </xf>
    <xf numFmtId="0" fontId="0" fillId="28" borderId="4" xfId="0" applyFill="1" applyBorder="1" applyAlignment="1">
      <alignment horizontal="center" vertical="center" wrapText="1"/>
    </xf>
    <xf numFmtId="0" fontId="16" fillId="28" borderId="4" xfId="0" applyFont="1" applyFill="1" applyBorder="1" applyAlignment="1">
      <alignment horizontal="center" vertical="center" wrapText="1"/>
    </xf>
    <xf numFmtId="1" fontId="19" fillId="28" borderId="5" xfId="0" applyNumberFormat="1" applyFont="1" applyFill="1" applyBorder="1" applyAlignment="1">
      <alignment horizontal="left" vertical="center" wrapText="1"/>
    </xf>
    <xf numFmtId="0" fontId="20" fillId="28" borderId="6" xfId="0" applyFont="1" applyFill="1" applyBorder="1" applyAlignment="1">
      <alignment horizontal="center" vertical="center" wrapText="1"/>
    </xf>
    <xf numFmtId="0" fontId="0" fillId="28" borderId="6" xfId="0" applyFill="1" applyBorder="1" applyAlignment="1">
      <alignment horizontal="center" vertical="center" wrapText="1"/>
    </xf>
    <xf numFmtId="0" fontId="0" fillId="28" borderId="6" xfId="0" applyFill="1" applyBorder="1" applyAlignment="1">
      <alignment horizontal="right" vertical="center" wrapText="1"/>
    </xf>
    <xf numFmtId="0" fontId="19" fillId="28" borderId="6" xfId="0" applyFont="1" applyFill="1" applyBorder="1" applyAlignment="1">
      <alignment horizontal="right" vertical="center" wrapText="1"/>
    </xf>
    <xf numFmtId="0" fontId="20" fillId="28" borderId="6" xfId="0" applyFont="1" applyFill="1" applyBorder="1" applyAlignment="1">
      <alignment horizontal="right" vertical="center" wrapText="1"/>
    </xf>
    <xf numFmtId="0" fontId="16" fillId="29" borderId="0" xfId="0" applyFont="1" applyFill="1" applyAlignment="1">
      <alignment horizontal="left"/>
    </xf>
    <xf numFmtId="20" fontId="16" fillId="29" borderId="0" xfId="0" applyNumberFormat="1" applyFont="1" applyFill="1" applyAlignment="1">
      <alignment horizontal="center"/>
    </xf>
    <xf numFmtId="0" fontId="16" fillId="29" borderId="0" xfId="0" applyFont="1" applyFill="1"/>
    <xf numFmtId="0" fontId="16" fillId="29" borderId="0" xfId="0" applyFont="1" applyFill="1" applyAlignment="1">
      <alignment horizontal="right"/>
    </xf>
    <xf numFmtId="0" fontId="0" fillId="29" borderId="0" xfId="0" applyFill="1"/>
    <xf numFmtId="164" fontId="16" fillId="29" borderId="0" xfId="0" applyNumberFormat="1" applyFont="1" applyFill="1" applyAlignment="1">
      <alignment horizontal="left"/>
    </xf>
    <xf numFmtId="1" fontId="0" fillId="29" borderId="1" xfId="0" applyNumberFormat="1" applyFill="1" applyBorder="1" applyAlignment="1">
      <alignment horizontal="left" vertical="center" wrapText="1"/>
    </xf>
    <xf numFmtId="0" fontId="0" fillId="29" borderId="4" xfId="0" applyFill="1" applyBorder="1" applyAlignment="1">
      <alignment horizontal="center" vertical="center" wrapText="1"/>
    </xf>
    <xf numFmtId="0" fontId="16" fillId="29" borderId="4" xfId="0" applyFont="1" applyFill="1" applyBorder="1" applyAlignment="1">
      <alignment horizontal="center" vertical="center" wrapText="1"/>
    </xf>
    <xf numFmtId="1" fontId="19" fillId="29" borderId="5" xfId="0" applyNumberFormat="1" applyFont="1" applyFill="1" applyBorder="1" applyAlignment="1">
      <alignment horizontal="left" vertical="center" wrapText="1"/>
    </xf>
    <xf numFmtId="0" fontId="20" fillId="29" borderId="6" xfId="0" applyFont="1" applyFill="1" applyBorder="1" applyAlignment="1">
      <alignment horizontal="center" vertical="center" wrapText="1"/>
    </xf>
    <xf numFmtId="0" fontId="0" fillId="29" borderId="6" xfId="0" applyFill="1" applyBorder="1" applyAlignment="1">
      <alignment horizontal="center" vertical="center" wrapText="1"/>
    </xf>
    <xf numFmtId="0" fontId="0" fillId="29" borderId="6" xfId="0" applyFill="1" applyBorder="1" applyAlignment="1">
      <alignment horizontal="right" vertical="center" wrapText="1"/>
    </xf>
    <xf numFmtId="0" fontId="19" fillId="29" borderId="6" xfId="0" applyFont="1" applyFill="1" applyBorder="1" applyAlignment="1">
      <alignment horizontal="right" vertical="center" wrapText="1"/>
    </xf>
    <xf numFmtId="0" fontId="20" fillId="29" borderId="6" xfId="0" applyFont="1" applyFill="1" applyBorder="1" applyAlignment="1">
      <alignment horizontal="right" vertical="center" wrapText="1"/>
    </xf>
    <xf numFmtId="0" fontId="64" fillId="23" borderId="4" xfId="0" applyFont="1" applyFill="1" applyBorder="1" applyAlignment="1">
      <alignment horizontal="center" vertical="center" wrapText="1"/>
    </xf>
    <xf numFmtId="0" fontId="65" fillId="0" borderId="0" xfId="0" applyFont="1"/>
    <xf numFmtId="0" fontId="64" fillId="3" borderId="0" xfId="0" applyFont="1" applyFill="1"/>
    <xf numFmtId="0" fontId="64" fillId="23" borderId="2" xfId="0" applyFont="1" applyFill="1" applyBorder="1" applyAlignment="1">
      <alignment horizontal="left" vertical="center" wrapText="1"/>
    </xf>
    <xf numFmtId="0" fontId="65" fillId="23" borderId="1" xfId="0" applyFont="1" applyFill="1" applyBorder="1" applyAlignment="1">
      <alignment horizontal="center" vertical="center" wrapText="1"/>
    </xf>
    <xf numFmtId="0" fontId="65" fillId="23" borderId="4" xfId="0" applyFont="1" applyFill="1" applyBorder="1" applyAlignment="1">
      <alignment horizontal="center" vertical="center" wrapText="1"/>
    </xf>
    <xf numFmtId="0" fontId="64" fillId="6" borderId="4" xfId="0" applyFont="1" applyFill="1" applyBorder="1" applyAlignment="1">
      <alignment horizontal="center" vertical="center" wrapText="1"/>
    </xf>
    <xf numFmtId="0" fontId="64" fillId="24" borderId="4" xfId="0" applyFont="1" applyFill="1" applyBorder="1" applyAlignment="1">
      <alignment horizontal="center" vertical="center" wrapText="1"/>
    </xf>
    <xf numFmtId="0" fontId="64" fillId="22" borderId="4" xfId="0" applyFont="1" applyFill="1" applyBorder="1" applyAlignment="1">
      <alignment horizontal="center" vertical="center" wrapText="1"/>
    </xf>
    <xf numFmtId="1" fontId="64" fillId="23" borderId="4" xfId="0" applyNumberFormat="1" applyFont="1" applyFill="1" applyBorder="1" applyAlignment="1">
      <alignment horizontal="center" vertical="center" wrapText="1"/>
    </xf>
    <xf numFmtId="0" fontId="0" fillId="0" borderId="13" xfId="0" applyBorder="1"/>
    <xf numFmtId="0" fontId="35" fillId="17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/>
    </xf>
    <xf numFmtId="0" fontId="16" fillId="30" borderId="1" xfId="0" applyFont="1" applyFill="1" applyBorder="1" applyAlignment="1">
      <alignment vertical="center" wrapText="1"/>
    </xf>
    <xf numFmtId="0" fontId="0" fillId="0" borderId="4" xfId="0" applyBorder="1"/>
    <xf numFmtId="0" fontId="16" fillId="30" borderId="5" xfId="0" applyFont="1" applyFill="1" applyBorder="1" applyAlignment="1">
      <alignment vertical="center" wrapText="1"/>
    </xf>
    <xf numFmtId="0" fontId="19" fillId="30" borderId="5" xfId="0" applyFont="1" applyFill="1" applyBorder="1" applyAlignment="1">
      <alignment vertical="center" wrapText="1"/>
    </xf>
    <xf numFmtId="0" fontId="19" fillId="18" borderId="5" xfId="0" applyFont="1" applyFill="1" applyBorder="1" applyAlignment="1">
      <alignment vertical="center" wrapText="1"/>
    </xf>
    <xf numFmtId="0" fontId="16" fillId="17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35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16" fillId="3" borderId="0" xfId="0" applyFont="1" applyFill="1" applyAlignment="1">
      <alignment vertical="center" wrapText="1"/>
    </xf>
    <xf numFmtId="0" fontId="16" fillId="3" borderId="0" xfId="0" applyFont="1" applyFill="1" applyAlignment="1">
      <alignment horizontal="right" vertical="center" wrapText="1"/>
    </xf>
    <xf numFmtId="0" fontId="16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vertical="center" wrapText="1"/>
    </xf>
    <xf numFmtId="0" fontId="19" fillId="3" borderId="0" xfId="0" applyFont="1" applyFill="1" applyAlignment="1">
      <alignment horizontal="right" vertical="center" wrapText="1"/>
    </xf>
    <xf numFmtId="0" fontId="0" fillId="0" borderId="1" xfId="0" applyBorder="1"/>
    <xf numFmtId="1" fontId="0" fillId="0" borderId="1" xfId="0" applyNumberFormat="1" applyBorder="1"/>
    <xf numFmtId="2" fontId="0" fillId="0" borderId="1" xfId="0" applyNumberFormat="1" applyBorder="1"/>
    <xf numFmtId="1" fontId="16" fillId="4" borderId="1" xfId="0" applyNumberFormat="1" applyFont="1" applyFill="1" applyBorder="1"/>
    <xf numFmtId="0" fontId="16" fillId="13" borderId="1" xfId="0" applyFont="1" applyFill="1" applyBorder="1"/>
    <xf numFmtId="0" fontId="0" fillId="13" borderId="1" xfId="0" applyFill="1" applyBorder="1"/>
    <xf numFmtId="1" fontId="0" fillId="13" borderId="1" xfId="0" applyNumberFormat="1" applyFill="1" applyBorder="1"/>
    <xf numFmtId="2" fontId="0" fillId="13" borderId="1" xfId="0" applyNumberFormat="1" applyFill="1" applyBorder="1"/>
    <xf numFmtId="1" fontId="16" fillId="13" borderId="1" xfId="0" applyNumberFormat="1" applyFont="1" applyFill="1" applyBorder="1"/>
    <xf numFmtId="0" fontId="24" fillId="13" borderId="1" xfId="0" applyFont="1" applyFill="1" applyBorder="1"/>
    <xf numFmtId="1" fontId="24" fillId="13" borderId="1" xfId="0" applyNumberFormat="1" applyFont="1" applyFill="1" applyBorder="1"/>
    <xf numFmtId="2" fontId="24" fillId="13" borderId="1" xfId="0" applyNumberFormat="1" applyFont="1" applyFill="1" applyBorder="1"/>
    <xf numFmtId="1" fontId="23" fillId="13" borderId="1" xfId="0" applyNumberFormat="1" applyFont="1" applyFill="1" applyBorder="1"/>
    <xf numFmtId="0" fontId="25" fillId="8" borderId="1" xfId="0" applyFont="1" applyFill="1" applyBorder="1"/>
    <xf numFmtId="0" fontId="22" fillId="8" borderId="1" xfId="0" applyFont="1" applyFill="1" applyBorder="1"/>
    <xf numFmtId="1" fontId="22" fillId="8" borderId="1" xfId="0" applyNumberFormat="1" applyFont="1" applyFill="1" applyBorder="1"/>
    <xf numFmtId="2" fontId="22" fillId="8" borderId="1" xfId="0" applyNumberFormat="1" applyFont="1" applyFill="1" applyBorder="1"/>
    <xf numFmtId="1" fontId="25" fillId="8" borderId="1" xfId="0" applyNumberFormat="1" applyFont="1" applyFill="1" applyBorder="1"/>
    <xf numFmtId="0" fontId="16" fillId="4" borderId="1" xfId="0" applyFont="1" applyFill="1" applyBorder="1"/>
    <xf numFmtId="0" fontId="0" fillId="4" borderId="1" xfId="0" applyFill="1" applyBorder="1"/>
    <xf numFmtId="1" fontId="0" fillId="4" borderId="1" xfId="0" applyNumberFormat="1" applyFill="1" applyBorder="1"/>
    <xf numFmtId="2" fontId="0" fillId="4" borderId="1" xfId="0" applyNumberFormat="1" applyFill="1" applyBorder="1"/>
    <xf numFmtId="0" fontId="41" fillId="3" borderId="1" xfId="0" applyFont="1" applyFill="1" applyBorder="1"/>
    <xf numFmtId="0" fontId="50" fillId="3" borderId="1" xfId="0" applyFont="1" applyFill="1" applyBorder="1"/>
    <xf numFmtId="1" fontId="50" fillId="3" borderId="1" xfId="0" applyNumberFormat="1" applyFont="1" applyFill="1" applyBorder="1"/>
    <xf numFmtId="2" fontId="50" fillId="3" borderId="1" xfId="0" applyNumberFormat="1" applyFont="1" applyFill="1" applyBorder="1"/>
    <xf numFmtId="1" fontId="41" fillId="3" borderId="1" xfId="0" applyNumberFormat="1" applyFont="1" applyFill="1" applyBorder="1"/>
    <xf numFmtId="0" fontId="67" fillId="11" borderId="1" xfId="0" applyFont="1" applyFill="1" applyBorder="1"/>
    <xf numFmtId="0" fontId="68" fillId="11" borderId="1" xfId="0" applyFont="1" applyFill="1" applyBorder="1"/>
    <xf numFmtId="1" fontId="68" fillId="11" borderId="1" xfId="0" applyNumberFormat="1" applyFont="1" applyFill="1" applyBorder="1"/>
    <xf numFmtId="2" fontId="68" fillId="11" borderId="1" xfId="0" applyNumberFormat="1" applyFont="1" applyFill="1" applyBorder="1"/>
    <xf numFmtId="1" fontId="67" fillId="11" borderId="1" xfId="0" applyNumberFormat="1" applyFont="1" applyFill="1" applyBorder="1"/>
    <xf numFmtId="0" fontId="29" fillId="4" borderId="1" xfId="0" applyFont="1" applyFill="1" applyBorder="1"/>
    <xf numFmtId="0" fontId="30" fillId="4" borderId="1" xfId="0" applyFont="1" applyFill="1" applyBorder="1"/>
    <xf numFmtId="1" fontId="30" fillId="4" borderId="1" xfId="0" applyNumberFormat="1" applyFont="1" applyFill="1" applyBorder="1"/>
    <xf numFmtId="2" fontId="30" fillId="4" borderId="1" xfId="0" applyNumberFormat="1" applyFont="1" applyFill="1" applyBorder="1"/>
    <xf numFmtId="1" fontId="29" fillId="4" borderId="1" xfId="0" applyNumberFormat="1" applyFont="1" applyFill="1" applyBorder="1"/>
    <xf numFmtId="0" fontId="24" fillId="7" borderId="1" xfId="0" applyFont="1" applyFill="1" applyBorder="1"/>
    <xf numFmtId="1" fontId="24" fillId="7" borderId="1" xfId="0" applyNumberFormat="1" applyFont="1" applyFill="1" applyBorder="1"/>
    <xf numFmtId="2" fontId="24" fillId="7" borderId="1" xfId="0" applyNumberFormat="1" applyFont="1" applyFill="1" applyBorder="1"/>
    <xf numFmtId="1" fontId="23" fillId="7" borderId="1" xfId="0" applyNumberFormat="1" applyFont="1" applyFill="1" applyBorder="1"/>
    <xf numFmtId="0" fontId="0" fillId="13" borderId="17" xfId="0" applyFill="1" applyBorder="1"/>
    <xf numFmtId="0" fontId="0" fillId="13" borderId="18" xfId="0" applyFill="1" applyBorder="1"/>
    <xf numFmtId="0" fontId="17" fillId="0" borderId="1" xfId="0" applyFont="1" applyBorder="1"/>
    <xf numFmtId="0" fontId="15" fillId="0" borderId="1" xfId="0" applyFont="1" applyBorder="1"/>
    <xf numFmtId="1" fontId="15" fillId="0" borderId="13" xfId="0" applyNumberFormat="1" applyFont="1" applyBorder="1"/>
    <xf numFmtId="2" fontId="15" fillId="0" borderId="1" xfId="0" applyNumberFormat="1" applyFont="1" applyBorder="1"/>
    <xf numFmtId="1" fontId="17" fillId="3" borderId="1" xfId="0" applyNumberFormat="1" applyFont="1" applyFill="1" applyBorder="1"/>
    <xf numFmtId="1" fontId="19" fillId="3" borderId="1" xfId="0" applyNumberFormat="1" applyFont="1" applyFill="1" applyBorder="1"/>
    <xf numFmtId="1" fontId="44" fillId="11" borderId="1" xfId="0" applyNumberFormat="1" applyFont="1" applyFill="1" applyBorder="1"/>
    <xf numFmtId="2" fontId="44" fillId="11" borderId="1" xfId="0" applyNumberFormat="1" applyFont="1" applyFill="1" applyBorder="1"/>
    <xf numFmtId="1" fontId="43" fillId="11" borderId="1" xfId="0" applyNumberFormat="1" applyFont="1" applyFill="1" applyBorder="1"/>
    <xf numFmtId="0" fontId="29" fillId="6" borderId="1" xfId="0" applyFont="1" applyFill="1" applyBorder="1"/>
    <xf numFmtId="0" fontId="30" fillId="6" borderId="1" xfId="0" applyFont="1" applyFill="1" applyBorder="1"/>
    <xf numFmtId="1" fontId="30" fillId="6" borderId="1" xfId="0" applyNumberFormat="1" applyFont="1" applyFill="1" applyBorder="1"/>
    <xf numFmtId="2" fontId="30" fillId="6" borderId="1" xfId="0" applyNumberFormat="1" applyFont="1" applyFill="1" applyBorder="1"/>
    <xf numFmtId="1" fontId="29" fillId="6" borderId="1" xfId="0" applyNumberFormat="1" applyFont="1" applyFill="1" applyBorder="1"/>
    <xf numFmtId="1" fontId="61" fillId="4" borderId="1" xfId="0" applyNumberFormat="1" applyFont="1" applyFill="1" applyBorder="1"/>
    <xf numFmtId="2" fontId="61" fillId="4" borderId="1" xfId="0" applyNumberFormat="1" applyFont="1" applyFill="1" applyBorder="1"/>
    <xf numFmtId="1" fontId="60" fillId="4" borderId="20" xfId="0" applyNumberFormat="1" applyFont="1" applyFill="1" applyBorder="1"/>
    <xf numFmtId="1" fontId="60" fillId="4" borderId="6" xfId="0" applyNumberFormat="1" applyFont="1" applyFill="1" applyBorder="1"/>
    <xf numFmtId="0" fontId="29" fillId="14" borderId="5" xfId="0" applyFont="1" applyFill="1" applyBorder="1"/>
    <xf numFmtId="0" fontId="30" fillId="14" borderId="1" xfId="0" applyFont="1" applyFill="1" applyBorder="1"/>
    <xf numFmtId="1" fontId="30" fillId="14" borderId="1" xfId="0" applyNumberFormat="1" applyFont="1" applyFill="1" applyBorder="1"/>
    <xf numFmtId="2" fontId="30" fillId="14" borderId="1" xfId="0" applyNumberFormat="1" applyFont="1" applyFill="1" applyBorder="1"/>
    <xf numFmtId="1" fontId="29" fillId="14" borderId="20" xfId="0" applyNumberFormat="1" applyFont="1" applyFill="1" applyBorder="1"/>
    <xf numFmtId="1" fontId="29" fillId="14" borderId="6" xfId="0" applyNumberFormat="1" applyFont="1" applyFill="1" applyBorder="1"/>
    <xf numFmtId="0" fontId="23" fillId="11" borderId="5" xfId="0" applyFont="1" applyFill="1" applyBorder="1"/>
    <xf numFmtId="0" fontId="24" fillId="11" borderId="1" xfId="0" applyFont="1" applyFill="1" applyBorder="1"/>
    <xf numFmtId="1" fontId="24" fillId="11" borderId="1" xfId="0" applyNumberFormat="1" applyFont="1" applyFill="1" applyBorder="1"/>
    <xf numFmtId="2" fontId="24" fillId="11" borderId="1" xfId="0" applyNumberFormat="1" applyFont="1" applyFill="1" applyBorder="1"/>
    <xf numFmtId="1" fontId="23" fillId="11" borderId="20" xfId="0" applyNumberFormat="1" applyFont="1" applyFill="1" applyBorder="1"/>
    <xf numFmtId="1" fontId="23" fillId="11" borderId="6" xfId="0" applyNumberFormat="1" applyFont="1" applyFill="1" applyBorder="1"/>
    <xf numFmtId="0" fontId="23" fillId="12" borderId="5" xfId="0" applyFont="1" applyFill="1" applyBorder="1"/>
    <xf numFmtId="0" fontId="24" fillId="12" borderId="1" xfId="0" applyFont="1" applyFill="1" applyBorder="1"/>
    <xf numFmtId="1" fontId="24" fillId="12" borderId="1" xfId="0" applyNumberFormat="1" applyFont="1" applyFill="1" applyBorder="1"/>
    <xf numFmtId="2" fontId="24" fillId="12" borderId="1" xfId="0" applyNumberFormat="1" applyFont="1" applyFill="1" applyBorder="1"/>
    <xf numFmtId="1" fontId="23" fillId="12" borderId="20" xfId="0" applyNumberFormat="1" applyFont="1" applyFill="1" applyBorder="1"/>
    <xf numFmtId="1" fontId="23" fillId="12" borderId="6" xfId="0" applyNumberFormat="1" applyFont="1" applyFill="1" applyBorder="1"/>
    <xf numFmtId="0" fontId="29" fillId="4" borderId="5" xfId="0" applyFont="1" applyFill="1" applyBorder="1"/>
    <xf numFmtId="1" fontId="29" fillId="4" borderId="20" xfId="0" applyNumberFormat="1" applyFont="1" applyFill="1" applyBorder="1"/>
    <xf numFmtId="1" fontId="29" fillId="4" borderId="6" xfId="0" applyNumberFormat="1" applyFont="1" applyFill="1" applyBorder="1"/>
    <xf numFmtId="0" fontId="16" fillId="13" borderId="5" xfId="0" applyFont="1" applyFill="1" applyBorder="1"/>
    <xf numFmtId="2" fontId="0" fillId="13" borderId="10" xfId="0" applyNumberFormat="1" applyFill="1" applyBorder="1"/>
    <xf numFmtId="1" fontId="16" fillId="13" borderId="20" xfId="0" applyNumberFormat="1" applyFont="1" applyFill="1" applyBorder="1"/>
    <xf numFmtId="1" fontId="16" fillId="13" borderId="6" xfId="0" applyNumberFormat="1" applyFont="1" applyFill="1" applyBorder="1"/>
    <xf numFmtId="0" fontId="28" fillId="4" borderId="5" xfId="0" applyFont="1" applyFill="1" applyBorder="1"/>
    <xf numFmtId="1" fontId="21" fillId="4" borderId="1" xfId="0" applyNumberFormat="1" applyFont="1" applyFill="1" applyBorder="1"/>
    <xf numFmtId="2" fontId="21" fillId="4" borderId="1" xfId="0" applyNumberFormat="1" applyFont="1" applyFill="1" applyBorder="1"/>
    <xf numFmtId="1" fontId="28" fillId="4" borderId="20" xfId="0" applyNumberFormat="1" applyFont="1" applyFill="1" applyBorder="1"/>
    <xf numFmtId="1" fontId="28" fillId="4" borderId="6" xfId="0" applyNumberFormat="1" applyFont="1" applyFill="1" applyBorder="1"/>
    <xf numFmtId="0" fontId="23" fillId="4" borderId="5" xfId="0" applyFont="1" applyFill="1" applyBorder="1"/>
    <xf numFmtId="0" fontId="24" fillId="4" borderId="1" xfId="0" applyFont="1" applyFill="1" applyBorder="1"/>
    <xf numFmtId="1" fontId="24" fillId="4" borderId="1" xfId="0" applyNumberFormat="1" applyFont="1" applyFill="1" applyBorder="1"/>
    <xf numFmtId="2" fontId="24" fillId="4" borderId="20" xfId="0" applyNumberFormat="1" applyFont="1" applyFill="1" applyBorder="1"/>
    <xf numFmtId="2" fontId="24" fillId="4" borderId="13" xfId="0" applyNumberFormat="1" applyFont="1" applyFill="1" applyBorder="1"/>
    <xf numFmtId="1" fontId="23" fillId="4" borderId="20" xfId="0" applyNumberFormat="1" applyFont="1" applyFill="1" applyBorder="1"/>
    <xf numFmtId="1" fontId="23" fillId="4" borderId="6" xfId="0" applyNumberFormat="1" applyFont="1" applyFill="1" applyBorder="1"/>
    <xf numFmtId="0" fontId="16" fillId="25" borderId="1" xfId="0" applyFont="1" applyFill="1" applyBorder="1"/>
    <xf numFmtId="0" fontId="16" fillId="25" borderId="11" xfId="0" applyFont="1" applyFill="1" applyBorder="1"/>
    <xf numFmtId="0" fontId="16" fillId="25" borderId="4" xfId="0" applyFont="1" applyFill="1" applyBorder="1"/>
    <xf numFmtId="0" fontId="16" fillId="25" borderId="14" xfId="0" applyFont="1" applyFill="1" applyBorder="1"/>
    <xf numFmtId="0" fontId="16" fillId="25" borderId="3" xfId="0" applyFont="1" applyFill="1" applyBorder="1"/>
    <xf numFmtId="0" fontId="16" fillId="25" borderId="7" xfId="0" applyFont="1" applyFill="1" applyBorder="1" applyAlignment="1">
      <alignment horizontal="center"/>
    </xf>
    <xf numFmtId="0" fontId="16" fillId="25" borderId="5" xfId="0" applyFont="1" applyFill="1" applyBorder="1" applyAlignment="1">
      <alignment horizontal="center"/>
    </xf>
    <xf numFmtId="0" fontId="16" fillId="25" borderId="11" xfId="0" applyFont="1" applyFill="1" applyBorder="1" applyAlignment="1">
      <alignment horizontal="center"/>
    </xf>
    <xf numFmtId="0" fontId="16" fillId="25" borderId="14" xfId="0" applyFont="1" applyFill="1" applyBorder="1" applyAlignment="1">
      <alignment horizontal="center"/>
    </xf>
    <xf numFmtId="0" fontId="16" fillId="25" borderId="15" xfId="0" applyFont="1" applyFill="1" applyBorder="1" applyAlignment="1">
      <alignment horizontal="center"/>
    </xf>
    <xf numFmtId="0" fontId="16" fillId="25" borderId="6" xfId="0" applyFont="1" applyFill="1" applyBorder="1" applyAlignment="1">
      <alignment horizontal="center"/>
    </xf>
    <xf numFmtId="0" fontId="16" fillId="25" borderId="16" xfId="0" applyFont="1" applyFill="1" applyBorder="1" applyAlignment="1">
      <alignment horizontal="center"/>
    </xf>
    <xf numFmtId="0" fontId="17" fillId="26" borderId="1" xfId="0" applyFont="1" applyFill="1" applyBorder="1" applyAlignment="1">
      <alignment vertical="center" wrapText="1"/>
    </xf>
    <xf numFmtId="0" fontId="17" fillId="26" borderId="4" xfId="0" applyFont="1" applyFill="1" applyBorder="1" applyAlignment="1">
      <alignment vertical="center" wrapText="1"/>
    </xf>
    <xf numFmtId="0" fontId="17" fillId="5" borderId="4" xfId="0" applyFont="1" applyFill="1" applyBorder="1" applyAlignment="1">
      <alignment vertical="center" wrapText="1"/>
    </xf>
    <xf numFmtId="0" fontId="17" fillId="31" borderId="4" xfId="0" applyFont="1" applyFill="1" applyBorder="1" applyAlignment="1">
      <alignment vertical="center" wrapText="1"/>
    </xf>
    <xf numFmtId="0" fontId="17" fillId="32" borderId="4" xfId="0" applyFont="1" applyFill="1" applyBorder="1" applyAlignment="1">
      <alignment vertical="center" wrapText="1"/>
    </xf>
    <xf numFmtId="0" fontId="20" fillId="26" borderId="5" xfId="0" applyFont="1" applyFill="1" applyBorder="1" applyAlignment="1">
      <alignment vertical="center" wrapText="1"/>
    </xf>
    <xf numFmtId="0" fontId="20" fillId="5" borderId="6" xfId="0" applyFont="1" applyFill="1" applyBorder="1" applyAlignment="1">
      <alignment vertical="center" wrapText="1"/>
    </xf>
    <xf numFmtId="0" fontId="20" fillId="31" borderId="6" xfId="0" applyFont="1" applyFill="1" applyBorder="1" applyAlignment="1">
      <alignment vertical="center" wrapText="1"/>
    </xf>
    <xf numFmtId="0" fontId="20" fillId="32" borderId="6" xfId="0" applyFont="1" applyFill="1" applyBorder="1" applyAlignment="1">
      <alignment vertical="center" wrapText="1"/>
    </xf>
    <xf numFmtId="14" fontId="69" fillId="0" borderId="0" xfId="0" applyNumberFormat="1" applyFont="1" applyAlignment="1">
      <alignment horizontal="left"/>
    </xf>
    <xf numFmtId="0" fontId="20" fillId="5" borderId="6" xfId="0" applyFont="1" applyFill="1" applyBorder="1" applyAlignment="1">
      <alignment horizontal="left" vertical="center" wrapText="1"/>
    </xf>
    <xf numFmtId="0" fontId="20" fillId="31" borderId="6" xfId="0" applyFont="1" applyFill="1" applyBorder="1" applyAlignment="1">
      <alignment horizontal="left" vertical="center" wrapText="1"/>
    </xf>
    <xf numFmtId="0" fontId="20" fillId="32" borderId="6" xfId="0" applyFont="1" applyFill="1" applyBorder="1" applyAlignment="1">
      <alignment horizontal="left" vertical="center" wrapText="1"/>
    </xf>
    <xf numFmtId="0" fontId="16" fillId="2" borderId="0" xfId="0" applyFont="1" applyFill="1"/>
    <xf numFmtId="0" fontId="0" fillId="2" borderId="0" xfId="0" applyFill="1"/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0" fontId="20" fillId="2" borderId="0" xfId="0" applyFont="1" applyFill="1"/>
    <xf numFmtId="0" fontId="20" fillId="2" borderId="0" xfId="0" applyFont="1" applyFill="1" applyAlignment="1">
      <alignment vertical="center"/>
    </xf>
    <xf numFmtId="10" fontId="20" fillId="2" borderId="0" xfId="0" applyNumberFormat="1" applyFont="1" applyFill="1" applyAlignment="1">
      <alignment vertical="center"/>
    </xf>
    <xf numFmtId="0" fontId="16" fillId="29" borderId="0" xfId="0" applyFont="1" applyFill="1" applyAlignment="1">
      <alignment horizontal="center" vertical="center"/>
    </xf>
    <xf numFmtId="0" fontId="16" fillId="29" borderId="0" xfId="0" applyFont="1" applyFill="1" applyAlignment="1">
      <alignment horizontal="right" vertical="center"/>
    </xf>
    <xf numFmtId="0" fontId="20" fillId="29" borderId="0" xfId="0" applyFont="1" applyFill="1"/>
    <xf numFmtId="0" fontId="20" fillId="29" borderId="0" xfId="0" applyFont="1" applyFill="1" applyAlignment="1">
      <alignment vertical="center"/>
    </xf>
    <xf numFmtId="10" fontId="20" fillId="29" borderId="0" xfId="0" applyNumberFormat="1" applyFont="1" applyFill="1" applyAlignment="1">
      <alignment vertical="center"/>
    </xf>
    <xf numFmtId="0" fontId="19" fillId="29" borderId="0" xfId="0" applyFont="1" applyFill="1"/>
    <xf numFmtId="1" fontId="16" fillId="29" borderId="0" xfId="0" applyNumberFormat="1" applyFont="1" applyFill="1"/>
    <xf numFmtId="0" fontId="16" fillId="0" borderId="1" xfId="0" applyFont="1" applyBorder="1" applyAlignment="1">
      <alignment vertical="center" wrapText="1"/>
    </xf>
    <xf numFmtId="0" fontId="39" fillId="0" borderId="4" xfId="0" applyFont="1" applyBorder="1" applyAlignment="1">
      <alignment horizontal="right" vertical="center" wrapText="1"/>
    </xf>
    <xf numFmtId="0" fontId="16" fillId="0" borderId="5" xfId="0" applyFont="1" applyBorder="1" applyAlignment="1">
      <alignment vertical="center" wrapText="1"/>
    </xf>
    <xf numFmtId="0" fontId="39" fillId="0" borderId="6" xfId="0" applyFont="1" applyBorder="1" applyAlignment="1">
      <alignment horizontal="right" vertical="center" wrapText="1"/>
    </xf>
    <xf numFmtId="0" fontId="23" fillId="13" borderId="0" xfId="0" applyFont="1" applyFill="1"/>
    <xf numFmtId="0" fontId="25" fillId="8" borderId="0" xfId="0" applyFont="1" applyFill="1"/>
    <xf numFmtId="0" fontId="17" fillId="33" borderId="0" xfId="0" applyFont="1" applyFill="1"/>
    <xf numFmtId="0" fontId="41" fillId="3" borderId="3" xfId="0" applyFont="1" applyFill="1" applyBorder="1" applyAlignment="1">
      <alignment horizontal="left" wrapText="1"/>
    </xf>
    <xf numFmtId="0" fontId="41" fillId="3" borderId="2" xfId="0" applyFont="1" applyFill="1" applyBorder="1"/>
    <xf numFmtId="0" fontId="41" fillId="3" borderId="11" xfId="0" applyFont="1" applyFill="1" applyBorder="1"/>
    <xf numFmtId="0" fontId="41" fillId="3" borderId="3" xfId="0" applyFont="1" applyFill="1" applyBorder="1"/>
    <xf numFmtId="0" fontId="41" fillId="3" borderId="10" xfId="0" applyFont="1" applyFill="1" applyBorder="1" applyAlignment="1">
      <alignment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41" fillId="3" borderId="6" xfId="0" applyFont="1" applyFill="1" applyBorder="1" applyAlignment="1">
      <alignment horizontal="center" vertical="center" wrapText="1"/>
    </xf>
    <xf numFmtId="0" fontId="50" fillId="3" borderId="7" xfId="0" applyFont="1" applyFill="1" applyBorder="1"/>
    <xf numFmtId="49" fontId="50" fillId="3" borderId="7" xfId="0" applyNumberFormat="1" applyFont="1" applyFill="1" applyBorder="1"/>
    <xf numFmtId="0" fontId="50" fillId="3" borderId="8" xfId="0" applyFont="1" applyFill="1" applyBorder="1"/>
    <xf numFmtId="0" fontId="50" fillId="3" borderId="9" xfId="0" applyFont="1" applyFill="1" applyBorder="1"/>
    <xf numFmtId="0" fontId="41" fillId="3" borderId="1" xfId="0" applyFont="1" applyFill="1" applyBorder="1" applyAlignment="1">
      <alignment horizontal="right"/>
    </xf>
    <xf numFmtId="0" fontId="50" fillId="3" borderId="0" xfId="0" applyFont="1" applyFill="1"/>
    <xf numFmtId="0" fontId="41" fillId="3" borderId="1" xfId="0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/>
    </xf>
    <xf numFmtId="0" fontId="25" fillId="9" borderId="1" xfId="0" applyFont="1" applyFill="1" applyBorder="1" applyAlignment="1">
      <alignment horizontal="center"/>
    </xf>
    <xf numFmtId="0" fontId="23" fillId="13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164" fontId="16" fillId="26" borderId="0" xfId="0" applyNumberFormat="1" applyFont="1" applyFill="1" applyAlignment="1">
      <alignment horizontal="left"/>
    </xf>
    <xf numFmtId="20" fontId="16" fillId="26" borderId="0" xfId="0" applyNumberFormat="1" applyFont="1" applyFill="1" applyAlignment="1">
      <alignment horizontal="left"/>
    </xf>
    <xf numFmtId="20" fontId="16" fillId="29" borderId="0" xfId="0" applyNumberFormat="1" applyFont="1" applyFill="1" applyAlignment="1">
      <alignment horizontal="left"/>
    </xf>
    <xf numFmtId="20" fontId="16" fillId="28" borderId="0" xfId="0" applyNumberFormat="1" applyFont="1" applyFill="1" applyAlignment="1">
      <alignment horizontal="left"/>
    </xf>
    <xf numFmtId="20" fontId="16" fillId="27" borderId="0" xfId="0" applyNumberFormat="1" applyFont="1" applyFill="1" applyAlignment="1">
      <alignment horizontal="left"/>
    </xf>
    <xf numFmtId="0" fontId="17" fillId="11" borderId="0" xfId="0" applyFont="1" applyFill="1"/>
    <xf numFmtId="0" fontId="23" fillId="7" borderId="0" xfId="0" applyFont="1" applyFill="1"/>
    <xf numFmtId="0" fontId="19" fillId="13" borderId="0" xfId="0" applyFont="1" applyFill="1"/>
    <xf numFmtId="0" fontId="41" fillId="23" borderId="1" xfId="0" applyFont="1" applyFill="1" applyBorder="1" applyAlignment="1">
      <alignment horizontal="center" vertical="center" wrapText="1"/>
    </xf>
    <xf numFmtId="0" fontId="17" fillId="5" borderId="0" xfId="0" applyFont="1" applyFill="1"/>
    <xf numFmtId="0" fontId="8" fillId="0" borderId="0" xfId="0" applyFont="1"/>
    <xf numFmtId="0" fontId="20" fillId="0" borderId="0" xfId="0" applyFont="1"/>
    <xf numFmtId="0" fontId="60" fillId="11" borderId="0" xfId="0" applyFont="1" applyFill="1"/>
    <xf numFmtId="0" fontId="33" fillId="6" borderId="0" xfId="0" applyFont="1" applyFill="1"/>
    <xf numFmtId="0" fontId="46" fillId="23" borderId="1" xfId="0" applyFont="1" applyFill="1" applyBorder="1" applyAlignment="1">
      <alignment horizontal="center" vertical="center" wrapText="1"/>
    </xf>
    <xf numFmtId="0" fontId="46" fillId="6" borderId="1" xfId="0" applyFont="1" applyFill="1" applyBorder="1" applyAlignment="1">
      <alignment horizontal="center" vertical="center" wrapText="1"/>
    </xf>
    <xf numFmtId="0" fontId="46" fillId="24" borderId="1" xfId="0" applyFont="1" applyFill="1" applyBorder="1" applyAlignment="1">
      <alignment horizontal="center" vertical="center" wrapText="1"/>
    </xf>
    <xf numFmtId="0" fontId="46" fillId="22" borderId="1" xfId="0" applyFont="1" applyFill="1" applyBorder="1" applyAlignment="1">
      <alignment horizontal="center" vertical="center" wrapText="1"/>
    </xf>
    <xf numFmtId="0" fontId="29" fillId="14" borderId="0" xfId="0" applyFont="1" applyFill="1"/>
    <xf numFmtId="0" fontId="23" fillId="11" borderId="0" xfId="0" applyFont="1" applyFill="1"/>
    <xf numFmtId="0" fontId="7" fillId="0" borderId="0" xfId="0" applyFont="1"/>
    <xf numFmtId="0" fontId="23" fillId="12" borderId="0" xfId="0" applyFont="1" applyFill="1"/>
    <xf numFmtId="0" fontId="46" fillId="23" borderId="5" xfId="0" applyFont="1" applyFill="1" applyBorder="1" applyAlignment="1">
      <alignment horizontal="center" vertical="center" wrapText="1"/>
    </xf>
    <xf numFmtId="0" fontId="46" fillId="23" borderId="5" xfId="0" applyFont="1" applyFill="1" applyBorder="1"/>
    <xf numFmtId="0" fontId="23" fillId="4" borderId="0" xfId="0" applyFont="1" applyFill="1"/>
    <xf numFmtId="0" fontId="6" fillId="0" borderId="0" xfId="0" applyFont="1"/>
    <xf numFmtId="0" fontId="28" fillId="4" borderId="0" xfId="0" applyFont="1" applyFill="1"/>
    <xf numFmtId="0" fontId="5" fillId="0" borderId="0" xfId="0" applyFont="1"/>
    <xf numFmtId="0" fontId="23" fillId="23" borderId="4" xfId="0" applyFont="1" applyFill="1" applyBorder="1" applyAlignment="1">
      <alignment horizontal="center" vertical="center" wrapText="1"/>
    </xf>
    <xf numFmtId="0" fontId="24" fillId="0" borderId="0" xfId="0" applyFont="1"/>
    <xf numFmtId="0" fontId="23" fillId="23" borderId="1" xfId="0" applyFont="1" applyFill="1" applyBorder="1"/>
    <xf numFmtId="0" fontId="23" fillId="6" borderId="4" xfId="0" applyFont="1" applyFill="1" applyBorder="1" applyAlignment="1">
      <alignment horizontal="center" vertical="center" wrapText="1"/>
    </xf>
    <xf numFmtId="0" fontId="23" fillId="24" borderId="4" xfId="0" applyFont="1" applyFill="1" applyBorder="1" applyAlignment="1">
      <alignment horizontal="center" vertical="center" wrapText="1"/>
    </xf>
    <xf numFmtId="0" fontId="23" fillId="22" borderId="4" xfId="0" applyFont="1" applyFill="1" applyBorder="1" applyAlignment="1">
      <alignment horizontal="center" vertical="center" wrapText="1"/>
    </xf>
    <xf numFmtId="0" fontId="4" fillId="0" borderId="0" xfId="0" applyFont="1"/>
    <xf numFmtId="0" fontId="17" fillId="5" borderId="1" xfId="0" applyFont="1" applyFill="1" applyBorder="1" applyAlignment="1">
      <alignment horizontal="right"/>
    </xf>
    <xf numFmtId="0" fontId="28" fillId="4" borderId="1" xfId="0" applyFont="1" applyFill="1" applyBorder="1" applyAlignment="1">
      <alignment horizontal="right"/>
    </xf>
    <xf numFmtId="49" fontId="19" fillId="8" borderId="7" xfId="0" applyNumberFormat="1" applyFont="1" applyFill="1" applyBorder="1" applyAlignment="1">
      <alignment horizontal="center"/>
    </xf>
    <xf numFmtId="0" fontId="29" fillId="14" borderId="1" xfId="0" applyFont="1" applyFill="1" applyBorder="1" applyAlignment="1">
      <alignment horizontal="right"/>
    </xf>
    <xf numFmtId="0" fontId="28" fillId="1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7" fillId="11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23" fillId="7" borderId="1" xfId="0" applyFont="1" applyFill="1" applyBorder="1" applyAlignment="1">
      <alignment horizontal="center"/>
    </xf>
    <xf numFmtId="49" fontId="54" fillId="9" borderId="7" xfId="0" applyNumberFormat="1" applyFont="1" applyFill="1" applyBorder="1" applyAlignment="1">
      <alignment horizontal="center"/>
    </xf>
    <xf numFmtId="0" fontId="3" fillId="0" borderId="0" xfId="0" applyFont="1"/>
    <xf numFmtId="0" fontId="31" fillId="6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20" fillId="26" borderId="5" xfId="0" applyFont="1" applyFill="1" applyBorder="1" applyAlignment="1">
      <alignment horizontal="left" vertical="center" wrapText="1"/>
    </xf>
    <xf numFmtId="49" fontId="54" fillId="5" borderId="1" xfId="0" applyNumberFormat="1" applyFont="1" applyFill="1" applyBorder="1" applyAlignment="1">
      <alignment horizontal="center"/>
    </xf>
    <xf numFmtId="0" fontId="17" fillId="0" borderId="13" xfId="0" applyFont="1" applyBorder="1"/>
    <xf numFmtId="0" fontId="17" fillId="0" borderId="9" xfId="0" applyFont="1" applyBorder="1"/>
    <xf numFmtId="49" fontId="34" fillId="5" borderId="1" xfId="0" applyNumberFormat="1" applyFont="1" applyFill="1" applyBorder="1" applyAlignment="1">
      <alignment horizontal="center"/>
    </xf>
    <xf numFmtId="0" fontId="43" fillId="11" borderId="1" xfId="0" applyFont="1" applyFill="1" applyBorder="1" applyAlignment="1">
      <alignment horizontal="right"/>
    </xf>
    <xf numFmtId="0" fontId="23" fillId="4" borderId="1" xfId="0" applyFont="1" applyFill="1" applyBorder="1" applyAlignment="1">
      <alignment horizontal="center"/>
    </xf>
    <xf numFmtId="0" fontId="20" fillId="3" borderId="0" xfId="0" applyFont="1" applyFill="1" applyAlignment="1">
      <alignment horizontal="center" vertical="center" wrapText="1"/>
    </xf>
    <xf numFmtId="0" fontId="23" fillId="12" borderId="1" xfId="0" applyFont="1" applyFill="1" applyBorder="1" applyAlignment="1">
      <alignment horizontal="center"/>
    </xf>
    <xf numFmtId="0" fontId="2" fillId="0" borderId="0" xfId="0" applyFont="1"/>
    <xf numFmtId="1" fontId="20" fillId="5" borderId="1" xfId="0" applyNumberFormat="1" applyFont="1" applyFill="1" applyBorder="1" applyAlignment="1">
      <alignment horizontal="left" vertical="center" wrapText="1"/>
    </xf>
    <xf numFmtId="16" fontId="20" fillId="5" borderId="1" xfId="0" applyNumberFormat="1" applyFont="1" applyFill="1" applyBorder="1" applyAlignment="1">
      <alignment horizontal="left" vertical="center" wrapText="1"/>
    </xf>
    <xf numFmtId="49" fontId="34" fillId="5" borderId="1" xfId="0" applyNumberFormat="1" applyFont="1" applyFill="1" applyBorder="1" applyAlignment="1">
      <alignment horizontal="center" vertical="center" wrapText="1"/>
    </xf>
    <xf numFmtId="0" fontId="60" fillId="4" borderId="1" xfId="0" applyFont="1" applyFill="1" applyBorder="1" applyAlignment="1">
      <alignment horizontal="right"/>
    </xf>
    <xf numFmtId="0" fontId="20" fillId="5" borderId="1" xfId="0" applyFont="1" applyFill="1" applyBorder="1" applyAlignment="1">
      <alignment horizontal="center"/>
    </xf>
    <xf numFmtId="0" fontId="20" fillId="5" borderId="4" xfId="0" applyFont="1" applyFill="1" applyBorder="1" applyAlignment="1">
      <alignment horizontal="center"/>
    </xf>
    <xf numFmtId="49" fontId="20" fillId="5" borderId="1" xfId="0" applyNumberFormat="1" applyFont="1" applyFill="1" applyBorder="1" applyAlignment="1">
      <alignment horizontal="center" vertical="center" wrapText="1"/>
    </xf>
    <xf numFmtId="1" fontId="19" fillId="34" borderId="5" xfId="0" applyNumberFormat="1" applyFont="1" applyFill="1" applyBorder="1" applyAlignment="1">
      <alignment horizontal="left" vertical="center" wrapText="1"/>
    </xf>
    <xf numFmtId="0" fontId="20" fillId="34" borderId="6" xfId="0" applyFont="1" applyFill="1" applyBorder="1" applyAlignment="1">
      <alignment horizontal="center" vertical="center" wrapText="1"/>
    </xf>
    <xf numFmtId="0" fontId="20" fillId="34" borderId="6" xfId="0" applyFont="1" applyFill="1" applyBorder="1" applyAlignment="1">
      <alignment horizontal="right" vertical="center" wrapText="1"/>
    </xf>
    <xf numFmtId="0" fontId="19" fillId="34" borderId="6" xfId="0" applyFont="1" applyFill="1" applyBorder="1" applyAlignment="1">
      <alignment horizontal="right" vertical="center" wrapText="1"/>
    </xf>
    <xf numFmtId="1" fontId="16" fillId="35" borderId="5" xfId="0" applyNumberFormat="1" applyFont="1" applyFill="1" applyBorder="1" applyAlignment="1">
      <alignment horizontal="left" vertical="center" wrapText="1"/>
    </xf>
    <xf numFmtId="0" fontId="20" fillId="35" borderId="6" xfId="0" applyFont="1" applyFill="1" applyBorder="1" applyAlignment="1">
      <alignment horizontal="center" vertical="center" wrapText="1"/>
    </xf>
    <xf numFmtId="0" fontId="20" fillId="35" borderId="6" xfId="0" applyFont="1" applyFill="1" applyBorder="1" applyAlignment="1">
      <alignment horizontal="right" vertical="center" wrapText="1"/>
    </xf>
    <xf numFmtId="0" fontId="19" fillId="35" borderId="6" xfId="0" applyFont="1" applyFill="1" applyBorder="1" applyAlignment="1">
      <alignment horizontal="right" vertical="center" wrapText="1"/>
    </xf>
    <xf numFmtId="49" fontId="54" fillId="5" borderId="7" xfId="0" applyNumberFormat="1" applyFont="1" applyFill="1" applyBorder="1" applyAlignment="1">
      <alignment horizontal="center"/>
    </xf>
    <xf numFmtId="2" fontId="16" fillId="25" borderId="4" xfId="0" applyNumberFormat="1" applyFont="1" applyFill="1" applyBorder="1"/>
    <xf numFmtId="2" fontId="16" fillId="25" borderId="11" xfId="0" applyNumberFormat="1" applyFont="1" applyFill="1" applyBorder="1"/>
    <xf numFmtId="2" fontId="15" fillId="0" borderId="13" xfId="0" applyNumberFormat="1" applyFont="1" applyBorder="1"/>
    <xf numFmtId="2" fontId="24" fillId="4" borderId="1" xfId="0" applyNumberFormat="1" applyFont="1" applyFill="1" applyBorder="1"/>
    <xf numFmtId="0" fontId="0" fillId="26" borderId="6" xfId="0" applyFill="1" applyBorder="1" applyAlignment="1">
      <alignment horizontal="center" vertical="center" wrapText="1"/>
    </xf>
    <xf numFmtId="0" fontId="0" fillId="26" borderId="6" xfId="0" applyFill="1" applyBorder="1" applyAlignment="1">
      <alignment horizontal="right" vertical="center" wrapText="1"/>
    </xf>
    <xf numFmtId="49" fontId="20" fillId="8" borderId="7" xfId="0" applyNumberFormat="1" applyFont="1" applyFill="1" applyBorder="1" applyAlignment="1">
      <alignment horizontal="center"/>
    </xf>
    <xf numFmtId="0" fontId="19" fillId="17" borderId="1" xfId="0" applyFont="1" applyFill="1" applyBorder="1" applyAlignment="1">
      <alignment horizontal="right" vertical="center" wrapText="1"/>
    </xf>
    <xf numFmtId="1" fontId="0" fillId="0" borderId="0" xfId="0" applyNumberFormat="1" applyAlignment="1">
      <alignment horizontal="right"/>
    </xf>
    <xf numFmtId="0" fontId="17" fillId="23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24" borderId="4" xfId="0" applyFont="1" applyFill="1" applyBorder="1" applyAlignment="1">
      <alignment horizontal="center" vertical="center" wrapText="1"/>
    </xf>
    <xf numFmtId="0" fontId="17" fillId="22" borderId="4" xfId="0" applyFont="1" applyFill="1" applyBorder="1" applyAlignment="1">
      <alignment horizontal="center" vertical="center" wrapText="1"/>
    </xf>
    <xf numFmtId="0" fontId="17" fillId="23" borderId="1" xfId="0" applyFont="1" applyFill="1" applyBorder="1"/>
    <xf numFmtId="49" fontId="51" fillId="5" borderId="1" xfId="0" applyNumberFormat="1" applyFont="1" applyFill="1" applyBorder="1" applyAlignment="1">
      <alignment horizontal="center"/>
    </xf>
    <xf numFmtId="49" fontId="54" fillId="5" borderId="1" xfId="0" applyNumberFormat="1" applyFont="1" applyFill="1" applyBorder="1" applyAlignment="1">
      <alignment horizontal="center" vertical="center" wrapText="1"/>
    </xf>
    <xf numFmtId="16" fontId="19" fillId="5" borderId="1" xfId="0" applyNumberFormat="1" applyFont="1" applyFill="1" applyBorder="1" applyAlignment="1">
      <alignment horizontal="center" vertical="center" wrapText="1"/>
    </xf>
    <xf numFmtId="1" fontId="19" fillId="5" borderId="1" xfId="0" applyNumberFormat="1" applyFont="1" applyFill="1" applyBorder="1" applyAlignment="1">
      <alignment horizontal="center" vertical="center" wrapText="1"/>
    </xf>
    <xf numFmtId="1" fontId="20" fillId="5" borderId="1" xfId="0" applyNumberFormat="1" applyFont="1" applyFill="1" applyBorder="1" applyAlignment="1">
      <alignment horizontal="center" vertical="center" wrapText="1"/>
    </xf>
    <xf numFmtId="1" fontId="40" fillId="5" borderId="1" xfId="0" applyNumberFormat="1" applyFont="1" applyFill="1" applyBorder="1" applyAlignment="1">
      <alignment horizontal="center" vertical="center" wrapText="1"/>
    </xf>
    <xf numFmtId="0" fontId="45" fillId="23" borderId="5" xfId="0" applyFont="1" applyFill="1" applyBorder="1"/>
    <xf numFmtId="16" fontId="19" fillId="34" borderId="5" xfId="0" applyNumberFormat="1" applyFont="1" applyFill="1" applyBorder="1" applyAlignment="1">
      <alignment horizontal="left" vertical="center" wrapText="1"/>
    </xf>
    <xf numFmtId="0" fontId="19" fillId="34" borderId="6" xfId="0" applyFont="1" applyFill="1" applyBorder="1" applyAlignment="1">
      <alignment horizontal="left" vertical="center" wrapText="1"/>
    </xf>
    <xf numFmtId="0" fontId="19" fillId="34" borderId="6" xfId="0" applyFont="1" applyFill="1" applyBorder="1" applyAlignment="1">
      <alignment vertical="center" wrapText="1"/>
    </xf>
    <xf numFmtId="16" fontId="19" fillId="34" borderId="1" xfId="0" applyNumberFormat="1" applyFont="1" applyFill="1" applyBorder="1" applyAlignment="1">
      <alignment horizontal="center" vertical="center" wrapText="1"/>
    </xf>
    <xf numFmtId="1" fontId="20" fillId="34" borderId="1" xfId="0" applyNumberFormat="1" applyFont="1" applyFill="1" applyBorder="1" applyAlignment="1">
      <alignment horizontal="center" vertical="center" wrapText="1"/>
    </xf>
    <xf numFmtId="49" fontId="40" fillId="34" borderId="1" xfId="0" applyNumberFormat="1" applyFont="1" applyFill="1" applyBorder="1" applyAlignment="1">
      <alignment horizontal="center"/>
    </xf>
    <xf numFmtId="16" fontId="20" fillId="34" borderId="1" xfId="0" applyNumberFormat="1" applyFont="1" applyFill="1" applyBorder="1" applyAlignment="1">
      <alignment horizontal="left" vertical="center" wrapText="1"/>
    </xf>
    <xf numFmtId="0" fontId="20" fillId="34" borderId="1" xfId="0" applyFont="1" applyFill="1" applyBorder="1"/>
    <xf numFmtId="0" fontId="20" fillId="34" borderId="4" xfId="0" applyFont="1" applyFill="1" applyBorder="1"/>
    <xf numFmtId="1" fontId="19" fillId="34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" fontId="20" fillId="5" borderId="1" xfId="0" applyNumberFormat="1" applyFont="1" applyFill="1" applyBorder="1" applyAlignment="1">
      <alignment horizontal="right" vertical="center" wrapText="1"/>
    </xf>
    <xf numFmtId="1" fontId="19" fillId="5" borderId="1" xfId="0" applyNumberFormat="1" applyFont="1" applyFill="1" applyBorder="1" applyAlignment="1">
      <alignment horizontal="right" vertical="center" wrapText="1"/>
    </xf>
    <xf numFmtId="49" fontId="40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0" fontId="16" fillId="28" borderId="0" xfId="0" applyNumberFormat="1" applyFont="1" applyFill="1" applyAlignment="1">
      <alignment horizontal="left"/>
    </xf>
    <xf numFmtId="0" fontId="0" fillId="28" borderId="0" xfId="0" applyFill="1"/>
    <xf numFmtId="0" fontId="16" fillId="15" borderId="0" xfId="0" applyFont="1" applyFill="1" applyAlignment="1">
      <alignment horizontal="left"/>
    </xf>
    <xf numFmtId="0" fontId="0" fillId="0" borderId="0" xfId="0"/>
    <xf numFmtId="20" fontId="16" fillId="15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16" fillId="27" borderId="0" xfId="0" applyFont="1" applyFill="1" applyAlignment="1">
      <alignment horizontal="left"/>
    </xf>
    <xf numFmtId="0" fontId="0" fillId="27" borderId="0" xfId="0" applyFill="1"/>
    <xf numFmtId="0" fontId="16" fillId="27" borderId="0" xfId="0" applyFont="1" applyFill="1"/>
    <xf numFmtId="20" fontId="16" fillId="27" borderId="0" xfId="0" applyNumberFormat="1" applyFont="1" applyFill="1" applyAlignment="1">
      <alignment horizontal="left"/>
    </xf>
    <xf numFmtId="0" fontId="16" fillId="28" borderId="0" xfId="0" applyFont="1" applyFill="1" applyAlignment="1">
      <alignment horizontal="left"/>
    </xf>
    <xf numFmtId="0" fontId="16" fillId="28" borderId="0" xfId="0" applyFont="1" applyFill="1"/>
    <xf numFmtId="0" fontId="16" fillId="29" borderId="0" xfId="0" applyFont="1" applyFill="1" applyAlignment="1">
      <alignment horizontal="left"/>
    </xf>
    <xf numFmtId="0" fontId="0" fillId="29" borderId="0" xfId="0" applyFill="1"/>
    <xf numFmtId="20" fontId="16" fillId="29" borderId="0" xfId="0" applyNumberFormat="1" applyFont="1" applyFill="1" applyAlignment="1">
      <alignment horizontal="left"/>
    </xf>
    <xf numFmtId="20" fontId="16" fillId="26" borderId="0" xfId="0" applyNumberFormat="1" applyFont="1" applyFill="1" applyAlignment="1">
      <alignment horizontal="left"/>
    </xf>
    <xf numFmtId="0" fontId="0" fillId="26" borderId="0" xfId="0" applyFill="1"/>
    <xf numFmtId="0" fontId="16" fillId="26" borderId="0" xfId="0" applyFont="1" applyFill="1" applyAlignment="1">
      <alignment horizontal="left"/>
    </xf>
    <xf numFmtId="0" fontId="0" fillId="26" borderId="0" xfId="0" applyFill="1" applyAlignment="1">
      <alignment horizontal="left"/>
    </xf>
    <xf numFmtId="0" fontId="16" fillId="25" borderId="2" xfId="0" applyFont="1" applyFill="1" applyBorder="1" applyAlignment="1">
      <alignment horizontal="center"/>
    </xf>
    <xf numFmtId="0" fontId="16" fillId="25" borderId="4" xfId="0" applyFont="1" applyFill="1" applyBorder="1" applyAlignment="1">
      <alignment horizontal="center"/>
    </xf>
    <xf numFmtId="0" fontId="35" fillId="3" borderId="0" xfId="0" applyFont="1" applyFill="1" applyAlignment="1">
      <alignment horizontal="center" vertical="center" wrapText="1"/>
    </xf>
    <xf numFmtId="0" fontId="16" fillId="3" borderId="8" xfId="0" applyFont="1" applyFill="1" applyBorder="1" applyAlignment="1">
      <alignment vertical="center" wrapText="1"/>
    </xf>
    <xf numFmtId="0" fontId="0" fillId="3" borderId="9" xfId="0" applyFill="1" applyBorder="1"/>
    <xf numFmtId="0" fontId="16" fillId="3" borderId="0" xfId="0" applyFont="1" applyFill="1" applyAlignment="1">
      <alignment vertical="center" wrapText="1"/>
    </xf>
    <xf numFmtId="0" fontId="0" fillId="3" borderId="0" xfId="0" applyFill="1"/>
    <xf numFmtId="14" fontId="16" fillId="0" borderId="0" xfId="0" applyNumberFormat="1" applyFont="1" applyAlignment="1">
      <alignment horizontal="left"/>
    </xf>
    <xf numFmtId="0" fontId="16" fillId="25" borderId="7" xfId="0" applyFont="1" applyFill="1" applyBorder="1" applyAlignment="1">
      <alignment horizontal="center"/>
    </xf>
    <xf numFmtId="0" fontId="16" fillId="25" borderId="5" xfId="0" applyFont="1" applyFill="1" applyBorder="1" applyAlignment="1">
      <alignment horizontal="center"/>
    </xf>
    <xf numFmtId="0" fontId="16" fillId="25" borderId="3" xfId="0" applyFont="1" applyFill="1" applyBorder="1" applyAlignment="1">
      <alignment horizontal="center"/>
    </xf>
    <xf numFmtId="0" fontId="35" fillId="18" borderId="2" xfId="0" applyFont="1" applyFill="1" applyBorder="1" applyAlignment="1">
      <alignment horizontal="center" vertical="center" wrapText="1"/>
    </xf>
    <xf numFmtId="0" fontId="35" fillId="18" borderId="4" xfId="0" applyFont="1" applyFill="1" applyBorder="1" applyAlignment="1">
      <alignment horizontal="center" vertical="center" wrapText="1"/>
    </xf>
    <xf numFmtId="0" fontId="37" fillId="20" borderId="0" xfId="0" applyFont="1" applyFill="1" applyAlignment="1">
      <alignment horizontal="right" vertical="center"/>
    </xf>
    <xf numFmtId="0" fontId="37" fillId="20" borderId="0" xfId="0" applyFont="1" applyFill="1" applyAlignment="1">
      <alignment vertical="center"/>
    </xf>
    <xf numFmtId="0" fontId="36" fillId="20" borderId="0" xfId="0" applyFont="1" applyFill="1"/>
    <xf numFmtId="0" fontId="39" fillId="0" borderId="0" xfId="0" applyFont="1" applyAlignment="1">
      <alignment vertical="center" wrapText="1"/>
    </xf>
    <xf numFmtId="0" fontId="38" fillId="3" borderId="0" xfId="0" applyFont="1" applyFill="1" applyAlignment="1">
      <alignment vertical="center"/>
    </xf>
    <xf numFmtId="0" fontId="16" fillId="8" borderId="2" xfId="0" applyFont="1" applyFill="1" applyBorder="1" applyAlignment="1">
      <alignment horizontal="center"/>
    </xf>
    <xf numFmtId="0" fontId="16" fillId="8" borderId="4" xfId="0" applyFont="1" applyFill="1" applyBorder="1" applyAlignment="1">
      <alignment horizontal="center"/>
    </xf>
    <xf numFmtId="0" fontId="16" fillId="8" borderId="7" xfId="0" applyFont="1" applyFill="1" applyBorder="1" applyAlignment="1">
      <alignment horizontal="center"/>
    </xf>
    <xf numFmtId="0" fontId="16" fillId="8" borderId="5" xfId="0" applyFont="1" applyFill="1" applyBorder="1" applyAlignment="1">
      <alignment horizontal="center"/>
    </xf>
    <xf numFmtId="0" fontId="16" fillId="8" borderId="3" xfId="0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35" fillId="17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52" fillId="23" borderId="2" xfId="0" applyFont="1" applyFill="1" applyBorder="1" applyAlignment="1">
      <alignment horizontal="left" vertical="center" wrapText="1"/>
    </xf>
    <xf numFmtId="0" fontId="52" fillId="23" borderId="3" xfId="0" applyFont="1" applyFill="1" applyBorder="1" applyAlignment="1">
      <alignment horizontal="left" vertical="center" wrapText="1"/>
    </xf>
    <xf numFmtId="0" fontId="52" fillId="23" borderId="4" xfId="0" applyFont="1" applyFill="1" applyBorder="1" applyAlignment="1">
      <alignment horizontal="left" vertical="center" wrapText="1"/>
    </xf>
    <xf numFmtId="0" fontId="41" fillId="23" borderId="2" xfId="0" applyFont="1" applyFill="1" applyBorder="1" applyAlignment="1">
      <alignment horizontal="left" vertical="center" wrapText="1"/>
    </xf>
    <xf numFmtId="0" fontId="41" fillId="23" borderId="3" xfId="0" applyFont="1" applyFill="1" applyBorder="1" applyAlignment="1">
      <alignment horizontal="left" vertical="center" wrapText="1"/>
    </xf>
    <xf numFmtId="0" fontId="41" fillId="23" borderId="4" xfId="0" applyFont="1" applyFill="1" applyBorder="1" applyAlignment="1">
      <alignment horizontal="left" vertical="center" wrapText="1"/>
    </xf>
    <xf numFmtId="0" fontId="48" fillId="23" borderId="2" xfId="0" applyFont="1" applyFill="1" applyBorder="1" applyAlignment="1">
      <alignment horizontal="left" vertical="center" wrapText="1"/>
    </xf>
    <xf numFmtId="0" fontId="49" fillId="0" borderId="3" xfId="0" applyFont="1" applyBorder="1" applyAlignment="1">
      <alignment horizontal="left" vertical="center" wrapText="1"/>
    </xf>
    <xf numFmtId="0" fontId="49" fillId="0" borderId="4" xfId="0" applyFont="1" applyBorder="1" applyAlignment="1">
      <alignment horizontal="left" vertical="center" wrapText="1"/>
    </xf>
    <xf numFmtId="0" fontId="64" fillId="23" borderId="2" xfId="0" applyFont="1" applyFill="1" applyBorder="1" applyAlignment="1">
      <alignment horizontal="left" vertical="center" wrapText="1"/>
    </xf>
    <xf numFmtId="0" fontId="65" fillId="0" borderId="3" xfId="0" applyFont="1" applyBorder="1" applyAlignment="1">
      <alignment horizontal="left" vertical="center" wrapText="1"/>
    </xf>
    <xf numFmtId="0" fontId="65" fillId="0" borderId="4" xfId="0" applyFont="1" applyBorder="1" applyAlignment="1">
      <alignment horizontal="left" vertical="center" wrapText="1"/>
    </xf>
    <xf numFmtId="0" fontId="23" fillId="13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3" fillId="13" borderId="1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23" fillId="13" borderId="2" xfId="0" applyFont="1" applyFill="1" applyBorder="1" applyAlignment="1">
      <alignment horizontal="center" vertical="center" wrapText="1"/>
    </xf>
    <xf numFmtId="0" fontId="23" fillId="13" borderId="4" xfId="0" applyFont="1" applyFill="1" applyBorder="1" applyAlignment="1">
      <alignment horizontal="center" vertical="center" wrapText="1"/>
    </xf>
    <xf numFmtId="0" fontId="23" fillId="13" borderId="3" xfId="0" applyFont="1" applyFill="1" applyBorder="1" applyAlignment="1">
      <alignment horizontal="center" vertical="center" wrapText="1"/>
    </xf>
    <xf numFmtId="0" fontId="23" fillId="13" borderId="2" xfId="0" applyFont="1" applyFill="1" applyBorder="1" applyAlignment="1">
      <alignment horizontal="center" wrapText="1"/>
    </xf>
    <xf numFmtId="0" fontId="23" fillId="13" borderId="4" xfId="0" applyFont="1" applyFill="1" applyBorder="1" applyAlignment="1">
      <alignment horizontal="center" wrapText="1"/>
    </xf>
    <xf numFmtId="0" fontId="23" fillId="13" borderId="3" xfId="0" applyFont="1" applyFill="1" applyBorder="1" applyAlignment="1">
      <alignment horizontal="center" wrapText="1"/>
    </xf>
    <xf numFmtId="0" fontId="23" fillId="13" borderId="2" xfId="0" applyFont="1" applyFill="1" applyBorder="1" applyAlignment="1">
      <alignment horizontal="left" wrapText="1"/>
    </xf>
    <xf numFmtId="0" fontId="23" fillId="13" borderId="3" xfId="0" applyFont="1" applyFill="1" applyBorder="1" applyAlignment="1">
      <alignment horizontal="left" wrapText="1"/>
    </xf>
    <xf numFmtId="0" fontId="25" fillId="9" borderId="2" xfId="0" applyFont="1" applyFill="1" applyBorder="1" applyAlignment="1">
      <alignment horizontal="center"/>
    </xf>
    <xf numFmtId="0" fontId="22" fillId="9" borderId="3" xfId="0" applyFont="1" applyFill="1" applyBorder="1" applyAlignment="1">
      <alignment horizontal="center"/>
    </xf>
    <xf numFmtId="0" fontId="22" fillId="9" borderId="4" xfId="0" applyFont="1" applyFill="1" applyBorder="1" applyAlignment="1">
      <alignment horizontal="center"/>
    </xf>
    <xf numFmtId="0" fontId="25" fillId="9" borderId="2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25" fillId="9" borderId="4" xfId="0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horizontal="left" wrapText="1"/>
    </xf>
    <xf numFmtId="0" fontId="25" fillId="9" borderId="3" xfId="0" applyFont="1" applyFill="1" applyBorder="1" applyAlignment="1">
      <alignment horizontal="left" wrapText="1"/>
    </xf>
    <xf numFmtId="0" fontId="25" fillId="9" borderId="2" xfId="0" applyFont="1" applyFill="1" applyBorder="1" applyAlignment="1">
      <alignment horizontal="center" wrapText="1"/>
    </xf>
    <xf numFmtId="0" fontId="25" fillId="9" borderId="3" xfId="0" applyFont="1" applyFill="1" applyBorder="1" applyAlignment="1">
      <alignment horizontal="center" wrapText="1"/>
    </xf>
    <xf numFmtId="0" fontId="25" fillId="9" borderId="4" xfId="0" applyFont="1" applyFill="1" applyBorder="1" applyAlignment="1">
      <alignment horizontal="center" wrapText="1"/>
    </xf>
    <xf numFmtId="16" fontId="20" fillId="3" borderId="0" xfId="0" applyNumberFormat="1" applyFont="1" applyFill="1" applyAlignment="1">
      <alignment horizontal="left" vertical="center" wrapText="1"/>
    </xf>
    <xf numFmtId="0" fontId="17" fillId="10" borderId="2" xfId="0" applyFont="1" applyFill="1" applyBorder="1" applyAlignment="1">
      <alignment horizontal="center"/>
    </xf>
    <xf numFmtId="0" fontId="45" fillId="23" borderId="2" xfId="0" applyFont="1" applyFill="1" applyBorder="1" applyAlignment="1">
      <alignment horizontal="left" vertical="center" wrapText="1"/>
    </xf>
    <xf numFmtId="0" fontId="45" fillId="23" borderId="3" xfId="0" applyFont="1" applyFill="1" applyBorder="1" applyAlignment="1">
      <alignment horizontal="left" vertical="center" wrapText="1"/>
    </xf>
    <xf numFmtId="0" fontId="45" fillId="23" borderId="4" xfId="0" applyFont="1" applyFill="1" applyBorder="1" applyAlignment="1">
      <alignment horizontal="left" vertical="center" wrapText="1"/>
    </xf>
    <xf numFmtId="0" fontId="46" fillId="23" borderId="2" xfId="0" applyFont="1" applyFill="1" applyBorder="1" applyAlignment="1">
      <alignment horizontal="left" vertical="center" wrapText="1"/>
    </xf>
    <xf numFmtId="0" fontId="46" fillId="23" borderId="3" xfId="0" applyFont="1" applyFill="1" applyBorder="1" applyAlignment="1">
      <alignment horizontal="left" vertical="center" wrapText="1"/>
    </xf>
    <xf numFmtId="0" fontId="46" fillId="23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left" wrapText="1"/>
    </xf>
    <xf numFmtId="0" fontId="17" fillId="10" borderId="3" xfId="0" applyFont="1" applyFill="1" applyBorder="1" applyAlignment="1">
      <alignment horizontal="left" wrapText="1"/>
    </xf>
    <xf numFmtId="0" fontId="17" fillId="10" borderId="2" xfId="0" applyFont="1" applyFill="1" applyBorder="1" applyAlignment="1">
      <alignment horizontal="center" wrapText="1"/>
    </xf>
    <xf numFmtId="0" fontId="17" fillId="10" borderId="3" xfId="0" applyFont="1" applyFill="1" applyBorder="1" applyAlignment="1">
      <alignment horizontal="center" wrapText="1"/>
    </xf>
    <xf numFmtId="0" fontId="17" fillId="10" borderId="4" xfId="0" applyFont="1" applyFill="1" applyBorder="1" applyAlignment="1">
      <alignment horizontal="center" wrapText="1"/>
    </xf>
    <xf numFmtId="0" fontId="41" fillId="3" borderId="2" xfId="0" applyFont="1" applyFill="1" applyBorder="1" applyAlignment="1">
      <alignment horizontal="center"/>
    </xf>
    <xf numFmtId="0" fontId="50" fillId="0" borderId="3" xfId="0" applyFont="1" applyBorder="1" applyAlignment="1">
      <alignment horizontal="center"/>
    </xf>
    <xf numFmtId="0" fontId="50" fillId="0" borderId="4" xfId="0" applyFont="1" applyBorder="1" applyAlignment="1">
      <alignment horizontal="center"/>
    </xf>
    <xf numFmtId="0" fontId="41" fillId="3" borderId="2" xfId="0" applyFont="1" applyFill="1" applyBorder="1" applyAlignment="1">
      <alignment horizontal="center" vertical="center" wrapText="1"/>
    </xf>
    <xf numFmtId="0" fontId="41" fillId="3" borderId="3" xfId="0" applyFont="1" applyFill="1" applyBorder="1" applyAlignment="1">
      <alignment horizontal="center" vertical="center" wrapText="1"/>
    </xf>
    <xf numFmtId="0" fontId="41" fillId="3" borderId="4" xfId="0" applyFont="1" applyFill="1" applyBorder="1" applyAlignment="1">
      <alignment horizontal="center" vertical="center" wrapText="1"/>
    </xf>
    <xf numFmtId="0" fontId="48" fillId="23" borderId="3" xfId="0" applyFont="1" applyFill="1" applyBorder="1" applyAlignment="1">
      <alignment horizontal="left" vertical="center" wrapText="1"/>
    </xf>
    <xf numFmtId="0" fontId="48" fillId="23" borderId="4" xfId="0" applyFont="1" applyFill="1" applyBorder="1" applyAlignment="1">
      <alignment horizontal="left" vertical="center" wrapText="1"/>
    </xf>
    <xf numFmtId="0" fontId="41" fillId="3" borderId="2" xfId="0" applyFont="1" applyFill="1" applyBorder="1" applyAlignment="1">
      <alignment horizontal="left" wrapText="1"/>
    </xf>
    <xf numFmtId="0" fontId="41" fillId="3" borderId="3" xfId="0" applyFont="1" applyFill="1" applyBorder="1" applyAlignment="1">
      <alignment horizontal="left" wrapText="1"/>
    </xf>
    <xf numFmtId="0" fontId="41" fillId="3" borderId="2" xfId="0" applyFont="1" applyFill="1" applyBorder="1" applyAlignment="1">
      <alignment horizontal="center" wrapText="1"/>
    </xf>
    <xf numFmtId="0" fontId="41" fillId="3" borderId="3" xfId="0" applyFont="1" applyFill="1" applyBorder="1" applyAlignment="1">
      <alignment horizontal="center" wrapText="1"/>
    </xf>
    <xf numFmtId="0" fontId="41" fillId="3" borderId="4" xfId="0" applyFont="1" applyFill="1" applyBorder="1" applyAlignment="1">
      <alignment horizontal="center" wrapText="1"/>
    </xf>
    <xf numFmtId="0" fontId="17" fillId="11" borderId="2" xfId="0" applyFont="1" applyFill="1" applyBorder="1" applyAlignment="1">
      <alignment horizontal="center"/>
    </xf>
    <xf numFmtId="0" fontId="17" fillId="11" borderId="2" xfId="0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 wrapText="1"/>
    </xf>
    <xf numFmtId="0" fontId="17" fillId="11" borderId="3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left" wrapText="1"/>
    </xf>
    <xf numFmtId="0" fontId="17" fillId="11" borderId="3" xfId="0" applyFont="1" applyFill="1" applyBorder="1" applyAlignment="1">
      <alignment horizontal="left" wrapText="1"/>
    </xf>
    <xf numFmtId="0" fontId="17" fillId="11" borderId="2" xfId="0" applyFont="1" applyFill="1" applyBorder="1" applyAlignment="1">
      <alignment horizontal="center" wrapText="1"/>
    </xf>
    <xf numFmtId="0" fontId="17" fillId="11" borderId="3" xfId="0" applyFont="1" applyFill="1" applyBorder="1" applyAlignment="1">
      <alignment horizontal="center" wrapText="1"/>
    </xf>
    <xf numFmtId="0" fontId="17" fillId="11" borderId="4" xfId="0" applyFont="1" applyFill="1" applyBorder="1" applyAlignment="1">
      <alignment horizontal="center" wrapText="1"/>
    </xf>
    <xf numFmtId="16" fontId="19" fillId="3" borderId="0" xfId="0" applyNumberFormat="1" applyFont="1" applyFill="1" applyAlignment="1">
      <alignment horizontal="left" vertical="center" wrapText="1"/>
    </xf>
    <xf numFmtId="0" fontId="16" fillId="0" borderId="0" xfId="0" applyFont="1"/>
    <xf numFmtId="0" fontId="16" fillId="3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wrapText="1"/>
    </xf>
    <xf numFmtId="0" fontId="16" fillId="3" borderId="4" xfId="0" applyFont="1" applyFill="1" applyBorder="1" applyAlignment="1">
      <alignment horizontal="center" wrapText="1"/>
    </xf>
    <xf numFmtId="0" fontId="16" fillId="3" borderId="2" xfId="0" applyFont="1" applyFill="1" applyBorder="1" applyAlignment="1">
      <alignment horizontal="left" wrapText="1"/>
    </xf>
    <xf numFmtId="0" fontId="16" fillId="3" borderId="3" xfId="0" applyFont="1" applyFill="1" applyBorder="1" applyAlignment="1">
      <alignment horizontal="left" wrapText="1"/>
    </xf>
    <xf numFmtId="0" fontId="16" fillId="3" borderId="3" xfId="0" applyFont="1" applyFill="1" applyBorder="1" applyAlignment="1">
      <alignment horizontal="center" wrapText="1"/>
    </xf>
    <xf numFmtId="0" fontId="19" fillId="4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left" wrapText="1"/>
    </xf>
    <xf numFmtId="0" fontId="19" fillId="4" borderId="3" xfId="0" applyFont="1" applyFill="1" applyBorder="1" applyAlignment="1">
      <alignment horizontal="left" wrapText="1"/>
    </xf>
    <xf numFmtId="0" fontId="19" fillId="4" borderId="2" xfId="0" applyFont="1" applyFill="1" applyBorder="1" applyAlignment="1">
      <alignment horizontal="center" wrapText="1"/>
    </xf>
    <xf numFmtId="0" fontId="19" fillId="4" borderId="3" xfId="0" applyFont="1" applyFill="1" applyBorder="1" applyAlignment="1">
      <alignment horizontal="center" wrapText="1"/>
    </xf>
    <xf numFmtId="0" fontId="19" fillId="4" borderId="4" xfId="0" applyFont="1" applyFill="1" applyBorder="1" applyAlignment="1">
      <alignment horizontal="center" wrapText="1"/>
    </xf>
    <xf numFmtId="0" fontId="23" fillId="7" borderId="2" xfId="0" applyFont="1" applyFill="1" applyBorder="1" applyAlignment="1">
      <alignment horizontal="left" wrapText="1"/>
    </xf>
    <xf numFmtId="0" fontId="23" fillId="7" borderId="3" xfId="0" applyFont="1" applyFill="1" applyBorder="1" applyAlignment="1">
      <alignment horizontal="left" wrapText="1"/>
    </xf>
    <xf numFmtId="0" fontId="23" fillId="7" borderId="2" xfId="0" applyFont="1" applyFill="1" applyBorder="1" applyAlignment="1">
      <alignment horizontal="center" wrapText="1"/>
    </xf>
    <xf numFmtId="0" fontId="23" fillId="7" borderId="3" xfId="0" applyFont="1" applyFill="1" applyBorder="1" applyAlignment="1">
      <alignment horizontal="center" wrapText="1"/>
    </xf>
    <xf numFmtId="0" fontId="23" fillId="7" borderId="4" xfId="0" applyFont="1" applyFill="1" applyBorder="1" applyAlignment="1">
      <alignment horizontal="center" wrapText="1"/>
    </xf>
    <xf numFmtId="0" fontId="23" fillId="7" borderId="2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/>
    </xf>
    <xf numFmtId="0" fontId="28" fillId="13" borderId="2" xfId="0" applyFont="1" applyFill="1" applyBorder="1" applyAlignment="1">
      <alignment horizontal="center"/>
    </xf>
    <xf numFmtId="0" fontId="28" fillId="13" borderId="2" xfId="0" applyFont="1" applyFill="1" applyBorder="1" applyAlignment="1">
      <alignment horizontal="center" vertical="center" wrapText="1"/>
    </xf>
    <xf numFmtId="0" fontId="28" fillId="13" borderId="3" xfId="0" applyFont="1" applyFill="1" applyBorder="1" applyAlignment="1">
      <alignment horizontal="center" vertical="center" wrapText="1"/>
    </xf>
    <xf numFmtId="0" fontId="28" fillId="13" borderId="4" xfId="0" applyFont="1" applyFill="1" applyBorder="1" applyAlignment="1">
      <alignment horizontal="center" vertical="center" wrapText="1"/>
    </xf>
    <xf numFmtId="0" fontId="28" fillId="13" borderId="2" xfId="0" applyFont="1" applyFill="1" applyBorder="1" applyAlignment="1">
      <alignment horizontal="left" wrapText="1"/>
    </xf>
    <xf numFmtId="0" fontId="28" fillId="13" borderId="3" xfId="0" applyFont="1" applyFill="1" applyBorder="1" applyAlignment="1">
      <alignment horizontal="left" wrapText="1"/>
    </xf>
    <xf numFmtId="0" fontId="28" fillId="13" borderId="2" xfId="0" applyFont="1" applyFill="1" applyBorder="1" applyAlignment="1">
      <alignment horizontal="center" wrapText="1"/>
    </xf>
    <xf numFmtId="0" fontId="28" fillId="13" borderId="3" xfId="0" applyFont="1" applyFill="1" applyBorder="1" applyAlignment="1">
      <alignment horizontal="center" wrapText="1"/>
    </xf>
    <xf numFmtId="0" fontId="28" fillId="13" borderId="4" xfId="0" applyFont="1" applyFill="1" applyBorder="1" applyAlignment="1">
      <alignment horizont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left" wrapText="1"/>
    </xf>
    <xf numFmtId="0" fontId="17" fillId="5" borderId="3" xfId="0" applyFont="1" applyFill="1" applyBorder="1" applyAlignment="1">
      <alignment horizontal="left" wrapText="1"/>
    </xf>
    <xf numFmtId="0" fontId="17" fillId="5" borderId="2" xfId="0" applyFont="1" applyFill="1" applyBorder="1" applyAlignment="1">
      <alignment horizontal="center" wrapText="1"/>
    </xf>
    <xf numFmtId="0" fontId="17" fillId="5" borderId="3" xfId="0" applyFont="1" applyFill="1" applyBorder="1" applyAlignment="1">
      <alignment horizontal="center" wrapText="1"/>
    </xf>
    <xf numFmtId="0" fontId="17" fillId="5" borderId="4" xfId="0" applyFont="1" applyFill="1" applyBorder="1" applyAlignment="1">
      <alignment horizontal="center" wrapText="1"/>
    </xf>
    <xf numFmtId="0" fontId="17" fillId="5" borderId="2" xfId="0" applyFont="1" applyFill="1" applyBorder="1" applyAlignment="1">
      <alignment horizontal="center"/>
    </xf>
    <xf numFmtId="0" fontId="58" fillId="0" borderId="0" xfId="0" applyFont="1" applyAlignment="1">
      <alignment wrapText="1"/>
    </xf>
    <xf numFmtId="0" fontId="43" fillId="11" borderId="2" xfId="0" applyFont="1" applyFill="1" applyBorder="1" applyAlignment="1">
      <alignment horizontal="center"/>
    </xf>
    <xf numFmtId="0" fontId="62" fillId="23" borderId="2" xfId="0" applyFont="1" applyFill="1" applyBorder="1" applyAlignment="1">
      <alignment horizontal="left" vertical="center" wrapText="1"/>
    </xf>
    <xf numFmtId="0" fontId="62" fillId="23" borderId="3" xfId="0" applyFont="1" applyFill="1" applyBorder="1" applyAlignment="1">
      <alignment horizontal="left" vertical="center" wrapText="1"/>
    </xf>
    <xf numFmtId="0" fontId="62" fillId="23" borderId="4" xfId="0" applyFont="1" applyFill="1" applyBorder="1" applyAlignment="1">
      <alignment horizontal="left" vertical="center" wrapText="1"/>
    </xf>
    <xf numFmtId="0" fontId="43" fillId="11" borderId="2" xfId="0" applyFont="1" applyFill="1" applyBorder="1" applyAlignment="1">
      <alignment horizontal="center" vertical="center" wrapText="1"/>
    </xf>
    <xf numFmtId="0" fontId="43" fillId="11" borderId="3" xfId="0" applyFont="1" applyFill="1" applyBorder="1" applyAlignment="1">
      <alignment horizontal="center" vertical="center" wrapText="1"/>
    </xf>
    <xf numFmtId="0" fontId="43" fillId="11" borderId="4" xfId="0" applyFont="1" applyFill="1" applyBorder="1" applyAlignment="1">
      <alignment horizontal="center" vertical="center" wrapText="1"/>
    </xf>
    <xf numFmtId="0" fontId="43" fillId="11" borderId="2" xfId="0" applyFont="1" applyFill="1" applyBorder="1" applyAlignment="1">
      <alignment horizontal="left" wrapText="1"/>
    </xf>
    <xf numFmtId="0" fontId="43" fillId="11" borderId="3" xfId="0" applyFont="1" applyFill="1" applyBorder="1" applyAlignment="1">
      <alignment horizontal="left" wrapText="1"/>
    </xf>
    <xf numFmtId="0" fontId="43" fillId="11" borderId="2" xfId="0" applyFont="1" applyFill="1" applyBorder="1" applyAlignment="1">
      <alignment horizontal="center" wrapText="1"/>
    </xf>
    <xf numFmtId="0" fontId="43" fillId="11" borderId="3" xfId="0" applyFont="1" applyFill="1" applyBorder="1" applyAlignment="1">
      <alignment horizontal="center" wrapText="1"/>
    </xf>
    <xf numFmtId="0" fontId="43" fillId="11" borderId="4" xfId="0" applyFont="1" applyFill="1" applyBorder="1" applyAlignment="1">
      <alignment horizontal="center" wrapText="1"/>
    </xf>
    <xf numFmtId="0" fontId="33" fillId="6" borderId="16" xfId="0" applyFont="1" applyFill="1" applyBorder="1" applyAlignment="1">
      <alignment horizontal="center"/>
    </xf>
    <xf numFmtId="0" fontId="31" fillId="6" borderId="2" xfId="0" applyFont="1" applyFill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left" wrapText="1"/>
    </xf>
    <xf numFmtId="0" fontId="31" fillId="6" borderId="3" xfId="0" applyFont="1" applyFill="1" applyBorder="1" applyAlignment="1">
      <alignment horizontal="left" wrapText="1"/>
    </xf>
    <xf numFmtId="0" fontId="31" fillId="6" borderId="2" xfId="0" applyFont="1" applyFill="1" applyBorder="1" applyAlignment="1">
      <alignment horizontal="center" wrapText="1"/>
    </xf>
    <xf numFmtId="0" fontId="31" fillId="6" borderId="3" xfId="0" applyFont="1" applyFill="1" applyBorder="1" applyAlignment="1">
      <alignment horizontal="center" wrapText="1"/>
    </xf>
    <xf numFmtId="0" fontId="31" fillId="6" borderId="4" xfId="0" applyFont="1" applyFill="1" applyBorder="1" applyAlignment="1">
      <alignment horizont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left" wrapText="1"/>
    </xf>
    <xf numFmtId="0" fontId="27" fillId="2" borderId="3" xfId="0" applyFont="1" applyFill="1" applyBorder="1" applyAlignment="1">
      <alignment horizontal="left" wrapText="1"/>
    </xf>
    <xf numFmtId="0" fontId="27" fillId="2" borderId="2" xfId="0" applyFont="1" applyFill="1" applyBorder="1" applyAlignment="1">
      <alignment horizontal="center" wrapText="1"/>
    </xf>
    <xf numFmtId="0" fontId="27" fillId="2" borderId="3" xfId="0" applyFont="1" applyFill="1" applyBorder="1" applyAlignment="1">
      <alignment horizontal="center" wrapText="1"/>
    </xf>
    <xf numFmtId="0" fontId="27" fillId="2" borderId="4" xfId="0" applyFont="1" applyFill="1" applyBorder="1" applyAlignment="1">
      <alignment horizontal="center" wrapText="1"/>
    </xf>
    <xf numFmtId="0" fontId="60" fillId="4" borderId="2" xfId="0" applyFont="1" applyFill="1" applyBorder="1" applyAlignment="1">
      <alignment horizontal="center"/>
    </xf>
    <xf numFmtId="0" fontId="60" fillId="4" borderId="2" xfId="0" applyFont="1" applyFill="1" applyBorder="1" applyAlignment="1">
      <alignment horizontal="center" vertical="center" wrapText="1"/>
    </xf>
    <xf numFmtId="0" fontId="60" fillId="4" borderId="3" xfId="0" applyFont="1" applyFill="1" applyBorder="1" applyAlignment="1">
      <alignment horizontal="center" vertical="center" wrapText="1"/>
    </xf>
    <xf numFmtId="0" fontId="60" fillId="4" borderId="4" xfId="0" applyFont="1" applyFill="1" applyBorder="1" applyAlignment="1">
      <alignment horizontal="center" vertical="center" wrapText="1"/>
    </xf>
    <xf numFmtId="0" fontId="60" fillId="4" borderId="2" xfId="0" applyFont="1" applyFill="1" applyBorder="1" applyAlignment="1">
      <alignment horizontal="left" wrapText="1"/>
    </xf>
    <xf numFmtId="0" fontId="60" fillId="4" borderId="3" xfId="0" applyFont="1" applyFill="1" applyBorder="1" applyAlignment="1">
      <alignment horizontal="left" wrapText="1"/>
    </xf>
    <xf numFmtId="0" fontId="60" fillId="4" borderId="2" xfId="0" applyFont="1" applyFill="1" applyBorder="1" applyAlignment="1">
      <alignment horizontal="center" wrapText="1"/>
    </xf>
    <xf numFmtId="0" fontId="60" fillId="4" borderId="3" xfId="0" applyFont="1" applyFill="1" applyBorder="1" applyAlignment="1">
      <alignment horizontal="center" wrapText="1"/>
    </xf>
    <xf numFmtId="0" fontId="60" fillId="4" borderId="4" xfId="0" applyFont="1" applyFill="1" applyBorder="1" applyAlignment="1">
      <alignment horizontal="center" wrapText="1"/>
    </xf>
    <xf numFmtId="0" fontId="29" fillId="14" borderId="2" xfId="0" applyFont="1" applyFill="1" applyBorder="1" applyAlignment="1">
      <alignment horizontal="center" vertical="center" wrapText="1"/>
    </xf>
    <xf numFmtId="0" fontId="29" fillId="14" borderId="3" xfId="0" applyFont="1" applyFill="1" applyBorder="1" applyAlignment="1">
      <alignment horizontal="center" vertical="center" wrapText="1"/>
    </xf>
    <xf numFmtId="0" fontId="29" fillId="14" borderId="4" xfId="0" applyFont="1" applyFill="1" applyBorder="1" applyAlignment="1">
      <alignment horizontal="center" vertical="center" wrapText="1"/>
    </xf>
    <xf numFmtId="0" fontId="29" fillId="14" borderId="2" xfId="0" applyFont="1" applyFill="1" applyBorder="1" applyAlignment="1">
      <alignment horizontal="left" wrapText="1"/>
    </xf>
    <xf numFmtId="0" fontId="29" fillId="14" borderId="3" xfId="0" applyFont="1" applyFill="1" applyBorder="1" applyAlignment="1">
      <alignment horizontal="left" wrapText="1"/>
    </xf>
    <xf numFmtId="0" fontId="29" fillId="14" borderId="2" xfId="0" applyFont="1" applyFill="1" applyBorder="1" applyAlignment="1">
      <alignment horizontal="center" wrapText="1"/>
    </xf>
    <xf numFmtId="0" fontId="29" fillId="14" borderId="3" xfId="0" applyFont="1" applyFill="1" applyBorder="1" applyAlignment="1">
      <alignment horizontal="center" wrapText="1"/>
    </xf>
    <xf numFmtId="0" fontId="29" fillId="14" borderId="4" xfId="0" applyFont="1" applyFill="1" applyBorder="1" applyAlignment="1">
      <alignment horizontal="center" wrapText="1"/>
    </xf>
    <xf numFmtId="0" fontId="29" fillId="14" borderId="2" xfId="0" applyFont="1" applyFill="1" applyBorder="1" applyAlignment="1">
      <alignment horizontal="center"/>
    </xf>
    <xf numFmtId="0" fontId="23" fillId="11" borderId="2" xfId="0" applyFont="1" applyFill="1" applyBorder="1" applyAlignment="1">
      <alignment horizontal="left" wrapText="1"/>
    </xf>
    <xf numFmtId="0" fontId="23" fillId="11" borderId="3" xfId="0" applyFont="1" applyFill="1" applyBorder="1" applyAlignment="1">
      <alignment horizontal="left" wrapText="1"/>
    </xf>
    <xf numFmtId="0" fontId="23" fillId="11" borderId="2" xfId="0" applyFont="1" applyFill="1" applyBorder="1" applyAlignment="1">
      <alignment horizontal="center" wrapText="1"/>
    </xf>
    <xf numFmtId="0" fontId="23" fillId="11" borderId="3" xfId="0" applyFont="1" applyFill="1" applyBorder="1" applyAlignment="1">
      <alignment horizontal="center" wrapText="1"/>
    </xf>
    <xf numFmtId="0" fontId="23" fillId="11" borderId="4" xfId="0" applyFont="1" applyFill="1" applyBorder="1" applyAlignment="1">
      <alignment horizontal="center" wrapText="1"/>
    </xf>
    <xf numFmtId="0" fontId="23" fillId="11" borderId="2" xfId="0" applyFont="1" applyFill="1" applyBorder="1" applyAlignment="1">
      <alignment horizontal="center"/>
    </xf>
    <xf numFmtId="0" fontId="23" fillId="11" borderId="2" xfId="0" applyFont="1" applyFill="1" applyBorder="1" applyAlignment="1">
      <alignment horizontal="center" vertical="center" wrapText="1"/>
    </xf>
    <xf numFmtId="0" fontId="23" fillId="11" borderId="3" xfId="0" applyFont="1" applyFill="1" applyBorder="1" applyAlignment="1">
      <alignment horizontal="center" vertical="center" wrapText="1"/>
    </xf>
    <xf numFmtId="0" fontId="23" fillId="11" borderId="4" xfId="0" applyFont="1" applyFill="1" applyBorder="1" applyAlignment="1">
      <alignment horizontal="center" vertical="center" wrapText="1"/>
    </xf>
    <xf numFmtId="0" fontId="23" fillId="12" borderId="2" xfId="0" applyFont="1" applyFill="1" applyBorder="1" applyAlignment="1">
      <alignment horizontal="left" wrapText="1"/>
    </xf>
    <xf numFmtId="0" fontId="23" fillId="12" borderId="3" xfId="0" applyFont="1" applyFill="1" applyBorder="1" applyAlignment="1">
      <alignment horizontal="left" wrapText="1"/>
    </xf>
    <xf numFmtId="0" fontId="23" fillId="12" borderId="2" xfId="0" applyFont="1" applyFill="1" applyBorder="1" applyAlignment="1">
      <alignment horizontal="center" wrapText="1"/>
    </xf>
    <xf numFmtId="0" fontId="23" fillId="12" borderId="3" xfId="0" applyFont="1" applyFill="1" applyBorder="1" applyAlignment="1">
      <alignment horizontal="center" wrapText="1"/>
    </xf>
    <xf numFmtId="0" fontId="23" fillId="12" borderId="4" xfId="0" applyFont="1" applyFill="1" applyBorder="1" applyAlignment="1">
      <alignment horizontal="center" wrapText="1"/>
    </xf>
    <xf numFmtId="0" fontId="23" fillId="12" borderId="2" xfId="0" applyFont="1" applyFill="1" applyBorder="1" applyAlignment="1">
      <alignment horizontal="center" vertical="center" wrapText="1"/>
    </xf>
    <xf numFmtId="0" fontId="23" fillId="12" borderId="3" xfId="0" applyFont="1" applyFill="1" applyBorder="1" applyAlignment="1">
      <alignment horizontal="center" vertical="center" wrapText="1"/>
    </xf>
    <xf numFmtId="0" fontId="23" fillId="12" borderId="4" xfId="0" applyFont="1" applyFill="1" applyBorder="1" applyAlignment="1">
      <alignment horizontal="center" vertical="center" wrapText="1"/>
    </xf>
    <xf numFmtId="0" fontId="23" fillId="12" borderId="2" xfId="0" applyFont="1" applyFill="1" applyBorder="1" applyAlignment="1">
      <alignment horizontal="center"/>
    </xf>
    <xf numFmtId="0" fontId="23" fillId="4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left" wrapText="1"/>
    </xf>
    <xf numFmtId="0" fontId="23" fillId="4" borderId="3" xfId="0" applyFont="1" applyFill="1" applyBorder="1" applyAlignment="1">
      <alignment horizontal="left" wrapText="1"/>
    </xf>
    <xf numFmtId="0" fontId="23" fillId="4" borderId="2" xfId="0" applyFont="1" applyFill="1" applyBorder="1" applyAlignment="1">
      <alignment horizontal="center" wrapText="1"/>
    </xf>
    <xf numFmtId="0" fontId="23" fillId="4" borderId="3" xfId="0" applyFont="1" applyFill="1" applyBorder="1" applyAlignment="1">
      <alignment horizontal="center" wrapText="1"/>
    </xf>
    <xf numFmtId="0" fontId="23" fillId="4" borderId="4" xfId="0" applyFont="1" applyFill="1" applyBorder="1" applyAlignment="1">
      <alignment horizontal="center" wrapText="1"/>
    </xf>
    <xf numFmtId="0" fontId="23" fillId="4" borderId="2" xfId="0" applyFont="1" applyFill="1" applyBorder="1" applyAlignment="1">
      <alignment horizontal="center"/>
    </xf>
    <xf numFmtId="0" fontId="24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46" fillId="23" borderId="10" xfId="0" applyFont="1" applyFill="1" applyBorder="1" applyAlignment="1">
      <alignment horizontal="left" vertical="center" wrapText="1"/>
    </xf>
    <xf numFmtId="0" fontId="46" fillId="23" borderId="16" xfId="0" applyFont="1" applyFill="1" applyBorder="1" applyAlignment="1">
      <alignment horizontal="left" vertical="center" wrapText="1"/>
    </xf>
    <xf numFmtId="0" fontId="46" fillId="23" borderId="6" xfId="0" applyFont="1" applyFill="1" applyBorder="1" applyAlignment="1">
      <alignment horizontal="left" vertical="center" wrapText="1"/>
    </xf>
    <xf numFmtId="0" fontId="28" fillId="4" borderId="2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2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left" wrapText="1"/>
    </xf>
    <xf numFmtId="0" fontId="28" fillId="4" borderId="3" xfId="0" applyFont="1" applyFill="1" applyBorder="1" applyAlignment="1">
      <alignment horizontal="left" wrapText="1"/>
    </xf>
    <xf numFmtId="0" fontId="28" fillId="4" borderId="2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 wrapText="1"/>
    </xf>
    <xf numFmtId="0" fontId="23" fillId="23" borderId="2" xfId="0" applyFont="1" applyFill="1" applyBorder="1" applyAlignment="1">
      <alignment horizontal="left" vertical="center" wrapText="1"/>
    </xf>
    <xf numFmtId="0" fontId="23" fillId="23" borderId="3" xfId="0" applyFont="1" applyFill="1" applyBorder="1" applyAlignment="1">
      <alignment horizontal="left" vertical="center" wrapText="1"/>
    </xf>
    <xf numFmtId="0" fontId="23" fillId="23" borderId="4" xfId="0" applyFont="1" applyFill="1" applyBorder="1" applyAlignment="1">
      <alignment horizontal="left" vertical="center" wrapText="1"/>
    </xf>
    <xf numFmtId="0" fontId="19" fillId="13" borderId="2" xfId="0" applyFont="1" applyFill="1" applyBorder="1" applyAlignment="1">
      <alignment horizontal="center"/>
    </xf>
    <xf numFmtId="0" fontId="19" fillId="13" borderId="2" xfId="0" applyFont="1" applyFill="1" applyBorder="1" applyAlignment="1">
      <alignment horizontal="center" vertical="center" wrapText="1"/>
    </xf>
    <xf numFmtId="0" fontId="19" fillId="13" borderId="3" xfId="0" applyFont="1" applyFill="1" applyBorder="1" applyAlignment="1">
      <alignment horizontal="center" vertical="center" wrapText="1"/>
    </xf>
    <xf numFmtId="0" fontId="19" fillId="13" borderId="4" xfId="0" applyFont="1" applyFill="1" applyBorder="1" applyAlignment="1">
      <alignment horizontal="center" vertical="center" wrapText="1"/>
    </xf>
    <xf numFmtId="0" fontId="19" fillId="13" borderId="2" xfId="0" applyFont="1" applyFill="1" applyBorder="1" applyAlignment="1">
      <alignment horizontal="left" wrapText="1"/>
    </xf>
    <xf numFmtId="0" fontId="19" fillId="13" borderId="3" xfId="0" applyFont="1" applyFill="1" applyBorder="1" applyAlignment="1">
      <alignment horizontal="left" wrapText="1"/>
    </xf>
    <xf numFmtId="0" fontId="19" fillId="13" borderId="2" xfId="0" applyFont="1" applyFill="1" applyBorder="1" applyAlignment="1">
      <alignment horizontal="center" wrapText="1"/>
    </xf>
    <xf numFmtId="0" fontId="19" fillId="13" borderId="3" xfId="0" applyFont="1" applyFill="1" applyBorder="1" applyAlignment="1">
      <alignment horizontal="center" wrapText="1"/>
    </xf>
    <xf numFmtId="0" fontId="19" fillId="13" borderId="4" xfId="0" applyFont="1" applyFill="1" applyBorder="1" applyAlignment="1">
      <alignment horizontal="center" wrapText="1"/>
    </xf>
    <xf numFmtId="0" fontId="63" fillId="0" borderId="3" xfId="0" applyFont="1" applyBorder="1" applyAlignment="1">
      <alignment horizontal="left" vertical="center" wrapText="1"/>
    </xf>
    <xf numFmtId="0" fontId="6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  <color rgb="FF000000"/>
      <color rgb="FFCC3399"/>
      <color rgb="FF990099"/>
      <color rgb="FFFF3300"/>
      <color rgb="FFB43634"/>
      <color rgb="FFFF4B2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%20Hill/Documents/BT%20PREMIERSHIP/Season%202018-19/Prem%2018-19%20Results%20&amp;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%20Hill/Documents/BT%20PREMIERSHIP/2016-17%20Season/Prem%20Club%20by%20Club%20Results%20&amp;%20Tables%202016-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T%20PREMIERSHIP/2015-16%20Season/Prem%20Club%20by%20Club%20Results%20&amp;%20Tables%202015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Yr-By-Yr"/>
      <sheetName val="18-19 Sum"/>
      <sheetName val="Cards"/>
      <sheetName val="Stats"/>
      <sheetName val="Form"/>
      <sheetName val="Table"/>
      <sheetName val="Results"/>
      <sheetName val="BTH"/>
      <sheetName val="BRI"/>
      <sheetName val="EXE"/>
      <sheetName val="GLO"/>
      <sheetName val="HAR"/>
      <sheetName val="LEIC"/>
      <sheetName val="NEW"/>
      <sheetName val="NOR"/>
      <sheetName val="SAL"/>
      <sheetName val="SAR"/>
      <sheetName val="WAS"/>
      <sheetName val="WOR"/>
    </sheetNames>
    <sheetDataSet>
      <sheetData sheetId="0">
        <row r="3">
          <cell r="B3">
            <v>494</v>
          </cell>
          <cell r="C3">
            <v>275</v>
          </cell>
          <cell r="D3">
            <v>212</v>
          </cell>
          <cell r="E3">
            <v>19</v>
          </cell>
          <cell r="G3">
            <v>11071</v>
          </cell>
          <cell r="H3">
            <v>9789</v>
          </cell>
          <cell r="J3">
            <v>1121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F37">
            <v>481</v>
          </cell>
          <cell r="G37">
            <v>480</v>
          </cell>
          <cell r="J37">
            <v>52</v>
          </cell>
          <cell r="L37">
            <v>2</v>
          </cell>
          <cell r="N37">
            <v>11</v>
          </cell>
          <cell r="O37">
            <v>1</v>
          </cell>
          <cell r="R37">
            <v>54</v>
          </cell>
          <cell r="Y37">
            <v>22</v>
          </cell>
          <cell r="AB37">
            <v>10</v>
          </cell>
        </row>
      </sheetData>
      <sheetData sheetId="9">
        <row r="36">
          <cell r="H36">
            <v>6</v>
          </cell>
          <cell r="L36">
            <v>0</v>
          </cell>
          <cell r="P36">
            <v>10</v>
          </cell>
        </row>
        <row r="38">
          <cell r="F38">
            <v>503</v>
          </cell>
          <cell r="G38">
            <v>580</v>
          </cell>
          <cell r="J38">
            <v>55</v>
          </cell>
          <cell r="L38">
            <v>0</v>
          </cell>
          <cell r="N38">
            <v>7</v>
          </cell>
          <cell r="O38">
            <v>1</v>
          </cell>
          <cell r="R38">
            <v>74</v>
          </cell>
          <cell r="Y38">
            <v>22</v>
          </cell>
          <cell r="Z38">
            <v>9</v>
          </cell>
          <cell r="AA38">
            <v>1</v>
          </cell>
          <cell r="AB38">
            <v>12</v>
          </cell>
        </row>
      </sheetData>
      <sheetData sheetId="10">
        <row r="37">
          <cell r="H37">
            <v>14</v>
          </cell>
          <cell r="P37">
            <v>6</v>
          </cell>
          <cell r="AA37">
            <v>0</v>
          </cell>
        </row>
        <row r="39">
          <cell r="F39">
            <v>706</v>
          </cell>
          <cell r="G39">
            <v>487</v>
          </cell>
          <cell r="J39">
            <v>100</v>
          </cell>
          <cell r="L39">
            <v>0</v>
          </cell>
          <cell r="N39">
            <v>8</v>
          </cell>
          <cell r="O39">
            <v>0</v>
          </cell>
          <cell r="R39">
            <v>58</v>
          </cell>
          <cell r="Y39">
            <v>24</v>
          </cell>
          <cell r="Z39">
            <v>18</v>
          </cell>
          <cell r="AB39">
            <v>6</v>
          </cell>
        </row>
      </sheetData>
      <sheetData sheetId="11">
        <row r="36">
          <cell r="H36">
            <v>10</v>
          </cell>
          <cell r="P36">
            <v>6</v>
          </cell>
        </row>
        <row r="38">
          <cell r="F38">
            <v>606</v>
          </cell>
          <cell r="G38">
            <v>559</v>
          </cell>
          <cell r="J38">
            <v>78</v>
          </cell>
          <cell r="L38">
            <v>0</v>
          </cell>
          <cell r="N38">
            <v>8</v>
          </cell>
          <cell r="O38">
            <v>0</v>
          </cell>
          <cell r="R38">
            <v>66</v>
          </cell>
          <cell r="Y38">
            <v>23</v>
          </cell>
          <cell r="Z38">
            <v>13</v>
          </cell>
          <cell r="AA38">
            <v>1</v>
          </cell>
          <cell r="AB38">
            <v>9</v>
          </cell>
        </row>
      </sheetData>
      <sheetData sheetId="12">
        <row r="37">
          <cell r="H37">
            <v>7</v>
          </cell>
          <cell r="P37">
            <v>6</v>
          </cell>
        </row>
        <row r="39">
          <cell r="F39">
            <v>544</v>
          </cell>
          <cell r="G39">
            <v>528</v>
          </cell>
          <cell r="J39">
            <v>63</v>
          </cell>
          <cell r="L39">
            <v>0</v>
          </cell>
          <cell r="N39">
            <v>13</v>
          </cell>
          <cell r="O39">
            <v>0</v>
          </cell>
          <cell r="R39">
            <v>56</v>
          </cell>
          <cell r="Y39">
            <v>22</v>
          </cell>
          <cell r="Z39">
            <v>10</v>
          </cell>
          <cell r="AA39">
            <v>0</v>
          </cell>
          <cell r="AB39">
            <v>12</v>
          </cell>
        </row>
      </sheetData>
      <sheetData sheetId="13">
        <row r="35">
          <cell r="H35">
            <v>5</v>
          </cell>
          <cell r="P35">
            <v>10</v>
          </cell>
        </row>
        <row r="37">
          <cell r="F37">
            <v>478</v>
          </cell>
          <cell r="G37">
            <v>632</v>
          </cell>
          <cell r="J37">
            <v>47</v>
          </cell>
          <cell r="L37">
            <v>0</v>
          </cell>
          <cell r="N37">
            <v>7</v>
          </cell>
          <cell r="O37">
            <v>4</v>
          </cell>
          <cell r="R37">
            <v>81</v>
          </cell>
          <cell r="Y37">
            <v>22</v>
          </cell>
          <cell r="Z37">
            <v>7</v>
          </cell>
          <cell r="AA37">
            <v>0</v>
          </cell>
          <cell r="AB37">
            <v>15</v>
          </cell>
        </row>
      </sheetData>
      <sheetData sheetId="14">
        <row r="36">
          <cell r="H36">
            <v>1</v>
          </cell>
          <cell r="P36">
            <v>9</v>
          </cell>
          <cell r="AA36">
            <v>0</v>
          </cell>
        </row>
        <row r="38">
          <cell r="F38">
            <v>395</v>
          </cell>
          <cell r="G38">
            <v>541</v>
          </cell>
          <cell r="J38">
            <v>43</v>
          </cell>
          <cell r="L38">
            <v>0</v>
          </cell>
          <cell r="N38">
            <v>9</v>
          </cell>
          <cell r="O38">
            <v>0</v>
          </cell>
          <cell r="R38">
            <v>66</v>
          </cell>
          <cell r="Y38">
            <v>22</v>
          </cell>
          <cell r="Z38">
            <v>6</v>
          </cell>
          <cell r="AB38">
            <v>16</v>
          </cell>
        </row>
      </sheetData>
      <sheetData sheetId="15">
        <row r="40">
          <cell r="H40">
            <v>8</v>
          </cell>
          <cell r="P40">
            <v>7</v>
          </cell>
        </row>
        <row r="42">
          <cell r="F42">
            <v>602</v>
          </cell>
          <cell r="G42">
            <v>563</v>
          </cell>
          <cell r="J42">
            <v>75</v>
          </cell>
          <cell r="L42">
            <v>0</v>
          </cell>
          <cell r="R42">
            <v>68</v>
          </cell>
          <cell r="Y42">
            <v>23</v>
          </cell>
          <cell r="Z42">
            <v>11</v>
          </cell>
          <cell r="AA42">
            <v>0</v>
          </cell>
          <cell r="AB42">
            <v>12</v>
          </cell>
        </row>
      </sheetData>
      <sheetData sheetId="16">
        <row r="37">
          <cell r="F37">
            <v>462</v>
          </cell>
          <cell r="G37">
            <v>504</v>
          </cell>
          <cell r="H37">
            <v>3</v>
          </cell>
          <cell r="P37">
            <v>7</v>
          </cell>
        </row>
        <row r="39">
          <cell r="J39">
            <v>52</v>
          </cell>
          <cell r="L39">
            <v>0</v>
          </cell>
          <cell r="N39">
            <v>6</v>
          </cell>
          <cell r="O39">
            <v>0</v>
          </cell>
          <cell r="R39">
            <v>62</v>
          </cell>
          <cell r="Y39">
            <v>22</v>
          </cell>
          <cell r="Z39">
            <v>11</v>
          </cell>
          <cell r="AA39">
            <v>2</v>
          </cell>
          <cell r="AB39">
            <v>9</v>
          </cell>
        </row>
      </sheetData>
      <sheetData sheetId="17">
        <row r="42">
          <cell r="H42">
            <v>10</v>
          </cell>
          <cell r="P42">
            <v>2</v>
          </cell>
        </row>
        <row r="44">
          <cell r="F44">
            <v>725</v>
          </cell>
          <cell r="G44">
            <v>493</v>
          </cell>
          <cell r="J44">
            <v>88</v>
          </cell>
          <cell r="L44">
            <v>0</v>
          </cell>
          <cell r="N44">
            <v>18</v>
          </cell>
          <cell r="O44">
            <v>0</v>
          </cell>
          <cell r="R44">
            <v>52</v>
          </cell>
          <cell r="Y44">
            <v>24</v>
          </cell>
          <cell r="Z44">
            <v>18</v>
          </cell>
          <cell r="AA44">
            <v>0</v>
          </cell>
          <cell r="AB44">
            <v>6</v>
          </cell>
        </row>
      </sheetData>
      <sheetData sheetId="18">
        <row r="35">
          <cell r="H35">
            <v>7</v>
          </cell>
          <cell r="P35">
            <v>6</v>
          </cell>
        </row>
        <row r="37">
          <cell r="F37">
            <v>483</v>
          </cell>
          <cell r="G37">
            <v>552</v>
          </cell>
          <cell r="J37">
            <v>56</v>
          </cell>
          <cell r="L37">
            <v>0</v>
          </cell>
          <cell r="N37">
            <v>8</v>
          </cell>
          <cell r="O37">
            <v>0</v>
          </cell>
          <cell r="R37">
            <v>62</v>
          </cell>
          <cell r="Y37">
            <v>22</v>
          </cell>
          <cell r="Z37">
            <v>10</v>
          </cell>
          <cell r="AA37">
            <v>0</v>
          </cell>
          <cell r="AB37">
            <v>12</v>
          </cell>
        </row>
      </sheetData>
      <sheetData sheetId="19">
        <row r="37">
          <cell r="H37">
            <v>6</v>
          </cell>
          <cell r="P37">
            <v>7</v>
          </cell>
        </row>
        <row r="39">
          <cell r="F39">
            <v>491</v>
          </cell>
          <cell r="G39">
            <v>557</v>
          </cell>
          <cell r="J39">
            <v>56</v>
          </cell>
          <cell r="L39">
            <v>0</v>
          </cell>
          <cell r="N39">
            <v>8</v>
          </cell>
          <cell r="O39">
            <v>1</v>
          </cell>
          <cell r="R39">
            <v>66</v>
          </cell>
          <cell r="Y39">
            <v>22</v>
          </cell>
          <cell r="Z39">
            <v>9</v>
          </cell>
          <cell r="AA39">
            <v>0</v>
          </cell>
          <cell r="AB39">
            <v>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Yr-By-Yr"/>
      <sheetName val="Cards"/>
      <sheetName val="Stats"/>
      <sheetName val="Form"/>
      <sheetName val="Table"/>
      <sheetName val="Results"/>
      <sheetName val="BTH"/>
      <sheetName val="BRI"/>
      <sheetName val="EXE"/>
      <sheetName val="GLO"/>
      <sheetName val="HAR"/>
      <sheetName val="LEIC"/>
      <sheetName val="NEW"/>
      <sheetName val="NOR"/>
      <sheetName val="SAL"/>
      <sheetName val="SAR"/>
      <sheetName val="WAS"/>
      <sheetName val="W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5">
          <cell r="N35">
            <v>10</v>
          </cell>
          <cell r="O35">
            <v>1</v>
          </cell>
        </row>
      </sheetData>
      <sheetData sheetId="9">
        <row r="39">
          <cell r="N39">
            <v>5</v>
          </cell>
          <cell r="O39">
            <v>2</v>
          </cell>
        </row>
      </sheetData>
      <sheetData sheetId="10">
        <row r="40">
          <cell r="N40">
            <v>2</v>
          </cell>
          <cell r="O40">
            <v>0</v>
          </cell>
        </row>
      </sheetData>
      <sheetData sheetId="11"/>
      <sheetData sheetId="12">
        <row r="39">
          <cell r="N39">
            <v>12</v>
          </cell>
          <cell r="O39">
            <v>0</v>
          </cell>
        </row>
      </sheetData>
      <sheetData sheetId="13">
        <row r="37">
          <cell r="N37">
            <v>13</v>
          </cell>
          <cell r="O37">
            <v>1</v>
          </cell>
        </row>
      </sheetData>
      <sheetData sheetId="14">
        <row r="37">
          <cell r="N37">
            <v>10</v>
          </cell>
          <cell r="O37">
            <v>2</v>
          </cell>
        </row>
      </sheetData>
      <sheetData sheetId="15"/>
      <sheetData sheetId="16">
        <row r="42">
          <cell r="N42">
            <v>0</v>
          </cell>
          <cell r="O42">
            <v>0</v>
          </cell>
        </row>
      </sheetData>
      <sheetData sheetId="17">
        <row r="40">
          <cell r="N40">
            <v>3</v>
          </cell>
          <cell r="O40">
            <v>0</v>
          </cell>
        </row>
      </sheetData>
      <sheetData sheetId="18">
        <row r="35">
          <cell r="N35">
            <v>9</v>
          </cell>
          <cell r="O35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Yr-By-Yr"/>
      <sheetName val="Cards"/>
      <sheetName val="Team Stats"/>
      <sheetName val="Form"/>
      <sheetName val="Table"/>
      <sheetName val="Results"/>
      <sheetName val="BTH"/>
      <sheetName val="EXE"/>
      <sheetName val="GLO"/>
      <sheetName val="HAR"/>
      <sheetName val="LEI"/>
      <sheetName val="LIR"/>
      <sheetName val="NEW"/>
      <sheetName val="NOR"/>
      <sheetName val="SAL"/>
      <sheetName val="SAR"/>
      <sheetName val="WAS"/>
      <sheetName val="W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6">
          <cell r="AB36">
            <v>1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2AC4-5D7B-4914-8AFA-668E28E7E64F}">
  <dimension ref="A1:J54"/>
  <sheetViews>
    <sheetView workbookViewId="0">
      <selection activeCell="B4" sqref="B4"/>
    </sheetView>
  </sheetViews>
  <sheetFormatPr defaultRowHeight="14.3" x14ac:dyDescent="0.25"/>
  <cols>
    <col min="1" max="1" width="12.5" bestFit="1" customWidth="1"/>
    <col min="10" max="10" width="12.75" bestFit="1" customWidth="1"/>
  </cols>
  <sheetData>
    <row r="1" spans="1:9" x14ac:dyDescent="0.25">
      <c r="A1" s="835" t="s">
        <v>990</v>
      </c>
      <c r="B1" s="836"/>
      <c r="C1" s="836"/>
      <c r="D1" s="836"/>
      <c r="E1" s="836"/>
      <c r="F1" s="836"/>
      <c r="G1" s="836"/>
      <c r="H1" s="836"/>
      <c r="I1" s="836"/>
    </row>
    <row r="2" spans="1:9" x14ac:dyDescent="0.25">
      <c r="A2" s="837"/>
      <c r="B2" s="838" t="s">
        <v>627</v>
      </c>
      <c r="C2" s="838" t="s">
        <v>628</v>
      </c>
      <c r="D2" s="838" t="s">
        <v>629</v>
      </c>
      <c r="E2" s="838" t="s">
        <v>634</v>
      </c>
      <c r="F2" s="838" t="s">
        <v>630</v>
      </c>
      <c r="G2" s="838" t="s">
        <v>631</v>
      </c>
      <c r="H2" s="838" t="s">
        <v>632</v>
      </c>
      <c r="I2" s="838" t="s">
        <v>633</v>
      </c>
    </row>
    <row r="3" spans="1:9" x14ac:dyDescent="0.25">
      <c r="A3" s="839" t="s">
        <v>37</v>
      </c>
      <c r="B3" s="840">
        <f>441+arg2019played</f>
        <v>449</v>
      </c>
      <c r="C3" s="840">
        <f>227+arg2019won</f>
        <v>229</v>
      </c>
      <c r="D3" s="840">
        <f>204+arg2019lost</f>
        <v>210</v>
      </c>
      <c r="E3" s="840">
        <f>10+arg2019drawn</f>
        <v>10</v>
      </c>
      <c r="F3" s="841">
        <f t="shared" ref="F3:F23" si="0">SUM(C3+E3*0.5)/B3</f>
        <v>0.52115812917594651</v>
      </c>
      <c r="G3" s="840">
        <f>12544+arg2019ptsscored</f>
        <v>12707</v>
      </c>
      <c r="H3" s="840">
        <f>8985+arg2019ptsconc</f>
        <v>9182</v>
      </c>
      <c r="I3" s="839">
        <f>1574+arg2019triesscored</f>
        <v>1593</v>
      </c>
    </row>
    <row r="4" spans="1:9" x14ac:dyDescent="0.25">
      <c r="A4" s="839" t="s">
        <v>29</v>
      </c>
      <c r="B4" s="840">
        <f>631+australiaalltests2019playedcorrect</f>
        <v>641</v>
      </c>
      <c r="C4" s="840">
        <f>320+australiaalltests2019won</f>
        <v>326</v>
      </c>
      <c r="D4" s="840">
        <f>292+australiaalltests2019lost</f>
        <v>296</v>
      </c>
      <c r="E4" s="840">
        <f>19+australiaalltests2019drawn</f>
        <v>19</v>
      </c>
      <c r="F4" s="841">
        <f t="shared" si="0"/>
        <v>0.52340093603744153</v>
      </c>
      <c r="G4" s="840">
        <f>13274+australiaalltests2019ptsscored</f>
        <v>13540</v>
      </c>
      <c r="H4" s="840">
        <f>11111+australiaalltests2019ptsagainst</f>
        <v>11341</v>
      </c>
      <c r="I4" s="840">
        <f>1654+australiaalltests2019triesscored</f>
        <v>1690</v>
      </c>
    </row>
    <row r="5" spans="1:9" x14ac:dyDescent="0.25">
      <c r="A5" s="839" t="s">
        <v>40</v>
      </c>
      <c r="B5" s="840">
        <f>266+can2019alltestsplayed</f>
        <v>278</v>
      </c>
      <c r="C5" s="840">
        <f>106+can2019alltestswon</f>
        <v>107</v>
      </c>
      <c r="D5" s="840">
        <f>154+can2019alltestslost</f>
        <v>164</v>
      </c>
      <c r="E5" s="840">
        <f>6+can2019alltestsdrawn</f>
        <v>7</v>
      </c>
      <c r="F5" s="841">
        <f t="shared" si="0"/>
        <v>0.39748201438848924</v>
      </c>
      <c r="G5" s="840">
        <f>5577+can2019alltestsptsscored</f>
        <v>5769</v>
      </c>
      <c r="H5" s="840">
        <f>6846+can2019alltestsptsagainst</f>
        <v>7229</v>
      </c>
      <c r="I5" s="840">
        <f>586+can2019allteststriesscored</f>
        <v>612</v>
      </c>
    </row>
    <row r="6" spans="1:9" x14ac:dyDescent="0.25">
      <c r="A6" s="839" t="s">
        <v>30</v>
      </c>
      <c r="B6" s="840">
        <f>727+Eng2019alltestsplayed</f>
        <v>743</v>
      </c>
      <c r="C6" s="840">
        <f>400+Eng2019alltestswon</f>
        <v>411</v>
      </c>
      <c r="D6" s="840">
        <f>277+Eng2019alltestslost</f>
        <v>280</v>
      </c>
      <c r="E6" s="840">
        <f>50+Eng2019alltestsdrawn</f>
        <v>52</v>
      </c>
      <c r="F6" s="841">
        <f t="shared" si="0"/>
        <v>0.58815612382234184</v>
      </c>
      <c r="G6" s="840">
        <f>12180+Eng2019alltestsptsscored</f>
        <v>12687</v>
      </c>
      <c r="H6" s="840">
        <f>9268+Eng2019alltestsptsagainst</f>
        <v>9491</v>
      </c>
      <c r="I6" s="839">
        <f>1624+Eng2019allteststriesscored</f>
        <v>1685</v>
      </c>
    </row>
    <row r="7" spans="1:9" x14ac:dyDescent="0.25">
      <c r="A7" s="839" t="s">
        <v>31</v>
      </c>
      <c r="B7" s="840">
        <f>338+Fij2019alltestsplayed</f>
        <v>346</v>
      </c>
      <c r="C7" s="840">
        <f>165+Fij2019alltestswon</f>
        <v>169</v>
      </c>
      <c r="D7" s="840">
        <f>163+Fij2019alltestslost</f>
        <v>167</v>
      </c>
      <c r="E7" s="840">
        <f>10+Fij2019alltestsdrawn</f>
        <v>10</v>
      </c>
      <c r="F7" s="841">
        <f t="shared" si="0"/>
        <v>0.50289017341040465</v>
      </c>
      <c r="G7" s="840">
        <f>7263+Fij2019alltestsptsscored</f>
        <v>7471</v>
      </c>
      <c r="H7" s="840">
        <f>7049+Fij2019alltestsptsagainst</f>
        <v>7226</v>
      </c>
      <c r="I7" s="839">
        <f>1020+Fij2019allteststriesscored</f>
        <v>1052</v>
      </c>
    </row>
    <row r="8" spans="1:9" x14ac:dyDescent="0.25">
      <c r="A8" s="839" t="s">
        <v>34</v>
      </c>
      <c r="B8" s="840">
        <f>754+Fra2019alltestsplayed</f>
        <v>767</v>
      </c>
      <c r="C8" s="840">
        <f>405+Fra2019alltestswon</f>
        <v>412</v>
      </c>
      <c r="D8" s="840">
        <f>316+Fra2019alltestslost</f>
        <v>321</v>
      </c>
      <c r="E8" s="840">
        <f>33+Fra2019alltestsdrawn</f>
        <v>34</v>
      </c>
      <c r="F8" s="841">
        <f t="shared" si="0"/>
        <v>0.55932203389830504</v>
      </c>
      <c r="G8" s="840">
        <f>13759+Fra2019alltestsptsscored</f>
        <v>14043</v>
      </c>
      <c r="H8" s="840">
        <f>11524+Fra2019alltestsptsagainst</f>
        <v>11752</v>
      </c>
      <c r="I8" s="839">
        <f>1733+Fra2019allteststriesscored</f>
        <v>1771</v>
      </c>
    </row>
    <row r="9" spans="1:9" x14ac:dyDescent="0.25">
      <c r="A9" s="839" t="s">
        <v>38</v>
      </c>
      <c r="B9" s="840">
        <f>218+Geo2019alltestsplayed</f>
        <v>229</v>
      </c>
      <c r="C9" s="840">
        <f>135+Geo2019alltestswon</f>
        <v>141</v>
      </c>
      <c r="D9" s="840">
        <f>76+Geo2019alltestslost</f>
        <v>81</v>
      </c>
      <c r="E9" s="840">
        <f>7+Geo2019alltestsdrawn</f>
        <v>7</v>
      </c>
      <c r="F9" s="841">
        <f t="shared" si="0"/>
        <v>0.63100436681222705</v>
      </c>
      <c r="G9" s="840">
        <f>5067+Geo2019alltestsptsscored</f>
        <v>5313</v>
      </c>
      <c r="H9" s="840">
        <f>3917+Geo2019alltestsptsagainst</f>
        <v>4153</v>
      </c>
      <c r="I9" s="839">
        <f>605+Geo2019allteststriesscored</f>
        <v>640</v>
      </c>
    </row>
    <row r="10" spans="1:9" x14ac:dyDescent="0.25">
      <c r="A10" s="839" t="s">
        <v>39</v>
      </c>
      <c r="B10" s="840">
        <f>690+Ire2019alltestsplayed</f>
        <v>704</v>
      </c>
      <c r="C10" s="840">
        <f>309+Ire2019alltestswon</f>
        <v>318</v>
      </c>
      <c r="D10" s="840">
        <f>349+Ire2019alltestslost</f>
        <v>354</v>
      </c>
      <c r="E10" s="840">
        <f>32+Ire2019alltestsdrawn</f>
        <v>32</v>
      </c>
      <c r="F10" s="841">
        <f t="shared" si="0"/>
        <v>0.47443181818181818</v>
      </c>
      <c r="G10" s="840">
        <f>10404+Ire2019alltestsptsscored</f>
        <v>10725</v>
      </c>
      <c r="H10" s="840">
        <f>9736+Ire2019alltestsptscon</f>
        <v>10003</v>
      </c>
      <c r="I10" s="839">
        <f>1284+Ire2019allteststriesscored</f>
        <v>1331</v>
      </c>
    </row>
    <row r="11" spans="1:9" x14ac:dyDescent="0.25">
      <c r="A11" s="839" t="s">
        <v>33</v>
      </c>
      <c r="B11" s="840">
        <f>494+ita2019alltestsplayed</f>
        <v>507</v>
      </c>
      <c r="C11" s="840">
        <f>184+ita2019alltestswon</f>
        <v>187</v>
      </c>
      <c r="D11" s="840">
        <f>296+ita2019alltestslost</f>
        <v>305</v>
      </c>
      <c r="E11" s="840">
        <f>14+ita2019alltestsdrawn</f>
        <v>15</v>
      </c>
      <c r="F11" s="841">
        <f t="shared" si="0"/>
        <v>0.38362919132149903</v>
      </c>
      <c r="G11" s="840">
        <f>8442+ita2019alltestsptsscored</f>
        <v>8733</v>
      </c>
      <c r="H11" s="840">
        <f>11338+ita2019alltestsptscon</f>
        <v>11711</v>
      </c>
      <c r="I11" s="840">
        <f>931+ita2019allteststriesscored</f>
        <v>973</v>
      </c>
    </row>
    <row r="12" spans="1:9" x14ac:dyDescent="0.25">
      <c r="A12" s="839" t="s">
        <v>36</v>
      </c>
      <c r="B12" s="840">
        <f>347+jpn2019alltestsplayed</f>
        <v>356</v>
      </c>
      <c r="C12" s="840">
        <f>150+jpn2019alltestswon</f>
        <v>157</v>
      </c>
      <c r="D12" s="840">
        <f>187+jpn2019alltestslost</f>
        <v>189</v>
      </c>
      <c r="E12" s="840">
        <f>10+jpn2019alltestsdrawn</f>
        <v>10</v>
      </c>
      <c r="F12" s="841">
        <f t="shared" si="0"/>
        <v>0.4550561797752809</v>
      </c>
      <c r="G12" s="840">
        <f>9800+jpn2019alltestsptsscored</f>
        <v>10034</v>
      </c>
      <c r="H12" s="840">
        <f>9700+jpn2019alltestsptsagainst</f>
        <v>9877</v>
      </c>
      <c r="I12" s="840">
        <f>1343+jpn2019allteststriesscored</f>
        <v>1371</v>
      </c>
    </row>
    <row r="13" spans="1:9" x14ac:dyDescent="0.25">
      <c r="A13" s="839" t="s">
        <v>193</v>
      </c>
      <c r="B13" s="840">
        <f>152+Nam2019alltestsplayed</f>
        <v>158</v>
      </c>
      <c r="C13" s="840">
        <f>88++Nam2019alltestswon</f>
        <v>89</v>
      </c>
      <c r="D13" s="840">
        <f>62+Nam2019alltestslost</f>
        <v>66</v>
      </c>
      <c r="E13" s="840">
        <f>2+Nam2019alltestsdrawn</f>
        <v>3</v>
      </c>
      <c r="F13" s="841">
        <f t="shared" si="0"/>
        <v>0.57278481012658233</v>
      </c>
      <c r="G13" s="840">
        <f>4789+Nam2019alltestsptsscored</f>
        <v>4853</v>
      </c>
      <c r="H13" s="840">
        <f>3903+Nam2019alltestsptscon</f>
        <v>4126</v>
      </c>
      <c r="I13" s="839">
        <f>642+Nam2019allteststriesscored</f>
        <v>648</v>
      </c>
    </row>
    <row r="14" spans="1:9" x14ac:dyDescent="0.25">
      <c r="A14" s="839" t="s">
        <v>563</v>
      </c>
      <c r="B14" s="840">
        <f>580+Nzl2019alltestsplayed</f>
        <v>592</v>
      </c>
      <c r="C14" s="840">
        <f>449+Nzl2019alltestswon</f>
        <v>457</v>
      </c>
      <c r="D14" s="840">
        <f>111+Nzl2019alltestslost</f>
        <v>113</v>
      </c>
      <c r="E14" s="840">
        <f>20+Nzl2019alltestsdrawn</f>
        <v>22</v>
      </c>
      <c r="F14" s="841">
        <f t="shared" si="0"/>
        <v>0.79054054054054057</v>
      </c>
      <c r="G14" s="840">
        <f>15974+Nzl2019alltestsptsscored</f>
        <v>16414</v>
      </c>
      <c r="H14" s="840">
        <f>7709+Nzl2019alltestsptscon</f>
        <v>7867</v>
      </c>
      <c r="I14" s="839">
        <f>2088+Nzl2019allteststriesscored</f>
        <v>2150</v>
      </c>
    </row>
    <row r="15" spans="1:9" x14ac:dyDescent="0.25">
      <c r="A15" s="839" t="s">
        <v>244</v>
      </c>
      <c r="B15" s="840">
        <v>453</v>
      </c>
      <c r="C15" s="840">
        <v>260</v>
      </c>
      <c r="D15" s="840">
        <v>181</v>
      </c>
      <c r="E15" s="840">
        <v>12</v>
      </c>
      <c r="F15" s="841">
        <f t="shared" si="0"/>
        <v>0.58719646799116998</v>
      </c>
      <c r="G15" s="840">
        <v>10181</v>
      </c>
      <c r="H15" s="840">
        <v>8121</v>
      </c>
      <c r="I15" s="839">
        <v>882</v>
      </c>
    </row>
    <row r="16" spans="1:9" x14ac:dyDescent="0.25">
      <c r="A16" s="839" t="s">
        <v>105</v>
      </c>
      <c r="B16" s="840">
        <f>206+Rus2019alltestsplayed</f>
        <v>218</v>
      </c>
      <c r="C16" s="840">
        <f>106+Rus2019alltestswon</f>
        <v>109</v>
      </c>
      <c r="D16" s="840">
        <f>97+Rus2019alltestslost</f>
        <v>106</v>
      </c>
      <c r="E16" s="840">
        <f>3+Rus2019alltestsdrawn</f>
        <v>3</v>
      </c>
      <c r="F16" s="841">
        <f t="shared" si="0"/>
        <v>0.50688073394495414</v>
      </c>
      <c r="G16" s="840">
        <f>5356+Rus2019alltestsptsscored</f>
        <v>5566</v>
      </c>
      <c r="H16" s="840">
        <f>4902+Rus2019alltestsptscon</f>
        <v>5280</v>
      </c>
      <c r="I16" s="840">
        <f>528+Rus2019allteststriescored</f>
        <v>557</v>
      </c>
    </row>
    <row r="17" spans="1:10" x14ac:dyDescent="0.25">
      <c r="A17" s="839" t="s">
        <v>148</v>
      </c>
      <c r="B17" s="840">
        <f>235+Sam2019alltestsplayed</f>
        <v>243</v>
      </c>
      <c r="C17" s="840">
        <f>102+Sam2019alltestswon</f>
        <v>104</v>
      </c>
      <c r="D17" s="840">
        <f>124+Sam2019alltestslost</f>
        <v>130</v>
      </c>
      <c r="E17" s="840">
        <f>9+Sam2019alltestsdrawn</f>
        <v>9</v>
      </c>
      <c r="F17" s="841">
        <f t="shared" si="0"/>
        <v>0.44650205761316875</v>
      </c>
      <c r="G17" s="840">
        <f>4798+Sam2019alltestsptsscored</f>
        <v>4909</v>
      </c>
      <c r="H17" s="840">
        <f>5245+Sam2019alltestsptscon</f>
        <v>5447</v>
      </c>
      <c r="I17" s="840">
        <f>508+Sam2019allteststriescored</f>
        <v>522</v>
      </c>
    </row>
    <row r="18" spans="1:10" x14ac:dyDescent="0.25">
      <c r="A18" s="839" t="s">
        <v>35</v>
      </c>
      <c r="B18" s="840">
        <f>687+Sco2019alltestsplayed</f>
        <v>700</v>
      </c>
      <c r="C18" s="840">
        <f>296+Sco2019alltestswon</f>
        <v>302</v>
      </c>
      <c r="D18" s="840">
        <f>359+Sco2019alltestslost</f>
        <v>365</v>
      </c>
      <c r="E18" s="840">
        <f>32+Sco2019alltestsdrawn</f>
        <v>33</v>
      </c>
      <c r="F18" s="841">
        <f t="shared" si="0"/>
        <v>0.45500000000000002</v>
      </c>
      <c r="G18" s="840">
        <f>9603+Sco2019alltestsptsscored</f>
        <v>9927</v>
      </c>
      <c r="H18" s="840">
        <f>10364+Sco2019alltestsptsagainst</f>
        <v>10609</v>
      </c>
      <c r="I18" s="839">
        <f>1225+Sco2019allteststriesscored</f>
        <v>1268</v>
      </c>
    </row>
    <row r="19" spans="1:10" x14ac:dyDescent="0.25">
      <c r="A19" s="839" t="s">
        <v>561</v>
      </c>
      <c r="B19" s="840">
        <f>491+Rsa2019alltestsplayed</f>
        <v>503</v>
      </c>
      <c r="C19" s="840">
        <f>305+Rsa2019alltestswon</f>
        <v>315</v>
      </c>
      <c r="D19" s="840">
        <f>163+Rsa2019alltestslost</f>
        <v>164</v>
      </c>
      <c r="E19" s="840">
        <f>23+Rsa2019alltestsdrawn</f>
        <v>24</v>
      </c>
      <c r="F19" s="841">
        <f t="shared" si="0"/>
        <v>0.6500994035785288</v>
      </c>
      <c r="G19" s="840">
        <f>11391+Rsa2019alltestsptsscored</f>
        <v>11815</v>
      </c>
      <c r="H19" s="840">
        <f>7994+Rsa2019alltestsptscon</f>
        <v>8132</v>
      </c>
      <c r="I19" s="839">
        <f>1376+Rsa2019allteststriesscored</f>
        <v>1428</v>
      </c>
    </row>
    <row r="20" spans="1:10" x14ac:dyDescent="0.25">
      <c r="A20" s="839" t="s">
        <v>145</v>
      </c>
      <c r="B20" s="840">
        <f>275+Ton2019alltestsplayed</f>
        <v>284</v>
      </c>
      <c r="C20" s="840">
        <f>106+Ton2019alltestswon</f>
        <v>108</v>
      </c>
      <c r="D20" s="840">
        <f>162+Ton2019alltestslost</f>
        <v>169</v>
      </c>
      <c r="E20" s="840">
        <f>7+Ton2019alltestsdrawn</f>
        <v>7</v>
      </c>
      <c r="F20" s="841">
        <v>0.57515657620041749</v>
      </c>
      <c r="G20" s="840">
        <f>5010+Ton2019alltestsptsscored</f>
        <v>5160</v>
      </c>
      <c r="H20" s="840">
        <f>6230+Ton2019alltestsptscon</f>
        <v>6545</v>
      </c>
      <c r="I20" s="839">
        <f>594+Ton2019allteststriesscored</f>
        <v>616</v>
      </c>
    </row>
    <row r="21" spans="1:10" x14ac:dyDescent="0.25">
      <c r="A21" s="839" t="s">
        <v>695</v>
      </c>
      <c r="B21" s="840">
        <f>249+USA2019alltestsplayed</f>
        <v>260</v>
      </c>
      <c r="C21" s="840">
        <f>89+USA2019alltestswon</f>
        <v>95</v>
      </c>
      <c r="D21" s="840">
        <f>156+USA2019alltestslost</f>
        <v>161</v>
      </c>
      <c r="E21" s="840">
        <f>4+USA2019alltestsdrawn</f>
        <v>4</v>
      </c>
      <c r="F21" s="841">
        <f t="shared" si="0"/>
        <v>0.37307692307692308</v>
      </c>
      <c r="G21" s="840">
        <f>5197+USA2019alltestsptsscored</f>
        <v>5489</v>
      </c>
      <c r="H21" s="840">
        <f>6688+USA2019alltestsptscon</f>
        <v>6984</v>
      </c>
      <c r="I21" s="840">
        <f>609+USA2019allteststriesscored</f>
        <v>648</v>
      </c>
    </row>
    <row r="22" spans="1:10" x14ac:dyDescent="0.25">
      <c r="A22" s="839" t="s">
        <v>107</v>
      </c>
      <c r="B22" s="840">
        <f>275+Uru2019alltestsplayedcorrect</f>
        <v>288</v>
      </c>
      <c r="C22" s="840">
        <f>129+Uru2019alltestswon</f>
        <v>136</v>
      </c>
      <c r="D22" s="840">
        <f>142+Uru2019alltestslost</f>
        <v>148</v>
      </c>
      <c r="E22" s="840">
        <f>4+Uru2019alltestsdrawn</f>
        <v>4</v>
      </c>
      <c r="F22" s="841">
        <f t="shared" si="0"/>
        <v>0.47916666666666669</v>
      </c>
      <c r="G22" s="840">
        <f>6204+Uru2019alltestsptsscored</f>
        <v>6513</v>
      </c>
      <c r="H22" s="840">
        <f>7012+Uru2019alltestsptscon</f>
        <v>7366</v>
      </c>
      <c r="I22" s="839">
        <f>750+Uru2019allteststriesscored</f>
        <v>789</v>
      </c>
    </row>
    <row r="23" spans="1:10" x14ac:dyDescent="0.25">
      <c r="A23" s="839" t="s">
        <v>32</v>
      </c>
      <c r="B23" s="840">
        <f>717+Wal2019alltestsplayed</f>
        <v>733</v>
      </c>
      <c r="C23" s="840">
        <f>374+Wal2019alltestswon</f>
        <v>385</v>
      </c>
      <c r="D23" s="840">
        <f>314+Wal2019alltestslostcorrect</f>
        <v>319</v>
      </c>
      <c r="E23" s="840">
        <f>29+Wal2019alltestsdrawn</f>
        <v>29</v>
      </c>
      <c r="F23" s="841">
        <f t="shared" si="0"/>
        <v>0.54502046384720326</v>
      </c>
      <c r="G23" s="840">
        <f>12304+Wal2019alltestsptsscored</f>
        <v>12666</v>
      </c>
      <c r="H23" s="840">
        <f>10795+Wal2019alltestsptscon</f>
        <v>11087</v>
      </c>
      <c r="I23" s="840">
        <f>1556+Wal2019allteststriesscored</f>
        <v>1595</v>
      </c>
    </row>
    <row r="24" spans="1:10" x14ac:dyDescent="0.25">
      <c r="A24" s="835" t="s">
        <v>1013</v>
      </c>
      <c r="B24" s="836"/>
      <c r="C24" s="836"/>
      <c r="D24" s="836"/>
      <c r="E24" s="836"/>
      <c r="F24" s="836"/>
      <c r="G24" s="836"/>
      <c r="H24" s="836"/>
      <c r="I24" s="836"/>
    </row>
    <row r="26" spans="1:10" x14ac:dyDescent="0.25">
      <c r="A26" s="672" t="s">
        <v>985</v>
      </c>
      <c r="B26" s="674"/>
      <c r="C26" s="674"/>
      <c r="D26" s="674"/>
      <c r="E26" s="674"/>
      <c r="F26" s="674"/>
      <c r="G26" s="674"/>
      <c r="H26" s="674"/>
      <c r="I26" s="674"/>
      <c r="J26" s="674"/>
    </row>
    <row r="27" spans="1:10" x14ac:dyDescent="0.25">
      <c r="A27" s="842"/>
      <c r="B27" s="843" t="s">
        <v>627</v>
      </c>
      <c r="C27" s="843" t="s">
        <v>628</v>
      </c>
      <c r="D27" s="843" t="s">
        <v>629</v>
      </c>
      <c r="E27" s="843" t="s">
        <v>634</v>
      </c>
      <c r="F27" s="843" t="s">
        <v>630</v>
      </c>
      <c r="G27" s="843" t="s">
        <v>631</v>
      </c>
      <c r="H27" s="843" t="s">
        <v>632</v>
      </c>
      <c r="I27" s="843" t="s">
        <v>633</v>
      </c>
      <c r="J27" s="843" t="s">
        <v>694</v>
      </c>
    </row>
    <row r="28" spans="1:10" x14ac:dyDescent="0.25">
      <c r="A28" s="844" t="s">
        <v>37</v>
      </c>
      <c r="B28" s="845">
        <f>37+arg2019rwcplayed</f>
        <v>41</v>
      </c>
      <c r="C28" s="845">
        <f>19+arg2019rwcwon</f>
        <v>21</v>
      </c>
      <c r="D28" s="845">
        <f>18+arg2019rwclost</f>
        <v>20</v>
      </c>
      <c r="E28" s="845">
        <f>0+arg2019rwcdrawn</f>
        <v>0</v>
      </c>
      <c r="F28" s="846">
        <f t="shared" ref="F28:F48" si="1">SUM(C28+E28*0.5)/B28</f>
        <v>0.51219512195121952</v>
      </c>
      <c r="G28" s="845">
        <f>992+arg2019rwcptsscored</f>
        <v>1098</v>
      </c>
      <c r="H28" s="845">
        <f>748+arg2019rwcptsconc</f>
        <v>839</v>
      </c>
      <c r="I28" s="844">
        <f>101+arg2019rwctriesscored</f>
        <v>115</v>
      </c>
      <c r="J28" s="674">
        <f>8+RWC2019startarg</f>
        <v>9</v>
      </c>
    </row>
    <row r="29" spans="1:10" x14ac:dyDescent="0.25">
      <c r="A29" s="844" t="s">
        <v>29</v>
      </c>
      <c r="B29" s="845">
        <f>48+Aus2019rwcplayed</f>
        <v>53</v>
      </c>
      <c r="C29" s="845">
        <f>39+Aus2019rwcwon</f>
        <v>42</v>
      </c>
      <c r="D29" s="845">
        <f>9+Aus2019rwclostcorrect</f>
        <v>11</v>
      </c>
      <c r="E29" s="845">
        <f>0+Aus2019rwcdrawn</f>
        <v>0</v>
      </c>
      <c r="F29" s="846">
        <f t="shared" si="1"/>
        <v>0.79245283018867929</v>
      </c>
      <c r="G29" s="845">
        <f>1645+Aus2019rwcptsscored</f>
        <v>1797</v>
      </c>
      <c r="H29" s="845">
        <f>646+Aus2019rwcptsagainst</f>
        <v>754</v>
      </c>
      <c r="I29" s="845">
        <f>209+Aus2019rwctriesscored</f>
        <v>230</v>
      </c>
      <c r="J29" s="674">
        <f>8+RWC2019startaus</f>
        <v>9</v>
      </c>
    </row>
    <row r="30" spans="1:10" x14ac:dyDescent="0.25">
      <c r="A30" s="844" t="s">
        <v>40</v>
      </c>
      <c r="B30" s="845">
        <f>29+can2019rwcplayed</f>
        <v>33</v>
      </c>
      <c r="C30" s="845">
        <f>7+can2019rwcwon</f>
        <v>7</v>
      </c>
      <c r="D30" s="845">
        <f>20+can2019rwclost</f>
        <v>23</v>
      </c>
      <c r="E30" s="845">
        <f>2+can2019rwcdrawn</f>
        <v>3</v>
      </c>
      <c r="F30" s="846">
        <f t="shared" si="1"/>
        <v>0.25757575757575757</v>
      </c>
      <c r="G30" s="845">
        <f>527+can2019rwcptsscored</f>
        <v>541</v>
      </c>
      <c r="H30" s="845">
        <f>838+can2019rwcptsagainst</f>
        <v>1015</v>
      </c>
      <c r="I30" s="845">
        <f>56+can2019rwctriesscored</f>
        <v>58</v>
      </c>
      <c r="J30" s="674">
        <f>8+RWC2019startcan</f>
        <v>9</v>
      </c>
    </row>
    <row r="31" spans="1:10" x14ac:dyDescent="0.25">
      <c r="A31" s="844" t="s">
        <v>30</v>
      </c>
      <c r="B31" s="845">
        <f>44+Eng2019RWCplayed</f>
        <v>51</v>
      </c>
      <c r="C31" s="845">
        <f>31+Eng2019RWCwon</f>
        <v>36</v>
      </c>
      <c r="D31" s="845">
        <f>13++Eng2019RWClost</f>
        <v>14</v>
      </c>
      <c r="E31" s="845">
        <f>0+Eng2019RWCdrawn</f>
        <v>1</v>
      </c>
      <c r="F31" s="846">
        <f t="shared" si="1"/>
        <v>0.71568627450980393</v>
      </c>
      <c r="G31" s="845">
        <f>1379+Eng2019RWCptsscored</f>
        <v>1569</v>
      </c>
      <c r="H31" s="845">
        <f>708+Eng2019RWCptsagainst</f>
        <v>783</v>
      </c>
      <c r="I31" s="844">
        <f>147+Eng2019RWCtriesscored</f>
        <v>169</v>
      </c>
      <c r="J31" s="674">
        <f>8+RWC2019starteng</f>
        <v>9</v>
      </c>
    </row>
    <row r="32" spans="1:10" x14ac:dyDescent="0.25">
      <c r="A32" s="844" t="s">
        <v>31</v>
      </c>
      <c r="B32" s="845">
        <f>28+Fij2019RWCplayed</f>
        <v>32</v>
      </c>
      <c r="C32" s="845">
        <f>10+Fij2019RWCwonj</f>
        <v>11</v>
      </c>
      <c r="D32" s="845">
        <f>18+Fij2019RWClost</f>
        <v>21</v>
      </c>
      <c r="E32" s="845">
        <f>0+Fij2019RWCdrawn</f>
        <v>0</v>
      </c>
      <c r="F32" s="846">
        <f t="shared" si="1"/>
        <v>0.34375</v>
      </c>
      <c r="G32" s="845">
        <f>622+Fij2019RWCptsscored</f>
        <v>732</v>
      </c>
      <c r="H32" s="845">
        <f>863+Fij2019RWCptsagainst</f>
        <v>971</v>
      </c>
      <c r="I32" s="844">
        <f>69+Fij2019RWCtriesscored</f>
        <v>86</v>
      </c>
      <c r="J32" s="674">
        <f>7+RWC2019startfij</f>
        <v>8</v>
      </c>
    </row>
    <row r="33" spans="1:10" x14ac:dyDescent="0.25">
      <c r="A33" s="844" t="s">
        <v>34</v>
      </c>
      <c r="B33" s="845">
        <f>48+Fra2019RWCplayed</f>
        <v>53</v>
      </c>
      <c r="C33" s="845">
        <f>33+Fra2019RWCwon</f>
        <v>36</v>
      </c>
      <c r="D33" s="845">
        <f>14+Fra2019RWClost</f>
        <v>15</v>
      </c>
      <c r="E33" s="845">
        <f>1+Fra2019RWCdrawn</f>
        <v>2</v>
      </c>
      <c r="F33" s="846">
        <f t="shared" si="1"/>
        <v>0.69811320754716977</v>
      </c>
      <c r="G33" s="845">
        <f>1487+Fra2019RWCptsscored</f>
        <v>1585</v>
      </c>
      <c r="H33" s="845">
        <f>895+Fra2019RWCptsagainst</f>
        <v>966</v>
      </c>
      <c r="I33" s="844">
        <f>171+Fra2019RWCtriesscored</f>
        <v>183</v>
      </c>
      <c r="J33" s="674">
        <f>8+RWC2019startfra</f>
        <v>9</v>
      </c>
    </row>
    <row r="34" spans="1:10" x14ac:dyDescent="0.25">
      <c r="A34" s="844" t="s">
        <v>38</v>
      </c>
      <c r="B34" s="845">
        <f>16+Geo2019RWCplayed</f>
        <v>20</v>
      </c>
      <c r="C34" s="845">
        <f>4+Geo2019RWCwon</f>
        <v>5</v>
      </c>
      <c r="D34" s="845">
        <f>12+Geo2019RWClost</f>
        <v>15</v>
      </c>
      <c r="E34" s="845">
        <f>0+Geo2019RWCdrawn</f>
        <v>0</v>
      </c>
      <c r="F34" s="846">
        <f t="shared" si="1"/>
        <v>0.25</v>
      </c>
      <c r="G34" s="845">
        <f>197+Geo2019RWCptsscored</f>
        <v>262</v>
      </c>
      <c r="H34" s="845">
        <f>524+Geo2019RWCptsagainst</f>
        <v>646</v>
      </c>
      <c r="I34" s="844">
        <f>14+Geo2019RWCtriesscored</f>
        <v>23</v>
      </c>
      <c r="J34" s="674">
        <f>4+RWC2019startgeo</f>
        <v>5</v>
      </c>
    </row>
    <row r="35" spans="1:10" x14ac:dyDescent="0.25">
      <c r="A35" s="844" t="s">
        <v>39</v>
      </c>
      <c r="B35" s="845">
        <f>35+Ire2019RWCplayed</f>
        <v>40</v>
      </c>
      <c r="C35" s="845">
        <f>21+Ire2019RWCwon</f>
        <v>24</v>
      </c>
      <c r="D35" s="845">
        <f>14+Ire2019RWClost</f>
        <v>16</v>
      </c>
      <c r="E35" s="845">
        <f>0+Ire2019RWCdrawn</f>
        <v>0</v>
      </c>
      <c r="F35" s="846">
        <f t="shared" si="1"/>
        <v>0.6</v>
      </c>
      <c r="G35" s="845">
        <f>973+Ire2019RWCptsscored</f>
        <v>1108</v>
      </c>
      <c r="H35" s="845">
        <f>662+Ire2019RWCptsagainst</f>
        <v>735</v>
      </c>
      <c r="I35" s="844">
        <f>114+Ire2019RWCtriesscored</f>
        <v>134</v>
      </c>
      <c r="J35" s="674">
        <f>8+RWC2019startire</f>
        <v>9</v>
      </c>
    </row>
    <row r="36" spans="1:10" x14ac:dyDescent="0.25">
      <c r="A36" s="844" t="s">
        <v>33</v>
      </c>
      <c r="B36" s="845">
        <f>28+ita2019RWCplayed</f>
        <v>32</v>
      </c>
      <c r="C36" s="845">
        <f>11+ita2019RWCwon</f>
        <v>13</v>
      </c>
      <c r="D36" s="845">
        <f>17+ita2019RWClost</f>
        <v>18</v>
      </c>
      <c r="E36" s="845">
        <f>0+ita2019RWCdrawn</f>
        <v>1</v>
      </c>
      <c r="F36" s="846">
        <f t="shared" si="1"/>
        <v>0.421875</v>
      </c>
      <c r="G36" s="845">
        <f>529++ita2019RWCptsscored</f>
        <v>627</v>
      </c>
      <c r="H36" s="845">
        <f>899+ita2019RWCptscon</f>
        <v>977</v>
      </c>
      <c r="I36" s="845">
        <f>54+ita2019RWCtriesscored</f>
        <v>68</v>
      </c>
      <c r="J36" s="674">
        <f>8+RWC2019startita</f>
        <v>9</v>
      </c>
    </row>
    <row r="37" spans="1:10" x14ac:dyDescent="0.25">
      <c r="A37" s="844" t="s">
        <v>692</v>
      </c>
      <c r="B37" s="845">
        <v>3</v>
      </c>
      <c r="C37" s="845">
        <v>0</v>
      </c>
      <c r="D37" s="845">
        <v>3</v>
      </c>
      <c r="E37" s="845">
        <v>0</v>
      </c>
      <c r="F37" s="846">
        <f t="shared" si="1"/>
        <v>0</v>
      </c>
      <c r="G37" s="845">
        <v>29</v>
      </c>
      <c r="H37" s="845">
        <v>172</v>
      </c>
      <c r="I37" s="845">
        <v>3</v>
      </c>
      <c r="J37" s="674">
        <v>1</v>
      </c>
    </row>
    <row r="38" spans="1:10" x14ac:dyDescent="0.25">
      <c r="A38" s="844" t="s">
        <v>36</v>
      </c>
      <c r="B38" s="845">
        <f>28+jpn2019rwcplayed</f>
        <v>33</v>
      </c>
      <c r="C38" s="845">
        <f>4+jpn2019rwcwon</f>
        <v>8</v>
      </c>
      <c r="D38" s="845">
        <f>22+jpn2019rwclost</f>
        <v>23</v>
      </c>
      <c r="E38" s="845">
        <f>2+jpn2019rwcdrawn</f>
        <v>2</v>
      </c>
      <c r="F38" s="846">
        <f t="shared" si="1"/>
        <v>0.27272727272727271</v>
      </c>
      <c r="G38" s="845">
        <f>526+jpn2019rwcptsscored</f>
        <v>644</v>
      </c>
      <c r="H38" s="845">
        <f>1259+jpn2019rwcptsagainst</f>
        <v>1347</v>
      </c>
      <c r="I38" s="845">
        <f>60+jpn2019rwctriesscored</f>
        <v>73</v>
      </c>
      <c r="J38" s="674">
        <f>8+RWC2019startjpn</f>
        <v>9</v>
      </c>
    </row>
    <row r="39" spans="1:10" x14ac:dyDescent="0.25">
      <c r="A39" s="844" t="s">
        <v>193</v>
      </c>
      <c r="B39" s="845">
        <f>19+Nam2019RWCplayed</f>
        <v>23</v>
      </c>
      <c r="C39" s="845">
        <f>0+Nam2019RWCwon</f>
        <v>0</v>
      </c>
      <c r="D39" s="845">
        <f>19+Nam2019RWClost</f>
        <v>22</v>
      </c>
      <c r="E39" s="845">
        <f>0+Nam2019RWCdrawn</f>
        <v>1</v>
      </c>
      <c r="F39" s="846">
        <f t="shared" si="1"/>
        <v>2.1739130434782608E-2</v>
      </c>
      <c r="G39" s="845">
        <f>214+Nam2019RWCptsscored</f>
        <v>248</v>
      </c>
      <c r="H39" s="845">
        <f>1148+Nam2019RWCptsagainst</f>
        <v>1323</v>
      </c>
      <c r="I39" s="844">
        <f>24+Nam2019RWCtriesscored</f>
        <v>27</v>
      </c>
      <c r="J39" s="674">
        <f>5+RWC2019startnam</f>
        <v>6</v>
      </c>
    </row>
    <row r="40" spans="1:10" x14ac:dyDescent="0.25">
      <c r="A40" s="844" t="s">
        <v>563</v>
      </c>
      <c r="B40" s="845">
        <f>50+Nzl2019RWCplayed</f>
        <v>57</v>
      </c>
      <c r="C40" s="845">
        <f>44+Nzl2019RWCwon</f>
        <v>49</v>
      </c>
      <c r="D40" s="845">
        <f>6+Nzl2019RWClost</f>
        <v>7</v>
      </c>
      <c r="E40" s="845">
        <f>0+Nzl2019RWCdrawn</f>
        <v>1</v>
      </c>
      <c r="F40" s="846">
        <f t="shared" si="1"/>
        <v>0.86842105263157898</v>
      </c>
      <c r="G40" s="845">
        <f>2302+Nzl2019RWCptsscored</f>
        <v>2552</v>
      </c>
      <c r="H40" s="845">
        <f>681+Nzl2019RWCptsscon</f>
        <v>753</v>
      </c>
      <c r="I40" s="844">
        <f>311+Nzl2019RWCtriesscored</f>
        <v>347</v>
      </c>
      <c r="J40" s="674">
        <f>8+RWC2019startnzl</f>
        <v>9</v>
      </c>
    </row>
    <row r="41" spans="1:10" x14ac:dyDescent="0.25">
      <c r="A41" s="844" t="s">
        <v>257</v>
      </c>
      <c r="B41" s="845">
        <v>4</v>
      </c>
      <c r="C41" s="845">
        <v>0</v>
      </c>
      <c r="D41" s="845">
        <v>4</v>
      </c>
      <c r="E41" s="845">
        <v>0</v>
      </c>
      <c r="F41" s="846">
        <f t="shared" si="1"/>
        <v>0</v>
      </c>
      <c r="G41" s="845">
        <v>38</v>
      </c>
      <c r="H41" s="845">
        <v>209</v>
      </c>
      <c r="I41" s="844">
        <v>4</v>
      </c>
      <c r="J41" s="674">
        <v>1</v>
      </c>
    </row>
    <row r="42" spans="1:10" x14ac:dyDescent="0.25">
      <c r="A42" s="844" t="s">
        <v>244</v>
      </c>
      <c r="B42" s="845">
        <v>28</v>
      </c>
      <c r="C42" s="845">
        <v>6</v>
      </c>
      <c r="D42" s="845">
        <v>22</v>
      </c>
      <c r="E42" s="845">
        <v>0</v>
      </c>
      <c r="F42" s="846">
        <f t="shared" si="1"/>
        <v>0.21428571428571427</v>
      </c>
      <c r="G42" s="845">
        <v>365</v>
      </c>
      <c r="H42" s="845">
        <v>1068</v>
      </c>
      <c r="I42" s="844">
        <v>40</v>
      </c>
      <c r="J42" s="674">
        <v>8</v>
      </c>
    </row>
    <row r="43" spans="1:10" x14ac:dyDescent="0.25">
      <c r="A43" s="844" t="s">
        <v>105</v>
      </c>
      <c r="B43" s="845">
        <f>4+Rus2019RWCplayed</f>
        <v>8</v>
      </c>
      <c r="C43" s="845">
        <f>0+Rus2019RWCwon</f>
        <v>0</v>
      </c>
      <c r="D43" s="845">
        <f>4+Rus2019RWClost</f>
        <v>8</v>
      </c>
      <c r="E43" s="845">
        <f>0+Rus2019RWCdrawn</f>
        <v>0</v>
      </c>
      <c r="F43" s="846">
        <f t="shared" si="1"/>
        <v>0</v>
      </c>
      <c r="G43" s="845">
        <f>57+Rus2019RWCptsscored</f>
        <v>76</v>
      </c>
      <c r="H43" s="845">
        <f>196+Rus2019RWCptscon</f>
        <v>356</v>
      </c>
      <c r="I43" s="845">
        <f>8+Rus2019RWCtriesscored</f>
        <v>9</v>
      </c>
      <c r="J43" s="674">
        <f>1+RWC2019startrus</f>
        <v>2</v>
      </c>
    </row>
    <row r="44" spans="1:10" x14ac:dyDescent="0.25">
      <c r="A44" s="844" t="s">
        <v>148</v>
      </c>
      <c r="B44" s="845">
        <f>28+Sam2019RWCplayed</f>
        <v>32</v>
      </c>
      <c r="C44" s="845">
        <f>12+Sam2019RWCwon</f>
        <v>13</v>
      </c>
      <c r="D44" s="845">
        <f>16+Sam2019RWClost</f>
        <v>19</v>
      </c>
      <c r="E44" s="845">
        <f>0+Sam2019RWCdrawn</f>
        <v>0</v>
      </c>
      <c r="F44" s="846">
        <f t="shared" si="1"/>
        <v>0.40625</v>
      </c>
      <c r="G44" s="845">
        <f>654+Sam2019RWCptsscored</f>
        <v>712</v>
      </c>
      <c r="H44" s="845">
        <f>732+Sam2019RWCptscon</f>
        <v>860</v>
      </c>
      <c r="I44" s="845">
        <f>75+Sam2019RWCtriescored</f>
        <v>83</v>
      </c>
      <c r="J44" s="674">
        <f>7+RWC2019startsam</f>
        <v>8</v>
      </c>
    </row>
    <row r="45" spans="1:10" x14ac:dyDescent="0.25">
      <c r="A45" s="844" t="s">
        <v>35</v>
      </c>
      <c r="B45" s="845">
        <f>38+Sco2019RWCplayed</f>
        <v>42</v>
      </c>
      <c r="C45" s="845">
        <f>22+Sco2019RWCwon</f>
        <v>24</v>
      </c>
      <c r="D45" s="845">
        <f>15+Sco2019RWClost</f>
        <v>17</v>
      </c>
      <c r="E45" s="845">
        <f>1+Sco2019RWCdrawn</f>
        <v>1</v>
      </c>
      <c r="F45" s="846">
        <f t="shared" si="1"/>
        <v>0.58333333333333337</v>
      </c>
      <c r="G45" s="845">
        <f>1142+Sco2019RWCptsscored</f>
        <v>1261</v>
      </c>
      <c r="H45" s="845">
        <f>748+Sco2019RWCptscon</f>
        <v>803</v>
      </c>
      <c r="I45" s="844">
        <f>130+Sco2019RWCtriesscored</f>
        <v>146</v>
      </c>
      <c r="J45" s="674">
        <f>8+RWC2019startsco</f>
        <v>9</v>
      </c>
    </row>
    <row r="46" spans="1:10" x14ac:dyDescent="0.25">
      <c r="A46" s="844" t="s">
        <v>561</v>
      </c>
      <c r="B46" s="845">
        <f>36+Rsa2019RWCplayed</f>
        <v>43</v>
      </c>
      <c r="C46" s="845">
        <f>30+Rsa2019RWCwon</f>
        <v>36</v>
      </c>
      <c r="D46" s="845">
        <f>6+Rsa2019RWClost</f>
        <v>7</v>
      </c>
      <c r="E46" s="845">
        <f>+Rsa2019RWCdrawn</f>
        <v>0</v>
      </c>
      <c r="F46" s="846">
        <f t="shared" si="1"/>
        <v>0.83720930232558144</v>
      </c>
      <c r="G46" s="845">
        <f>1250+Rsa2019RWCptsscored</f>
        <v>1512</v>
      </c>
      <c r="H46" s="845">
        <f>486+Rsa2019RWCptscon</f>
        <v>553</v>
      </c>
      <c r="I46" s="844">
        <f>141+Rsa2019RWCtriesscored</f>
        <v>174</v>
      </c>
      <c r="J46" s="674">
        <f>6+RWC2019startrsa</f>
        <v>7</v>
      </c>
    </row>
    <row r="47" spans="1:10" x14ac:dyDescent="0.25">
      <c r="A47" s="844" t="s">
        <v>253</v>
      </c>
      <c r="B47" s="845">
        <v>3</v>
      </c>
      <c r="C47" s="845">
        <v>0</v>
      </c>
      <c r="D47" s="845">
        <v>3</v>
      </c>
      <c r="E47" s="845">
        <v>0</v>
      </c>
      <c r="F47" s="846">
        <f t="shared" si="1"/>
        <v>0</v>
      </c>
      <c r="G47" s="845">
        <v>18</v>
      </c>
      <c r="H47" s="845">
        <v>122</v>
      </c>
      <c r="I47" s="844">
        <v>0</v>
      </c>
      <c r="J47" s="674">
        <v>1</v>
      </c>
    </row>
    <row r="48" spans="1:10" x14ac:dyDescent="0.25">
      <c r="A48" s="844" t="s">
        <v>145</v>
      </c>
      <c r="B48" s="845">
        <f>25+Ton2019RWCplayed</f>
        <v>29</v>
      </c>
      <c r="C48" s="845">
        <f>7+Ton2019RWCwon</f>
        <v>8</v>
      </c>
      <c r="D48" s="845">
        <f>18+Ton2019RWClost</f>
        <v>21</v>
      </c>
      <c r="E48" s="845">
        <f>0+Ton2019RWCdrawn</f>
        <v>0</v>
      </c>
      <c r="F48" s="846">
        <f t="shared" si="1"/>
        <v>0.27586206896551724</v>
      </c>
      <c r="G48" s="845">
        <f>405+Ton2019RWCptsscored</f>
        <v>472</v>
      </c>
      <c r="H48" s="845">
        <f>861+Ton2019RWCptscon</f>
        <v>966</v>
      </c>
      <c r="I48" s="844">
        <f>44+Ton2019RWCtriesscored</f>
        <v>53</v>
      </c>
      <c r="J48" s="674">
        <f>7+RWCstartton</f>
        <v>8</v>
      </c>
    </row>
    <row r="49" spans="1:10" x14ac:dyDescent="0.25">
      <c r="A49" s="844" t="s">
        <v>695</v>
      </c>
      <c r="B49" s="845">
        <f>25+USA2019RWCplayed</f>
        <v>29</v>
      </c>
      <c r="C49" s="845">
        <f>3+USA2019RWCwon</f>
        <v>3</v>
      </c>
      <c r="D49" s="845">
        <f>22++USA2019RWClost</f>
        <v>26</v>
      </c>
      <c r="E49" s="845">
        <f>0+USA2019RWCdrawn</f>
        <v>0</v>
      </c>
      <c r="F49" s="846">
        <f t="shared" ref="F49:F51" si="2">SUM(C49+E49*0.5)/B49</f>
        <v>0.10344827586206896</v>
      </c>
      <c r="G49" s="845">
        <f>350+USA2019RWCptsscored</f>
        <v>402</v>
      </c>
      <c r="H49" s="845">
        <f>892+USA2019RWCptscon</f>
        <v>1048</v>
      </c>
      <c r="I49" s="845">
        <f>37+USA2019RWCtriesscored</f>
        <v>44</v>
      </c>
      <c r="J49" s="674">
        <f>7+RWCstartUSA</f>
        <v>8</v>
      </c>
    </row>
    <row r="50" spans="1:10" x14ac:dyDescent="0.25">
      <c r="A50" s="844" t="s">
        <v>107</v>
      </c>
      <c r="B50" s="845">
        <f>11+Uru2019RWCplayed</f>
        <v>15</v>
      </c>
      <c r="C50" s="845">
        <f>2+Uru2019RWCwon</f>
        <v>3</v>
      </c>
      <c r="D50" s="845">
        <f>9+Uru2019RWClostcorrect</f>
        <v>12</v>
      </c>
      <c r="E50" s="845">
        <f>0+Uru2019RWCdrawn</f>
        <v>0</v>
      </c>
      <c r="F50" s="846">
        <f t="shared" si="2"/>
        <v>0.2</v>
      </c>
      <c r="G50" s="845">
        <f>128+Uru2019RWCptsscored</f>
        <v>188</v>
      </c>
      <c r="H50" s="845">
        <f>578+Uru2019RWCptscon</f>
        <v>718</v>
      </c>
      <c r="I50" s="844">
        <f>12+Uru2019RWCtriesscored</f>
        <v>18</v>
      </c>
      <c r="J50" s="674">
        <f>3+RWCstartUru</f>
        <v>4</v>
      </c>
    </row>
    <row r="51" spans="1:10" x14ac:dyDescent="0.25">
      <c r="A51" s="844" t="s">
        <v>32</v>
      </c>
      <c r="B51" s="845">
        <f>37+Wal2019RWCplayed</f>
        <v>44</v>
      </c>
      <c r="C51" s="845">
        <f>21+Wal2019RWCwon</f>
        <v>26</v>
      </c>
      <c r="D51" s="845">
        <f>16+Wal2019RWClost</f>
        <v>18</v>
      </c>
      <c r="E51" s="845">
        <f>0+Wal2019RWCdrawn</f>
        <v>0</v>
      </c>
      <c r="F51" s="846">
        <f t="shared" si="2"/>
        <v>0.59090909090909094</v>
      </c>
      <c r="G51" s="845">
        <f>1049+Wal2019RWCptsscored</f>
        <v>1238</v>
      </c>
      <c r="H51" s="845">
        <f>718+Wal2019RWCptscon</f>
        <v>865</v>
      </c>
      <c r="I51" s="845">
        <f>127+Wal2019RWCtriesscored</f>
        <v>149</v>
      </c>
      <c r="J51" s="674">
        <f>8+RWCstartwal</f>
        <v>9</v>
      </c>
    </row>
    <row r="52" spans="1:10" x14ac:dyDescent="0.25">
      <c r="A52" s="844" t="s">
        <v>693</v>
      </c>
      <c r="B52" s="845">
        <v>6</v>
      </c>
      <c r="C52" s="845">
        <v>0</v>
      </c>
      <c r="D52" s="845">
        <v>6</v>
      </c>
      <c r="E52" s="845">
        <v>0</v>
      </c>
      <c r="F52" s="846">
        <f t="shared" ref="F52" si="3">SUM(C52+E52*0.5)/B52</f>
        <v>0</v>
      </c>
      <c r="G52" s="845">
        <v>84</v>
      </c>
      <c r="H52" s="845">
        <v>309</v>
      </c>
      <c r="I52" s="845">
        <v>11</v>
      </c>
      <c r="J52" s="674">
        <v>2</v>
      </c>
    </row>
    <row r="53" spans="1:10" x14ac:dyDescent="0.25">
      <c r="A53" s="847" t="s">
        <v>57</v>
      </c>
      <c r="B53" s="848">
        <f>SUM(B28:B52)/2</f>
        <v>377</v>
      </c>
      <c r="C53" s="848">
        <f>SUM(C28:C52)/2</f>
        <v>185.5</v>
      </c>
      <c r="D53" s="848">
        <f>SUM(D28:D52)/2</f>
        <v>185.5</v>
      </c>
      <c r="E53" s="848">
        <f>SUM(E28:E52)/2</f>
        <v>6</v>
      </c>
      <c r="F53" s="673" t="s">
        <v>108</v>
      </c>
      <c r="G53" s="672">
        <f>SUM(G28:G52)</f>
        <v>19158</v>
      </c>
      <c r="H53" s="672">
        <f>SUM(H28:H52)</f>
        <v>19158</v>
      </c>
      <c r="I53" s="672">
        <f>SUM(I28:I52)</f>
        <v>2247</v>
      </c>
      <c r="J53" s="848">
        <f>SUM(J28:J52)/18.5</f>
        <v>9.0810810810810807</v>
      </c>
    </row>
    <row r="54" spans="1:10" x14ac:dyDescent="0.25">
      <c r="A54" s="672" t="s">
        <v>1014</v>
      </c>
      <c r="B54" s="674"/>
      <c r="C54" s="674"/>
      <c r="D54" s="674"/>
      <c r="E54" s="674"/>
      <c r="F54" s="674"/>
      <c r="G54" s="674"/>
      <c r="H54" s="674"/>
      <c r="I54" s="674"/>
      <c r="J54" s="67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T27"/>
  <sheetViews>
    <sheetView workbookViewId="0">
      <pane ySplit="2" topLeftCell="A3" activePane="bottomLeft" state="frozen"/>
      <selection pane="bottomLeft" activeCell="U10" sqref="U10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20" width="6.25" customWidth="1"/>
    <col min="21" max="21" width="28.5" bestFit="1" customWidth="1"/>
    <col min="22" max="22" width="22" customWidth="1"/>
    <col min="23" max="23" width="30.5" bestFit="1" customWidth="1"/>
    <col min="24" max="24" width="30.5" customWidth="1"/>
    <col min="25" max="40" width="3.7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1062" t="s">
        <v>153</v>
      </c>
      <c r="B1" s="1063"/>
      <c r="C1" s="1063"/>
      <c r="D1" s="153"/>
      <c r="E1" s="1064" t="s">
        <v>24</v>
      </c>
      <c r="F1" s="1065"/>
      <c r="G1" s="1066"/>
      <c r="H1" s="1064" t="s">
        <v>23</v>
      </c>
      <c r="I1" s="1066"/>
      <c r="J1" s="1059" t="s">
        <v>6</v>
      </c>
      <c r="K1" s="1060"/>
      <c r="L1" s="1060"/>
      <c r="M1" s="1061"/>
      <c r="N1" s="1059" t="s">
        <v>7</v>
      </c>
      <c r="O1" s="1061"/>
      <c r="P1" s="1059" t="s">
        <v>25</v>
      </c>
      <c r="Q1" s="1060"/>
      <c r="R1" s="1061"/>
      <c r="S1" s="871" t="s">
        <v>8</v>
      </c>
      <c r="T1" s="871" t="s">
        <v>9</v>
      </c>
      <c r="U1" s="17" t="s">
        <v>10</v>
      </c>
      <c r="V1" s="16" t="s">
        <v>11</v>
      </c>
      <c r="W1" s="18" t="s">
        <v>26</v>
      </c>
      <c r="X1" s="176" t="s">
        <v>27</v>
      </c>
      <c r="Y1" s="1056" t="s">
        <v>20</v>
      </c>
      <c r="Z1" s="1044"/>
      <c r="AA1" s="1044"/>
      <c r="AB1" s="1045"/>
      <c r="AC1" s="1056" t="s">
        <v>61</v>
      </c>
      <c r="AD1" s="1044"/>
      <c r="AE1" s="1044"/>
      <c r="AF1" s="1045"/>
      <c r="AG1" s="1056" t="s">
        <v>62</v>
      </c>
      <c r="AH1" s="1044"/>
      <c r="AI1" s="1044"/>
      <c r="AJ1" s="1045"/>
      <c r="AK1" s="1056" t="s">
        <v>63</v>
      </c>
      <c r="AL1" s="1057"/>
      <c r="AM1" s="1057"/>
      <c r="AN1" s="1058"/>
      <c r="AP1" s="854" t="s">
        <v>638</v>
      </c>
      <c r="AQ1" s="14"/>
      <c r="AS1" s="854" t="s">
        <v>638</v>
      </c>
    </row>
    <row r="2" spans="1:46" ht="14.95" customHeight="1" thickBot="1" x14ac:dyDescent="0.3">
      <c r="A2" s="19" t="s">
        <v>19</v>
      </c>
      <c r="B2" s="20" t="s">
        <v>18</v>
      </c>
      <c r="C2" s="21" t="s">
        <v>17</v>
      </c>
      <c r="D2" s="21" t="s">
        <v>41</v>
      </c>
      <c r="E2" s="22" t="s">
        <v>16</v>
      </c>
      <c r="F2" s="22" t="s">
        <v>4</v>
      </c>
      <c r="G2" s="22" t="s">
        <v>5</v>
      </c>
      <c r="H2" s="23" t="s">
        <v>12</v>
      </c>
      <c r="I2" s="23" t="s">
        <v>3</v>
      </c>
      <c r="J2" s="23" t="s">
        <v>12</v>
      </c>
      <c r="K2" s="23" t="s">
        <v>13</v>
      </c>
      <c r="L2" s="23" t="s">
        <v>2</v>
      </c>
      <c r="M2" s="23" t="s">
        <v>14</v>
      </c>
      <c r="N2" s="23" t="s">
        <v>15</v>
      </c>
      <c r="O2" s="23" t="s">
        <v>16</v>
      </c>
      <c r="P2" s="23" t="s">
        <v>21</v>
      </c>
      <c r="Q2" s="23" t="s">
        <v>22</v>
      </c>
      <c r="R2" s="23" t="s">
        <v>12</v>
      </c>
      <c r="S2" s="24"/>
      <c r="T2" s="25"/>
      <c r="U2" s="26"/>
      <c r="V2" s="24"/>
      <c r="W2" s="177"/>
      <c r="X2" s="27"/>
      <c r="Y2" s="500" t="s">
        <v>0</v>
      </c>
      <c r="Z2" s="500" t="s">
        <v>1</v>
      </c>
      <c r="AA2" s="500" t="s">
        <v>2</v>
      </c>
      <c r="AB2" s="500" t="s">
        <v>3</v>
      </c>
      <c r="AC2" s="500" t="s">
        <v>0</v>
      </c>
      <c r="AD2" s="500" t="s">
        <v>1</v>
      </c>
      <c r="AE2" s="500" t="s">
        <v>2</v>
      </c>
      <c r="AF2" s="500" t="s">
        <v>3</v>
      </c>
      <c r="AG2" s="500" t="s">
        <v>0</v>
      </c>
      <c r="AH2" s="500" t="s">
        <v>1</v>
      </c>
      <c r="AI2" s="500" t="s">
        <v>2</v>
      </c>
      <c r="AJ2" s="500" t="s">
        <v>3</v>
      </c>
      <c r="AK2" s="500" t="s">
        <v>0</v>
      </c>
      <c r="AL2" s="500" t="s">
        <v>1</v>
      </c>
      <c r="AM2" s="500" t="s">
        <v>2</v>
      </c>
      <c r="AN2" s="500" t="s">
        <v>3</v>
      </c>
      <c r="AP2" s="592" t="s">
        <v>112</v>
      </c>
      <c r="AQ2" s="253"/>
      <c r="AS2" s="672" t="s">
        <v>610</v>
      </c>
      <c r="AT2" s="253"/>
    </row>
    <row r="3" spans="1:46" ht="14.95" customHeight="1" thickBot="1" x14ac:dyDescent="0.3">
      <c r="A3" s="187">
        <v>43666</v>
      </c>
      <c r="B3" s="178" t="s">
        <v>109</v>
      </c>
      <c r="C3" s="178" t="s">
        <v>679</v>
      </c>
      <c r="D3" s="178" t="s">
        <v>580</v>
      </c>
      <c r="E3" s="179" t="s">
        <v>3</v>
      </c>
      <c r="F3" s="179">
        <v>17</v>
      </c>
      <c r="G3" s="179">
        <v>35</v>
      </c>
      <c r="H3" s="179">
        <v>0</v>
      </c>
      <c r="I3" s="179">
        <v>0</v>
      </c>
      <c r="J3" s="179">
        <v>2</v>
      </c>
      <c r="K3" s="179">
        <v>2</v>
      </c>
      <c r="L3" s="179">
        <v>0</v>
      </c>
      <c r="M3" s="179">
        <v>1</v>
      </c>
      <c r="N3" s="179">
        <v>1</v>
      </c>
      <c r="O3" s="179">
        <v>0</v>
      </c>
      <c r="P3" s="179">
        <v>1</v>
      </c>
      <c r="Q3" s="179">
        <v>0</v>
      </c>
      <c r="R3" s="179">
        <v>5</v>
      </c>
      <c r="S3" s="180">
        <v>51206</v>
      </c>
      <c r="T3" s="223" t="s">
        <v>719</v>
      </c>
      <c r="U3" s="181" t="s">
        <v>273</v>
      </c>
      <c r="V3" s="180" t="s">
        <v>131</v>
      </c>
      <c r="W3" s="182" t="s">
        <v>295</v>
      </c>
      <c r="X3" s="183" t="s">
        <v>233</v>
      </c>
      <c r="Y3" s="184">
        <v>1</v>
      </c>
      <c r="Z3" s="184">
        <v>0</v>
      </c>
      <c r="AA3" s="184">
        <v>0</v>
      </c>
      <c r="AB3" s="185">
        <v>1</v>
      </c>
      <c r="AC3" s="184">
        <v>0</v>
      </c>
      <c r="AD3" s="184">
        <v>0</v>
      </c>
      <c r="AE3" s="184">
        <v>0</v>
      </c>
      <c r="AF3" s="185">
        <v>0</v>
      </c>
      <c r="AG3" s="184">
        <v>1</v>
      </c>
      <c r="AH3" s="184">
        <v>0</v>
      </c>
      <c r="AI3" s="184">
        <v>0</v>
      </c>
      <c r="AJ3" s="185">
        <v>1</v>
      </c>
      <c r="AK3" s="184">
        <v>0</v>
      </c>
      <c r="AL3" s="184">
        <v>0</v>
      </c>
      <c r="AM3" s="184">
        <v>0</v>
      </c>
      <c r="AN3" s="185">
        <v>0</v>
      </c>
      <c r="AP3" s="849" t="s">
        <v>627</v>
      </c>
      <c r="AQ3" s="850">
        <f>Australiaalltestshistplayed</f>
        <v>641</v>
      </c>
      <c r="AS3" s="849" t="s">
        <v>627</v>
      </c>
      <c r="AT3" s="850">
        <f>AustraliaWChistplayed</f>
        <v>53</v>
      </c>
    </row>
    <row r="4" spans="1:46" ht="15.8" customHeight="1" thickBot="1" x14ac:dyDescent="0.35">
      <c r="A4" s="195">
        <v>43673</v>
      </c>
      <c r="B4" s="196" t="s">
        <v>109</v>
      </c>
      <c r="C4" s="196" t="s">
        <v>37</v>
      </c>
      <c r="D4" s="196" t="s">
        <v>585</v>
      </c>
      <c r="E4" s="197" t="s">
        <v>1</v>
      </c>
      <c r="F4" s="197">
        <v>16</v>
      </c>
      <c r="G4" s="197">
        <v>10</v>
      </c>
      <c r="H4" s="197">
        <v>0</v>
      </c>
      <c r="I4" s="197">
        <v>0</v>
      </c>
      <c r="J4" s="197">
        <v>1</v>
      </c>
      <c r="K4" s="197">
        <v>1</v>
      </c>
      <c r="L4" s="197">
        <v>0</v>
      </c>
      <c r="M4" s="197">
        <v>3</v>
      </c>
      <c r="N4" s="197">
        <v>0</v>
      </c>
      <c r="O4" s="197">
        <v>0</v>
      </c>
      <c r="P4" s="197">
        <v>0</v>
      </c>
      <c r="Q4" s="197">
        <v>1</v>
      </c>
      <c r="R4" s="197">
        <v>1</v>
      </c>
      <c r="S4" s="198">
        <v>31599</v>
      </c>
      <c r="T4" s="413" t="s">
        <v>226</v>
      </c>
      <c r="U4" s="232" t="s">
        <v>276</v>
      </c>
      <c r="V4" s="198" t="s">
        <v>277</v>
      </c>
      <c r="W4" s="198" t="s">
        <v>273</v>
      </c>
      <c r="X4" s="199" t="s">
        <v>146</v>
      </c>
      <c r="Y4" s="212">
        <v>1</v>
      </c>
      <c r="Z4" s="212">
        <v>1</v>
      </c>
      <c r="AA4" s="212">
        <v>0</v>
      </c>
      <c r="AB4" s="213">
        <v>0</v>
      </c>
      <c r="AC4" s="212">
        <v>1</v>
      </c>
      <c r="AD4" s="212">
        <v>1</v>
      </c>
      <c r="AE4" s="212">
        <v>0</v>
      </c>
      <c r="AF4" s="213">
        <v>0</v>
      </c>
      <c r="AG4" s="212">
        <v>0</v>
      </c>
      <c r="AH4" s="212">
        <v>0</v>
      </c>
      <c r="AI4" s="212">
        <v>0</v>
      </c>
      <c r="AJ4" s="213">
        <v>0</v>
      </c>
      <c r="AK4" s="212">
        <v>0</v>
      </c>
      <c r="AL4" s="212">
        <v>0</v>
      </c>
      <c r="AM4" s="212">
        <v>0</v>
      </c>
      <c r="AN4" s="213">
        <v>0</v>
      </c>
      <c r="AP4" s="851" t="s">
        <v>628</v>
      </c>
      <c r="AQ4" s="852">
        <f>Australiaalltestshistwon</f>
        <v>326</v>
      </c>
      <c r="AS4" s="851" t="s">
        <v>628</v>
      </c>
      <c r="AT4" s="852">
        <f>AustraliaWChistwon</f>
        <v>42</v>
      </c>
    </row>
    <row r="5" spans="1:46" ht="14.95" customHeight="1" thickBot="1" x14ac:dyDescent="0.35">
      <c r="A5" s="195">
        <v>43687</v>
      </c>
      <c r="B5" s="230" t="s">
        <v>109</v>
      </c>
      <c r="C5" s="196" t="s">
        <v>126</v>
      </c>
      <c r="D5" s="196" t="s">
        <v>590</v>
      </c>
      <c r="E5" s="197" t="s">
        <v>1</v>
      </c>
      <c r="F5" s="197">
        <v>47</v>
      </c>
      <c r="G5" s="231">
        <v>26</v>
      </c>
      <c r="H5" s="231">
        <v>0</v>
      </c>
      <c r="I5" s="197">
        <v>0</v>
      </c>
      <c r="J5" s="197">
        <v>6</v>
      </c>
      <c r="K5" s="197">
        <v>4</v>
      </c>
      <c r="L5" s="197">
        <v>0</v>
      </c>
      <c r="M5" s="197">
        <v>3</v>
      </c>
      <c r="N5" s="197">
        <v>0</v>
      </c>
      <c r="O5" s="197">
        <v>0</v>
      </c>
      <c r="P5" s="197">
        <v>0</v>
      </c>
      <c r="Q5" s="197">
        <v>0</v>
      </c>
      <c r="R5" s="197">
        <v>4</v>
      </c>
      <c r="S5" s="198">
        <v>61241</v>
      </c>
      <c r="T5" s="413" t="s">
        <v>230</v>
      </c>
      <c r="U5" s="232" t="s">
        <v>138</v>
      </c>
      <c r="V5" s="198" t="s">
        <v>270</v>
      </c>
      <c r="W5" s="198" t="s">
        <v>229</v>
      </c>
      <c r="X5" s="199" t="s">
        <v>149</v>
      </c>
      <c r="Y5" s="212">
        <v>1</v>
      </c>
      <c r="Z5" s="212">
        <v>1</v>
      </c>
      <c r="AA5" s="212">
        <v>0</v>
      </c>
      <c r="AB5" s="213">
        <v>0</v>
      </c>
      <c r="AC5" s="212">
        <v>1</v>
      </c>
      <c r="AD5" s="212">
        <v>1</v>
      </c>
      <c r="AE5" s="212">
        <v>0</v>
      </c>
      <c r="AF5" s="213">
        <v>0</v>
      </c>
      <c r="AG5" s="212">
        <v>0</v>
      </c>
      <c r="AH5" s="212">
        <v>0</v>
      </c>
      <c r="AI5" s="212">
        <v>0</v>
      </c>
      <c r="AJ5" s="213">
        <v>0</v>
      </c>
      <c r="AK5" s="212">
        <v>0</v>
      </c>
      <c r="AL5" s="212">
        <v>0</v>
      </c>
      <c r="AM5" s="212">
        <v>0</v>
      </c>
      <c r="AN5" s="213">
        <v>0</v>
      </c>
      <c r="AP5" s="851" t="s">
        <v>634</v>
      </c>
      <c r="AQ5" s="852">
        <f>Australiaalltestshistdrawn</f>
        <v>19</v>
      </c>
      <c r="AS5" s="851" t="s">
        <v>634</v>
      </c>
      <c r="AT5" s="852">
        <f>AustraliaWChistdrawn</f>
        <v>0</v>
      </c>
    </row>
    <row r="6" spans="1:46" ht="14.95" customHeight="1" thickBot="1" x14ac:dyDescent="0.3">
      <c r="A6" s="187">
        <v>43694</v>
      </c>
      <c r="B6" s="192" t="s">
        <v>45</v>
      </c>
      <c r="C6" s="178" t="s">
        <v>29</v>
      </c>
      <c r="D6" s="178" t="s">
        <v>595</v>
      </c>
      <c r="E6" s="179" t="s">
        <v>3</v>
      </c>
      <c r="F6" s="179">
        <v>0</v>
      </c>
      <c r="G6" s="193">
        <v>36</v>
      </c>
      <c r="H6" s="193" t="s">
        <v>108</v>
      </c>
      <c r="I6" s="179" t="s">
        <v>108</v>
      </c>
      <c r="J6" s="179">
        <v>0</v>
      </c>
      <c r="K6" s="179">
        <v>0</v>
      </c>
      <c r="L6" s="179">
        <v>0</v>
      </c>
      <c r="M6" s="179">
        <v>0</v>
      </c>
      <c r="N6" s="179">
        <v>0</v>
      </c>
      <c r="O6" s="179">
        <v>0</v>
      </c>
      <c r="P6" s="179" t="s">
        <v>108</v>
      </c>
      <c r="Q6" s="179" t="s">
        <v>108</v>
      </c>
      <c r="R6" s="179">
        <v>5</v>
      </c>
      <c r="S6" s="182">
        <v>48339</v>
      </c>
      <c r="T6" s="432" t="s">
        <v>794</v>
      </c>
      <c r="U6" s="194" t="s">
        <v>229</v>
      </c>
      <c r="V6" s="182" t="s">
        <v>270</v>
      </c>
      <c r="W6" s="182" t="s">
        <v>295</v>
      </c>
      <c r="X6" s="200" t="s">
        <v>149</v>
      </c>
      <c r="Y6" s="184">
        <v>1</v>
      </c>
      <c r="Z6" s="184">
        <v>0</v>
      </c>
      <c r="AA6" s="184">
        <v>0</v>
      </c>
      <c r="AB6" s="185">
        <v>1</v>
      </c>
      <c r="AC6" s="184">
        <v>0</v>
      </c>
      <c r="AD6" s="184">
        <v>0</v>
      </c>
      <c r="AE6" s="184">
        <v>0</v>
      </c>
      <c r="AF6" s="185">
        <v>0</v>
      </c>
      <c r="AG6" s="184">
        <v>1</v>
      </c>
      <c r="AH6" s="184">
        <v>0</v>
      </c>
      <c r="AI6" s="184">
        <v>0</v>
      </c>
      <c r="AJ6" s="185">
        <v>1</v>
      </c>
      <c r="AK6" s="184">
        <v>0</v>
      </c>
      <c r="AL6" s="184">
        <v>0</v>
      </c>
      <c r="AM6" s="184">
        <v>0</v>
      </c>
      <c r="AN6" s="185">
        <v>0</v>
      </c>
      <c r="AP6" s="851" t="s">
        <v>629</v>
      </c>
      <c r="AQ6" s="852">
        <f>Australiaalltestshistlost</f>
        <v>296</v>
      </c>
      <c r="AS6" s="851" t="s">
        <v>629</v>
      </c>
      <c r="AT6" s="852">
        <f>AustraliaWChistlost</f>
        <v>11</v>
      </c>
    </row>
    <row r="7" spans="1:46" ht="14.95" customHeight="1" thickBot="1" x14ac:dyDescent="0.35">
      <c r="A7" s="195">
        <v>43715</v>
      </c>
      <c r="B7" s="230" t="s">
        <v>45</v>
      </c>
      <c r="C7" s="196" t="s">
        <v>148</v>
      </c>
      <c r="D7" s="196" t="s">
        <v>608</v>
      </c>
      <c r="E7" s="197" t="s">
        <v>1</v>
      </c>
      <c r="F7" s="197">
        <v>34</v>
      </c>
      <c r="G7" s="231">
        <v>15</v>
      </c>
      <c r="H7" s="412" t="s">
        <v>108</v>
      </c>
      <c r="I7" s="231" t="s">
        <v>108</v>
      </c>
      <c r="J7" s="197">
        <v>6</v>
      </c>
      <c r="K7" s="197">
        <v>2</v>
      </c>
      <c r="L7" s="197">
        <v>0</v>
      </c>
      <c r="M7" s="197">
        <v>0</v>
      </c>
      <c r="N7" s="197">
        <v>0</v>
      </c>
      <c r="O7" s="197">
        <v>0</v>
      </c>
      <c r="P7" s="197" t="s">
        <v>108</v>
      </c>
      <c r="Q7" s="197" t="s">
        <v>108</v>
      </c>
      <c r="R7" s="197">
        <v>2</v>
      </c>
      <c r="S7" s="198">
        <v>16091</v>
      </c>
      <c r="T7" s="413" t="s">
        <v>362</v>
      </c>
      <c r="U7" s="232" t="s">
        <v>273</v>
      </c>
      <c r="V7" s="198" t="s">
        <v>277</v>
      </c>
      <c r="W7" s="198" t="s">
        <v>146</v>
      </c>
      <c r="X7" s="199" t="s">
        <v>735</v>
      </c>
      <c r="Y7" s="212">
        <v>1</v>
      </c>
      <c r="Z7" s="212">
        <v>1</v>
      </c>
      <c r="AA7" s="212">
        <v>0</v>
      </c>
      <c r="AB7" s="213">
        <v>0</v>
      </c>
      <c r="AC7" s="212">
        <v>1</v>
      </c>
      <c r="AD7" s="212">
        <v>1</v>
      </c>
      <c r="AE7" s="212">
        <v>0</v>
      </c>
      <c r="AF7" s="213">
        <v>0</v>
      </c>
      <c r="AG7" s="212">
        <v>0</v>
      </c>
      <c r="AH7" s="212">
        <v>0</v>
      </c>
      <c r="AI7" s="212">
        <v>0</v>
      </c>
      <c r="AJ7" s="213">
        <v>0</v>
      </c>
      <c r="AK7" s="212">
        <v>0</v>
      </c>
      <c r="AL7" s="212">
        <v>0</v>
      </c>
      <c r="AM7" s="212">
        <v>0</v>
      </c>
      <c r="AN7" s="213">
        <v>0</v>
      </c>
      <c r="AP7" s="851" t="s">
        <v>635</v>
      </c>
      <c r="AQ7" s="852">
        <f>Australiaalltestshistptsscored</f>
        <v>13540</v>
      </c>
      <c r="AS7" s="851" t="s">
        <v>635</v>
      </c>
      <c r="AT7" s="852">
        <f>AustraliaWChistptsscored</f>
        <v>1797</v>
      </c>
    </row>
    <row r="8" spans="1:46" ht="14.95" customHeight="1" thickBot="1" x14ac:dyDescent="0.3">
      <c r="A8" s="188">
        <v>43729</v>
      </c>
      <c r="B8" s="483" t="s">
        <v>158</v>
      </c>
      <c r="C8" s="189" t="s">
        <v>31</v>
      </c>
      <c r="D8" s="483" t="s">
        <v>159</v>
      </c>
      <c r="E8" s="190" t="s">
        <v>1</v>
      </c>
      <c r="F8" s="190">
        <v>39</v>
      </c>
      <c r="G8" s="190">
        <v>21</v>
      </c>
      <c r="H8" s="190">
        <v>1</v>
      </c>
      <c r="I8" s="190">
        <v>0</v>
      </c>
      <c r="J8" s="190">
        <v>6</v>
      </c>
      <c r="K8" s="190">
        <v>3</v>
      </c>
      <c r="L8" s="190">
        <v>0</v>
      </c>
      <c r="M8" s="190">
        <v>1</v>
      </c>
      <c r="N8" s="190">
        <v>0</v>
      </c>
      <c r="O8" s="190">
        <v>0</v>
      </c>
      <c r="P8" s="190">
        <v>0</v>
      </c>
      <c r="Q8" s="190">
        <v>0</v>
      </c>
      <c r="R8" s="190">
        <v>2</v>
      </c>
      <c r="S8" s="191">
        <v>36482</v>
      </c>
      <c r="T8" s="923" t="s">
        <v>858</v>
      </c>
      <c r="U8" s="191" t="s">
        <v>276</v>
      </c>
      <c r="V8" s="191" t="s">
        <v>131</v>
      </c>
      <c r="W8" s="191" t="s">
        <v>133</v>
      </c>
      <c r="X8" s="486" t="s">
        <v>129</v>
      </c>
      <c r="Y8" s="206">
        <v>1</v>
      </c>
      <c r="Z8" s="206">
        <v>1</v>
      </c>
      <c r="AA8" s="206">
        <v>0</v>
      </c>
      <c r="AB8" s="207">
        <v>0</v>
      </c>
      <c r="AC8" s="206">
        <v>0</v>
      </c>
      <c r="AD8" s="206">
        <v>0</v>
      </c>
      <c r="AE8" s="206">
        <v>0</v>
      </c>
      <c r="AF8" s="207">
        <v>0</v>
      </c>
      <c r="AG8" s="206">
        <v>0</v>
      </c>
      <c r="AH8" s="206">
        <v>0</v>
      </c>
      <c r="AI8" s="206">
        <v>0</v>
      </c>
      <c r="AJ8" s="207">
        <v>0</v>
      </c>
      <c r="AK8" s="206">
        <v>1</v>
      </c>
      <c r="AL8" s="206">
        <v>1</v>
      </c>
      <c r="AM8" s="206">
        <v>0</v>
      </c>
      <c r="AN8" s="207">
        <v>0</v>
      </c>
      <c r="AP8" s="851" t="s">
        <v>636</v>
      </c>
      <c r="AQ8" s="852">
        <f>Australiaalltestshistptsagainst</f>
        <v>11341</v>
      </c>
      <c r="AS8" s="851" t="s">
        <v>636</v>
      </c>
      <c r="AT8" s="852">
        <f>AustraliaWChistptsagainst</f>
        <v>754</v>
      </c>
    </row>
    <row r="9" spans="1:46" ht="14.95" customHeight="1" thickBot="1" x14ac:dyDescent="0.3">
      <c r="A9" s="188">
        <v>43737</v>
      </c>
      <c r="B9" s="483" t="s">
        <v>158</v>
      </c>
      <c r="C9" s="189" t="s">
        <v>32</v>
      </c>
      <c r="D9" s="483" t="s">
        <v>160</v>
      </c>
      <c r="E9" s="190" t="s">
        <v>3</v>
      </c>
      <c r="F9" s="190">
        <v>25</v>
      </c>
      <c r="G9" s="484">
        <v>29</v>
      </c>
      <c r="H9" s="484">
        <v>0</v>
      </c>
      <c r="I9" s="190">
        <v>1</v>
      </c>
      <c r="J9" s="190">
        <v>3</v>
      </c>
      <c r="K9" s="190">
        <v>2</v>
      </c>
      <c r="L9" s="190">
        <v>0</v>
      </c>
      <c r="M9" s="190">
        <v>2</v>
      </c>
      <c r="N9" s="190">
        <v>0</v>
      </c>
      <c r="O9" s="190">
        <v>0</v>
      </c>
      <c r="P9" s="190">
        <v>0</v>
      </c>
      <c r="Q9" s="190">
        <v>0</v>
      </c>
      <c r="R9" s="190">
        <v>2</v>
      </c>
      <c r="S9" s="203">
        <v>47885</v>
      </c>
      <c r="T9" s="406" t="s">
        <v>915</v>
      </c>
      <c r="U9" s="204" t="s">
        <v>130</v>
      </c>
      <c r="V9" s="203" t="s">
        <v>277</v>
      </c>
      <c r="W9" s="191" t="s">
        <v>133</v>
      </c>
      <c r="X9" s="205" t="s">
        <v>233</v>
      </c>
      <c r="Y9" s="206">
        <v>1</v>
      </c>
      <c r="Z9" s="206">
        <v>0</v>
      </c>
      <c r="AA9" s="206">
        <v>0</v>
      </c>
      <c r="AB9" s="207">
        <v>1</v>
      </c>
      <c r="AC9" s="206">
        <v>0</v>
      </c>
      <c r="AD9" s="206">
        <v>0</v>
      </c>
      <c r="AE9" s="206">
        <v>0</v>
      </c>
      <c r="AF9" s="207">
        <v>0</v>
      </c>
      <c r="AG9" s="206">
        <v>0</v>
      </c>
      <c r="AH9" s="206">
        <v>0</v>
      </c>
      <c r="AI9" s="206">
        <v>0</v>
      </c>
      <c r="AJ9" s="207">
        <v>0</v>
      </c>
      <c r="AK9" s="206">
        <v>1</v>
      </c>
      <c r="AL9" s="206">
        <v>0</v>
      </c>
      <c r="AM9" s="206">
        <v>0</v>
      </c>
      <c r="AN9" s="207">
        <v>1</v>
      </c>
      <c r="AP9" s="851" t="s">
        <v>623</v>
      </c>
      <c r="AQ9" s="852">
        <f>Australiaalltestshisttriesscored</f>
        <v>1690</v>
      </c>
      <c r="AS9" s="851" t="s">
        <v>623</v>
      </c>
      <c r="AT9" s="852">
        <f>AustraliaWChisttriesscored</f>
        <v>230</v>
      </c>
    </row>
    <row r="10" spans="1:46" ht="14.95" customHeight="1" thickBot="1" x14ac:dyDescent="0.35">
      <c r="A10" s="188">
        <v>43743</v>
      </c>
      <c r="B10" s="483" t="s">
        <v>158</v>
      </c>
      <c r="C10" s="189" t="s">
        <v>107</v>
      </c>
      <c r="D10" s="189" t="s">
        <v>180</v>
      </c>
      <c r="E10" s="190" t="s">
        <v>1</v>
      </c>
      <c r="F10" s="190">
        <v>45</v>
      </c>
      <c r="G10" s="484">
        <v>10</v>
      </c>
      <c r="H10" s="634">
        <v>1</v>
      </c>
      <c r="I10" s="484">
        <v>0</v>
      </c>
      <c r="J10" s="190">
        <v>7</v>
      </c>
      <c r="K10" s="190">
        <v>5</v>
      </c>
      <c r="L10" s="190">
        <v>0</v>
      </c>
      <c r="M10" s="190">
        <v>0</v>
      </c>
      <c r="N10" s="190">
        <v>2</v>
      </c>
      <c r="O10" s="190">
        <v>0</v>
      </c>
      <c r="P10" s="190">
        <v>0</v>
      </c>
      <c r="Q10" s="190">
        <v>0</v>
      </c>
      <c r="R10" s="190">
        <v>1</v>
      </c>
      <c r="S10" s="203">
        <v>33781</v>
      </c>
      <c r="T10" s="411" t="s">
        <v>876</v>
      </c>
      <c r="U10" s="204" t="s">
        <v>136</v>
      </c>
      <c r="V10" s="203" t="s">
        <v>277</v>
      </c>
      <c r="W10" s="191" t="s">
        <v>138</v>
      </c>
      <c r="X10" s="205" t="s">
        <v>233</v>
      </c>
      <c r="Y10" s="206">
        <v>1</v>
      </c>
      <c r="Z10" s="206">
        <v>1</v>
      </c>
      <c r="AA10" s="206">
        <v>0</v>
      </c>
      <c r="AB10" s="207">
        <v>0</v>
      </c>
      <c r="AC10" s="206">
        <v>0</v>
      </c>
      <c r="AD10" s="206">
        <v>0</v>
      </c>
      <c r="AE10" s="206">
        <v>0</v>
      </c>
      <c r="AF10" s="207">
        <v>0</v>
      </c>
      <c r="AG10" s="206">
        <v>0</v>
      </c>
      <c r="AH10" s="206">
        <v>0</v>
      </c>
      <c r="AI10" s="206">
        <v>0</v>
      </c>
      <c r="AJ10" s="207">
        <v>0</v>
      </c>
      <c r="AK10" s="206">
        <v>1</v>
      </c>
      <c r="AL10" s="206">
        <v>1</v>
      </c>
      <c r="AM10" s="206">
        <v>0</v>
      </c>
      <c r="AN10" s="207">
        <v>0</v>
      </c>
    </row>
    <row r="11" spans="1:46" ht="14.95" customHeight="1" thickBot="1" x14ac:dyDescent="0.35">
      <c r="A11" s="188">
        <v>43749</v>
      </c>
      <c r="B11" s="483" t="s">
        <v>158</v>
      </c>
      <c r="C11" s="189" t="s">
        <v>38</v>
      </c>
      <c r="D11" s="483" t="s">
        <v>172</v>
      </c>
      <c r="E11" s="190" t="s">
        <v>1</v>
      </c>
      <c r="F11" s="190">
        <v>27</v>
      </c>
      <c r="G11" s="484">
        <v>8</v>
      </c>
      <c r="H11" s="484">
        <v>1</v>
      </c>
      <c r="I11" s="190">
        <v>0</v>
      </c>
      <c r="J11" s="190">
        <v>4</v>
      </c>
      <c r="K11" s="190">
        <v>2</v>
      </c>
      <c r="L11" s="190">
        <v>0</v>
      </c>
      <c r="M11" s="190">
        <v>1</v>
      </c>
      <c r="N11" s="190">
        <v>1</v>
      </c>
      <c r="O11" s="190">
        <v>0</v>
      </c>
      <c r="P11" s="190">
        <v>0</v>
      </c>
      <c r="Q11" s="190">
        <v>0</v>
      </c>
      <c r="R11" s="190">
        <v>1</v>
      </c>
      <c r="S11" s="191">
        <v>39802</v>
      </c>
      <c r="T11" s="501" t="s">
        <v>226</v>
      </c>
      <c r="U11" s="191" t="s">
        <v>211</v>
      </c>
      <c r="V11" s="191" t="s">
        <v>270</v>
      </c>
      <c r="W11" s="191" t="s">
        <v>138</v>
      </c>
      <c r="X11" s="191" t="s">
        <v>149</v>
      </c>
      <c r="Y11" s="206">
        <v>1</v>
      </c>
      <c r="Z11" s="206">
        <v>1</v>
      </c>
      <c r="AA11" s="206">
        <v>0</v>
      </c>
      <c r="AB11" s="207">
        <v>0</v>
      </c>
      <c r="AC11" s="206">
        <v>0</v>
      </c>
      <c r="AD11" s="206">
        <v>0</v>
      </c>
      <c r="AE11" s="206">
        <v>0</v>
      </c>
      <c r="AF11" s="207">
        <v>0</v>
      </c>
      <c r="AG11" s="206">
        <v>0</v>
      </c>
      <c r="AH11" s="206">
        <v>0</v>
      </c>
      <c r="AI11" s="206">
        <v>0</v>
      </c>
      <c r="AJ11" s="207">
        <v>0</v>
      </c>
      <c r="AK11" s="206">
        <v>1</v>
      </c>
      <c r="AL11" s="206">
        <v>1</v>
      </c>
      <c r="AM11" s="206">
        <v>0</v>
      </c>
      <c r="AN11" s="207">
        <v>0</v>
      </c>
    </row>
    <row r="12" spans="1:46" ht="14.95" customHeight="1" thickBot="1" x14ac:dyDescent="0.3">
      <c r="A12" s="188">
        <v>43757</v>
      </c>
      <c r="B12" s="483" t="s">
        <v>110</v>
      </c>
      <c r="C12" s="189" t="s">
        <v>30</v>
      </c>
      <c r="D12" s="189" t="s">
        <v>180</v>
      </c>
      <c r="E12" s="964" t="s">
        <v>3</v>
      </c>
      <c r="F12" s="965">
        <v>16</v>
      </c>
      <c r="G12" s="965">
        <v>40</v>
      </c>
      <c r="H12" s="965" t="s">
        <v>108</v>
      </c>
      <c r="I12" s="965" t="s">
        <v>108</v>
      </c>
      <c r="J12" s="965">
        <v>1</v>
      </c>
      <c r="K12" s="965">
        <v>1</v>
      </c>
      <c r="L12" s="965">
        <v>0</v>
      </c>
      <c r="M12" s="965">
        <v>3</v>
      </c>
      <c r="N12" s="965">
        <v>0</v>
      </c>
      <c r="O12" s="965">
        <v>0</v>
      </c>
      <c r="P12" s="965" t="s">
        <v>108</v>
      </c>
      <c r="Q12" s="965" t="s">
        <v>108</v>
      </c>
      <c r="R12" s="965">
        <v>4</v>
      </c>
      <c r="S12" s="966">
        <v>36954</v>
      </c>
      <c r="T12" s="926" t="s">
        <v>1015</v>
      </c>
      <c r="U12" s="933" t="s">
        <v>138</v>
      </c>
      <c r="V12" s="933" t="s">
        <v>277</v>
      </c>
      <c r="W12" s="933" t="s">
        <v>130</v>
      </c>
      <c r="X12" s="191" t="s">
        <v>136</v>
      </c>
      <c r="Y12" s="206">
        <v>1</v>
      </c>
      <c r="Z12" s="207">
        <v>0</v>
      </c>
      <c r="AA12" s="207">
        <v>0</v>
      </c>
      <c r="AB12" s="207">
        <v>1</v>
      </c>
      <c r="AC12" s="207">
        <v>0</v>
      </c>
      <c r="AD12" s="207">
        <v>0</v>
      </c>
      <c r="AE12" s="207">
        <v>0</v>
      </c>
      <c r="AF12" s="207">
        <v>0</v>
      </c>
      <c r="AG12" s="207">
        <v>0</v>
      </c>
      <c r="AH12" s="207">
        <v>0</v>
      </c>
      <c r="AI12" s="207">
        <v>0</v>
      </c>
      <c r="AJ12" s="207">
        <v>0</v>
      </c>
      <c r="AK12" s="207">
        <v>1</v>
      </c>
      <c r="AL12" s="207">
        <v>0</v>
      </c>
      <c r="AM12" s="207">
        <v>0</v>
      </c>
      <c r="AN12" s="207">
        <v>1</v>
      </c>
    </row>
    <row r="13" spans="1:46" ht="14.95" thickBot="1" x14ac:dyDescent="0.3">
      <c r="A13" s="438"/>
      <c r="B13" s="439"/>
      <c r="C13" s="1031" t="s">
        <v>113</v>
      </c>
      <c r="D13" s="1032"/>
      <c r="E13" s="1033"/>
      <c r="F13" s="465">
        <f t="shared" ref="F13:R13" si="0">SUM(F3:F5)</f>
        <v>80</v>
      </c>
      <c r="G13" s="465">
        <f t="shared" si="0"/>
        <v>71</v>
      </c>
      <c r="H13" s="465">
        <f t="shared" si="0"/>
        <v>0</v>
      </c>
      <c r="I13" s="465">
        <f t="shared" si="0"/>
        <v>0</v>
      </c>
      <c r="J13" s="465">
        <f t="shared" si="0"/>
        <v>9</v>
      </c>
      <c r="K13" s="465">
        <f t="shared" si="0"/>
        <v>7</v>
      </c>
      <c r="L13" s="465">
        <f t="shared" si="0"/>
        <v>0</v>
      </c>
      <c r="M13" s="465">
        <f t="shared" si="0"/>
        <v>7</v>
      </c>
      <c r="N13" s="465">
        <f t="shared" si="0"/>
        <v>1</v>
      </c>
      <c r="O13" s="465">
        <f t="shared" si="0"/>
        <v>0</v>
      </c>
      <c r="P13" s="465">
        <f t="shared" si="0"/>
        <v>1</v>
      </c>
      <c r="Q13" s="465">
        <f t="shared" si="0"/>
        <v>1</v>
      </c>
      <c r="R13" s="465">
        <f t="shared" si="0"/>
        <v>10</v>
      </c>
      <c r="S13" s="466"/>
      <c r="T13" s="466"/>
      <c r="U13" s="466"/>
      <c r="V13" s="466"/>
      <c r="W13" s="467"/>
      <c r="X13" s="468" t="s">
        <v>113</v>
      </c>
      <c r="Y13" s="472">
        <f t="shared" ref="Y13:AN13" si="1">SUM(Y3:Y5)</f>
        <v>3</v>
      </c>
      <c r="Z13" s="465">
        <f t="shared" si="1"/>
        <v>2</v>
      </c>
      <c r="AA13" s="465">
        <f t="shared" si="1"/>
        <v>0</v>
      </c>
      <c r="AB13" s="465">
        <f t="shared" si="1"/>
        <v>1</v>
      </c>
      <c r="AC13" s="469">
        <f t="shared" si="1"/>
        <v>2</v>
      </c>
      <c r="AD13" s="469">
        <f t="shared" si="1"/>
        <v>2</v>
      </c>
      <c r="AE13" s="469">
        <f t="shared" si="1"/>
        <v>0</v>
      </c>
      <c r="AF13" s="469">
        <f t="shared" si="1"/>
        <v>0</v>
      </c>
      <c r="AG13" s="470">
        <f t="shared" si="1"/>
        <v>1</v>
      </c>
      <c r="AH13" s="470">
        <f t="shared" si="1"/>
        <v>0</v>
      </c>
      <c r="AI13" s="470">
        <f t="shared" si="1"/>
        <v>0</v>
      </c>
      <c r="AJ13" s="470">
        <f t="shared" si="1"/>
        <v>1</v>
      </c>
      <c r="AK13" s="471">
        <f t="shared" si="1"/>
        <v>0</v>
      </c>
      <c r="AL13" s="471">
        <f t="shared" si="1"/>
        <v>0</v>
      </c>
      <c r="AM13" s="471">
        <f t="shared" si="1"/>
        <v>0</v>
      </c>
      <c r="AN13" s="471">
        <f t="shared" si="1"/>
        <v>0</v>
      </c>
    </row>
    <row r="14" spans="1:46" ht="14.95" thickBot="1" x14ac:dyDescent="0.3">
      <c r="A14" s="438"/>
      <c r="B14" s="439"/>
      <c r="C14" s="1037" t="s">
        <v>163</v>
      </c>
      <c r="D14" s="1038"/>
      <c r="E14" s="1039"/>
      <c r="F14" s="446">
        <f>SUM(F6:F7)</f>
        <v>34</v>
      </c>
      <c r="G14" s="446">
        <f>SUM(G6:G7)</f>
        <v>51</v>
      </c>
      <c r="H14" s="446" t="s">
        <v>108</v>
      </c>
      <c r="I14" s="446" t="s">
        <v>108</v>
      </c>
      <c r="J14" s="446">
        <f t="shared" ref="J14:O14" si="2">SUM(J6:J7)</f>
        <v>6</v>
      </c>
      <c r="K14" s="446">
        <f t="shared" si="2"/>
        <v>2</v>
      </c>
      <c r="L14" s="446">
        <f t="shared" si="2"/>
        <v>0</v>
      </c>
      <c r="M14" s="446">
        <f t="shared" si="2"/>
        <v>0</v>
      </c>
      <c r="N14" s="446">
        <f t="shared" si="2"/>
        <v>0</v>
      </c>
      <c r="O14" s="446">
        <f t="shared" si="2"/>
        <v>0</v>
      </c>
      <c r="P14" s="446" t="s">
        <v>108</v>
      </c>
      <c r="Q14" s="446" t="s">
        <v>108</v>
      </c>
      <c r="R14" s="446">
        <f>SUM(R6:R7)</f>
        <v>7</v>
      </c>
      <c r="S14" s="447"/>
      <c r="T14" s="447"/>
      <c r="U14" s="447"/>
      <c r="V14" s="447"/>
      <c r="W14" s="448"/>
      <c r="X14" s="623" t="s">
        <v>163</v>
      </c>
      <c r="Y14" s="638">
        <f t="shared" ref="Y14:AN14" si="3">SUM(Y6:Y7)</f>
        <v>2</v>
      </c>
      <c r="Z14" s="639">
        <f t="shared" si="3"/>
        <v>1</v>
      </c>
      <c r="AA14" s="446">
        <f t="shared" si="3"/>
        <v>0</v>
      </c>
      <c r="AB14" s="446">
        <f t="shared" si="3"/>
        <v>1</v>
      </c>
      <c r="AC14" s="450">
        <f t="shared" si="3"/>
        <v>1</v>
      </c>
      <c r="AD14" s="450">
        <f t="shared" si="3"/>
        <v>1</v>
      </c>
      <c r="AE14" s="450">
        <f t="shared" si="3"/>
        <v>0</v>
      </c>
      <c r="AF14" s="450">
        <f t="shared" si="3"/>
        <v>0</v>
      </c>
      <c r="AG14" s="451">
        <f t="shared" si="3"/>
        <v>1</v>
      </c>
      <c r="AH14" s="451">
        <f t="shared" si="3"/>
        <v>0</v>
      </c>
      <c r="AI14" s="451">
        <f t="shared" si="3"/>
        <v>0</v>
      </c>
      <c r="AJ14" s="451">
        <f t="shared" si="3"/>
        <v>1</v>
      </c>
      <c r="AK14" s="452">
        <f t="shared" si="3"/>
        <v>0</v>
      </c>
      <c r="AL14" s="452">
        <f t="shared" si="3"/>
        <v>0</v>
      </c>
      <c r="AM14" s="452">
        <f t="shared" si="3"/>
        <v>0</v>
      </c>
      <c r="AN14" s="452">
        <f t="shared" si="3"/>
        <v>0</v>
      </c>
    </row>
    <row r="15" spans="1:46" ht="14.95" thickBot="1" x14ac:dyDescent="0.3">
      <c r="A15" s="438"/>
      <c r="B15" s="439"/>
      <c r="C15" s="1040" t="s">
        <v>611</v>
      </c>
      <c r="D15" s="1041"/>
      <c r="E15" s="1042"/>
      <c r="F15" s="685">
        <f t="shared" ref="F15:R15" si="4">SUM(F8:F11)</f>
        <v>136</v>
      </c>
      <c r="G15" s="685">
        <f t="shared" si="4"/>
        <v>68</v>
      </c>
      <c r="H15" s="685">
        <f t="shared" si="4"/>
        <v>3</v>
      </c>
      <c r="I15" s="685">
        <f t="shared" si="4"/>
        <v>1</v>
      </c>
      <c r="J15" s="685">
        <f t="shared" si="4"/>
        <v>20</v>
      </c>
      <c r="K15" s="685">
        <f t="shared" si="4"/>
        <v>12</v>
      </c>
      <c r="L15" s="685">
        <f t="shared" si="4"/>
        <v>0</v>
      </c>
      <c r="M15" s="685">
        <f t="shared" si="4"/>
        <v>4</v>
      </c>
      <c r="N15" s="685">
        <f t="shared" si="4"/>
        <v>3</v>
      </c>
      <c r="O15" s="685">
        <f t="shared" si="4"/>
        <v>0</v>
      </c>
      <c r="P15" s="685">
        <f t="shared" si="4"/>
        <v>0</v>
      </c>
      <c r="Q15" s="685">
        <f t="shared" si="4"/>
        <v>0</v>
      </c>
      <c r="R15" s="685">
        <f t="shared" si="4"/>
        <v>6</v>
      </c>
      <c r="S15" s="686"/>
      <c r="T15" s="686"/>
      <c r="U15" s="686"/>
      <c r="V15" s="686"/>
      <c r="W15" s="687"/>
      <c r="X15" s="688" t="s">
        <v>611</v>
      </c>
      <c r="Y15" s="689">
        <f t="shared" ref="Y15:AN15" si="5">SUM(Y8:Y11)</f>
        <v>4</v>
      </c>
      <c r="Z15" s="690">
        <f t="shared" si="5"/>
        <v>3</v>
      </c>
      <c r="AA15" s="685">
        <f t="shared" si="5"/>
        <v>0</v>
      </c>
      <c r="AB15" s="685">
        <f t="shared" si="5"/>
        <v>1</v>
      </c>
      <c r="AC15" s="691">
        <f t="shared" si="5"/>
        <v>0</v>
      </c>
      <c r="AD15" s="691">
        <f t="shared" si="5"/>
        <v>0</v>
      </c>
      <c r="AE15" s="691">
        <f t="shared" si="5"/>
        <v>0</v>
      </c>
      <c r="AF15" s="691">
        <f t="shared" si="5"/>
        <v>0</v>
      </c>
      <c r="AG15" s="692">
        <f t="shared" si="5"/>
        <v>0</v>
      </c>
      <c r="AH15" s="692">
        <f t="shared" si="5"/>
        <v>0</v>
      </c>
      <c r="AI15" s="692">
        <f t="shared" si="5"/>
        <v>0</v>
      </c>
      <c r="AJ15" s="692">
        <f t="shared" si="5"/>
        <v>0</v>
      </c>
      <c r="AK15" s="693">
        <f t="shared" si="5"/>
        <v>4</v>
      </c>
      <c r="AL15" s="693">
        <f t="shared" si="5"/>
        <v>3</v>
      </c>
      <c r="AM15" s="693">
        <f t="shared" si="5"/>
        <v>0</v>
      </c>
      <c r="AN15" s="693">
        <f t="shared" si="5"/>
        <v>1</v>
      </c>
    </row>
    <row r="16" spans="1:46" ht="14.95" thickBot="1" x14ac:dyDescent="0.3">
      <c r="A16" s="438"/>
      <c r="B16" s="439"/>
      <c r="C16" s="1040" t="s">
        <v>612</v>
      </c>
      <c r="D16" s="1041"/>
      <c r="E16" s="1042"/>
      <c r="F16" s="694">
        <f>SUM(F12:F12)</f>
        <v>16</v>
      </c>
      <c r="G16" s="685">
        <f>SUM(G12:G12)</f>
        <v>40</v>
      </c>
      <c r="H16" s="685" t="s">
        <v>108</v>
      </c>
      <c r="I16" s="685" t="s">
        <v>108</v>
      </c>
      <c r="J16" s="685">
        <f t="shared" ref="J16:O16" si="6">SUM(J12:J12)</f>
        <v>1</v>
      </c>
      <c r="K16" s="685">
        <f t="shared" si="6"/>
        <v>1</v>
      </c>
      <c r="L16" s="685">
        <f t="shared" si="6"/>
        <v>0</v>
      </c>
      <c r="M16" s="685">
        <f t="shared" si="6"/>
        <v>3</v>
      </c>
      <c r="N16" s="685">
        <f t="shared" si="6"/>
        <v>0</v>
      </c>
      <c r="O16" s="685">
        <f t="shared" si="6"/>
        <v>0</v>
      </c>
      <c r="P16" s="685" t="s">
        <v>108</v>
      </c>
      <c r="Q16" s="685" t="s">
        <v>108</v>
      </c>
      <c r="R16" s="685">
        <f>SUM(R12:R12)</f>
        <v>4</v>
      </c>
      <c r="S16" s="686"/>
      <c r="T16" s="686"/>
      <c r="U16" s="686"/>
      <c r="V16" s="686"/>
      <c r="W16" s="687"/>
      <c r="X16" s="688" t="s">
        <v>612</v>
      </c>
      <c r="Y16" s="689">
        <f t="shared" ref="Y16:AN16" si="7">SUM(Y12:Y12)</f>
        <v>1</v>
      </c>
      <c r="Z16" s="690">
        <f t="shared" si="7"/>
        <v>0</v>
      </c>
      <c r="AA16" s="685">
        <f t="shared" si="7"/>
        <v>0</v>
      </c>
      <c r="AB16" s="685">
        <f t="shared" si="7"/>
        <v>1</v>
      </c>
      <c r="AC16" s="691">
        <f t="shared" si="7"/>
        <v>0</v>
      </c>
      <c r="AD16" s="691">
        <f t="shared" si="7"/>
        <v>0</v>
      </c>
      <c r="AE16" s="691">
        <f t="shared" si="7"/>
        <v>0</v>
      </c>
      <c r="AF16" s="691">
        <f t="shared" si="7"/>
        <v>0</v>
      </c>
      <c r="AG16" s="692">
        <f t="shared" si="7"/>
        <v>0</v>
      </c>
      <c r="AH16" s="692">
        <f t="shared" si="7"/>
        <v>0</v>
      </c>
      <c r="AI16" s="692">
        <f t="shared" si="7"/>
        <v>0</v>
      </c>
      <c r="AJ16" s="692">
        <f t="shared" si="7"/>
        <v>0</v>
      </c>
      <c r="AK16" s="693">
        <f t="shared" si="7"/>
        <v>1</v>
      </c>
      <c r="AL16" s="693">
        <f t="shared" si="7"/>
        <v>0</v>
      </c>
      <c r="AM16" s="693">
        <f t="shared" si="7"/>
        <v>0</v>
      </c>
      <c r="AN16" s="693">
        <f t="shared" si="7"/>
        <v>1</v>
      </c>
    </row>
    <row r="17" spans="1:40" ht="14.95" thickBot="1" x14ac:dyDescent="0.3">
      <c r="A17" s="438"/>
      <c r="B17" s="439"/>
      <c r="C17" s="1040" t="s">
        <v>613</v>
      </c>
      <c r="D17" s="1041"/>
      <c r="E17" s="1042"/>
      <c r="F17" s="685">
        <f>SUM(F15:F16)</f>
        <v>152</v>
      </c>
      <c r="G17" s="685">
        <f t="shared" ref="G17:R17" si="8">SUM(G15:G16)</f>
        <v>108</v>
      </c>
      <c r="H17" s="685">
        <f t="shared" si="8"/>
        <v>3</v>
      </c>
      <c r="I17" s="685">
        <f t="shared" si="8"/>
        <v>1</v>
      </c>
      <c r="J17" s="685">
        <f t="shared" si="8"/>
        <v>21</v>
      </c>
      <c r="K17" s="685">
        <f t="shared" si="8"/>
        <v>13</v>
      </c>
      <c r="L17" s="685">
        <f t="shared" si="8"/>
        <v>0</v>
      </c>
      <c r="M17" s="685">
        <f t="shared" si="8"/>
        <v>7</v>
      </c>
      <c r="N17" s="685">
        <f t="shared" si="8"/>
        <v>3</v>
      </c>
      <c r="O17" s="685">
        <f t="shared" si="8"/>
        <v>0</v>
      </c>
      <c r="P17" s="685">
        <f t="shared" si="8"/>
        <v>0</v>
      </c>
      <c r="Q17" s="685">
        <f t="shared" si="8"/>
        <v>0</v>
      </c>
      <c r="R17" s="685">
        <f t="shared" si="8"/>
        <v>10</v>
      </c>
      <c r="S17" s="686"/>
      <c r="T17" s="686"/>
      <c r="U17" s="686"/>
      <c r="V17" s="686"/>
      <c r="W17" s="687"/>
      <c r="X17" s="688" t="s">
        <v>613</v>
      </c>
      <c r="Y17" s="689">
        <f t="shared" ref="Y17:AN17" si="9">SUM(Y15:Y16)</f>
        <v>5</v>
      </c>
      <c r="Z17" s="690">
        <f t="shared" si="9"/>
        <v>3</v>
      </c>
      <c r="AA17" s="685">
        <f t="shared" si="9"/>
        <v>0</v>
      </c>
      <c r="AB17" s="685">
        <f t="shared" si="9"/>
        <v>2</v>
      </c>
      <c r="AC17" s="691">
        <f t="shared" si="9"/>
        <v>0</v>
      </c>
      <c r="AD17" s="691">
        <f t="shared" si="9"/>
        <v>0</v>
      </c>
      <c r="AE17" s="691">
        <f t="shared" si="9"/>
        <v>0</v>
      </c>
      <c r="AF17" s="691">
        <f t="shared" si="9"/>
        <v>0</v>
      </c>
      <c r="AG17" s="692">
        <f t="shared" si="9"/>
        <v>0</v>
      </c>
      <c r="AH17" s="692">
        <f t="shared" si="9"/>
        <v>0</v>
      </c>
      <c r="AI17" s="692">
        <f t="shared" si="9"/>
        <v>0</v>
      </c>
      <c r="AJ17" s="692">
        <f t="shared" si="9"/>
        <v>0</v>
      </c>
      <c r="AK17" s="693">
        <f t="shared" si="9"/>
        <v>5</v>
      </c>
      <c r="AL17" s="693">
        <f t="shared" si="9"/>
        <v>3</v>
      </c>
      <c r="AM17" s="693">
        <f t="shared" si="9"/>
        <v>0</v>
      </c>
      <c r="AN17" s="693">
        <f t="shared" si="9"/>
        <v>2</v>
      </c>
    </row>
    <row r="18" spans="1:40" ht="14.95" thickBot="1" x14ac:dyDescent="0.3">
      <c r="A18" s="438"/>
      <c r="B18" s="439"/>
      <c r="C18" s="1034" t="s">
        <v>112</v>
      </c>
      <c r="D18" s="1035"/>
      <c r="E18" s="1036"/>
      <c r="F18" s="453">
        <f t="shared" ref="F18:R18" si="10">SUM(F3:F12)</f>
        <v>266</v>
      </c>
      <c r="G18" s="453">
        <f t="shared" si="10"/>
        <v>230</v>
      </c>
      <c r="H18" s="453">
        <f t="shared" si="10"/>
        <v>3</v>
      </c>
      <c r="I18" s="453">
        <f t="shared" si="10"/>
        <v>1</v>
      </c>
      <c r="J18" s="453">
        <f t="shared" si="10"/>
        <v>36</v>
      </c>
      <c r="K18" s="453">
        <f t="shared" si="10"/>
        <v>22</v>
      </c>
      <c r="L18" s="453">
        <f t="shared" si="10"/>
        <v>0</v>
      </c>
      <c r="M18" s="453">
        <f t="shared" si="10"/>
        <v>14</v>
      </c>
      <c r="N18" s="453">
        <f t="shared" si="10"/>
        <v>4</v>
      </c>
      <c r="O18" s="453">
        <f t="shared" si="10"/>
        <v>0</v>
      </c>
      <c r="P18" s="453">
        <f t="shared" si="10"/>
        <v>1</v>
      </c>
      <c r="Q18" s="453">
        <f t="shared" si="10"/>
        <v>1</v>
      </c>
      <c r="R18" s="453">
        <f t="shared" si="10"/>
        <v>27</v>
      </c>
      <c r="S18" s="454"/>
      <c r="T18" s="454"/>
      <c r="U18" s="454"/>
      <c r="V18" s="454"/>
      <c r="W18" s="455"/>
      <c r="X18" s="462" t="s">
        <v>112</v>
      </c>
      <c r="Y18" s="882">
        <f t="shared" ref="Y18:AN18" si="11">SUM(Y3:Y12)</f>
        <v>10</v>
      </c>
      <c r="Z18" s="453">
        <f t="shared" si="11"/>
        <v>6</v>
      </c>
      <c r="AA18" s="453">
        <f t="shared" si="11"/>
        <v>0</v>
      </c>
      <c r="AB18" s="453">
        <f t="shared" si="11"/>
        <v>4</v>
      </c>
      <c r="AC18" s="456">
        <f t="shared" si="11"/>
        <v>3</v>
      </c>
      <c r="AD18" s="456">
        <f t="shared" si="11"/>
        <v>3</v>
      </c>
      <c r="AE18" s="456">
        <f t="shared" si="11"/>
        <v>0</v>
      </c>
      <c r="AF18" s="456">
        <f t="shared" si="11"/>
        <v>0</v>
      </c>
      <c r="AG18" s="457">
        <f t="shared" si="11"/>
        <v>2</v>
      </c>
      <c r="AH18" s="457">
        <f t="shared" si="11"/>
        <v>0</v>
      </c>
      <c r="AI18" s="457">
        <f t="shared" si="11"/>
        <v>0</v>
      </c>
      <c r="AJ18" s="457">
        <f t="shared" si="11"/>
        <v>2</v>
      </c>
      <c r="AK18" s="458">
        <f t="shared" si="11"/>
        <v>5</v>
      </c>
      <c r="AL18" s="458">
        <f t="shared" si="11"/>
        <v>3</v>
      </c>
      <c r="AM18" s="458">
        <f t="shared" si="11"/>
        <v>0</v>
      </c>
      <c r="AN18" s="458">
        <f t="shared" si="11"/>
        <v>2</v>
      </c>
    </row>
    <row r="19" spans="1:40" x14ac:dyDescent="0.25">
      <c r="A19" s="1067" t="s">
        <v>591</v>
      </c>
      <c r="B19" s="988"/>
      <c r="C19" s="988"/>
      <c r="D19" s="988"/>
      <c r="E19" s="988"/>
      <c r="F19" s="988"/>
      <c r="G19" s="988"/>
      <c r="H19" s="988"/>
      <c r="I19" s="988"/>
      <c r="J19" s="988"/>
      <c r="K19" s="988"/>
      <c r="L19" s="988"/>
      <c r="M19" s="988"/>
      <c r="N19" s="988"/>
      <c r="O19" s="988"/>
      <c r="P19" s="988"/>
      <c r="Q19" s="988"/>
      <c r="R19" s="988"/>
      <c r="S19" s="988"/>
      <c r="T19" s="988"/>
      <c r="U19" s="988"/>
      <c r="V19" s="988"/>
      <c r="W19" s="988"/>
    </row>
    <row r="20" spans="1:40" x14ac:dyDescent="0.25">
      <c r="A20" t="s">
        <v>609</v>
      </c>
    </row>
    <row r="21" spans="1:40" x14ac:dyDescent="0.25">
      <c r="A21" t="s">
        <v>614</v>
      </c>
    </row>
    <row r="22" spans="1:40" x14ac:dyDescent="0.25">
      <c r="A22" t="s">
        <v>671</v>
      </c>
    </row>
    <row r="23" spans="1:40" x14ac:dyDescent="0.25">
      <c r="A23" t="s">
        <v>681</v>
      </c>
    </row>
    <row r="24" spans="1:40" x14ac:dyDescent="0.25">
      <c r="A24" s="159"/>
      <c r="B24" t="s">
        <v>44</v>
      </c>
    </row>
    <row r="25" spans="1:40" x14ac:dyDescent="0.25">
      <c r="A25" s="157"/>
      <c r="B25" t="s">
        <v>42</v>
      </c>
    </row>
    <row r="26" spans="1:40" x14ac:dyDescent="0.25">
      <c r="A26" s="158"/>
      <c r="B26" t="s">
        <v>43</v>
      </c>
    </row>
    <row r="27" spans="1:40" x14ac:dyDescent="0.25">
      <c r="A27" s="15" t="s">
        <v>28</v>
      </c>
    </row>
  </sheetData>
  <mergeCells count="17">
    <mergeCell ref="A19:W19"/>
    <mergeCell ref="C14:E14"/>
    <mergeCell ref="C15:E15"/>
    <mergeCell ref="C16:E16"/>
    <mergeCell ref="C17:E17"/>
    <mergeCell ref="C18:E18"/>
    <mergeCell ref="Y1:AB1"/>
    <mergeCell ref="AC1:AF1"/>
    <mergeCell ref="AG1:AJ1"/>
    <mergeCell ref="AK1:AN1"/>
    <mergeCell ref="C13:E13"/>
    <mergeCell ref="J1:M1"/>
    <mergeCell ref="N1:O1"/>
    <mergeCell ref="P1:R1"/>
    <mergeCell ref="A1:C1"/>
    <mergeCell ref="E1:G1"/>
    <mergeCell ref="H1:I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33"/>
  <sheetViews>
    <sheetView zoomScaleNormal="100" workbookViewId="0">
      <pane ySplit="2" topLeftCell="A3" activePane="bottomLeft" state="frozen"/>
      <selection pane="bottomLeft" activeCell="R30" sqref="R30"/>
    </sheetView>
  </sheetViews>
  <sheetFormatPr defaultRowHeight="14.3" x14ac:dyDescent="0.25"/>
  <cols>
    <col min="1" max="1" width="7.5" customWidth="1"/>
    <col min="2" max="2" width="5.5" customWidth="1"/>
    <col min="3" max="3" width="12.5" customWidth="1"/>
    <col min="4" max="4" width="4.875" customWidth="1"/>
    <col min="5" max="18" width="3.75" customWidth="1"/>
    <col min="19" max="20" width="6.25" customWidth="1"/>
    <col min="21" max="21" width="22.25" customWidth="1"/>
    <col min="22" max="22" width="24.25" bestFit="1" customWidth="1"/>
    <col min="23" max="23" width="25.5" customWidth="1"/>
    <col min="24" max="24" width="25.875" bestFit="1" customWidth="1"/>
    <col min="25" max="40" width="3.7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1080" t="s">
        <v>154</v>
      </c>
      <c r="B1" s="1081"/>
      <c r="C1" s="1081"/>
      <c r="D1" s="154"/>
      <c r="E1" s="1082" t="s">
        <v>24</v>
      </c>
      <c r="F1" s="1083"/>
      <c r="G1" s="1084"/>
      <c r="H1" s="1082" t="s">
        <v>23</v>
      </c>
      <c r="I1" s="1084"/>
      <c r="J1" s="1077" t="s">
        <v>6</v>
      </c>
      <c r="K1" s="1078"/>
      <c r="L1" s="1078"/>
      <c r="M1" s="1079"/>
      <c r="N1" s="1077" t="s">
        <v>7</v>
      </c>
      <c r="O1" s="1079"/>
      <c r="P1" s="1077" t="s">
        <v>25</v>
      </c>
      <c r="Q1" s="1078"/>
      <c r="R1" s="1079"/>
      <c r="S1" s="870" t="s">
        <v>8</v>
      </c>
      <c r="T1" s="870" t="s">
        <v>9</v>
      </c>
      <c r="U1" s="29" t="s">
        <v>10</v>
      </c>
      <c r="V1" s="28" t="s">
        <v>11</v>
      </c>
      <c r="W1" s="30" t="s">
        <v>26</v>
      </c>
      <c r="X1" s="175" t="s">
        <v>27</v>
      </c>
      <c r="Y1" s="1068" t="s">
        <v>20</v>
      </c>
      <c r="Z1" s="1044"/>
      <c r="AA1" s="1044"/>
      <c r="AB1" s="1045"/>
      <c r="AC1" s="1068" t="s">
        <v>61</v>
      </c>
      <c r="AD1" s="1044"/>
      <c r="AE1" s="1044"/>
      <c r="AF1" s="1045"/>
      <c r="AG1" s="1068" t="s">
        <v>62</v>
      </c>
      <c r="AH1" s="1044"/>
      <c r="AI1" s="1044"/>
      <c r="AJ1" s="1045"/>
      <c r="AK1" s="1068" t="s">
        <v>63</v>
      </c>
      <c r="AL1" s="1044"/>
      <c r="AM1" s="1044"/>
      <c r="AN1" s="1045"/>
      <c r="AP1" s="855" t="s">
        <v>639</v>
      </c>
      <c r="AQ1" s="14"/>
      <c r="AS1" s="855" t="s">
        <v>639</v>
      </c>
    </row>
    <row r="2" spans="1:46" ht="14.95" customHeight="1" thickBot="1" x14ac:dyDescent="0.3">
      <c r="A2" s="31" t="s">
        <v>19</v>
      </c>
      <c r="B2" s="32" t="s">
        <v>18</v>
      </c>
      <c r="C2" s="33" t="s">
        <v>17</v>
      </c>
      <c r="D2" s="33" t="s">
        <v>41</v>
      </c>
      <c r="E2" s="34" t="s">
        <v>16</v>
      </c>
      <c r="F2" s="34" t="s">
        <v>4</v>
      </c>
      <c r="G2" s="34" t="s">
        <v>5</v>
      </c>
      <c r="H2" s="35" t="s">
        <v>12</v>
      </c>
      <c r="I2" s="35" t="s">
        <v>3</v>
      </c>
      <c r="J2" s="35" t="s">
        <v>12</v>
      </c>
      <c r="K2" s="35" t="s">
        <v>13</v>
      </c>
      <c r="L2" s="35" t="s">
        <v>2</v>
      </c>
      <c r="M2" s="35" t="s">
        <v>14</v>
      </c>
      <c r="N2" s="35" t="s">
        <v>15</v>
      </c>
      <c r="O2" s="35" t="s">
        <v>16</v>
      </c>
      <c r="P2" s="35" t="s">
        <v>21</v>
      </c>
      <c r="Q2" s="35" t="s">
        <v>22</v>
      </c>
      <c r="R2" s="35" t="s">
        <v>12</v>
      </c>
      <c r="S2" s="36"/>
      <c r="T2" s="37"/>
      <c r="U2" s="38"/>
      <c r="V2" s="36"/>
      <c r="W2" s="39"/>
      <c r="X2" s="40"/>
      <c r="Y2" s="28" t="s">
        <v>0</v>
      </c>
      <c r="Z2" s="28" t="s">
        <v>1</v>
      </c>
      <c r="AA2" s="28" t="s">
        <v>2</v>
      </c>
      <c r="AB2" s="28" t="s">
        <v>3</v>
      </c>
      <c r="AC2" s="28" t="s">
        <v>0</v>
      </c>
      <c r="AD2" s="28" t="s">
        <v>1</v>
      </c>
      <c r="AE2" s="28" t="s">
        <v>2</v>
      </c>
      <c r="AF2" s="28" t="s">
        <v>3</v>
      </c>
      <c r="AG2" s="28" t="s">
        <v>0</v>
      </c>
      <c r="AH2" s="28" t="s">
        <v>1</v>
      </c>
      <c r="AI2" s="28" t="s">
        <v>2</v>
      </c>
      <c r="AJ2" s="28" t="s">
        <v>3</v>
      </c>
      <c r="AK2" s="28" t="s">
        <v>0</v>
      </c>
      <c r="AL2" s="28" t="s">
        <v>1</v>
      </c>
      <c r="AM2" s="28" t="s">
        <v>2</v>
      </c>
      <c r="AN2" s="28" t="s">
        <v>3</v>
      </c>
      <c r="AP2" s="592" t="s">
        <v>112</v>
      </c>
      <c r="AQ2" s="253" t="s">
        <v>987</v>
      </c>
      <c r="AS2" s="672" t="s">
        <v>610</v>
      </c>
      <c r="AT2" s="253" t="s">
        <v>987</v>
      </c>
    </row>
    <row r="3" spans="1:46" ht="14.95" customHeight="1" thickBot="1" x14ac:dyDescent="0.35">
      <c r="A3" s="409">
        <v>43498</v>
      </c>
      <c r="B3" s="215" t="s">
        <v>106</v>
      </c>
      <c r="C3" s="178" t="s">
        <v>107</v>
      </c>
      <c r="D3" s="178" t="s">
        <v>305</v>
      </c>
      <c r="E3" s="179" t="s">
        <v>3</v>
      </c>
      <c r="F3" s="179">
        <v>17</v>
      </c>
      <c r="G3" s="179">
        <v>20</v>
      </c>
      <c r="H3" s="179">
        <v>0</v>
      </c>
      <c r="I3" s="179">
        <v>1</v>
      </c>
      <c r="J3" s="179">
        <v>3</v>
      </c>
      <c r="K3" s="179">
        <v>1</v>
      </c>
      <c r="L3" s="179">
        <v>0</v>
      </c>
      <c r="M3" s="179">
        <v>0</v>
      </c>
      <c r="N3" s="179">
        <v>1</v>
      </c>
      <c r="O3" s="179">
        <v>0</v>
      </c>
      <c r="P3" s="179">
        <v>0</v>
      </c>
      <c r="Q3" s="179">
        <v>0</v>
      </c>
      <c r="R3" s="179">
        <v>3</v>
      </c>
      <c r="S3" s="180">
        <v>2000</v>
      </c>
      <c r="T3" s="464" t="s">
        <v>310</v>
      </c>
      <c r="U3" s="181" t="s">
        <v>134</v>
      </c>
      <c r="V3" s="180" t="s">
        <v>307</v>
      </c>
      <c r="W3" s="182" t="s">
        <v>308</v>
      </c>
      <c r="X3" s="183" t="s">
        <v>309</v>
      </c>
      <c r="Y3" s="184">
        <v>1</v>
      </c>
      <c r="Z3" s="184">
        <v>0</v>
      </c>
      <c r="AA3" s="184">
        <v>0</v>
      </c>
      <c r="AB3" s="185">
        <v>1</v>
      </c>
      <c r="AC3" s="184">
        <v>0</v>
      </c>
      <c r="AD3" s="184">
        <v>0</v>
      </c>
      <c r="AE3" s="184">
        <v>0</v>
      </c>
      <c r="AF3" s="185">
        <v>0</v>
      </c>
      <c r="AG3" s="184">
        <v>1</v>
      </c>
      <c r="AH3" s="184">
        <v>0</v>
      </c>
      <c r="AI3" s="184">
        <v>0</v>
      </c>
      <c r="AJ3" s="185">
        <v>1</v>
      </c>
      <c r="AK3" s="184">
        <v>0</v>
      </c>
      <c r="AL3" s="184">
        <v>0</v>
      </c>
      <c r="AM3" s="184">
        <v>0</v>
      </c>
      <c r="AN3" s="185">
        <v>0</v>
      </c>
      <c r="AP3" s="849" t="s">
        <v>627</v>
      </c>
      <c r="AQ3" s="850">
        <f>Canadaalltestshistplayed</f>
        <v>278</v>
      </c>
      <c r="AS3" s="849" t="s">
        <v>627</v>
      </c>
      <c r="AT3" s="850">
        <f>CanadaRWChistplayed</f>
        <v>33</v>
      </c>
    </row>
    <row r="4" spans="1:46" ht="14.95" customHeight="1" thickBot="1" x14ac:dyDescent="0.35">
      <c r="A4" s="409">
        <v>43505</v>
      </c>
      <c r="B4" s="208" t="s">
        <v>106</v>
      </c>
      <c r="C4" s="178" t="s">
        <v>251</v>
      </c>
      <c r="D4" s="178" t="s">
        <v>318</v>
      </c>
      <c r="E4" s="179" t="s">
        <v>3</v>
      </c>
      <c r="F4" s="179">
        <v>10</v>
      </c>
      <c r="G4" s="179">
        <v>18</v>
      </c>
      <c r="H4" s="179">
        <v>0</v>
      </c>
      <c r="I4" s="179">
        <v>0</v>
      </c>
      <c r="J4" s="179">
        <v>1</v>
      </c>
      <c r="K4" s="179">
        <v>1</v>
      </c>
      <c r="L4" s="179">
        <v>0</v>
      </c>
      <c r="M4" s="179">
        <v>1</v>
      </c>
      <c r="N4" s="179">
        <v>0</v>
      </c>
      <c r="O4" s="179">
        <v>0</v>
      </c>
      <c r="P4" s="179">
        <v>0</v>
      </c>
      <c r="Q4" s="179">
        <v>0</v>
      </c>
      <c r="R4" s="179">
        <v>0</v>
      </c>
      <c r="S4" s="180"/>
      <c r="T4" s="464" t="s">
        <v>319</v>
      </c>
      <c r="U4" s="181" t="s">
        <v>304</v>
      </c>
      <c r="V4" s="180" t="s">
        <v>320</v>
      </c>
      <c r="W4" s="182" t="s">
        <v>321</v>
      </c>
      <c r="X4" s="183" t="s">
        <v>322</v>
      </c>
      <c r="Y4" s="184">
        <v>1</v>
      </c>
      <c r="Z4" s="184">
        <v>0</v>
      </c>
      <c r="AA4" s="184">
        <v>0</v>
      </c>
      <c r="AB4" s="185">
        <v>1</v>
      </c>
      <c r="AC4" s="184">
        <v>0</v>
      </c>
      <c r="AD4" s="184">
        <v>0</v>
      </c>
      <c r="AE4" s="184">
        <v>0</v>
      </c>
      <c r="AF4" s="185">
        <v>0</v>
      </c>
      <c r="AG4" s="184">
        <v>1</v>
      </c>
      <c r="AH4" s="184">
        <v>0</v>
      </c>
      <c r="AI4" s="184">
        <v>0</v>
      </c>
      <c r="AJ4" s="185">
        <v>1</v>
      </c>
      <c r="AK4" s="184">
        <v>0</v>
      </c>
      <c r="AL4" s="184">
        <v>0</v>
      </c>
      <c r="AM4" s="184">
        <v>0</v>
      </c>
      <c r="AN4" s="185">
        <v>0</v>
      </c>
      <c r="AP4" s="851" t="s">
        <v>628</v>
      </c>
      <c r="AQ4" s="852">
        <f>Canadaalltestshistwon</f>
        <v>107</v>
      </c>
      <c r="AS4" s="851" t="s">
        <v>628</v>
      </c>
      <c r="AT4" s="852">
        <f>CanadaRWChistwon</f>
        <v>7</v>
      </c>
    </row>
    <row r="5" spans="1:46" ht="14.95" customHeight="1" thickBot="1" x14ac:dyDescent="0.35">
      <c r="A5" s="408">
        <v>43518</v>
      </c>
      <c r="B5" s="214" t="s">
        <v>106</v>
      </c>
      <c r="C5" s="196" t="s">
        <v>237</v>
      </c>
      <c r="D5" s="196" t="s">
        <v>344</v>
      </c>
      <c r="E5" s="197" t="s">
        <v>1</v>
      </c>
      <c r="F5" s="197">
        <v>56</v>
      </c>
      <c r="G5" s="197">
        <v>0</v>
      </c>
      <c r="H5" s="197">
        <v>1</v>
      </c>
      <c r="I5" s="197">
        <v>0</v>
      </c>
      <c r="J5" s="197">
        <v>7</v>
      </c>
      <c r="K5" s="197">
        <v>6</v>
      </c>
      <c r="L5" s="197">
        <v>0</v>
      </c>
      <c r="M5" s="197">
        <v>3</v>
      </c>
      <c r="N5" s="197">
        <v>0</v>
      </c>
      <c r="O5" s="197">
        <v>0</v>
      </c>
      <c r="P5" s="197">
        <v>0</v>
      </c>
      <c r="Q5" s="197">
        <v>0</v>
      </c>
      <c r="R5" s="197">
        <v>0</v>
      </c>
      <c r="S5" s="307">
        <v>1160</v>
      </c>
      <c r="T5" s="415" t="s">
        <v>346</v>
      </c>
      <c r="U5" s="308" t="s">
        <v>347</v>
      </c>
      <c r="V5" s="307" t="s">
        <v>348</v>
      </c>
      <c r="W5" s="309" t="s">
        <v>349</v>
      </c>
      <c r="X5" s="310" t="s">
        <v>350</v>
      </c>
      <c r="Y5" s="212">
        <v>1</v>
      </c>
      <c r="Z5" s="212">
        <v>1</v>
      </c>
      <c r="AA5" s="212">
        <v>0</v>
      </c>
      <c r="AB5" s="213">
        <v>0</v>
      </c>
      <c r="AC5" s="212">
        <v>1</v>
      </c>
      <c r="AD5" s="212">
        <v>1</v>
      </c>
      <c r="AE5" s="212">
        <v>0</v>
      </c>
      <c r="AF5" s="213">
        <v>0</v>
      </c>
      <c r="AG5" s="212">
        <v>0</v>
      </c>
      <c r="AH5" s="212">
        <v>0</v>
      </c>
      <c r="AI5" s="212">
        <v>0</v>
      </c>
      <c r="AJ5" s="213">
        <v>0</v>
      </c>
      <c r="AK5" s="212">
        <v>0</v>
      </c>
      <c r="AL5" s="212">
        <v>0</v>
      </c>
      <c r="AM5" s="212">
        <v>0</v>
      </c>
      <c r="AN5" s="213">
        <v>0</v>
      </c>
      <c r="AP5" s="851" t="s">
        <v>634</v>
      </c>
      <c r="AQ5" s="852">
        <f>Canadaalltestshistdrawn</f>
        <v>7</v>
      </c>
      <c r="AS5" s="851" t="s">
        <v>634</v>
      </c>
      <c r="AT5" s="852">
        <f>CanadaRWChistdrawn</f>
        <v>3</v>
      </c>
    </row>
    <row r="6" spans="1:46" ht="14.95" customHeight="1" thickBot="1" x14ac:dyDescent="0.3">
      <c r="A6" s="409">
        <v>43532</v>
      </c>
      <c r="B6" s="208" t="s">
        <v>106</v>
      </c>
      <c r="C6" s="178" t="s">
        <v>60</v>
      </c>
      <c r="D6" s="178" t="s">
        <v>366</v>
      </c>
      <c r="E6" s="179" t="s">
        <v>3</v>
      </c>
      <c r="F6" s="179">
        <v>25</v>
      </c>
      <c r="G6" s="179">
        <v>30</v>
      </c>
      <c r="H6" s="179">
        <v>0</v>
      </c>
      <c r="I6" s="179">
        <v>1</v>
      </c>
      <c r="J6" s="179">
        <v>3</v>
      </c>
      <c r="K6" s="179">
        <v>2</v>
      </c>
      <c r="L6" s="179">
        <v>0</v>
      </c>
      <c r="M6" s="179">
        <v>2</v>
      </c>
      <c r="N6" s="179">
        <v>1</v>
      </c>
      <c r="O6" s="179">
        <v>0</v>
      </c>
      <c r="P6" s="179">
        <v>1</v>
      </c>
      <c r="Q6" s="179">
        <v>0</v>
      </c>
      <c r="R6" s="179">
        <v>4</v>
      </c>
      <c r="S6" s="180"/>
      <c r="T6" s="223" t="s">
        <v>381</v>
      </c>
      <c r="U6" s="181" t="s">
        <v>382</v>
      </c>
      <c r="V6" s="180" t="s">
        <v>368</v>
      </c>
      <c r="W6" s="182" t="s">
        <v>354</v>
      </c>
      <c r="X6" s="183" t="s">
        <v>378</v>
      </c>
      <c r="Y6" s="184">
        <v>1</v>
      </c>
      <c r="Z6" s="184">
        <v>0</v>
      </c>
      <c r="AA6" s="184">
        <v>0</v>
      </c>
      <c r="AB6" s="185">
        <v>1</v>
      </c>
      <c r="AC6" s="184">
        <v>0</v>
      </c>
      <c r="AD6" s="184">
        <v>0</v>
      </c>
      <c r="AE6" s="184">
        <v>0</v>
      </c>
      <c r="AF6" s="185">
        <v>0</v>
      </c>
      <c r="AG6" s="184">
        <v>1</v>
      </c>
      <c r="AH6" s="184">
        <v>0</v>
      </c>
      <c r="AI6" s="184">
        <v>0</v>
      </c>
      <c r="AJ6" s="185">
        <v>1</v>
      </c>
      <c r="AK6" s="184">
        <v>0</v>
      </c>
      <c r="AL6" s="184">
        <v>0</v>
      </c>
      <c r="AM6" s="184">
        <v>0</v>
      </c>
      <c r="AN6" s="185">
        <v>0</v>
      </c>
      <c r="AP6" s="851" t="s">
        <v>629</v>
      </c>
      <c r="AQ6" s="852">
        <f>Canadaalltestshistlost</f>
        <v>164</v>
      </c>
      <c r="AS6" s="851" t="s">
        <v>629</v>
      </c>
      <c r="AT6" s="852">
        <f>CanadaRWChistlost</f>
        <v>23</v>
      </c>
    </row>
    <row r="7" spans="1:46" ht="14.95" customHeight="1" thickBot="1" x14ac:dyDescent="0.3">
      <c r="A7" s="409">
        <v>43673</v>
      </c>
      <c r="B7" s="208" t="s">
        <v>147</v>
      </c>
      <c r="C7" s="178" t="s">
        <v>60</v>
      </c>
      <c r="D7" s="178" t="s">
        <v>739</v>
      </c>
      <c r="E7" s="179" t="s">
        <v>3</v>
      </c>
      <c r="F7" s="179">
        <v>19</v>
      </c>
      <c r="G7" s="179">
        <v>47</v>
      </c>
      <c r="H7" s="179">
        <v>0</v>
      </c>
      <c r="I7" s="179">
        <v>0</v>
      </c>
      <c r="J7" s="179">
        <v>3</v>
      </c>
      <c r="K7" s="179">
        <v>1</v>
      </c>
      <c r="L7" s="179">
        <v>0</v>
      </c>
      <c r="M7" s="179">
        <v>0</v>
      </c>
      <c r="N7" s="179">
        <v>0</v>
      </c>
      <c r="O7" s="179">
        <v>0</v>
      </c>
      <c r="P7" s="179">
        <v>1</v>
      </c>
      <c r="Q7" s="179">
        <v>0</v>
      </c>
      <c r="R7" s="179">
        <v>6</v>
      </c>
      <c r="S7" s="180">
        <v>5000</v>
      </c>
      <c r="T7" s="223" t="s">
        <v>743</v>
      </c>
      <c r="U7" s="181" t="s">
        <v>129</v>
      </c>
      <c r="V7" s="180" t="s">
        <v>215</v>
      </c>
      <c r="W7" s="180" t="s">
        <v>427</v>
      </c>
      <c r="X7" s="183" t="s">
        <v>357</v>
      </c>
      <c r="Y7" s="184">
        <v>1</v>
      </c>
      <c r="Z7" s="184">
        <v>0</v>
      </c>
      <c r="AA7" s="184">
        <v>0</v>
      </c>
      <c r="AB7" s="185">
        <v>1</v>
      </c>
      <c r="AC7" s="184">
        <v>0</v>
      </c>
      <c r="AD7" s="184">
        <v>0</v>
      </c>
      <c r="AE7" s="184">
        <v>0</v>
      </c>
      <c r="AF7" s="185">
        <v>0</v>
      </c>
      <c r="AG7" s="184">
        <v>1</v>
      </c>
      <c r="AH7" s="184">
        <v>0</v>
      </c>
      <c r="AI7" s="184">
        <v>0</v>
      </c>
      <c r="AJ7" s="185">
        <v>1</v>
      </c>
      <c r="AK7" s="184">
        <v>0</v>
      </c>
      <c r="AL7" s="184">
        <v>0</v>
      </c>
      <c r="AM7" s="184">
        <v>0</v>
      </c>
      <c r="AN7" s="185">
        <v>0</v>
      </c>
      <c r="AP7" s="851" t="s">
        <v>635</v>
      </c>
      <c r="AQ7" s="852">
        <f>Canadaalltestshistptsscored</f>
        <v>5769</v>
      </c>
      <c r="AS7" s="851" t="s">
        <v>635</v>
      </c>
      <c r="AT7" s="852">
        <f>CanadaRWChistptsscored</f>
        <v>541</v>
      </c>
    </row>
    <row r="8" spans="1:46" ht="14.95" customHeight="1" thickBot="1" x14ac:dyDescent="0.3">
      <c r="A8" s="409">
        <v>43680</v>
      </c>
      <c r="B8" s="208" t="s">
        <v>147</v>
      </c>
      <c r="C8" s="178" t="s">
        <v>31</v>
      </c>
      <c r="D8" s="178" t="s">
        <v>586</v>
      </c>
      <c r="E8" s="179" t="s">
        <v>3</v>
      </c>
      <c r="F8" s="179">
        <v>13</v>
      </c>
      <c r="G8" s="179">
        <v>38</v>
      </c>
      <c r="H8" s="179">
        <v>0</v>
      </c>
      <c r="I8" s="179">
        <v>0</v>
      </c>
      <c r="J8" s="179">
        <v>1</v>
      </c>
      <c r="K8" s="179">
        <v>1</v>
      </c>
      <c r="L8" s="179">
        <v>0</v>
      </c>
      <c r="M8" s="179">
        <v>2</v>
      </c>
      <c r="N8" s="179">
        <v>0</v>
      </c>
      <c r="O8" s="179">
        <v>0</v>
      </c>
      <c r="P8" s="179">
        <v>1</v>
      </c>
      <c r="Q8" s="179">
        <v>0</v>
      </c>
      <c r="R8" s="179">
        <v>6</v>
      </c>
      <c r="S8" s="180"/>
      <c r="T8" s="223" t="s">
        <v>367</v>
      </c>
      <c r="U8" s="181" t="s">
        <v>730</v>
      </c>
      <c r="V8" s="180" t="s">
        <v>314</v>
      </c>
      <c r="W8" s="180" t="s">
        <v>748</v>
      </c>
      <c r="X8" s="182" t="s">
        <v>731</v>
      </c>
      <c r="Y8" s="184">
        <v>1</v>
      </c>
      <c r="Z8" s="184">
        <v>0</v>
      </c>
      <c r="AA8" s="184">
        <v>0</v>
      </c>
      <c r="AB8" s="185">
        <v>1</v>
      </c>
      <c r="AC8" s="184">
        <v>0</v>
      </c>
      <c r="AD8" s="184">
        <v>0</v>
      </c>
      <c r="AE8" s="184">
        <v>0</v>
      </c>
      <c r="AF8" s="185">
        <v>0</v>
      </c>
      <c r="AG8" s="184">
        <v>1</v>
      </c>
      <c r="AH8" s="184">
        <v>0</v>
      </c>
      <c r="AI8" s="184">
        <v>0</v>
      </c>
      <c r="AJ8" s="185">
        <v>1</v>
      </c>
      <c r="AK8" s="184">
        <v>0</v>
      </c>
      <c r="AL8" s="184">
        <v>0</v>
      </c>
      <c r="AM8" s="184">
        <v>0</v>
      </c>
      <c r="AN8" s="185">
        <v>0</v>
      </c>
      <c r="AP8" s="851" t="s">
        <v>636</v>
      </c>
      <c r="AQ8" s="852">
        <f>Canadaalltestshistptsagainst</f>
        <v>7229</v>
      </c>
      <c r="AS8" s="851" t="s">
        <v>636</v>
      </c>
      <c r="AT8" s="852">
        <f>CanadaRWChistptsagainst</f>
        <v>1015</v>
      </c>
    </row>
    <row r="9" spans="1:46" ht="14.95" customHeight="1" thickBot="1" x14ac:dyDescent="0.3">
      <c r="A9" s="188">
        <v>43686</v>
      </c>
      <c r="B9" s="189" t="s">
        <v>147</v>
      </c>
      <c r="C9" s="189" t="s">
        <v>145</v>
      </c>
      <c r="D9" s="189" t="s">
        <v>588</v>
      </c>
      <c r="E9" s="190" t="s">
        <v>3</v>
      </c>
      <c r="F9" s="190">
        <v>23</v>
      </c>
      <c r="G9" s="190">
        <v>33</v>
      </c>
      <c r="H9" s="190">
        <v>1</v>
      </c>
      <c r="I9" s="190">
        <v>0</v>
      </c>
      <c r="J9" s="190">
        <v>4</v>
      </c>
      <c r="K9" s="190">
        <v>0</v>
      </c>
      <c r="L9" s="190">
        <v>0</v>
      </c>
      <c r="M9" s="190">
        <v>1</v>
      </c>
      <c r="N9" s="190">
        <v>0</v>
      </c>
      <c r="O9" s="190">
        <v>0</v>
      </c>
      <c r="P9" s="190">
        <v>1</v>
      </c>
      <c r="Q9" s="190">
        <v>0</v>
      </c>
      <c r="R9" s="190">
        <v>5</v>
      </c>
      <c r="S9" s="203"/>
      <c r="T9" s="406" t="s">
        <v>757</v>
      </c>
      <c r="U9" s="204" t="s">
        <v>219</v>
      </c>
      <c r="V9" s="203" t="s">
        <v>314</v>
      </c>
      <c r="W9" s="191" t="s">
        <v>758</v>
      </c>
      <c r="X9" s="205" t="s">
        <v>759</v>
      </c>
      <c r="Y9" s="206">
        <v>1</v>
      </c>
      <c r="Z9" s="206">
        <v>0</v>
      </c>
      <c r="AA9" s="206">
        <v>0</v>
      </c>
      <c r="AB9" s="207">
        <v>1</v>
      </c>
      <c r="AC9" s="206">
        <v>0</v>
      </c>
      <c r="AD9" s="206">
        <v>0</v>
      </c>
      <c r="AE9" s="206">
        <v>0</v>
      </c>
      <c r="AF9" s="207">
        <v>0</v>
      </c>
      <c r="AG9" s="206">
        <v>0</v>
      </c>
      <c r="AH9" s="206">
        <v>0</v>
      </c>
      <c r="AI9" s="206">
        <v>0</v>
      </c>
      <c r="AJ9" s="207">
        <v>0</v>
      </c>
      <c r="AK9" s="206">
        <v>1</v>
      </c>
      <c r="AL9" s="206">
        <v>0</v>
      </c>
      <c r="AM9" s="206">
        <v>0</v>
      </c>
      <c r="AN9" s="207">
        <v>1</v>
      </c>
      <c r="AP9" s="851" t="s">
        <v>623</v>
      </c>
      <c r="AQ9" s="852">
        <f>Canadaalltestshisttriesscored</f>
        <v>612</v>
      </c>
      <c r="AS9" s="851" t="s">
        <v>623</v>
      </c>
      <c r="AT9" s="852">
        <f>CanadaRWChisttriesscored</f>
        <v>58</v>
      </c>
    </row>
    <row r="10" spans="1:46" ht="14.95" customHeight="1" thickBot="1" x14ac:dyDescent="0.3">
      <c r="A10" s="195">
        <v>43715</v>
      </c>
      <c r="B10" s="196" t="s">
        <v>45</v>
      </c>
      <c r="C10" s="196" t="s">
        <v>60</v>
      </c>
      <c r="D10" s="196" t="s">
        <v>604</v>
      </c>
      <c r="E10" s="197" t="s">
        <v>3</v>
      </c>
      <c r="F10" s="197">
        <v>15</v>
      </c>
      <c r="G10" s="197">
        <v>20</v>
      </c>
      <c r="H10" s="197" t="s">
        <v>108</v>
      </c>
      <c r="I10" s="197" t="s">
        <v>108</v>
      </c>
      <c r="J10" s="197">
        <v>2</v>
      </c>
      <c r="K10" s="197">
        <v>1</v>
      </c>
      <c r="L10" s="197">
        <v>0</v>
      </c>
      <c r="M10" s="197">
        <v>1</v>
      </c>
      <c r="N10" s="197">
        <v>0</v>
      </c>
      <c r="O10" s="197">
        <v>0</v>
      </c>
      <c r="P10" s="197" t="s">
        <v>108</v>
      </c>
      <c r="Q10" s="197" t="s">
        <v>108</v>
      </c>
      <c r="R10" s="197">
        <v>3</v>
      </c>
      <c r="S10" s="209"/>
      <c r="T10" s="222" t="s">
        <v>210</v>
      </c>
      <c r="U10" s="210" t="s">
        <v>212</v>
      </c>
      <c r="V10" s="209" t="s">
        <v>844</v>
      </c>
      <c r="W10" s="210" t="s">
        <v>734</v>
      </c>
      <c r="X10" s="198" t="s">
        <v>799</v>
      </c>
      <c r="Y10" s="212">
        <v>1</v>
      </c>
      <c r="Z10" s="212">
        <v>0</v>
      </c>
      <c r="AA10" s="212">
        <v>0</v>
      </c>
      <c r="AB10" s="213">
        <v>1</v>
      </c>
      <c r="AC10" s="212">
        <v>1</v>
      </c>
      <c r="AD10" s="212">
        <v>0</v>
      </c>
      <c r="AE10" s="212">
        <v>0</v>
      </c>
      <c r="AF10" s="212">
        <v>1</v>
      </c>
      <c r="AG10" s="212">
        <v>0</v>
      </c>
      <c r="AH10" s="212">
        <v>0</v>
      </c>
      <c r="AI10" s="212">
        <v>0</v>
      </c>
      <c r="AJ10" s="212">
        <v>0</v>
      </c>
      <c r="AK10" s="212">
        <v>0</v>
      </c>
      <c r="AL10" s="212">
        <v>0</v>
      </c>
      <c r="AM10" s="212">
        <v>0</v>
      </c>
      <c r="AN10" s="212">
        <v>0</v>
      </c>
    </row>
    <row r="11" spans="1:46" ht="14.95" customHeight="1" thickBot="1" x14ac:dyDescent="0.3">
      <c r="A11" s="188">
        <v>43734</v>
      </c>
      <c r="B11" s="483" t="s">
        <v>158</v>
      </c>
      <c r="C11" s="189" t="s">
        <v>33</v>
      </c>
      <c r="D11" s="189" t="s">
        <v>168</v>
      </c>
      <c r="E11" s="190" t="s">
        <v>3</v>
      </c>
      <c r="F11" s="190">
        <v>7</v>
      </c>
      <c r="G11" s="190">
        <v>48</v>
      </c>
      <c r="H11" s="190">
        <v>0</v>
      </c>
      <c r="I11" s="190">
        <v>0</v>
      </c>
      <c r="J11" s="190">
        <v>1</v>
      </c>
      <c r="K11" s="190">
        <v>1</v>
      </c>
      <c r="L11" s="190">
        <v>0</v>
      </c>
      <c r="M11" s="190">
        <v>0</v>
      </c>
      <c r="N11" s="190">
        <v>1</v>
      </c>
      <c r="O11" s="190">
        <v>0</v>
      </c>
      <c r="P11" s="190">
        <v>1</v>
      </c>
      <c r="Q11" s="190">
        <v>0</v>
      </c>
      <c r="R11" s="190">
        <v>7</v>
      </c>
      <c r="S11" s="203">
        <v>16984</v>
      </c>
      <c r="T11" s="406" t="s">
        <v>794</v>
      </c>
      <c r="U11" s="204" t="s">
        <v>219</v>
      </c>
      <c r="V11" s="203" t="s">
        <v>131</v>
      </c>
      <c r="W11" s="204" t="s">
        <v>132</v>
      </c>
      <c r="X11" s="191" t="s">
        <v>233</v>
      </c>
      <c r="Y11" s="206">
        <v>1</v>
      </c>
      <c r="Z11" s="206">
        <v>0</v>
      </c>
      <c r="AA11" s="206">
        <v>0</v>
      </c>
      <c r="AB11" s="207">
        <v>1</v>
      </c>
      <c r="AC11" s="206">
        <v>0</v>
      </c>
      <c r="AD11" s="206">
        <v>0</v>
      </c>
      <c r="AE11" s="206">
        <v>0</v>
      </c>
      <c r="AF11" s="207">
        <v>0</v>
      </c>
      <c r="AG11" s="206">
        <v>0</v>
      </c>
      <c r="AH11" s="206">
        <v>0</v>
      </c>
      <c r="AI11" s="206">
        <v>0</v>
      </c>
      <c r="AJ11" s="207">
        <v>0</v>
      </c>
      <c r="AK11" s="206">
        <v>1</v>
      </c>
      <c r="AL11" s="206">
        <v>0</v>
      </c>
      <c r="AM11" s="206">
        <v>0</v>
      </c>
      <c r="AN11" s="207">
        <v>1</v>
      </c>
    </row>
    <row r="12" spans="1:46" ht="14.95" customHeight="1" thickBot="1" x14ac:dyDescent="0.3">
      <c r="A12" s="579">
        <v>43740</v>
      </c>
      <c r="B12" s="513" t="s">
        <v>158</v>
      </c>
      <c r="C12" s="513" t="s">
        <v>126</v>
      </c>
      <c r="D12" s="513" t="s">
        <v>180</v>
      </c>
      <c r="E12" s="190" t="s">
        <v>3</v>
      </c>
      <c r="F12" s="190">
        <v>0</v>
      </c>
      <c r="G12" s="190">
        <v>63</v>
      </c>
      <c r="H12" s="190">
        <v>0</v>
      </c>
      <c r="I12" s="190">
        <v>0</v>
      </c>
      <c r="J12" s="190">
        <v>0</v>
      </c>
      <c r="K12" s="190">
        <v>0</v>
      </c>
      <c r="L12" s="190">
        <v>0</v>
      </c>
      <c r="M12" s="190">
        <v>0</v>
      </c>
      <c r="N12" s="190">
        <v>0</v>
      </c>
      <c r="O12" s="190">
        <v>0</v>
      </c>
      <c r="P12" s="190">
        <v>1</v>
      </c>
      <c r="Q12" s="190">
        <v>0</v>
      </c>
      <c r="R12" s="190">
        <v>9</v>
      </c>
      <c r="S12" s="203">
        <v>34411</v>
      </c>
      <c r="T12" s="406" t="s">
        <v>924</v>
      </c>
      <c r="U12" s="204" t="s">
        <v>130</v>
      </c>
      <c r="V12" s="203" t="s">
        <v>270</v>
      </c>
      <c r="W12" s="191" t="s">
        <v>211</v>
      </c>
      <c r="X12" s="205" t="s">
        <v>212</v>
      </c>
      <c r="Y12" s="206">
        <v>1</v>
      </c>
      <c r="Z12" s="206">
        <v>0</v>
      </c>
      <c r="AA12" s="206">
        <v>0</v>
      </c>
      <c r="AB12" s="207">
        <v>1</v>
      </c>
      <c r="AC12" s="206">
        <v>0</v>
      </c>
      <c r="AD12" s="206">
        <v>0</v>
      </c>
      <c r="AE12" s="206">
        <v>0</v>
      </c>
      <c r="AF12" s="207">
        <v>0</v>
      </c>
      <c r="AG12" s="206">
        <v>0</v>
      </c>
      <c r="AH12" s="206">
        <v>0</v>
      </c>
      <c r="AI12" s="206">
        <v>0</v>
      </c>
      <c r="AJ12" s="207">
        <v>0</v>
      </c>
      <c r="AK12" s="206">
        <v>0</v>
      </c>
      <c r="AL12" s="206">
        <v>0</v>
      </c>
      <c r="AM12" s="206">
        <v>0</v>
      </c>
      <c r="AN12" s="207">
        <v>0</v>
      </c>
    </row>
    <row r="13" spans="1:46" ht="14.95" customHeight="1" thickBot="1" x14ac:dyDescent="0.3">
      <c r="A13" s="579">
        <v>43746</v>
      </c>
      <c r="B13" s="513" t="s">
        <v>158</v>
      </c>
      <c r="C13" s="513" t="s">
        <v>679</v>
      </c>
      <c r="D13" s="513" t="s">
        <v>127</v>
      </c>
      <c r="E13" s="580" t="s">
        <v>3</v>
      </c>
      <c r="F13" s="580">
        <v>7</v>
      </c>
      <c r="G13" s="190">
        <v>66</v>
      </c>
      <c r="H13" s="190">
        <v>0</v>
      </c>
      <c r="I13" s="190">
        <v>0</v>
      </c>
      <c r="J13" s="190">
        <v>1</v>
      </c>
      <c r="K13" s="190">
        <v>1</v>
      </c>
      <c r="L13" s="190">
        <v>0</v>
      </c>
      <c r="M13" s="190">
        <v>0</v>
      </c>
      <c r="N13" s="190">
        <v>0</v>
      </c>
      <c r="O13" s="190">
        <v>1</v>
      </c>
      <c r="P13" s="190">
        <v>1</v>
      </c>
      <c r="Q13" s="190">
        <v>0</v>
      </c>
      <c r="R13" s="190">
        <v>10</v>
      </c>
      <c r="S13" s="191">
        <v>28014</v>
      </c>
      <c r="T13" s="926" t="s">
        <v>941</v>
      </c>
      <c r="U13" s="191" t="s">
        <v>133</v>
      </c>
      <c r="V13" s="191" t="s">
        <v>131</v>
      </c>
      <c r="W13" s="191" t="s">
        <v>278</v>
      </c>
      <c r="X13" s="191" t="s">
        <v>129</v>
      </c>
      <c r="Y13" s="206">
        <v>1</v>
      </c>
      <c r="Z13" s="206">
        <v>0</v>
      </c>
      <c r="AA13" s="206">
        <v>0</v>
      </c>
      <c r="AB13" s="207">
        <v>1</v>
      </c>
      <c r="AC13" s="206">
        <v>0</v>
      </c>
      <c r="AD13" s="206">
        <v>0</v>
      </c>
      <c r="AE13" s="206">
        <v>0</v>
      </c>
      <c r="AF13" s="207">
        <v>0</v>
      </c>
      <c r="AG13" s="206">
        <v>0</v>
      </c>
      <c r="AH13" s="206">
        <v>0</v>
      </c>
      <c r="AI13" s="206">
        <v>0</v>
      </c>
      <c r="AJ13" s="207">
        <v>0</v>
      </c>
      <c r="AK13" s="206">
        <v>1</v>
      </c>
      <c r="AL13" s="206">
        <v>0</v>
      </c>
      <c r="AM13" s="206">
        <v>0</v>
      </c>
      <c r="AN13" s="207">
        <v>1</v>
      </c>
    </row>
    <row r="14" spans="1:46" ht="14.95" customHeight="1" thickBot="1" x14ac:dyDescent="0.35">
      <c r="A14" s="188">
        <v>43751</v>
      </c>
      <c r="B14" s="189" t="s">
        <v>158</v>
      </c>
      <c r="C14" s="189" t="s">
        <v>193</v>
      </c>
      <c r="D14" s="189" t="s">
        <v>582</v>
      </c>
      <c r="E14" s="190" t="s">
        <v>13</v>
      </c>
      <c r="F14" s="190" t="s">
        <v>108</v>
      </c>
      <c r="G14" s="190" t="s">
        <v>108</v>
      </c>
      <c r="H14" s="190" t="s">
        <v>108</v>
      </c>
      <c r="I14" s="190" t="s">
        <v>108</v>
      </c>
      <c r="J14" s="190" t="s">
        <v>108</v>
      </c>
      <c r="K14" s="190" t="s">
        <v>108</v>
      </c>
      <c r="L14" s="190" t="s">
        <v>108</v>
      </c>
      <c r="M14" s="190" t="s">
        <v>108</v>
      </c>
      <c r="N14" s="190" t="s">
        <v>108</v>
      </c>
      <c r="O14" s="190" t="s">
        <v>108</v>
      </c>
      <c r="P14" s="190" t="s">
        <v>108</v>
      </c>
      <c r="Q14" s="190" t="s">
        <v>108</v>
      </c>
      <c r="R14" s="190" t="s">
        <v>108</v>
      </c>
      <c r="S14" s="191" t="s">
        <v>108</v>
      </c>
      <c r="T14" s="962" t="s">
        <v>108</v>
      </c>
      <c r="U14" s="191" t="s">
        <v>108</v>
      </c>
      <c r="V14" s="191" t="s">
        <v>108</v>
      </c>
      <c r="W14" s="191" t="s">
        <v>108</v>
      </c>
      <c r="X14" s="191" t="s">
        <v>108</v>
      </c>
      <c r="Y14" s="206">
        <v>1</v>
      </c>
      <c r="Z14" s="206">
        <v>0</v>
      </c>
      <c r="AA14" s="206">
        <v>1</v>
      </c>
      <c r="AB14" s="207">
        <v>0</v>
      </c>
      <c r="AC14" s="206">
        <v>0</v>
      </c>
      <c r="AD14" s="206">
        <v>0</v>
      </c>
      <c r="AE14" s="206">
        <v>0</v>
      </c>
      <c r="AF14" s="207">
        <v>0</v>
      </c>
      <c r="AG14" s="206">
        <v>0</v>
      </c>
      <c r="AH14" s="206">
        <v>0</v>
      </c>
      <c r="AI14" s="206">
        <v>0</v>
      </c>
      <c r="AJ14" s="207">
        <v>0</v>
      </c>
      <c r="AK14" s="206">
        <v>1</v>
      </c>
      <c r="AL14" s="206">
        <v>0</v>
      </c>
      <c r="AM14" s="206">
        <v>1</v>
      </c>
      <c r="AN14" s="207">
        <v>0</v>
      </c>
    </row>
    <row r="15" spans="1:46" ht="14.95" thickBot="1" x14ac:dyDescent="0.3">
      <c r="A15" s="438"/>
      <c r="B15" s="439"/>
      <c r="C15" s="1069" t="s">
        <v>115</v>
      </c>
      <c r="D15" s="1070"/>
      <c r="E15" s="1071"/>
      <c r="F15" s="433">
        <f t="shared" ref="F15:R15" si="0">SUM(F3:F6)</f>
        <v>108</v>
      </c>
      <c r="G15" s="433">
        <f t="shared" si="0"/>
        <v>68</v>
      </c>
      <c r="H15" s="433">
        <f t="shared" si="0"/>
        <v>1</v>
      </c>
      <c r="I15" s="433">
        <f t="shared" si="0"/>
        <v>2</v>
      </c>
      <c r="J15" s="433">
        <f t="shared" si="0"/>
        <v>14</v>
      </c>
      <c r="K15" s="433">
        <f t="shared" si="0"/>
        <v>10</v>
      </c>
      <c r="L15" s="433">
        <f t="shared" si="0"/>
        <v>0</v>
      </c>
      <c r="M15" s="433">
        <f t="shared" si="0"/>
        <v>6</v>
      </c>
      <c r="N15" s="433">
        <f t="shared" si="0"/>
        <v>2</v>
      </c>
      <c r="O15" s="433">
        <f t="shared" si="0"/>
        <v>0</v>
      </c>
      <c r="P15" s="433">
        <f t="shared" si="0"/>
        <v>1</v>
      </c>
      <c r="Q15" s="433">
        <f t="shared" si="0"/>
        <v>0</v>
      </c>
      <c r="R15" s="433">
        <f t="shared" si="0"/>
        <v>7</v>
      </c>
      <c r="W15" s="434"/>
      <c r="X15" s="459" t="s">
        <v>115</v>
      </c>
      <c r="Y15" s="433">
        <f t="shared" ref="Y15:AN15" si="1">SUM(Y3:Y6)</f>
        <v>4</v>
      </c>
      <c r="Z15" s="433">
        <f t="shared" si="1"/>
        <v>1</v>
      </c>
      <c r="AA15" s="433">
        <f t="shared" si="1"/>
        <v>0</v>
      </c>
      <c r="AB15" s="433">
        <f t="shared" si="1"/>
        <v>3</v>
      </c>
      <c r="AC15" s="435">
        <f t="shared" si="1"/>
        <v>1</v>
      </c>
      <c r="AD15" s="435">
        <f t="shared" si="1"/>
        <v>1</v>
      </c>
      <c r="AE15" s="435">
        <f t="shared" si="1"/>
        <v>0</v>
      </c>
      <c r="AF15" s="435">
        <f t="shared" si="1"/>
        <v>0</v>
      </c>
      <c r="AG15" s="436">
        <f t="shared" si="1"/>
        <v>3</v>
      </c>
      <c r="AH15" s="436">
        <f t="shared" si="1"/>
        <v>0</v>
      </c>
      <c r="AI15" s="436">
        <f t="shared" si="1"/>
        <v>0</v>
      </c>
      <c r="AJ15" s="436">
        <f t="shared" si="1"/>
        <v>3</v>
      </c>
      <c r="AK15" s="437">
        <f t="shared" si="1"/>
        <v>0</v>
      </c>
      <c r="AL15" s="437">
        <f t="shared" si="1"/>
        <v>0</v>
      </c>
      <c r="AM15" s="437">
        <f t="shared" si="1"/>
        <v>0</v>
      </c>
      <c r="AN15" s="437">
        <f t="shared" si="1"/>
        <v>0</v>
      </c>
    </row>
    <row r="16" spans="1:46" ht="14.95" thickBot="1" x14ac:dyDescent="0.3">
      <c r="A16" s="438"/>
      <c r="B16" s="439"/>
      <c r="C16" s="1072" t="s">
        <v>615</v>
      </c>
      <c r="D16" s="1073"/>
      <c r="E16" s="1074"/>
      <c r="F16" s="440">
        <f>SUM(F7:F9)</f>
        <v>55</v>
      </c>
      <c r="G16" s="440">
        <f>SUM(G7:G9)</f>
        <v>118</v>
      </c>
      <c r="H16" s="440" t="s">
        <v>108</v>
      </c>
      <c r="I16" s="440" t="s">
        <v>108</v>
      </c>
      <c r="J16" s="440">
        <f t="shared" ref="J16:O16" si="2">SUM(J7:J9)</f>
        <v>8</v>
      </c>
      <c r="K16" s="440">
        <f t="shared" si="2"/>
        <v>2</v>
      </c>
      <c r="L16" s="440">
        <f t="shared" si="2"/>
        <v>0</v>
      </c>
      <c r="M16" s="440">
        <f t="shared" si="2"/>
        <v>3</v>
      </c>
      <c r="N16" s="440">
        <f t="shared" si="2"/>
        <v>0</v>
      </c>
      <c r="O16" s="440">
        <f t="shared" si="2"/>
        <v>0</v>
      </c>
      <c r="P16" s="440" t="s">
        <v>108</v>
      </c>
      <c r="Q16" s="440" t="s">
        <v>108</v>
      </c>
      <c r="R16" s="440">
        <f>SUM(R7:R9)</f>
        <v>17</v>
      </c>
      <c r="S16" s="441"/>
      <c r="T16" s="441"/>
      <c r="U16" s="441"/>
      <c r="V16" s="441"/>
      <c r="W16" s="442"/>
      <c r="X16" s="460" t="s">
        <v>615</v>
      </c>
      <c r="Y16" s="440">
        <f t="shared" ref="Y16:AN16" si="3">SUM(Y7:Y9)</f>
        <v>3</v>
      </c>
      <c r="Z16" s="440">
        <f t="shared" si="3"/>
        <v>0</v>
      </c>
      <c r="AA16" s="440">
        <f t="shared" si="3"/>
        <v>0</v>
      </c>
      <c r="AB16" s="440">
        <f t="shared" si="3"/>
        <v>3</v>
      </c>
      <c r="AC16" s="443">
        <f t="shared" si="3"/>
        <v>0</v>
      </c>
      <c r="AD16" s="443">
        <f t="shared" si="3"/>
        <v>0</v>
      </c>
      <c r="AE16" s="443">
        <f t="shared" si="3"/>
        <v>0</v>
      </c>
      <c r="AF16" s="443">
        <f t="shared" si="3"/>
        <v>0</v>
      </c>
      <c r="AG16" s="444">
        <f t="shared" si="3"/>
        <v>2</v>
      </c>
      <c r="AH16" s="444">
        <f t="shared" si="3"/>
        <v>0</v>
      </c>
      <c r="AI16" s="444">
        <f t="shared" si="3"/>
        <v>0</v>
      </c>
      <c r="AJ16" s="444">
        <f t="shared" si="3"/>
        <v>2</v>
      </c>
      <c r="AK16" s="445">
        <f t="shared" si="3"/>
        <v>1</v>
      </c>
      <c r="AL16" s="445">
        <f t="shared" si="3"/>
        <v>0</v>
      </c>
      <c r="AM16" s="445">
        <f t="shared" si="3"/>
        <v>0</v>
      </c>
      <c r="AN16" s="445">
        <f t="shared" si="3"/>
        <v>1</v>
      </c>
    </row>
    <row r="17" spans="1:40" ht="14.95" thickBot="1" x14ac:dyDescent="0.3">
      <c r="A17" s="438"/>
      <c r="B17" s="439"/>
      <c r="C17" s="1037" t="s">
        <v>163</v>
      </c>
      <c r="D17" s="1075"/>
      <c r="E17" s="1076"/>
      <c r="F17" s="446">
        <f>F10</f>
        <v>15</v>
      </c>
      <c r="G17" s="446">
        <f>G10</f>
        <v>20</v>
      </c>
      <c r="H17" s="446" t="s">
        <v>108</v>
      </c>
      <c r="I17" s="446" t="s">
        <v>108</v>
      </c>
      <c r="J17" s="446">
        <f t="shared" ref="J17:O17" si="4">J10</f>
        <v>2</v>
      </c>
      <c r="K17" s="446">
        <f t="shared" si="4"/>
        <v>1</v>
      </c>
      <c r="L17" s="446">
        <f t="shared" si="4"/>
        <v>0</v>
      </c>
      <c r="M17" s="446">
        <f t="shared" si="4"/>
        <v>1</v>
      </c>
      <c r="N17" s="446">
        <f t="shared" si="4"/>
        <v>0</v>
      </c>
      <c r="O17" s="446">
        <f t="shared" si="4"/>
        <v>0</v>
      </c>
      <c r="P17" s="446" t="s">
        <v>108</v>
      </c>
      <c r="Q17" s="446" t="s">
        <v>108</v>
      </c>
      <c r="R17" s="446">
        <f>R10</f>
        <v>3</v>
      </c>
      <c r="S17" s="447"/>
      <c r="T17" s="447"/>
      <c r="U17" s="447"/>
      <c r="V17" s="447"/>
      <c r="W17" s="448"/>
      <c r="X17" s="461" t="s">
        <v>163</v>
      </c>
      <c r="Y17" s="446">
        <f t="shared" ref="Y17:AN17" si="5">Y10</f>
        <v>1</v>
      </c>
      <c r="Z17" s="446">
        <f t="shared" si="5"/>
        <v>0</v>
      </c>
      <c r="AA17" s="446">
        <f t="shared" si="5"/>
        <v>0</v>
      </c>
      <c r="AB17" s="446">
        <f t="shared" si="5"/>
        <v>1</v>
      </c>
      <c r="AC17" s="450">
        <f t="shared" si="5"/>
        <v>1</v>
      </c>
      <c r="AD17" s="450">
        <f t="shared" si="5"/>
        <v>0</v>
      </c>
      <c r="AE17" s="450">
        <f t="shared" si="5"/>
        <v>0</v>
      </c>
      <c r="AF17" s="450">
        <f t="shared" si="5"/>
        <v>1</v>
      </c>
      <c r="AG17" s="451">
        <f t="shared" si="5"/>
        <v>0</v>
      </c>
      <c r="AH17" s="451">
        <f t="shared" si="5"/>
        <v>0</v>
      </c>
      <c r="AI17" s="451">
        <f t="shared" si="5"/>
        <v>0</v>
      </c>
      <c r="AJ17" s="451">
        <f t="shared" si="5"/>
        <v>0</v>
      </c>
      <c r="AK17" s="452">
        <f t="shared" si="5"/>
        <v>0</v>
      </c>
      <c r="AL17" s="452">
        <f t="shared" si="5"/>
        <v>0</v>
      </c>
      <c r="AM17" s="452">
        <f t="shared" si="5"/>
        <v>0</v>
      </c>
      <c r="AN17" s="452">
        <f t="shared" si="5"/>
        <v>0</v>
      </c>
    </row>
    <row r="18" spans="1:40" ht="14.95" thickBot="1" x14ac:dyDescent="0.3">
      <c r="A18" s="438"/>
      <c r="B18" s="439"/>
      <c r="C18" s="1040" t="s">
        <v>611</v>
      </c>
      <c r="D18" s="1041"/>
      <c r="E18" s="1042"/>
      <c r="F18" s="685">
        <f t="shared" ref="F18:R18" si="6">SUM(F11:F14)</f>
        <v>14</v>
      </c>
      <c r="G18" s="685">
        <f t="shared" si="6"/>
        <v>177</v>
      </c>
      <c r="H18" s="685">
        <f t="shared" si="6"/>
        <v>0</v>
      </c>
      <c r="I18" s="685">
        <f t="shared" si="6"/>
        <v>0</v>
      </c>
      <c r="J18" s="685">
        <f t="shared" si="6"/>
        <v>2</v>
      </c>
      <c r="K18" s="685">
        <f t="shared" si="6"/>
        <v>2</v>
      </c>
      <c r="L18" s="685">
        <f t="shared" si="6"/>
        <v>0</v>
      </c>
      <c r="M18" s="685">
        <f t="shared" si="6"/>
        <v>0</v>
      </c>
      <c r="N18" s="685">
        <f t="shared" si="6"/>
        <v>1</v>
      </c>
      <c r="O18" s="685">
        <f t="shared" si="6"/>
        <v>1</v>
      </c>
      <c r="P18" s="685">
        <f t="shared" si="6"/>
        <v>3</v>
      </c>
      <c r="Q18" s="685">
        <f t="shared" si="6"/>
        <v>0</v>
      </c>
      <c r="R18" s="685">
        <f t="shared" si="6"/>
        <v>26</v>
      </c>
      <c r="S18" s="686"/>
      <c r="T18" s="686"/>
      <c r="U18" s="686"/>
      <c r="V18" s="686"/>
      <c r="W18" s="687"/>
      <c r="X18" s="688" t="s">
        <v>611</v>
      </c>
      <c r="Y18" s="689">
        <f t="shared" ref="Y18:AN18" si="7">SUM(Y11:Y14)</f>
        <v>4</v>
      </c>
      <c r="Z18" s="690">
        <f t="shared" si="7"/>
        <v>0</v>
      </c>
      <c r="AA18" s="685">
        <f t="shared" si="7"/>
        <v>1</v>
      </c>
      <c r="AB18" s="685">
        <f t="shared" si="7"/>
        <v>3</v>
      </c>
      <c r="AC18" s="691">
        <f t="shared" si="7"/>
        <v>0</v>
      </c>
      <c r="AD18" s="691">
        <f t="shared" si="7"/>
        <v>0</v>
      </c>
      <c r="AE18" s="691">
        <f t="shared" si="7"/>
        <v>0</v>
      </c>
      <c r="AF18" s="691">
        <f t="shared" si="7"/>
        <v>0</v>
      </c>
      <c r="AG18" s="692">
        <f t="shared" si="7"/>
        <v>0</v>
      </c>
      <c r="AH18" s="692">
        <f t="shared" si="7"/>
        <v>0</v>
      </c>
      <c r="AI18" s="692">
        <f t="shared" si="7"/>
        <v>0</v>
      </c>
      <c r="AJ18" s="692">
        <f t="shared" si="7"/>
        <v>0</v>
      </c>
      <c r="AK18" s="693">
        <f t="shared" si="7"/>
        <v>3</v>
      </c>
      <c r="AL18" s="693">
        <f t="shared" si="7"/>
        <v>0</v>
      </c>
      <c r="AM18" s="693">
        <f t="shared" si="7"/>
        <v>1</v>
      </c>
      <c r="AN18" s="693">
        <f t="shared" si="7"/>
        <v>2</v>
      </c>
    </row>
    <row r="19" spans="1:40" ht="14.95" thickBot="1" x14ac:dyDescent="0.3">
      <c r="A19" s="438"/>
      <c r="B19" s="439"/>
      <c r="C19" s="1040" t="s">
        <v>612</v>
      </c>
      <c r="D19" s="1041"/>
      <c r="E19" s="1042"/>
      <c r="F19" s="694" t="s">
        <v>108</v>
      </c>
      <c r="G19" s="685" t="s">
        <v>108</v>
      </c>
      <c r="H19" s="685" t="s">
        <v>108</v>
      </c>
      <c r="I19" s="685" t="s">
        <v>108</v>
      </c>
      <c r="J19" s="685" t="s">
        <v>108</v>
      </c>
      <c r="K19" s="685" t="s">
        <v>108</v>
      </c>
      <c r="L19" s="685" t="s">
        <v>108</v>
      </c>
      <c r="M19" s="685" t="s">
        <v>108</v>
      </c>
      <c r="N19" s="685" t="s">
        <v>108</v>
      </c>
      <c r="O19" s="685" t="s">
        <v>108</v>
      </c>
      <c r="P19" s="685" t="s">
        <v>108</v>
      </c>
      <c r="Q19" s="685" t="s">
        <v>108</v>
      </c>
      <c r="R19" s="685" t="s">
        <v>108</v>
      </c>
      <c r="S19" s="686"/>
      <c r="T19" s="686"/>
      <c r="U19" s="686"/>
      <c r="V19" s="686"/>
      <c r="W19" s="687"/>
      <c r="X19" s="688" t="s">
        <v>612</v>
      </c>
      <c r="Y19" s="689" t="s">
        <v>108</v>
      </c>
      <c r="Z19" s="690" t="s">
        <v>108</v>
      </c>
      <c r="AA19" s="685" t="s">
        <v>108</v>
      </c>
      <c r="AB19" s="685" t="s">
        <v>108</v>
      </c>
      <c r="AC19" s="691" t="s">
        <v>108</v>
      </c>
      <c r="AD19" s="691" t="s">
        <v>108</v>
      </c>
      <c r="AE19" s="691" t="s">
        <v>108</v>
      </c>
      <c r="AF19" s="691" t="s">
        <v>108</v>
      </c>
      <c r="AG19" s="692" t="s">
        <v>108</v>
      </c>
      <c r="AH19" s="692" t="s">
        <v>108</v>
      </c>
      <c r="AI19" s="692" t="s">
        <v>108</v>
      </c>
      <c r="AJ19" s="692" t="s">
        <v>108</v>
      </c>
      <c r="AK19" s="693" t="s">
        <v>108</v>
      </c>
      <c r="AL19" s="693" t="s">
        <v>108</v>
      </c>
      <c r="AM19" s="693" t="s">
        <v>108</v>
      </c>
      <c r="AN19" s="693" t="s">
        <v>108</v>
      </c>
    </row>
    <row r="20" spans="1:40" ht="14.95" thickBot="1" x14ac:dyDescent="0.3">
      <c r="A20" s="438"/>
      <c r="B20" s="439"/>
      <c r="C20" s="1040" t="s">
        <v>613</v>
      </c>
      <c r="D20" s="1041"/>
      <c r="E20" s="1042"/>
      <c r="F20" s="685">
        <f>SUM(F18:F19)</f>
        <v>14</v>
      </c>
      <c r="G20" s="685">
        <f t="shared" ref="G20:R20" si="8">SUM(G18:G19)</f>
        <v>177</v>
      </c>
      <c r="H20" s="685">
        <f t="shared" si="8"/>
        <v>0</v>
      </c>
      <c r="I20" s="685">
        <f t="shared" si="8"/>
        <v>0</v>
      </c>
      <c r="J20" s="685">
        <f t="shared" si="8"/>
        <v>2</v>
      </c>
      <c r="K20" s="685">
        <f t="shared" si="8"/>
        <v>2</v>
      </c>
      <c r="L20" s="685">
        <f t="shared" si="8"/>
        <v>0</v>
      </c>
      <c r="M20" s="685">
        <f t="shared" si="8"/>
        <v>0</v>
      </c>
      <c r="N20" s="685">
        <f t="shared" si="8"/>
        <v>1</v>
      </c>
      <c r="O20" s="685">
        <f t="shared" si="8"/>
        <v>1</v>
      </c>
      <c r="P20" s="685">
        <f t="shared" si="8"/>
        <v>3</v>
      </c>
      <c r="Q20" s="685">
        <f t="shared" si="8"/>
        <v>0</v>
      </c>
      <c r="R20" s="685">
        <f t="shared" si="8"/>
        <v>26</v>
      </c>
      <c r="S20" s="686"/>
      <c r="T20" s="686"/>
      <c r="U20" s="686"/>
      <c r="V20" s="686"/>
      <c r="W20" s="687"/>
      <c r="X20" s="688" t="s">
        <v>613</v>
      </c>
      <c r="Y20" s="689">
        <f t="shared" ref="Y20:AN20" si="9">SUM(Y18:Y19)</f>
        <v>4</v>
      </c>
      <c r="Z20" s="690">
        <f t="shared" si="9"/>
        <v>0</v>
      </c>
      <c r="AA20" s="685">
        <f t="shared" si="9"/>
        <v>1</v>
      </c>
      <c r="AB20" s="685">
        <f t="shared" si="9"/>
        <v>3</v>
      </c>
      <c r="AC20" s="691">
        <f t="shared" si="9"/>
        <v>0</v>
      </c>
      <c r="AD20" s="691">
        <f t="shared" si="9"/>
        <v>0</v>
      </c>
      <c r="AE20" s="691">
        <f t="shared" si="9"/>
        <v>0</v>
      </c>
      <c r="AF20" s="691">
        <f t="shared" si="9"/>
        <v>0</v>
      </c>
      <c r="AG20" s="692">
        <f t="shared" si="9"/>
        <v>0</v>
      </c>
      <c r="AH20" s="692">
        <f t="shared" si="9"/>
        <v>0</v>
      </c>
      <c r="AI20" s="692">
        <f t="shared" si="9"/>
        <v>0</v>
      </c>
      <c r="AJ20" s="692">
        <f t="shared" si="9"/>
        <v>0</v>
      </c>
      <c r="AK20" s="693">
        <f t="shared" si="9"/>
        <v>3</v>
      </c>
      <c r="AL20" s="693">
        <f t="shared" si="9"/>
        <v>0</v>
      </c>
      <c r="AM20" s="693">
        <f t="shared" si="9"/>
        <v>1</v>
      </c>
      <c r="AN20" s="693">
        <f t="shared" si="9"/>
        <v>2</v>
      </c>
    </row>
    <row r="21" spans="1:40" ht="14.95" thickBot="1" x14ac:dyDescent="0.3">
      <c r="A21" s="438"/>
      <c r="B21" s="439"/>
      <c r="C21" s="1034" t="s">
        <v>112</v>
      </c>
      <c r="D21" s="1035"/>
      <c r="E21" s="1036"/>
      <c r="F21" s="453">
        <f t="shared" ref="F21:R21" si="10">SUM(F3:F14)</f>
        <v>192</v>
      </c>
      <c r="G21" s="453">
        <f t="shared" si="10"/>
        <v>383</v>
      </c>
      <c r="H21" s="453">
        <f t="shared" si="10"/>
        <v>2</v>
      </c>
      <c r="I21" s="453">
        <f t="shared" si="10"/>
        <v>2</v>
      </c>
      <c r="J21" s="453">
        <f t="shared" si="10"/>
        <v>26</v>
      </c>
      <c r="K21" s="453">
        <f t="shared" si="10"/>
        <v>15</v>
      </c>
      <c r="L21" s="453">
        <f t="shared" si="10"/>
        <v>0</v>
      </c>
      <c r="M21" s="453">
        <f t="shared" si="10"/>
        <v>10</v>
      </c>
      <c r="N21" s="453">
        <f t="shared" si="10"/>
        <v>3</v>
      </c>
      <c r="O21" s="453">
        <f t="shared" si="10"/>
        <v>1</v>
      </c>
      <c r="P21" s="453">
        <f t="shared" si="10"/>
        <v>7</v>
      </c>
      <c r="Q21" s="453">
        <f t="shared" si="10"/>
        <v>0</v>
      </c>
      <c r="R21" s="453">
        <f t="shared" si="10"/>
        <v>53</v>
      </c>
      <c r="S21" s="454"/>
      <c r="T21" s="454"/>
      <c r="U21" s="454"/>
      <c r="V21" s="454"/>
      <c r="W21" s="455"/>
      <c r="X21" s="462" t="s">
        <v>112</v>
      </c>
      <c r="Y21" s="453">
        <f t="shared" ref="Y21:AN21" si="11">SUM(Y3:Y14)</f>
        <v>12</v>
      </c>
      <c r="Z21" s="453">
        <f t="shared" si="11"/>
        <v>1</v>
      </c>
      <c r="AA21" s="453">
        <f t="shared" si="11"/>
        <v>1</v>
      </c>
      <c r="AB21" s="453">
        <f t="shared" si="11"/>
        <v>10</v>
      </c>
      <c r="AC21" s="456">
        <f t="shared" si="11"/>
        <v>2</v>
      </c>
      <c r="AD21" s="456">
        <f t="shared" si="11"/>
        <v>1</v>
      </c>
      <c r="AE21" s="456">
        <f t="shared" si="11"/>
        <v>0</v>
      </c>
      <c r="AF21" s="456">
        <f t="shared" si="11"/>
        <v>1</v>
      </c>
      <c r="AG21" s="457">
        <f t="shared" si="11"/>
        <v>5</v>
      </c>
      <c r="AH21" s="457">
        <f t="shared" si="11"/>
        <v>0</v>
      </c>
      <c r="AI21" s="457">
        <f t="shared" si="11"/>
        <v>0</v>
      </c>
      <c r="AJ21" s="457">
        <f t="shared" si="11"/>
        <v>5</v>
      </c>
      <c r="AK21" s="458">
        <f t="shared" si="11"/>
        <v>4</v>
      </c>
      <c r="AL21" s="458">
        <f t="shared" si="11"/>
        <v>0</v>
      </c>
      <c r="AM21" s="458">
        <f t="shared" si="11"/>
        <v>1</v>
      </c>
      <c r="AN21" s="458">
        <f t="shared" si="11"/>
        <v>3</v>
      </c>
    </row>
    <row r="22" spans="1:40" x14ac:dyDescent="0.25">
      <c r="A22" s="1067" t="s">
        <v>345</v>
      </c>
      <c r="B22" s="988"/>
      <c r="C22" s="988"/>
      <c r="D22" s="988"/>
      <c r="E22" s="988"/>
      <c r="F22" s="988"/>
      <c r="G22" s="988"/>
      <c r="H22" s="988"/>
      <c r="I22" s="988"/>
      <c r="J22" s="988"/>
      <c r="K22" s="988"/>
      <c r="L22" s="988"/>
      <c r="M22" s="988"/>
      <c r="N22" s="988"/>
      <c r="O22" s="988"/>
      <c r="P22" s="988"/>
      <c r="Q22" s="988"/>
      <c r="R22" s="988"/>
      <c r="S22" s="988"/>
      <c r="T22" s="988"/>
      <c r="U22" s="988"/>
      <c r="V22" s="988"/>
      <c r="W22" s="988"/>
      <c r="X22" s="988"/>
      <c r="Y22" s="988"/>
      <c r="Z22" s="988"/>
      <c r="AA22" s="988"/>
      <c r="AB22" s="988"/>
      <c r="AC22" s="988"/>
      <c r="AD22" s="988"/>
      <c r="AE22" s="988"/>
      <c r="AF22" s="988"/>
      <c r="AG22" s="988"/>
      <c r="AH22" s="988"/>
      <c r="AI22" s="988"/>
      <c r="AJ22" s="988"/>
      <c r="AK22" s="988"/>
      <c r="AL22" s="988"/>
      <c r="AM22" s="988"/>
      <c r="AN22" s="988"/>
    </row>
    <row r="23" spans="1:40" x14ac:dyDescent="0.25">
      <c r="A23" s="1067" t="s">
        <v>589</v>
      </c>
      <c r="B23" s="988"/>
      <c r="C23" s="988"/>
      <c r="D23" s="988"/>
      <c r="E23" s="988"/>
      <c r="F23" s="988"/>
      <c r="G23" s="988"/>
      <c r="H23" s="988"/>
      <c r="I23" s="988"/>
      <c r="J23" s="988"/>
      <c r="K23" s="988"/>
      <c r="L23" s="988"/>
      <c r="M23" s="988"/>
      <c r="N23" s="988"/>
      <c r="O23" s="988"/>
      <c r="P23" s="988"/>
      <c r="Q23" s="988"/>
      <c r="R23" s="988"/>
    </row>
    <row r="24" spans="1:40" x14ac:dyDescent="0.25">
      <c r="A24" t="s">
        <v>741</v>
      </c>
    </row>
    <row r="25" spans="1:40" x14ac:dyDescent="0.25">
      <c r="A25" t="s">
        <v>616</v>
      </c>
    </row>
    <row r="26" spans="1:40" x14ac:dyDescent="0.25">
      <c r="A26" t="s">
        <v>617</v>
      </c>
    </row>
    <row r="27" spans="1:40" x14ac:dyDescent="0.25">
      <c r="A27" t="s">
        <v>181</v>
      </c>
    </row>
    <row r="28" spans="1:40" x14ac:dyDescent="0.25">
      <c r="A28" t="s">
        <v>412</v>
      </c>
    </row>
    <row r="29" spans="1:40" x14ac:dyDescent="0.25">
      <c r="A29" s="253" t="s">
        <v>744</v>
      </c>
    </row>
    <row r="30" spans="1:40" x14ac:dyDescent="0.25">
      <c r="A30" s="159"/>
      <c r="B30" t="s">
        <v>44</v>
      </c>
    </row>
    <row r="31" spans="1:40" x14ac:dyDescent="0.25">
      <c r="A31" s="157"/>
      <c r="B31" t="s">
        <v>42</v>
      </c>
    </row>
    <row r="32" spans="1:40" x14ac:dyDescent="0.25">
      <c r="A32" s="158"/>
      <c r="B32" t="s">
        <v>43</v>
      </c>
    </row>
    <row r="33" spans="1:1" x14ac:dyDescent="0.25">
      <c r="A33" s="15" t="s">
        <v>28</v>
      </c>
    </row>
  </sheetData>
  <mergeCells count="19">
    <mergeCell ref="C20:E20"/>
    <mergeCell ref="A23:R23"/>
    <mergeCell ref="Y1:AB1"/>
    <mergeCell ref="AC1:AF1"/>
    <mergeCell ref="AG1:AJ1"/>
    <mergeCell ref="A22:AN22"/>
    <mergeCell ref="AK1:AN1"/>
    <mergeCell ref="C15:E15"/>
    <mergeCell ref="C16:E16"/>
    <mergeCell ref="C21:E21"/>
    <mergeCell ref="C17:E17"/>
    <mergeCell ref="P1:R1"/>
    <mergeCell ref="A1:C1"/>
    <mergeCell ref="E1:G1"/>
    <mergeCell ref="H1:I1"/>
    <mergeCell ref="J1:M1"/>
    <mergeCell ref="N1:O1"/>
    <mergeCell ref="C18:E18"/>
    <mergeCell ref="C19:E1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35"/>
  <sheetViews>
    <sheetView tabSelected="1" zoomScaleNormal="100" workbookViewId="0">
      <pane ySplit="2" topLeftCell="A3" activePane="bottomLeft" state="frozen"/>
      <selection pane="bottomLeft" activeCell="U8" sqref="U8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bestFit="1" customWidth="1"/>
    <col min="5" max="18" width="3.75" customWidth="1"/>
    <col min="19" max="20" width="6.25" customWidth="1"/>
    <col min="21" max="21" width="30.5" bestFit="1" customWidth="1"/>
    <col min="22" max="22" width="22.5" bestFit="1" customWidth="1"/>
    <col min="23" max="23" width="27.5" bestFit="1" customWidth="1"/>
    <col min="24" max="24" width="30.5" customWidth="1"/>
    <col min="25" max="40" width="3.7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1093" t="s">
        <v>155</v>
      </c>
      <c r="B1" s="1094"/>
      <c r="C1" s="1094"/>
      <c r="D1" s="856"/>
      <c r="E1" s="1095" t="s">
        <v>24</v>
      </c>
      <c r="F1" s="1096"/>
      <c r="G1" s="1097"/>
      <c r="H1" s="1095" t="s">
        <v>982</v>
      </c>
      <c r="I1" s="1097"/>
      <c r="J1" s="1088" t="s">
        <v>6</v>
      </c>
      <c r="K1" s="1089"/>
      <c r="L1" s="1089"/>
      <c r="M1" s="1090"/>
      <c r="N1" s="1088" t="s">
        <v>7</v>
      </c>
      <c r="O1" s="1090"/>
      <c r="P1" s="1088" t="s">
        <v>25</v>
      </c>
      <c r="Q1" s="1089"/>
      <c r="R1" s="1090"/>
      <c r="S1" s="869" t="s">
        <v>8</v>
      </c>
      <c r="T1" s="869" t="s">
        <v>9</v>
      </c>
      <c r="U1" s="857" t="s">
        <v>10</v>
      </c>
      <c r="V1" s="734" t="s">
        <v>11</v>
      </c>
      <c r="W1" s="858" t="s">
        <v>26</v>
      </c>
      <c r="X1" s="859" t="s">
        <v>27</v>
      </c>
      <c r="Y1" s="1085" t="s">
        <v>20</v>
      </c>
      <c r="Z1" s="1086"/>
      <c r="AA1" s="1086"/>
      <c r="AB1" s="1087"/>
      <c r="AC1" s="1085" t="s">
        <v>61</v>
      </c>
      <c r="AD1" s="1086"/>
      <c r="AE1" s="1086"/>
      <c r="AF1" s="1087"/>
      <c r="AG1" s="1085" t="s">
        <v>62</v>
      </c>
      <c r="AH1" s="1086"/>
      <c r="AI1" s="1086"/>
      <c r="AJ1" s="1087"/>
      <c r="AK1" s="1085" t="s">
        <v>63</v>
      </c>
      <c r="AL1" s="1086"/>
      <c r="AM1" s="1086"/>
      <c r="AN1" s="1087"/>
      <c r="AP1" s="455" t="s">
        <v>640</v>
      </c>
      <c r="AQ1" s="868"/>
      <c r="AR1" s="868"/>
      <c r="AS1" s="455" t="s">
        <v>640</v>
      </c>
    </row>
    <row r="2" spans="1:46" ht="14.95" customHeight="1" thickBot="1" x14ac:dyDescent="0.3">
      <c r="A2" s="860" t="s">
        <v>19</v>
      </c>
      <c r="B2" s="391" t="s">
        <v>18</v>
      </c>
      <c r="C2" s="402" t="s">
        <v>17</v>
      </c>
      <c r="D2" s="402" t="s">
        <v>41</v>
      </c>
      <c r="E2" s="861" t="s">
        <v>16</v>
      </c>
      <c r="F2" s="861" t="s">
        <v>4</v>
      </c>
      <c r="G2" s="861" t="s">
        <v>5</v>
      </c>
      <c r="H2" s="862" t="s">
        <v>12</v>
      </c>
      <c r="I2" s="862" t="s">
        <v>3</v>
      </c>
      <c r="J2" s="862" t="s">
        <v>12</v>
      </c>
      <c r="K2" s="862" t="s">
        <v>13</v>
      </c>
      <c r="L2" s="862" t="s">
        <v>2</v>
      </c>
      <c r="M2" s="862" t="s">
        <v>14</v>
      </c>
      <c r="N2" s="862" t="s">
        <v>15</v>
      </c>
      <c r="O2" s="862" t="s">
        <v>16</v>
      </c>
      <c r="P2" s="862" t="s">
        <v>21</v>
      </c>
      <c r="Q2" s="862" t="s">
        <v>22</v>
      </c>
      <c r="R2" s="862" t="s">
        <v>12</v>
      </c>
      <c r="S2" s="863"/>
      <c r="T2" s="864"/>
      <c r="U2" s="865"/>
      <c r="V2" s="863"/>
      <c r="W2" s="735"/>
      <c r="X2" s="866"/>
      <c r="Y2" s="867" t="s">
        <v>0</v>
      </c>
      <c r="Z2" s="867" t="s">
        <v>1</v>
      </c>
      <c r="AA2" s="867" t="s">
        <v>2</v>
      </c>
      <c r="AB2" s="867" t="s">
        <v>3</v>
      </c>
      <c r="AC2" s="867" t="s">
        <v>0</v>
      </c>
      <c r="AD2" s="867" t="s">
        <v>1</v>
      </c>
      <c r="AE2" s="867" t="s">
        <v>2</v>
      </c>
      <c r="AF2" s="867" t="s">
        <v>3</v>
      </c>
      <c r="AG2" s="867" t="s">
        <v>0</v>
      </c>
      <c r="AH2" s="867" t="s">
        <v>1</v>
      </c>
      <c r="AI2" s="867" t="s">
        <v>2</v>
      </c>
      <c r="AJ2" s="867" t="s">
        <v>3</v>
      </c>
      <c r="AK2" s="867" t="s">
        <v>0</v>
      </c>
      <c r="AL2" s="867" t="s">
        <v>1</v>
      </c>
      <c r="AM2" s="867" t="s">
        <v>2</v>
      </c>
      <c r="AN2" s="867" t="s">
        <v>3</v>
      </c>
      <c r="AP2" s="592" t="s">
        <v>112</v>
      </c>
      <c r="AQ2" s="253" t="s">
        <v>987</v>
      </c>
      <c r="AS2" s="672" t="s">
        <v>610</v>
      </c>
      <c r="AT2" s="253" t="s">
        <v>987</v>
      </c>
    </row>
    <row r="3" spans="1:46" ht="14.95" customHeight="1" thickBot="1" x14ac:dyDescent="0.35">
      <c r="A3" s="187">
        <v>43133</v>
      </c>
      <c r="B3" s="178" t="s">
        <v>46</v>
      </c>
      <c r="C3" s="178" t="s">
        <v>39</v>
      </c>
      <c r="D3" s="178" t="s">
        <v>123</v>
      </c>
      <c r="E3" s="179" t="s">
        <v>1</v>
      </c>
      <c r="F3" s="179">
        <v>32</v>
      </c>
      <c r="G3" s="179">
        <v>20</v>
      </c>
      <c r="H3" s="179">
        <v>1</v>
      </c>
      <c r="I3" s="179">
        <v>0</v>
      </c>
      <c r="J3" s="179">
        <v>4</v>
      </c>
      <c r="K3" s="179">
        <v>3</v>
      </c>
      <c r="L3" s="179">
        <v>0</v>
      </c>
      <c r="M3" s="179">
        <v>2</v>
      </c>
      <c r="N3" s="179">
        <v>1</v>
      </c>
      <c r="O3" s="179">
        <v>0</v>
      </c>
      <c r="P3" s="179">
        <v>0</v>
      </c>
      <c r="Q3" s="179">
        <v>0</v>
      </c>
      <c r="R3" s="179">
        <v>2</v>
      </c>
      <c r="S3" s="180">
        <v>51000</v>
      </c>
      <c r="T3" s="396" t="s">
        <v>139</v>
      </c>
      <c r="U3" s="181" t="s">
        <v>138</v>
      </c>
      <c r="V3" s="180" t="s">
        <v>137</v>
      </c>
      <c r="W3" s="182" t="s">
        <v>130</v>
      </c>
      <c r="X3" s="183" t="s">
        <v>134</v>
      </c>
      <c r="Y3" s="184">
        <v>1</v>
      </c>
      <c r="Z3" s="184">
        <v>1</v>
      </c>
      <c r="AA3" s="184">
        <v>0</v>
      </c>
      <c r="AB3" s="185">
        <v>0</v>
      </c>
      <c r="AC3" s="184">
        <v>0</v>
      </c>
      <c r="AD3" s="184">
        <v>0</v>
      </c>
      <c r="AE3" s="184">
        <v>0</v>
      </c>
      <c r="AF3" s="185">
        <v>0</v>
      </c>
      <c r="AG3" s="184">
        <v>1</v>
      </c>
      <c r="AH3" s="184">
        <v>1</v>
      </c>
      <c r="AI3" s="184">
        <v>0</v>
      </c>
      <c r="AJ3" s="185">
        <v>0</v>
      </c>
      <c r="AK3" s="184">
        <v>0</v>
      </c>
      <c r="AL3" s="184">
        <v>0</v>
      </c>
      <c r="AM3" s="184">
        <v>0</v>
      </c>
      <c r="AN3" s="185">
        <v>0</v>
      </c>
      <c r="AP3" s="849" t="s">
        <v>627</v>
      </c>
      <c r="AQ3" s="850">
        <f>Englandalltestshistplayed</f>
        <v>743</v>
      </c>
      <c r="AS3" s="849" t="s">
        <v>627</v>
      </c>
      <c r="AT3" s="850">
        <f>EnglandRWChistplayed</f>
        <v>51</v>
      </c>
    </row>
    <row r="4" spans="1:46" ht="14.95" customHeight="1" thickBot="1" x14ac:dyDescent="0.35">
      <c r="A4" s="195">
        <v>43141</v>
      </c>
      <c r="B4" s="196" t="s">
        <v>46</v>
      </c>
      <c r="C4" s="196" t="s">
        <v>34</v>
      </c>
      <c r="D4" s="196" t="s">
        <v>124</v>
      </c>
      <c r="E4" s="197" t="s">
        <v>1</v>
      </c>
      <c r="F4" s="197">
        <v>44</v>
      </c>
      <c r="G4" s="197">
        <v>8</v>
      </c>
      <c r="H4" s="197">
        <v>1</v>
      </c>
      <c r="I4" s="197">
        <v>0</v>
      </c>
      <c r="J4" s="197">
        <v>6</v>
      </c>
      <c r="K4" s="197">
        <v>3</v>
      </c>
      <c r="L4" s="197">
        <v>0</v>
      </c>
      <c r="M4" s="197">
        <v>2</v>
      </c>
      <c r="N4" s="197">
        <v>0</v>
      </c>
      <c r="O4" s="197">
        <v>0</v>
      </c>
      <c r="P4" s="197">
        <v>0</v>
      </c>
      <c r="Q4" s="197">
        <v>0</v>
      </c>
      <c r="R4" s="197">
        <v>1</v>
      </c>
      <c r="S4" s="209">
        <v>82000</v>
      </c>
      <c r="T4" s="346" t="s">
        <v>218</v>
      </c>
      <c r="U4" s="210" t="s">
        <v>219</v>
      </c>
      <c r="V4" s="209" t="s">
        <v>137</v>
      </c>
      <c r="W4" s="198" t="s">
        <v>129</v>
      </c>
      <c r="X4" s="211" t="s">
        <v>146</v>
      </c>
      <c r="Y4" s="212">
        <v>1</v>
      </c>
      <c r="Z4" s="212">
        <v>1</v>
      </c>
      <c r="AA4" s="212">
        <v>0</v>
      </c>
      <c r="AB4" s="213">
        <v>0</v>
      </c>
      <c r="AC4" s="212">
        <v>1</v>
      </c>
      <c r="AD4" s="212">
        <v>1</v>
      </c>
      <c r="AE4" s="212">
        <v>0</v>
      </c>
      <c r="AF4" s="213">
        <v>0</v>
      </c>
      <c r="AG4" s="212">
        <v>0</v>
      </c>
      <c r="AH4" s="212">
        <v>0</v>
      </c>
      <c r="AI4" s="212">
        <v>0</v>
      </c>
      <c r="AJ4" s="213">
        <v>0</v>
      </c>
      <c r="AK4" s="212">
        <v>0</v>
      </c>
      <c r="AL4" s="212">
        <v>0</v>
      </c>
      <c r="AM4" s="212">
        <v>0</v>
      </c>
      <c r="AN4" s="213">
        <v>0</v>
      </c>
      <c r="AP4" s="851" t="s">
        <v>628</v>
      </c>
      <c r="AQ4" s="852">
        <f>Englandalltestshistwon</f>
        <v>411</v>
      </c>
      <c r="AS4" s="851" t="s">
        <v>628</v>
      </c>
      <c r="AT4" s="852">
        <f>EnglandRWChistwon</f>
        <v>36</v>
      </c>
    </row>
    <row r="5" spans="1:46" ht="14.95" customHeight="1" thickBot="1" x14ac:dyDescent="0.35">
      <c r="A5" s="187">
        <v>43154</v>
      </c>
      <c r="B5" s="178" t="s">
        <v>46</v>
      </c>
      <c r="C5" s="178" t="s">
        <v>32</v>
      </c>
      <c r="D5" s="178" t="s">
        <v>120</v>
      </c>
      <c r="E5" s="179" t="s">
        <v>3</v>
      </c>
      <c r="F5" s="179">
        <v>13</v>
      </c>
      <c r="G5" s="179">
        <v>21</v>
      </c>
      <c r="H5" s="179">
        <v>0</v>
      </c>
      <c r="I5" s="179">
        <v>0</v>
      </c>
      <c r="J5" s="179">
        <v>1</v>
      </c>
      <c r="K5" s="179">
        <v>1</v>
      </c>
      <c r="L5" s="179">
        <v>0</v>
      </c>
      <c r="M5" s="179">
        <v>2</v>
      </c>
      <c r="N5" s="179">
        <v>0</v>
      </c>
      <c r="O5" s="179">
        <v>0</v>
      </c>
      <c r="P5" s="179">
        <v>0</v>
      </c>
      <c r="Q5" s="179">
        <v>0</v>
      </c>
      <c r="R5" s="179">
        <v>2</v>
      </c>
      <c r="S5" s="180">
        <v>74000</v>
      </c>
      <c r="T5" s="464" t="s">
        <v>226</v>
      </c>
      <c r="U5" s="181" t="s">
        <v>229</v>
      </c>
      <c r="V5" s="180" t="s">
        <v>144</v>
      </c>
      <c r="W5" s="181" t="s">
        <v>138</v>
      </c>
      <c r="X5" s="182" t="s">
        <v>212</v>
      </c>
      <c r="Y5" s="184">
        <v>1</v>
      </c>
      <c r="Z5" s="184">
        <v>0</v>
      </c>
      <c r="AA5" s="184">
        <v>0</v>
      </c>
      <c r="AB5" s="185">
        <v>1</v>
      </c>
      <c r="AC5" s="184">
        <v>0</v>
      </c>
      <c r="AD5" s="184">
        <v>0</v>
      </c>
      <c r="AE5" s="184">
        <v>0</v>
      </c>
      <c r="AF5" s="185">
        <v>0</v>
      </c>
      <c r="AG5" s="184">
        <v>1</v>
      </c>
      <c r="AH5" s="184">
        <v>0</v>
      </c>
      <c r="AI5" s="184">
        <v>0</v>
      </c>
      <c r="AJ5" s="185">
        <v>1</v>
      </c>
      <c r="AK5" s="184">
        <v>0</v>
      </c>
      <c r="AL5" s="184">
        <v>0</v>
      </c>
      <c r="AM5" s="184">
        <v>0</v>
      </c>
      <c r="AN5" s="185">
        <v>0</v>
      </c>
      <c r="AP5" s="851" t="s">
        <v>634</v>
      </c>
      <c r="AQ5" s="852">
        <f>Englandalltestshistdrawn</f>
        <v>52</v>
      </c>
      <c r="AS5" s="851" t="s">
        <v>634</v>
      </c>
      <c r="AT5" s="852">
        <f>EnglandRWChistdrawn</f>
        <v>1</v>
      </c>
    </row>
    <row r="6" spans="1:46" ht="14.95" customHeight="1" thickBot="1" x14ac:dyDescent="0.35">
      <c r="A6" s="195">
        <v>43168</v>
      </c>
      <c r="B6" s="196" t="s">
        <v>46</v>
      </c>
      <c r="C6" s="196" t="s">
        <v>33</v>
      </c>
      <c r="D6" s="196" t="s">
        <v>124</v>
      </c>
      <c r="E6" s="197" t="s">
        <v>1</v>
      </c>
      <c r="F6" s="197">
        <v>57</v>
      </c>
      <c r="G6" s="197">
        <v>14</v>
      </c>
      <c r="H6" s="197">
        <v>1</v>
      </c>
      <c r="I6" s="197">
        <v>0</v>
      </c>
      <c r="J6" s="197">
        <v>8</v>
      </c>
      <c r="K6" s="197">
        <v>7</v>
      </c>
      <c r="L6" s="197">
        <v>0</v>
      </c>
      <c r="M6" s="197">
        <v>1</v>
      </c>
      <c r="N6" s="197">
        <v>0</v>
      </c>
      <c r="O6" s="197">
        <v>0</v>
      </c>
      <c r="P6" s="197">
        <v>0</v>
      </c>
      <c r="Q6" s="197">
        <v>0</v>
      </c>
      <c r="R6" s="197">
        <v>2</v>
      </c>
      <c r="S6" s="209">
        <v>82022</v>
      </c>
      <c r="T6" s="346" t="s">
        <v>272</v>
      </c>
      <c r="U6" s="210" t="s">
        <v>227</v>
      </c>
      <c r="V6" s="209" t="s">
        <v>144</v>
      </c>
      <c r="W6" s="198" t="s">
        <v>273</v>
      </c>
      <c r="X6" s="211" t="s">
        <v>129</v>
      </c>
      <c r="Y6" s="212">
        <v>1</v>
      </c>
      <c r="Z6" s="212">
        <v>1</v>
      </c>
      <c r="AA6" s="212">
        <v>0</v>
      </c>
      <c r="AB6" s="213">
        <v>0</v>
      </c>
      <c r="AC6" s="212">
        <v>1</v>
      </c>
      <c r="AD6" s="212">
        <v>1</v>
      </c>
      <c r="AE6" s="212">
        <v>0</v>
      </c>
      <c r="AF6" s="213">
        <v>0</v>
      </c>
      <c r="AG6" s="212">
        <v>0</v>
      </c>
      <c r="AH6" s="212">
        <v>0</v>
      </c>
      <c r="AI6" s="212">
        <v>0</v>
      </c>
      <c r="AJ6" s="213">
        <v>0</v>
      </c>
      <c r="AK6" s="212">
        <v>0</v>
      </c>
      <c r="AL6" s="212">
        <v>0</v>
      </c>
      <c r="AM6" s="212">
        <v>0</v>
      </c>
      <c r="AN6" s="213">
        <v>0</v>
      </c>
      <c r="AP6" s="851" t="s">
        <v>629</v>
      </c>
      <c r="AQ6" s="852">
        <f>Englandalltestshistlost</f>
        <v>280</v>
      </c>
      <c r="AS6" s="851" t="s">
        <v>629</v>
      </c>
      <c r="AT6" s="852">
        <f>EnglandRWChistlost</f>
        <v>14</v>
      </c>
    </row>
    <row r="7" spans="1:46" ht="14.95" customHeight="1" thickBot="1" x14ac:dyDescent="0.35">
      <c r="A7" s="195">
        <v>43175</v>
      </c>
      <c r="B7" s="196" t="s">
        <v>46</v>
      </c>
      <c r="C7" s="196" t="s">
        <v>35</v>
      </c>
      <c r="D7" s="196" t="s">
        <v>124</v>
      </c>
      <c r="E7" s="197" t="s">
        <v>2</v>
      </c>
      <c r="F7" s="197">
        <v>38</v>
      </c>
      <c r="G7" s="197">
        <v>38</v>
      </c>
      <c r="H7" s="197">
        <v>1</v>
      </c>
      <c r="I7" s="197">
        <v>0</v>
      </c>
      <c r="J7" s="197">
        <v>5</v>
      </c>
      <c r="K7" s="197">
        <v>5</v>
      </c>
      <c r="L7" s="197">
        <v>0</v>
      </c>
      <c r="M7" s="197">
        <v>1</v>
      </c>
      <c r="N7" s="197">
        <v>0</v>
      </c>
      <c r="O7" s="197">
        <v>0</v>
      </c>
      <c r="P7" s="197">
        <v>1</v>
      </c>
      <c r="Q7" s="197">
        <v>0</v>
      </c>
      <c r="R7" s="197">
        <v>6</v>
      </c>
      <c r="S7" s="209">
        <v>82000</v>
      </c>
      <c r="T7" s="346" t="s">
        <v>272</v>
      </c>
      <c r="U7" s="210" t="s">
        <v>273</v>
      </c>
      <c r="V7" s="209" t="s">
        <v>277</v>
      </c>
      <c r="W7" s="198" t="s">
        <v>138</v>
      </c>
      <c r="X7" s="211" t="s">
        <v>134</v>
      </c>
      <c r="Y7" s="212">
        <v>1</v>
      </c>
      <c r="Z7" s="212">
        <v>0</v>
      </c>
      <c r="AA7" s="212">
        <v>1</v>
      </c>
      <c r="AB7" s="213">
        <v>0</v>
      </c>
      <c r="AC7" s="212">
        <v>1</v>
      </c>
      <c r="AD7" s="212">
        <v>0</v>
      </c>
      <c r="AE7" s="212">
        <v>1</v>
      </c>
      <c r="AF7" s="213">
        <v>0</v>
      </c>
      <c r="AG7" s="212">
        <v>0</v>
      </c>
      <c r="AH7" s="212">
        <v>0</v>
      </c>
      <c r="AI7" s="212">
        <v>0</v>
      </c>
      <c r="AJ7" s="213">
        <v>0</v>
      </c>
      <c r="AK7" s="212">
        <v>0</v>
      </c>
      <c r="AL7" s="212">
        <v>0</v>
      </c>
      <c r="AM7" s="212">
        <v>0</v>
      </c>
      <c r="AN7" s="213">
        <v>0</v>
      </c>
      <c r="AP7" s="851" t="s">
        <v>635</v>
      </c>
      <c r="AQ7" s="852">
        <f>Englandalltestshistptsscored</f>
        <v>12687</v>
      </c>
      <c r="AS7" s="851" t="s">
        <v>635</v>
      </c>
      <c r="AT7" s="852">
        <f>EnglandRWChistptsscored</f>
        <v>1569</v>
      </c>
    </row>
    <row r="8" spans="1:46" ht="14.95" customHeight="1" thickBot="1" x14ac:dyDescent="0.35">
      <c r="A8" s="195">
        <v>43688</v>
      </c>
      <c r="B8" s="196" t="s">
        <v>45</v>
      </c>
      <c r="C8" s="196" t="s">
        <v>32</v>
      </c>
      <c r="D8" s="196" t="s">
        <v>124</v>
      </c>
      <c r="E8" s="197" t="s">
        <v>1</v>
      </c>
      <c r="F8" s="197">
        <v>33</v>
      </c>
      <c r="G8" s="197">
        <v>19</v>
      </c>
      <c r="H8" s="197" t="s">
        <v>108</v>
      </c>
      <c r="I8" s="197" t="s">
        <v>108</v>
      </c>
      <c r="J8" s="197">
        <v>3</v>
      </c>
      <c r="K8" s="197">
        <v>3</v>
      </c>
      <c r="L8" s="197">
        <v>1</v>
      </c>
      <c r="M8" s="197">
        <v>3</v>
      </c>
      <c r="N8" s="197">
        <v>0</v>
      </c>
      <c r="O8" s="197">
        <v>0</v>
      </c>
      <c r="P8" s="197" t="s">
        <v>108</v>
      </c>
      <c r="Q8" s="197" t="s">
        <v>108</v>
      </c>
      <c r="R8" s="197">
        <v>3</v>
      </c>
      <c r="S8" s="209">
        <v>80944</v>
      </c>
      <c r="T8" s="346" t="s">
        <v>770</v>
      </c>
      <c r="U8" s="210" t="s">
        <v>136</v>
      </c>
      <c r="V8" s="209" t="s">
        <v>771</v>
      </c>
      <c r="W8" s="209" t="s">
        <v>211</v>
      </c>
      <c r="X8" s="209" t="s">
        <v>212</v>
      </c>
      <c r="Y8" s="212">
        <v>1</v>
      </c>
      <c r="Z8" s="212">
        <v>1</v>
      </c>
      <c r="AA8" s="212">
        <v>0</v>
      </c>
      <c r="AB8" s="213">
        <v>0</v>
      </c>
      <c r="AC8" s="212">
        <v>1</v>
      </c>
      <c r="AD8" s="212">
        <v>1</v>
      </c>
      <c r="AE8" s="212">
        <v>0</v>
      </c>
      <c r="AF8" s="213">
        <v>0</v>
      </c>
      <c r="AG8" s="212">
        <v>0</v>
      </c>
      <c r="AH8" s="212">
        <v>0</v>
      </c>
      <c r="AI8" s="212">
        <v>0</v>
      </c>
      <c r="AJ8" s="213">
        <v>0</v>
      </c>
      <c r="AK8" s="212">
        <v>0</v>
      </c>
      <c r="AL8" s="212">
        <v>0</v>
      </c>
      <c r="AM8" s="212">
        <v>0</v>
      </c>
      <c r="AN8" s="213">
        <v>0</v>
      </c>
      <c r="AP8" s="851" t="s">
        <v>636</v>
      </c>
      <c r="AQ8" s="852">
        <f>Englandalltestshistptsagainst</f>
        <v>9491</v>
      </c>
      <c r="AS8" s="851" t="s">
        <v>636</v>
      </c>
      <c r="AT8" s="852">
        <f>EnglandRWChistptsagainst</f>
        <v>783</v>
      </c>
    </row>
    <row r="9" spans="1:46" ht="14.95" customHeight="1" thickBot="1" x14ac:dyDescent="0.3">
      <c r="A9" s="187">
        <v>43694</v>
      </c>
      <c r="B9" s="178" t="s">
        <v>45</v>
      </c>
      <c r="C9" s="178" t="s">
        <v>32</v>
      </c>
      <c r="D9" s="178" t="s">
        <v>120</v>
      </c>
      <c r="E9" s="179" t="s">
        <v>3</v>
      </c>
      <c r="F9" s="179">
        <v>6</v>
      </c>
      <c r="G9" s="179">
        <v>13</v>
      </c>
      <c r="H9" s="179" t="s">
        <v>108</v>
      </c>
      <c r="I9" s="179" t="s">
        <v>108</v>
      </c>
      <c r="J9" s="179">
        <v>0</v>
      </c>
      <c r="K9" s="179">
        <v>0</v>
      </c>
      <c r="L9" s="179">
        <v>0</v>
      </c>
      <c r="M9" s="179">
        <v>2</v>
      </c>
      <c r="N9" s="179">
        <v>1</v>
      </c>
      <c r="O9" s="179">
        <v>0</v>
      </c>
      <c r="P9" s="179" t="s">
        <v>108</v>
      </c>
      <c r="Q9" s="179" t="s">
        <v>108</v>
      </c>
      <c r="R9" s="179">
        <v>1</v>
      </c>
      <c r="S9" s="180">
        <v>74000</v>
      </c>
      <c r="T9" s="223" t="s">
        <v>795</v>
      </c>
      <c r="U9" s="181" t="s">
        <v>211</v>
      </c>
      <c r="V9" s="180" t="s">
        <v>771</v>
      </c>
      <c r="W9" s="180" t="s">
        <v>136</v>
      </c>
      <c r="X9" s="200" t="s">
        <v>212</v>
      </c>
      <c r="Y9" s="184">
        <v>1</v>
      </c>
      <c r="Z9" s="184">
        <v>0</v>
      </c>
      <c r="AA9" s="184">
        <v>0</v>
      </c>
      <c r="AB9" s="185">
        <v>1</v>
      </c>
      <c r="AC9" s="184">
        <v>0</v>
      </c>
      <c r="AD9" s="184">
        <v>0</v>
      </c>
      <c r="AE9" s="184">
        <v>0</v>
      </c>
      <c r="AF9" s="185">
        <v>0</v>
      </c>
      <c r="AG9" s="184">
        <v>1</v>
      </c>
      <c r="AH9" s="184">
        <v>0</v>
      </c>
      <c r="AI9" s="184">
        <v>0</v>
      </c>
      <c r="AJ9" s="185">
        <v>1</v>
      </c>
      <c r="AK9" s="184">
        <v>0</v>
      </c>
      <c r="AL9" s="184">
        <v>0</v>
      </c>
      <c r="AM9" s="184">
        <v>0</v>
      </c>
      <c r="AN9" s="185">
        <v>0</v>
      </c>
      <c r="AP9" s="851" t="s">
        <v>623</v>
      </c>
      <c r="AQ9" s="852">
        <f>Englandalltestshisttriesscored</f>
        <v>1685</v>
      </c>
      <c r="AS9" s="851" t="s">
        <v>623</v>
      </c>
      <c r="AT9" s="852">
        <f>EnglandRWChisttriesscored</f>
        <v>169</v>
      </c>
    </row>
    <row r="10" spans="1:46" ht="14.95" customHeight="1" thickBot="1" x14ac:dyDescent="0.35">
      <c r="A10" s="195">
        <v>43701</v>
      </c>
      <c r="B10" s="196" t="s">
        <v>45</v>
      </c>
      <c r="C10" s="196" t="s">
        <v>39</v>
      </c>
      <c r="D10" s="196" t="s">
        <v>124</v>
      </c>
      <c r="E10" s="197" t="s">
        <v>1</v>
      </c>
      <c r="F10" s="197">
        <v>57</v>
      </c>
      <c r="G10" s="197">
        <v>15</v>
      </c>
      <c r="H10" s="197" t="s">
        <v>108</v>
      </c>
      <c r="I10" s="197" t="s">
        <v>108</v>
      </c>
      <c r="J10" s="197">
        <v>8</v>
      </c>
      <c r="K10" s="197">
        <v>7</v>
      </c>
      <c r="L10" s="197">
        <v>0</v>
      </c>
      <c r="M10" s="197">
        <v>1</v>
      </c>
      <c r="N10" s="197">
        <v>1</v>
      </c>
      <c r="O10" s="197">
        <v>0</v>
      </c>
      <c r="P10" s="197" t="s">
        <v>108</v>
      </c>
      <c r="Q10" s="197" t="s">
        <v>108</v>
      </c>
      <c r="R10" s="197">
        <v>2</v>
      </c>
      <c r="S10" s="209">
        <v>80000</v>
      </c>
      <c r="T10" s="346" t="s">
        <v>803</v>
      </c>
      <c r="U10" s="210" t="s">
        <v>219</v>
      </c>
      <c r="V10" s="209" t="s">
        <v>804</v>
      </c>
      <c r="W10" s="210" t="s">
        <v>138</v>
      </c>
      <c r="X10" s="209" t="s">
        <v>212</v>
      </c>
      <c r="Y10" s="212">
        <v>1</v>
      </c>
      <c r="Z10" s="212">
        <v>1</v>
      </c>
      <c r="AA10" s="212">
        <v>0</v>
      </c>
      <c r="AB10" s="213">
        <v>0</v>
      </c>
      <c r="AC10" s="212">
        <v>1</v>
      </c>
      <c r="AD10" s="212">
        <v>1</v>
      </c>
      <c r="AE10" s="212">
        <v>0</v>
      </c>
      <c r="AF10" s="213">
        <v>0</v>
      </c>
      <c r="AG10" s="212">
        <v>0</v>
      </c>
      <c r="AH10" s="212">
        <v>0</v>
      </c>
      <c r="AI10" s="212">
        <v>0</v>
      </c>
      <c r="AJ10" s="213">
        <v>0</v>
      </c>
      <c r="AK10" s="212">
        <v>0</v>
      </c>
      <c r="AL10" s="212">
        <v>0</v>
      </c>
      <c r="AM10" s="212">
        <v>0</v>
      </c>
      <c r="AN10" s="213">
        <v>0</v>
      </c>
    </row>
    <row r="11" spans="1:46" ht="14.95" customHeight="1" thickBot="1" x14ac:dyDescent="0.35">
      <c r="A11" s="195">
        <v>43714</v>
      </c>
      <c r="B11" s="196" t="s">
        <v>45</v>
      </c>
      <c r="C11" s="196" t="s">
        <v>33</v>
      </c>
      <c r="D11" s="196" t="s">
        <v>157</v>
      </c>
      <c r="E11" s="197" t="s">
        <v>1</v>
      </c>
      <c r="F11" s="197">
        <v>37</v>
      </c>
      <c r="G11" s="197">
        <v>0</v>
      </c>
      <c r="H11" s="197" t="s">
        <v>108</v>
      </c>
      <c r="I11" s="197" t="s">
        <v>108</v>
      </c>
      <c r="J11" s="197">
        <v>4</v>
      </c>
      <c r="K11" s="197">
        <v>4</v>
      </c>
      <c r="L11" s="197">
        <v>0</v>
      </c>
      <c r="M11" s="197">
        <v>3</v>
      </c>
      <c r="N11" s="197">
        <v>0</v>
      </c>
      <c r="O11" s="197">
        <v>0</v>
      </c>
      <c r="P11" s="197" t="s">
        <v>108</v>
      </c>
      <c r="Q11" s="197" t="s">
        <v>108</v>
      </c>
      <c r="R11" s="197">
        <v>0</v>
      </c>
      <c r="S11" s="209">
        <v>50157</v>
      </c>
      <c r="T11" s="346" t="s">
        <v>838</v>
      </c>
      <c r="U11" s="210" t="s">
        <v>276</v>
      </c>
      <c r="V11" s="209" t="s">
        <v>771</v>
      </c>
      <c r="W11" s="198" t="s">
        <v>138</v>
      </c>
      <c r="X11" s="211" t="s">
        <v>327</v>
      </c>
      <c r="Y11" s="212">
        <v>1</v>
      </c>
      <c r="Z11" s="212">
        <v>1</v>
      </c>
      <c r="AA11" s="212">
        <v>0</v>
      </c>
      <c r="AB11" s="213">
        <v>0</v>
      </c>
      <c r="AC11" s="212">
        <v>1</v>
      </c>
      <c r="AD11" s="212">
        <v>1</v>
      </c>
      <c r="AE11" s="212">
        <v>0</v>
      </c>
      <c r="AF11" s="213">
        <v>0</v>
      </c>
      <c r="AG11" s="212">
        <v>0</v>
      </c>
      <c r="AH11" s="212">
        <v>0</v>
      </c>
      <c r="AI11" s="212">
        <v>0</v>
      </c>
      <c r="AJ11" s="213">
        <v>0</v>
      </c>
      <c r="AK11" s="212">
        <v>0</v>
      </c>
      <c r="AL11" s="212">
        <v>0</v>
      </c>
      <c r="AM11" s="212">
        <v>0</v>
      </c>
      <c r="AN11" s="213">
        <v>0</v>
      </c>
    </row>
    <row r="12" spans="1:46" ht="14.95" customHeight="1" thickBot="1" x14ac:dyDescent="0.35">
      <c r="A12" s="188">
        <v>43730</v>
      </c>
      <c r="B12" s="189" t="s">
        <v>158</v>
      </c>
      <c r="C12" s="189" t="s">
        <v>145</v>
      </c>
      <c r="D12" s="189" t="s">
        <v>159</v>
      </c>
      <c r="E12" s="190" t="s">
        <v>1</v>
      </c>
      <c r="F12" s="190">
        <v>35</v>
      </c>
      <c r="G12" s="190">
        <v>3</v>
      </c>
      <c r="H12" s="190">
        <v>1</v>
      </c>
      <c r="I12" s="190">
        <v>0</v>
      </c>
      <c r="J12" s="190">
        <v>4</v>
      </c>
      <c r="K12" s="190">
        <v>3</v>
      </c>
      <c r="L12" s="190">
        <v>0</v>
      </c>
      <c r="M12" s="190">
        <v>3</v>
      </c>
      <c r="N12" s="190">
        <v>0</v>
      </c>
      <c r="O12" s="190">
        <v>0</v>
      </c>
      <c r="P12" s="190">
        <v>0</v>
      </c>
      <c r="Q12" s="190">
        <v>0</v>
      </c>
      <c r="R12" s="190">
        <v>0</v>
      </c>
      <c r="S12" s="203">
        <v>35923</v>
      </c>
      <c r="T12" s="411" t="s">
        <v>879</v>
      </c>
      <c r="U12" s="204" t="s">
        <v>273</v>
      </c>
      <c r="V12" s="203" t="s">
        <v>277</v>
      </c>
      <c r="W12" s="191" t="s">
        <v>136</v>
      </c>
      <c r="X12" s="205" t="s">
        <v>149</v>
      </c>
      <c r="Y12" s="206">
        <v>1</v>
      </c>
      <c r="Z12" s="206">
        <v>1</v>
      </c>
      <c r="AA12" s="206">
        <v>0</v>
      </c>
      <c r="AB12" s="207">
        <v>0</v>
      </c>
      <c r="AC12" s="206">
        <v>0</v>
      </c>
      <c r="AD12" s="206">
        <v>0</v>
      </c>
      <c r="AE12" s="206">
        <v>0</v>
      </c>
      <c r="AF12" s="207">
        <v>0</v>
      </c>
      <c r="AG12" s="206">
        <v>0</v>
      </c>
      <c r="AH12" s="206">
        <v>0</v>
      </c>
      <c r="AI12" s="206">
        <v>0</v>
      </c>
      <c r="AJ12" s="207">
        <v>0</v>
      </c>
      <c r="AK12" s="206">
        <v>1</v>
      </c>
      <c r="AL12" s="206">
        <v>1</v>
      </c>
      <c r="AM12" s="206">
        <v>0</v>
      </c>
      <c r="AN12" s="207">
        <v>0</v>
      </c>
    </row>
    <row r="13" spans="1:46" ht="14.95" customHeight="1" thickBot="1" x14ac:dyDescent="0.35">
      <c r="A13" s="188">
        <v>43734</v>
      </c>
      <c r="B13" s="483" t="s">
        <v>158</v>
      </c>
      <c r="C13" s="189" t="s">
        <v>60</v>
      </c>
      <c r="D13" s="189" t="s">
        <v>127</v>
      </c>
      <c r="E13" s="190" t="s">
        <v>1</v>
      </c>
      <c r="F13" s="190">
        <v>45</v>
      </c>
      <c r="G13" s="484">
        <v>7</v>
      </c>
      <c r="H13" s="484">
        <v>1</v>
      </c>
      <c r="I13" s="190">
        <v>0</v>
      </c>
      <c r="J13" s="190">
        <v>7</v>
      </c>
      <c r="K13" s="190">
        <v>5</v>
      </c>
      <c r="L13" s="190">
        <v>0</v>
      </c>
      <c r="M13" s="190">
        <v>0</v>
      </c>
      <c r="N13" s="190">
        <v>0</v>
      </c>
      <c r="O13" s="190">
        <v>0</v>
      </c>
      <c r="P13" s="190">
        <v>0</v>
      </c>
      <c r="Q13" s="190">
        <v>0</v>
      </c>
      <c r="R13" s="190">
        <v>1</v>
      </c>
      <c r="S13" s="203">
        <v>27194</v>
      </c>
      <c r="T13" s="411" t="s">
        <v>275</v>
      </c>
      <c r="U13" s="204" t="s">
        <v>227</v>
      </c>
      <c r="V13" s="203" t="s">
        <v>277</v>
      </c>
      <c r="W13" s="191" t="s">
        <v>273</v>
      </c>
      <c r="X13" s="205" t="s">
        <v>134</v>
      </c>
      <c r="Y13" s="206">
        <v>1</v>
      </c>
      <c r="Z13" s="206">
        <v>1</v>
      </c>
      <c r="AA13" s="206">
        <v>0</v>
      </c>
      <c r="AB13" s="207">
        <v>0</v>
      </c>
      <c r="AC13" s="206">
        <v>0</v>
      </c>
      <c r="AD13" s="206">
        <v>0</v>
      </c>
      <c r="AE13" s="206">
        <v>0</v>
      </c>
      <c r="AF13" s="207">
        <v>0</v>
      </c>
      <c r="AG13" s="206">
        <v>0</v>
      </c>
      <c r="AH13" s="206">
        <v>0</v>
      </c>
      <c r="AI13" s="206">
        <v>0</v>
      </c>
      <c r="AJ13" s="207">
        <v>0</v>
      </c>
      <c r="AK13" s="206">
        <v>1</v>
      </c>
      <c r="AL13" s="206">
        <v>1</v>
      </c>
      <c r="AM13" s="206">
        <v>0</v>
      </c>
      <c r="AN13" s="207">
        <v>0</v>
      </c>
    </row>
    <row r="14" spans="1:46" ht="14.95" customHeight="1" thickBot="1" x14ac:dyDescent="0.35">
      <c r="A14" s="188">
        <v>43743</v>
      </c>
      <c r="B14" s="483" t="s">
        <v>158</v>
      </c>
      <c r="C14" s="189" t="s">
        <v>37</v>
      </c>
      <c r="D14" s="189" t="s">
        <v>160</v>
      </c>
      <c r="E14" s="190" t="s">
        <v>1</v>
      </c>
      <c r="F14" s="190">
        <v>39</v>
      </c>
      <c r="G14" s="484">
        <v>10</v>
      </c>
      <c r="H14" s="484">
        <v>1</v>
      </c>
      <c r="I14" s="190">
        <v>0</v>
      </c>
      <c r="J14" s="190">
        <v>6</v>
      </c>
      <c r="K14" s="190">
        <v>3</v>
      </c>
      <c r="L14" s="190">
        <v>0</v>
      </c>
      <c r="M14" s="190">
        <v>1</v>
      </c>
      <c r="N14" s="190">
        <v>0</v>
      </c>
      <c r="O14" s="190">
        <v>0</v>
      </c>
      <c r="P14" s="190">
        <v>0</v>
      </c>
      <c r="Q14" s="190">
        <v>0</v>
      </c>
      <c r="R14" s="190">
        <v>1</v>
      </c>
      <c r="S14" s="203">
        <v>48185</v>
      </c>
      <c r="T14" s="411" t="s">
        <v>814</v>
      </c>
      <c r="U14" s="204" t="s">
        <v>219</v>
      </c>
      <c r="V14" s="203" t="s">
        <v>270</v>
      </c>
      <c r="W14" s="191" t="s">
        <v>276</v>
      </c>
      <c r="X14" s="205" t="s">
        <v>129</v>
      </c>
      <c r="Y14" s="206">
        <v>1</v>
      </c>
      <c r="Z14" s="206">
        <v>1</v>
      </c>
      <c r="AA14" s="206">
        <v>0</v>
      </c>
      <c r="AB14" s="207">
        <v>0</v>
      </c>
      <c r="AC14" s="206">
        <v>0</v>
      </c>
      <c r="AD14" s="206">
        <v>0</v>
      </c>
      <c r="AE14" s="206">
        <v>0</v>
      </c>
      <c r="AF14" s="207">
        <v>0</v>
      </c>
      <c r="AG14" s="206">
        <v>0</v>
      </c>
      <c r="AH14" s="206">
        <v>0</v>
      </c>
      <c r="AI14" s="206">
        <v>0</v>
      </c>
      <c r="AJ14" s="207">
        <v>0</v>
      </c>
      <c r="AK14" s="206">
        <v>1</v>
      </c>
      <c r="AL14" s="206">
        <v>1</v>
      </c>
      <c r="AM14" s="206">
        <v>0</v>
      </c>
      <c r="AN14" s="207">
        <v>0</v>
      </c>
    </row>
    <row r="15" spans="1:46" ht="14.95" customHeight="1" thickBot="1" x14ac:dyDescent="0.3">
      <c r="A15" s="188">
        <v>43750</v>
      </c>
      <c r="B15" s="483" t="s">
        <v>158</v>
      </c>
      <c r="C15" s="189" t="s">
        <v>34</v>
      </c>
      <c r="D15" s="189" t="s">
        <v>141</v>
      </c>
      <c r="E15" s="190" t="s">
        <v>13</v>
      </c>
      <c r="F15" s="190">
        <v>0</v>
      </c>
      <c r="G15" s="484">
        <v>0</v>
      </c>
      <c r="H15" s="484" t="s">
        <v>108</v>
      </c>
      <c r="I15" s="190" t="s">
        <v>108</v>
      </c>
      <c r="J15" s="190" t="s">
        <v>108</v>
      </c>
      <c r="K15" s="190" t="s">
        <v>108</v>
      </c>
      <c r="L15" s="190" t="s">
        <v>108</v>
      </c>
      <c r="M15" s="190" t="s">
        <v>108</v>
      </c>
      <c r="N15" s="190" t="s">
        <v>108</v>
      </c>
      <c r="O15" s="190" t="s">
        <v>108</v>
      </c>
      <c r="P15" s="190" t="s">
        <v>108</v>
      </c>
      <c r="Q15" s="190" t="s">
        <v>108</v>
      </c>
      <c r="R15" s="190" t="s">
        <v>108</v>
      </c>
      <c r="S15" s="203" t="s">
        <v>108</v>
      </c>
      <c r="T15" s="406" t="s">
        <v>108</v>
      </c>
      <c r="U15" s="204" t="s">
        <v>108</v>
      </c>
      <c r="V15" s="203" t="s">
        <v>108</v>
      </c>
      <c r="W15" s="191" t="s">
        <v>108</v>
      </c>
      <c r="X15" s="205" t="s">
        <v>108</v>
      </c>
      <c r="Y15" s="206">
        <v>1</v>
      </c>
      <c r="Z15" s="206">
        <v>0</v>
      </c>
      <c r="AA15" s="206">
        <v>1</v>
      </c>
      <c r="AB15" s="207">
        <v>0</v>
      </c>
      <c r="AC15" s="206">
        <v>0</v>
      </c>
      <c r="AD15" s="206">
        <v>0</v>
      </c>
      <c r="AE15" s="206">
        <v>0</v>
      </c>
      <c r="AF15" s="207">
        <v>0</v>
      </c>
      <c r="AG15" s="206">
        <v>0</v>
      </c>
      <c r="AH15" s="206">
        <v>0</v>
      </c>
      <c r="AI15" s="206">
        <v>0</v>
      </c>
      <c r="AJ15" s="207">
        <v>0</v>
      </c>
      <c r="AK15" s="206">
        <v>1</v>
      </c>
      <c r="AL15" s="206">
        <v>0</v>
      </c>
      <c r="AM15" s="206">
        <v>1</v>
      </c>
      <c r="AN15" s="207">
        <v>0</v>
      </c>
    </row>
    <row r="16" spans="1:46" ht="14.95" customHeight="1" thickBot="1" x14ac:dyDescent="0.35">
      <c r="A16" s="188">
        <v>43757</v>
      </c>
      <c r="B16" s="483" t="s">
        <v>110</v>
      </c>
      <c r="C16" s="189" t="s">
        <v>29</v>
      </c>
      <c r="D16" s="189" t="s">
        <v>180</v>
      </c>
      <c r="E16" s="190" t="s">
        <v>1</v>
      </c>
      <c r="F16" s="190">
        <v>40</v>
      </c>
      <c r="G16" s="484">
        <v>16</v>
      </c>
      <c r="H16" s="484" t="s">
        <v>108</v>
      </c>
      <c r="I16" s="190" t="s">
        <v>108</v>
      </c>
      <c r="J16" s="190">
        <v>4</v>
      </c>
      <c r="K16" s="190">
        <v>4</v>
      </c>
      <c r="L16" s="190">
        <v>0</v>
      </c>
      <c r="M16" s="190">
        <v>4</v>
      </c>
      <c r="N16" s="190">
        <v>0</v>
      </c>
      <c r="O16" s="190">
        <v>0</v>
      </c>
      <c r="P16" s="190" t="s">
        <v>108</v>
      </c>
      <c r="Q16" s="190" t="s">
        <v>108</v>
      </c>
      <c r="R16" s="190">
        <v>1</v>
      </c>
      <c r="S16" s="203">
        <v>36954</v>
      </c>
      <c r="T16" s="411" t="s">
        <v>973</v>
      </c>
      <c r="U16" s="204" t="s">
        <v>138</v>
      </c>
      <c r="V16" s="203" t="s">
        <v>277</v>
      </c>
      <c r="W16" s="191" t="s">
        <v>130</v>
      </c>
      <c r="X16" s="205" t="s">
        <v>136</v>
      </c>
      <c r="Y16" s="206">
        <v>1</v>
      </c>
      <c r="Z16" s="206">
        <v>1</v>
      </c>
      <c r="AA16" s="206">
        <v>0</v>
      </c>
      <c r="AB16" s="207">
        <v>0</v>
      </c>
      <c r="AC16" s="206">
        <v>0</v>
      </c>
      <c r="AD16" s="206">
        <v>0</v>
      </c>
      <c r="AE16" s="206">
        <v>0</v>
      </c>
      <c r="AF16" s="207">
        <v>0</v>
      </c>
      <c r="AG16" s="206">
        <v>0</v>
      </c>
      <c r="AH16" s="206">
        <v>0</v>
      </c>
      <c r="AI16" s="206">
        <v>0</v>
      </c>
      <c r="AJ16" s="207">
        <v>0</v>
      </c>
      <c r="AK16" s="206">
        <v>1</v>
      </c>
      <c r="AL16" s="206">
        <v>1</v>
      </c>
      <c r="AM16" s="206">
        <v>0</v>
      </c>
      <c r="AN16" s="207">
        <v>0</v>
      </c>
    </row>
    <row r="17" spans="1:40" ht="14.95" customHeight="1" thickBot="1" x14ac:dyDescent="0.35">
      <c r="A17" s="188">
        <v>43764</v>
      </c>
      <c r="B17" s="483" t="s">
        <v>161</v>
      </c>
      <c r="C17" s="189" t="s">
        <v>126</v>
      </c>
      <c r="D17" s="189" t="s">
        <v>141</v>
      </c>
      <c r="E17" s="190" t="s">
        <v>1</v>
      </c>
      <c r="F17" s="190">
        <v>19</v>
      </c>
      <c r="G17" s="484">
        <v>7</v>
      </c>
      <c r="H17" s="484" t="s">
        <v>108</v>
      </c>
      <c r="I17" s="190" t="s">
        <v>108</v>
      </c>
      <c r="J17" s="190">
        <v>1</v>
      </c>
      <c r="K17" s="190">
        <v>1</v>
      </c>
      <c r="L17" s="190">
        <v>0</v>
      </c>
      <c r="M17" s="190">
        <v>4</v>
      </c>
      <c r="N17" s="190">
        <v>0</v>
      </c>
      <c r="O17" s="190">
        <v>0</v>
      </c>
      <c r="P17" s="190" t="s">
        <v>108</v>
      </c>
      <c r="Q17" s="190" t="s">
        <v>108</v>
      </c>
      <c r="R17" s="190">
        <v>1</v>
      </c>
      <c r="S17" s="203">
        <v>68843</v>
      </c>
      <c r="T17" s="411" t="s">
        <v>311</v>
      </c>
      <c r="U17" s="204" t="s">
        <v>219</v>
      </c>
      <c r="V17" s="203" t="s">
        <v>270</v>
      </c>
      <c r="W17" s="191" t="s">
        <v>130</v>
      </c>
      <c r="X17" s="205" t="s">
        <v>211</v>
      </c>
      <c r="Y17" s="206">
        <v>1</v>
      </c>
      <c r="Z17" s="206">
        <v>1</v>
      </c>
      <c r="AA17" s="206">
        <v>0</v>
      </c>
      <c r="AB17" s="207">
        <v>0</v>
      </c>
      <c r="AC17" s="206">
        <v>0</v>
      </c>
      <c r="AD17" s="206">
        <v>0</v>
      </c>
      <c r="AE17" s="206">
        <v>0</v>
      </c>
      <c r="AF17" s="207">
        <v>0</v>
      </c>
      <c r="AG17" s="206">
        <v>0</v>
      </c>
      <c r="AH17" s="206">
        <v>0</v>
      </c>
      <c r="AI17" s="206">
        <v>0</v>
      </c>
      <c r="AJ17" s="207">
        <v>0</v>
      </c>
      <c r="AK17" s="206">
        <v>1</v>
      </c>
      <c r="AL17" s="206">
        <v>1</v>
      </c>
      <c r="AM17" s="206">
        <v>0</v>
      </c>
      <c r="AN17" s="207">
        <v>0</v>
      </c>
    </row>
    <row r="18" spans="1:40" ht="14.95" customHeight="1" thickBot="1" x14ac:dyDescent="0.3">
      <c r="A18" s="188">
        <v>43771</v>
      </c>
      <c r="B18" s="483" t="s">
        <v>162</v>
      </c>
      <c r="C18" s="189" t="s">
        <v>679</v>
      </c>
      <c r="D18" s="189" t="s">
        <v>141</v>
      </c>
      <c r="E18" s="190" t="s">
        <v>3</v>
      </c>
      <c r="F18" s="190">
        <v>12</v>
      </c>
      <c r="G18" s="484">
        <v>32</v>
      </c>
      <c r="H18" s="484" t="s">
        <v>108</v>
      </c>
      <c r="I18" s="190" t="s">
        <v>108</v>
      </c>
      <c r="J18" s="190">
        <v>0</v>
      </c>
      <c r="K18" s="190">
        <v>0</v>
      </c>
      <c r="L18" s="190">
        <v>0</v>
      </c>
      <c r="M18" s="190">
        <v>4</v>
      </c>
      <c r="N18" s="190">
        <v>0</v>
      </c>
      <c r="O18" s="190">
        <v>0</v>
      </c>
      <c r="P18" s="190" t="s">
        <v>108</v>
      </c>
      <c r="Q18" s="190" t="s">
        <v>108</v>
      </c>
      <c r="R18" s="190">
        <v>2</v>
      </c>
      <c r="S18" s="191">
        <v>70103</v>
      </c>
      <c r="T18" s="926" t="s">
        <v>922</v>
      </c>
      <c r="U18" s="485" t="s">
        <v>138</v>
      </c>
      <c r="V18" s="191" t="s">
        <v>277</v>
      </c>
      <c r="W18" s="191" t="s">
        <v>130</v>
      </c>
      <c r="X18" s="486" t="s">
        <v>993</v>
      </c>
      <c r="Y18" s="191">
        <v>1</v>
      </c>
      <c r="Z18" s="191">
        <v>0</v>
      </c>
      <c r="AA18" s="191">
        <v>0</v>
      </c>
      <c r="AB18" s="487">
        <v>1</v>
      </c>
      <c r="AC18" s="191">
        <v>0</v>
      </c>
      <c r="AD18" s="191">
        <v>0</v>
      </c>
      <c r="AE18" s="191">
        <v>0</v>
      </c>
      <c r="AF18" s="487">
        <v>0</v>
      </c>
      <c r="AG18" s="191">
        <v>0</v>
      </c>
      <c r="AH18" s="191">
        <v>0</v>
      </c>
      <c r="AI18" s="191">
        <v>0</v>
      </c>
      <c r="AJ18" s="487">
        <v>0</v>
      </c>
      <c r="AK18" s="191">
        <v>1</v>
      </c>
      <c r="AL18" s="191">
        <v>0</v>
      </c>
      <c r="AM18" s="191">
        <v>0</v>
      </c>
      <c r="AN18" s="487">
        <v>1</v>
      </c>
    </row>
    <row r="19" spans="1:40" ht="14.95" thickBot="1" x14ac:dyDescent="0.3">
      <c r="A19" s="438"/>
      <c r="B19" s="439"/>
      <c r="C19" s="1069" t="s">
        <v>116</v>
      </c>
      <c r="D19" s="1070"/>
      <c r="E19" s="1071"/>
      <c r="F19" s="433">
        <f t="shared" ref="F19:I19" si="0">SUM(F3:F7)</f>
        <v>184</v>
      </c>
      <c r="G19" s="433">
        <f t="shared" si="0"/>
        <v>101</v>
      </c>
      <c r="H19" s="433">
        <f t="shared" si="0"/>
        <v>4</v>
      </c>
      <c r="I19" s="433">
        <f t="shared" si="0"/>
        <v>0</v>
      </c>
      <c r="J19" s="433">
        <f>SUM(J3:J7)</f>
        <v>24</v>
      </c>
      <c r="K19" s="433">
        <f t="shared" ref="K19:R19" si="1">SUM(K3:K7)</f>
        <v>19</v>
      </c>
      <c r="L19" s="433">
        <f t="shared" si="1"/>
        <v>0</v>
      </c>
      <c r="M19" s="433">
        <f t="shared" si="1"/>
        <v>8</v>
      </c>
      <c r="N19" s="433">
        <f t="shared" si="1"/>
        <v>1</v>
      </c>
      <c r="O19" s="433">
        <f t="shared" si="1"/>
        <v>0</v>
      </c>
      <c r="P19" s="433">
        <f t="shared" si="1"/>
        <v>1</v>
      </c>
      <c r="Q19" s="433">
        <f t="shared" si="1"/>
        <v>0</v>
      </c>
      <c r="R19" s="433">
        <f t="shared" si="1"/>
        <v>13</v>
      </c>
      <c r="W19" s="434"/>
      <c r="X19" s="459" t="s">
        <v>116</v>
      </c>
      <c r="Y19" s="433">
        <f t="shared" ref="Y19:AN19" si="2">SUM(Y3:Y7)</f>
        <v>5</v>
      </c>
      <c r="Z19" s="433">
        <f t="shared" si="2"/>
        <v>3</v>
      </c>
      <c r="AA19" s="433">
        <f t="shared" si="2"/>
        <v>1</v>
      </c>
      <c r="AB19" s="433">
        <f t="shared" si="2"/>
        <v>1</v>
      </c>
      <c r="AC19" s="435">
        <f t="shared" si="2"/>
        <v>3</v>
      </c>
      <c r="AD19" s="435">
        <f t="shared" si="2"/>
        <v>2</v>
      </c>
      <c r="AE19" s="435">
        <f t="shared" si="2"/>
        <v>1</v>
      </c>
      <c r="AF19" s="435">
        <f t="shared" si="2"/>
        <v>0</v>
      </c>
      <c r="AG19" s="436">
        <f t="shared" si="2"/>
        <v>2</v>
      </c>
      <c r="AH19" s="436">
        <f t="shared" si="2"/>
        <v>1</v>
      </c>
      <c r="AI19" s="436">
        <f t="shared" si="2"/>
        <v>0</v>
      </c>
      <c r="AJ19" s="436">
        <f t="shared" si="2"/>
        <v>1</v>
      </c>
      <c r="AK19" s="437">
        <f t="shared" si="2"/>
        <v>0</v>
      </c>
      <c r="AL19" s="437">
        <f t="shared" si="2"/>
        <v>0</v>
      </c>
      <c r="AM19" s="437">
        <f t="shared" si="2"/>
        <v>0</v>
      </c>
      <c r="AN19" s="437">
        <f t="shared" si="2"/>
        <v>0</v>
      </c>
    </row>
    <row r="20" spans="1:40" ht="14.95" thickBot="1" x14ac:dyDescent="0.3">
      <c r="A20" s="438"/>
      <c r="B20" s="439"/>
      <c r="C20" s="1037" t="s">
        <v>163</v>
      </c>
      <c r="D20" s="1091"/>
      <c r="E20" s="1092"/>
      <c r="F20" s="446">
        <f>SUM(F8:F11)</f>
        <v>133</v>
      </c>
      <c r="G20" s="446">
        <f>SUM(G8:G11)</f>
        <v>47</v>
      </c>
      <c r="H20" s="446" t="s">
        <v>108</v>
      </c>
      <c r="I20" s="446" t="s">
        <v>108</v>
      </c>
      <c r="J20" s="446">
        <f t="shared" ref="J20:O20" si="3">SUM(J8:J11)</f>
        <v>15</v>
      </c>
      <c r="K20" s="446">
        <f t="shared" si="3"/>
        <v>14</v>
      </c>
      <c r="L20" s="446">
        <f t="shared" si="3"/>
        <v>1</v>
      </c>
      <c r="M20" s="446">
        <f t="shared" si="3"/>
        <v>9</v>
      </c>
      <c r="N20" s="446">
        <f t="shared" si="3"/>
        <v>2</v>
      </c>
      <c r="O20" s="446">
        <f t="shared" si="3"/>
        <v>0</v>
      </c>
      <c r="P20" s="446" t="s">
        <v>108</v>
      </c>
      <c r="Q20" s="446" t="s">
        <v>108</v>
      </c>
      <c r="R20" s="446">
        <f>SUM(R8:R11)</f>
        <v>6</v>
      </c>
      <c r="S20" s="447"/>
      <c r="T20" s="447"/>
      <c r="U20" s="447"/>
      <c r="V20" s="447"/>
      <c r="W20" s="448"/>
      <c r="X20" s="461" t="s">
        <v>163</v>
      </c>
      <c r="Y20" s="446">
        <f t="shared" ref="Y20:AN20" si="4">SUM(Y8:Y11)</f>
        <v>4</v>
      </c>
      <c r="Z20" s="446">
        <f t="shared" si="4"/>
        <v>3</v>
      </c>
      <c r="AA20" s="446">
        <f t="shared" si="4"/>
        <v>0</v>
      </c>
      <c r="AB20" s="446">
        <f t="shared" si="4"/>
        <v>1</v>
      </c>
      <c r="AC20" s="450">
        <f t="shared" si="4"/>
        <v>3</v>
      </c>
      <c r="AD20" s="450">
        <f t="shared" si="4"/>
        <v>3</v>
      </c>
      <c r="AE20" s="450">
        <f t="shared" si="4"/>
        <v>0</v>
      </c>
      <c r="AF20" s="450">
        <f t="shared" si="4"/>
        <v>0</v>
      </c>
      <c r="AG20" s="451">
        <f t="shared" si="4"/>
        <v>1</v>
      </c>
      <c r="AH20" s="451">
        <f t="shared" si="4"/>
        <v>0</v>
      </c>
      <c r="AI20" s="451">
        <f t="shared" si="4"/>
        <v>0</v>
      </c>
      <c r="AJ20" s="451">
        <f t="shared" si="4"/>
        <v>1</v>
      </c>
      <c r="AK20" s="452">
        <f t="shared" si="4"/>
        <v>0</v>
      </c>
      <c r="AL20" s="452">
        <f t="shared" si="4"/>
        <v>0</v>
      </c>
      <c r="AM20" s="452">
        <f t="shared" si="4"/>
        <v>0</v>
      </c>
      <c r="AN20" s="452">
        <f t="shared" si="4"/>
        <v>0</v>
      </c>
    </row>
    <row r="21" spans="1:40" ht="15.8" customHeight="1" thickBot="1" x14ac:dyDescent="0.3">
      <c r="A21" s="438"/>
      <c r="B21" s="439"/>
      <c r="C21" s="1040" t="s">
        <v>611</v>
      </c>
      <c r="D21" s="1041"/>
      <c r="E21" s="1042"/>
      <c r="F21" s="685">
        <f>SUM(F12:F15)</f>
        <v>119</v>
      </c>
      <c r="G21" s="685">
        <f t="shared" ref="G21:R21" si="5">SUM(G12:G15)</f>
        <v>20</v>
      </c>
      <c r="H21" s="685">
        <f t="shared" si="5"/>
        <v>3</v>
      </c>
      <c r="I21" s="685">
        <f t="shared" si="5"/>
        <v>0</v>
      </c>
      <c r="J21" s="685">
        <f t="shared" si="5"/>
        <v>17</v>
      </c>
      <c r="K21" s="685">
        <f t="shared" si="5"/>
        <v>11</v>
      </c>
      <c r="L21" s="685">
        <f t="shared" si="5"/>
        <v>0</v>
      </c>
      <c r="M21" s="685">
        <f t="shared" si="5"/>
        <v>4</v>
      </c>
      <c r="N21" s="685">
        <f t="shared" si="5"/>
        <v>0</v>
      </c>
      <c r="O21" s="685">
        <f t="shared" si="5"/>
        <v>0</v>
      </c>
      <c r="P21" s="685">
        <f t="shared" si="5"/>
        <v>0</v>
      </c>
      <c r="Q21" s="685">
        <f t="shared" si="5"/>
        <v>0</v>
      </c>
      <c r="R21" s="685">
        <f t="shared" si="5"/>
        <v>2</v>
      </c>
      <c r="S21" s="686"/>
      <c r="T21" s="686"/>
      <c r="U21" s="686"/>
      <c r="V21" s="686"/>
      <c r="W21" s="687"/>
      <c r="X21" s="688" t="s">
        <v>611</v>
      </c>
      <c r="Y21" s="689">
        <f t="shared" ref="Y21:AN21" si="6">SUM(Y12:Y15)</f>
        <v>4</v>
      </c>
      <c r="Z21" s="690">
        <f t="shared" si="6"/>
        <v>3</v>
      </c>
      <c r="AA21" s="685">
        <f t="shared" si="6"/>
        <v>1</v>
      </c>
      <c r="AB21" s="685">
        <f t="shared" si="6"/>
        <v>0</v>
      </c>
      <c r="AC21" s="691">
        <f t="shared" si="6"/>
        <v>0</v>
      </c>
      <c r="AD21" s="691">
        <f t="shared" si="6"/>
        <v>0</v>
      </c>
      <c r="AE21" s="691">
        <f t="shared" si="6"/>
        <v>0</v>
      </c>
      <c r="AF21" s="691">
        <f t="shared" si="6"/>
        <v>0</v>
      </c>
      <c r="AG21" s="692">
        <f t="shared" si="6"/>
        <v>0</v>
      </c>
      <c r="AH21" s="692">
        <f t="shared" si="6"/>
        <v>0</v>
      </c>
      <c r="AI21" s="692">
        <f t="shared" si="6"/>
        <v>0</v>
      </c>
      <c r="AJ21" s="692">
        <f t="shared" si="6"/>
        <v>0</v>
      </c>
      <c r="AK21" s="693">
        <f t="shared" si="6"/>
        <v>4</v>
      </c>
      <c r="AL21" s="693">
        <f t="shared" si="6"/>
        <v>3</v>
      </c>
      <c r="AM21" s="693">
        <f t="shared" si="6"/>
        <v>1</v>
      </c>
      <c r="AN21" s="693">
        <f t="shared" si="6"/>
        <v>0</v>
      </c>
    </row>
    <row r="22" spans="1:40" ht="15.8" customHeight="1" thickBot="1" x14ac:dyDescent="0.3">
      <c r="A22" s="438"/>
      <c r="B22" s="439"/>
      <c r="C22" s="1040" t="s">
        <v>612</v>
      </c>
      <c r="D22" s="1041"/>
      <c r="E22" s="1042"/>
      <c r="F22" s="694">
        <f>SUM(F16:F18)</f>
        <v>71</v>
      </c>
      <c r="G22" s="685">
        <f>SUM(G16:G18)</f>
        <v>55</v>
      </c>
      <c r="H22" s="685" t="s">
        <v>108</v>
      </c>
      <c r="I22" s="685" t="s">
        <v>108</v>
      </c>
      <c r="J22" s="685">
        <f t="shared" ref="J22:O22" si="7">SUM(J16:J18)</f>
        <v>5</v>
      </c>
      <c r="K22" s="685">
        <f t="shared" si="7"/>
        <v>5</v>
      </c>
      <c r="L22" s="685">
        <f t="shared" si="7"/>
        <v>0</v>
      </c>
      <c r="M22" s="685">
        <f t="shared" si="7"/>
        <v>12</v>
      </c>
      <c r="N22" s="685">
        <f t="shared" si="7"/>
        <v>0</v>
      </c>
      <c r="O22" s="685">
        <f t="shared" si="7"/>
        <v>0</v>
      </c>
      <c r="P22" s="685" t="s">
        <v>108</v>
      </c>
      <c r="Q22" s="685" t="s">
        <v>108</v>
      </c>
      <c r="R22" s="685">
        <f>SUM(R16:R18)</f>
        <v>4</v>
      </c>
      <c r="S22" s="686"/>
      <c r="T22" s="686"/>
      <c r="U22" s="686"/>
      <c r="V22" s="686"/>
      <c r="W22" s="687"/>
      <c r="X22" s="688" t="s">
        <v>612</v>
      </c>
      <c r="Y22" s="689">
        <f t="shared" ref="Y22:AN22" si="8">SUM(Y16:Y18)</f>
        <v>3</v>
      </c>
      <c r="Z22" s="690">
        <f t="shared" si="8"/>
        <v>2</v>
      </c>
      <c r="AA22" s="685">
        <f t="shared" si="8"/>
        <v>0</v>
      </c>
      <c r="AB22" s="685">
        <f t="shared" si="8"/>
        <v>1</v>
      </c>
      <c r="AC22" s="691">
        <f t="shared" si="8"/>
        <v>0</v>
      </c>
      <c r="AD22" s="691">
        <f t="shared" si="8"/>
        <v>0</v>
      </c>
      <c r="AE22" s="691">
        <f t="shared" si="8"/>
        <v>0</v>
      </c>
      <c r="AF22" s="691">
        <f t="shared" si="8"/>
        <v>0</v>
      </c>
      <c r="AG22" s="692">
        <f t="shared" si="8"/>
        <v>0</v>
      </c>
      <c r="AH22" s="692">
        <f t="shared" si="8"/>
        <v>0</v>
      </c>
      <c r="AI22" s="692">
        <f t="shared" si="8"/>
        <v>0</v>
      </c>
      <c r="AJ22" s="692">
        <f t="shared" si="8"/>
        <v>0</v>
      </c>
      <c r="AK22" s="693">
        <f t="shared" si="8"/>
        <v>3</v>
      </c>
      <c r="AL22" s="693">
        <f t="shared" si="8"/>
        <v>2</v>
      </c>
      <c r="AM22" s="693">
        <f t="shared" si="8"/>
        <v>0</v>
      </c>
      <c r="AN22" s="693">
        <f t="shared" si="8"/>
        <v>1</v>
      </c>
    </row>
    <row r="23" spans="1:40" ht="15.8" customHeight="1" thickBot="1" x14ac:dyDescent="0.3">
      <c r="A23" s="438"/>
      <c r="B23" s="439"/>
      <c r="C23" s="1040" t="s">
        <v>613</v>
      </c>
      <c r="D23" s="1041"/>
      <c r="E23" s="1042"/>
      <c r="F23" s="685">
        <f>SUM(F21:F22)</f>
        <v>190</v>
      </c>
      <c r="G23" s="685">
        <f t="shared" ref="G23:R23" si="9">SUM(G21:G22)</f>
        <v>75</v>
      </c>
      <c r="H23" s="685">
        <f t="shared" si="9"/>
        <v>3</v>
      </c>
      <c r="I23" s="685">
        <f t="shared" si="9"/>
        <v>0</v>
      </c>
      <c r="J23" s="685">
        <f t="shared" si="9"/>
        <v>22</v>
      </c>
      <c r="K23" s="685">
        <f t="shared" si="9"/>
        <v>16</v>
      </c>
      <c r="L23" s="685">
        <f t="shared" si="9"/>
        <v>0</v>
      </c>
      <c r="M23" s="685">
        <f t="shared" si="9"/>
        <v>16</v>
      </c>
      <c r="N23" s="685">
        <f t="shared" si="9"/>
        <v>0</v>
      </c>
      <c r="O23" s="685">
        <f t="shared" si="9"/>
        <v>0</v>
      </c>
      <c r="P23" s="685">
        <f t="shared" si="9"/>
        <v>0</v>
      </c>
      <c r="Q23" s="685">
        <f t="shared" si="9"/>
        <v>0</v>
      </c>
      <c r="R23" s="685">
        <f t="shared" si="9"/>
        <v>6</v>
      </c>
      <c r="S23" s="686"/>
      <c r="T23" s="686"/>
      <c r="U23" s="686"/>
      <c r="V23" s="686"/>
      <c r="W23" s="687"/>
      <c r="X23" s="688" t="s">
        <v>613</v>
      </c>
      <c r="Y23" s="689">
        <f t="shared" ref="Y23:AN23" si="10">SUM(Y21:Y22)</f>
        <v>7</v>
      </c>
      <c r="Z23" s="690">
        <f t="shared" si="10"/>
        <v>5</v>
      </c>
      <c r="AA23" s="685">
        <f t="shared" si="10"/>
        <v>1</v>
      </c>
      <c r="AB23" s="685">
        <f t="shared" si="10"/>
        <v>1</v>
      </c>
      <c r="AC23" s="691">
        <f t="shared" si="10"/>
        <v>0</v>
      </c>
      <c r="AD23" s="691">
        <f t="shared" si="10"/>
        <v>0</v>
      </c>
      <c r="AE23" s="691">
        <f t="shared" si="10"/>
        <v>0</v>
      </c>
      <c r="AF23" s="691">
        <f t="shared" si="10"/>
        <v>0</v>
      </c>
      <c r="AG23" s="692">
        <f t="shared" si="10"/>
        <v>0</v>
      </c>
      <c r="AH23" s="692">
        <f t="shared" si="10"/>
        <v>0</v>
      </c>
      <c r="AI23" s="692">
        <f t="shared" si="10"/>
        <v>0</v>
      </c>
      <c r="AJ23" s="692">
        <f t="shared" si="10"/>
        <v>0</v>
      </c>
      <c r="AK23" s="693">
        <f t="shared" si="10"/>
        <v>7</v>
      </c>
      <c r="AL23" s="693">
        <f t="shared" si="10"/>
        <v>5</v>
      </c>
      <c r="AM23" s="693">
        <f t="shared" si="10"/>
        <v>1</v>
      </c>
      <c r="AN23" s="693">
        <f t="shared" si="10"/>
        <v>1</v>
      </c>
    </row>
    <row r="24" spans="1:40" ht="15.8" customHeight="1" thickBot="1" x14ac:dyDescent="0.3">
      <c r="A24" s="438"/>
      <c r="B24" s="439"/>
      <c r="C24" s="1034" t="s">
        <v>112</v>
      </c>
      <c r="D24" s="1035"/>
      <c r="E24" s="1036"/>
      <c r="F24" s="453">
        <f t="shared" ref="F24:R24" si="11">SUM(F3:F18)</f>
        <v>507</v>
      </c>
      <c r="G24" s="453">
        <f t="shared" si="11"/>
        <v>223</v>
      </c>
      <c r="H24" s="453">
        <f t="shared" si="11"/>
        <v>7</v>
      </c>
      <c r="I24" s="453">
        <f t="shared" si="11"/>
        <v>0</v>
      </c>
      <c r="J24" s="453">
        <f t="shared" si="11"/>
        <v>61</v>
      </c>
      <c r="K24" s="453">
        <f t="shared" si="11"/>
        <v>49</v>
      </c>
      <c r="L24" s="453">
        <f t="shared" si="11"/>
        <v>1</v>
      </c>
      <c r="M24" s="453">
        <f t="shared" si="11"/>
        <v>33</v>
      </c>
      <c r="N24" s="453">
        <f t="shared" si="11"/>
        <v>3</v>
      </c>
      <c r="O24" s="453">
        <f t="shared" si="11"/>
        <v>0</v>
      </c>
      <c r="P24" s="453">
        <f t="shared" si="11"/>
        <v>1</v>
      </c>
      <c r="Q24" s="453">
        <f t="shared" si="11"/>
        <v>0</v>
      </c>
      <c r="R24" s="453">
        <f t="shared" si="11"/>
        <v>25</v>
      </c>
      <c r="S24" s="454"/>
      <c r="T24" s="454"/>
      <c r="U24" s="454"/>
      <c r="V24" s="454"/>
      <c r="W24" s="455"/>
      <c r="X24" s="462" t="s">
        <v>112</v>
      </c>
      <c r="Y24" s="453">
        <f t="shared" ref="Y24:AN24" si="12">SUM(Y3:Y18)</f>
        <v>16</v>
      </c>
      <c r="Z24" s="453">
        <f t="shared" si="12"/>
        <v>11</v>
      </c>
      <c r="AA24" s="453">
        <f t="shared" si="12"/>
        <v>2</v>
      </c>
      <c r="AB24" s="453">
        <f t="shared" si="12"/>
        <v>3</v>
      </c>
      <c r="AC24" s="456">
        <f t="shared" si="12"/>
        <v>6</v>
      </c>
      <c r="AD24" s="456">
        <f t="shared" si="12"/>
        <v>5</v>
      </c>
      <c r="AE24" s="456">
        <f t="shared" si="12"/>
        <v>1</v>
      </c>
      <c r="AF24" s="456">
        <f t="shared" si="12"/>
        <v>0</v>
      </c>
      <c r="AG24" s="457">
        <f t="shared" si="12"/>
        <v>3</v>
      </c>
      <c r="AH24" s="457">
        <f t="shared" si="12"/>
        <v>1</v>
      </c>
      <c r="AI24" s="457">
        <f t="shared" si="12"/>
        <v>0</v>
      </c>
      <c r="AJ24" s="457">
        <f t="shared" si="12"/>
        <v>2</v>
      </c>
      <c r="AK24" s="458">
        <f t="shared" si="12"/>
        <v>7</v>
      </c>
      <c r="AL24" s="458">
        <f t="shared" si="12"/>
        <v>5</v>
      </c>
      <c r="AM24" s="458">
        <f t="shared" si="12"/>
        <v>1</v>
      </c>
      <c r="AN24" s="458">
        <f t="shared" si="12"/>
        <v>1</v>
      </c>
    </row>
    <row r="25" spans="1:40" x14ac:dyDescent="0.25">
      <c r="A25" s="1067" t="s">
        <v>952</v>
      </c>
      <c r="B25" s="988"/>
      <c r="C25" s="988"/>
      <c r="D25" s="988"/>
      <c r="E25" s="988"/>
      <c r="F25" s="988"/>
      <c r="G25" s="988"/>
      <c r="H25" s="988"/>
      <c r="I25" s="988"/>
      <c r="J25" s="988"/>
      <c r="K25" s="988"/>
      <c r="L25" s="988"/>
      <c r="M25" s="988"/>
      <c r="N25" s="988"/>
      <c r="O25" s="988"/>
      <c r="P25" s="988"/>
      <c r="Q25" s="988"/>
      <c r="R25" s="988"/>
      <c r="S25" s="988"/>
      <c r="T25" s="988"/>
      <c r="U25" s="988"/>
      <c r="V25" s="988"/>
      <c r="W25" s="988"/>
      <c r="X25" s="988"/>
      <c r="Y25" s="988"/>
      <c r="Z25" s="988"/>
      <c r="AA25" s="988"/>
      <c r="AB25" s="988"/>
      <c r="AC25" s="988"/>
      <c r="AD25" s="988"/>
      <c r="AE25" s="988"/>
      <c r="AF25" s="988"/>
      <c r="AG25" s="988"/>
      <c r="AH25" s="988"/>
      <c r="AI25" s="988"/>
      <c r="AJ25" s="988"/>
      <c r="AK25" s="988"/>
      <c r="AL25" s="988"/>
      <c r="AM25" s="988"/>
      <c r="AN25" s="988"/>
    </row>
    <row r="26" spans="1:40" x14ac:dyDescent="0.25">
      <c r="A26" t="s">
        <v>156</v>
      </c>
    </row>
    <row r="27" spans="1:40" x14ac:dyDescent="0.25">
      <c r="A27" t="s">
        <v>192</v>
      </c>
    </row>
    <row r="28" spans="1:40" x14ac:dyDescent="0.25">
      <c r="A28" t="s">
        <v>188</v>
      </c>
    </row>
    <row r="29" spans="1:40" x14ac:dyDescent="0.25">
      <c r="A29" t="s">
        <v>641</v>
      </c>
    </row>
    <row r="30" spans="1:40" x14ac:dyDescent="0.25">
      <c r="A30" t="s">
        <v>217</v>
      </c>
    </row>
    <row r="31" spans="1:40" x14ac:dyDescent="0.25">
      <c r="A31" t="s">
        <v>58</v>
      </c>
    </row>
    <row r="32" spans="1:40" x14ac:dyDescent="0.25">
      <c r="A32" s="201"/>
      <c r="B32" t="s">
        <v>44</v>
      </c>
    </row>
    <row r="33" spans="1:2" x14ac:dyDescent="0.25">
      <c r="A33" s="157"/>
      <c r="B33" t="s">
        <v>42</v>
      </c>
    </row>
    <row r="34" spans="1:2" x14ac:dyDescent="0.25">
      <c r="A34" s="158"/>
      <c r="B34" t="s">
        <v>43</v>
      </c>
    </row>
    <row r="35" spans="1:2" x14ac:dyDescent="0.25">
      <c r="A35" s="15" t="s">
        <v>28</v>
      </c>
    </row>
  </sheetData>
  <mergeCells count="17">
    <mergeCell ref="C22:E22"/>
    <mergeCell ref="C23:E23"/>
    <mergeCell ref="A25:AN25"/>
    <mergeCell ref="Y1:AB1"/>
    <mergeCell ref="AC1:AF1"/>
    <mergeCell ref="AG1:AJ1"/>
    <mergeCell ref="AK1:AN1"/>
    <mergeCell ref="C19:E19"/>
    <mergeCell ref="P1:R1"/>
    <mergeCell ref="C20:E20"/>
    <mergeCell ref="C24:E24"/>
    <mergeCell ref="J1:M1"/>
    <mergeCell ref="N1:O1"/>
    <mergeCell ref="A1:C1"/>
    <mergeCell ref="E1:G1"/>
    <mergeCell ref="H1:I1"/>
    <mergeCell ref="C21:E2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T32"/>
  <sheetViews>
    <sheetView zoomScaleNormal="100" workbookViewId="0">
      <pane ySplit="2" topLeftCell="A3" activePane="bottomLeft" state="frozen"/>
      <selection pane="bottomLeft" activeCell="U30" sqref="U30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75" customWidth="1"/>
    <col min="19" max="20" width="6.25" customWidth="1"/>
    <col min="21" max="21" width="20.25" bestFit="1" customWidth="1"/>
    <col min="22" max="22" width="20.125" customWidth="1"/>
    <col min="23" max="23" width="21.75" customWidth="1"/>
    <col min="24" max="24" width="30.5" customWidth="1"/>
    <col min="25" max="40" width="3.7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1102" t="s">
        <v>165</v>
      </c>
      <c r="B1" s="1103"/>
      <c r="C1" s="1103"/>
      <c r="D1" s="331"/>
      <c r="E1" s="1104" t="s">
        <v>24</v>
      </c>
      <c r="F1" s="1105"/>
      <c r="G1" s="1106"/>
      <c r="H1" s="1104" t="s">
        <v>23</v>
      </c>
      <c r="I1" s="1106"/>
      <c r="J1" s="1099" t="s">
        <v>6</v>
      </c>
      <c r="K1" s="1101"/>
      <c r="L1" s="1101"/>
      <c r="M1" s="1100"/>
      <c r="N1" s="1099" t="s">
        <v>7</v>
      </c>
      <c r="O1" s="1100"/>
      <c r="P1" s="1099" t="s">
        <v>25</v>
      </c>
      <c r="Q1" s="1101"/>
      <c r="R1" s="1100"/>
      <c r="S1" s="915" t="s">
        <v>8</v>
      </c>
      <c r="T1" s="915" t="s">
        <v>9</v>
      </c>
      <c r="U1" s="333" t="s">
        <v>10</v>
      </c>
      <c r="V1" s="332" t="s">
        <v>11</v>
      </c>
      <c r="W1" s="334" t="s">
        <v>26</v>
      </c>
      <c r="X1" s="335" t="s">
        <v>27</v>
      </c>
      <c r="Y1" s="1098" t="s">
        <v>20</v>
      </c>
      <c r="Z1" s="1044"/>
      <c r="AA1" s="1044"/>
      <c r="AB1" s="1045"/>
      <c r="AC1" s="1098" t="s">
        <v>61</v>
      </c>
      <c r="AD1" s="1044"/>
      <c r="AE1" s="1044"/>
      <c r="AF1" s="1045"/>
      <c r="AG1" s="1098" t="s">
        <v>62</v>
      </c>
      <c r="AH1" s="1044"/>
      <c r="AI1" s="1044"/>
      <c r="AJ1" s="1045"/>
      <c r="AK1" s="1098" t="s">
        <v>63</v>
      </c>
      <c r="AL1" s="1044"/>
      <c r="AM1" s="1044"/>
      <c r="AN1" s="1045"/>
      <c r="AP1" s="879" t="s">
        <v>672</v>
      </c>
      <c r="AQ1" s="868"/>
      <c r="AR1" s="868"/>
      <c r="AS1" s="879" t="s">
        <v>672</v>
      </c>
    </row>
    <row r="2" spans="1:46" ht="14.95" customHeight="1" thickBot="1" x14ac:dyDescent="0.3">
      <c r="A2" s="336" t="s">
        <v>19</v>
      </c>
      <c r="B2" s="337" t="s">
        <v>18</v>
      </c>
      <c r="C2" s="338" t="s">
        <v>17</v>
      </c>
      <c r="D2" s="338" t="s">
        <v>41</v>
      </c>
      <c r="E2" s="339" t="s">
        <v>16</v>
      </c>
      <c r="F2" s="339" t="s">
        <v>4</v>
      </c>
      <c r="G2" s="339" t="s">
        <v>5</v>
      </c>
      <c r="H2" s="340" t="s">
        <v>12</v>
      </c>
      <c r="I2" s="340" t="s">
        <v>3</v>
      </c>
      <c r="J2" s="340" t="s">
        <v>12</v>
      </c>
      <c r="K2" s="340" t="s">
        <v>13</v>
      </c>
      <c r="L2" s="340" t="s">
        <v>2</v>
      </c>
      <c r="M2" s="340" t="s">
        <v>14</v>
      </c>
      <c r="N2" s="340" t="s">
        <v>15</v>
      </c>
      <c r="O2" s="340" t="s">
        <v>16</v>
      </c>
      <c r="P2" s="340" t="s">
        <v>21</v>
      </c>
      <c r="Q2" s="340" t="s">
        <v>22</v>
      </c>
      <c r="R2" s="340" t="s">
        <v>12</v>
      </c>
      <c r="S2" s="341"/>
      <c r="T2" s="342"/>
      <c r="U2" s="343"/>
      <c r="V2" s="341"/>
      <c r="W2" s="344"/>
      <c r="X2" s="345"/>
      <c r="Y2" s="519" t="s">
        <v>0</v>
      </c>
      <c r="Z2" s="519" t="s">
        <v>1</v>
      </c>
      <c r="AA2" s="519" t="s">
        <v>2</v>
      </c>
      <c r="AB2" s="519" t="s">
        <v>3</v>
      </c>
      <c r="AC2" s="519" t="s">
        <v>0</v>
      </c>
      <c r="AD2" s="519" t="s">
        <v>1</v>
      </c>
      <c r="AE2" s="519" t="s">
        <v>2</v>
      </c>
      <c r="AF2" s="519" t="s">
        <v>3</v>
      </c>
      <c r="AG2" s="519" t="s">
        <v>0</v>
      </c>
      <c r="AH2" s="519" t="s">
        <v>1</v>
      </c>
      <c r="AI2" s="519" t="s">
        <v>2</v>
      </c>
      <c r="AJ2" s="519" t="s">
        <v>3</v>
      </c>
      <c r="AK2" s="519" t="s">
        <v>0</v>
      </c>
      <c r="AL2" s="519" t="s">
        <v>1</v>
      </c>
      <c r="AM2" s="519" t="s">
        <v>2</v>
      </c>
      <c r="AN2" s="519" t="s">
        <v>3</v>
      </c>
      <c r="AP2" s="592" t="s">
        <v>112</v>
      </c>
      <c r="AQ2" s="253" t="s">
        <v>987</v>
      </c>
      <c r="AS2" s="672" t="s">
        <v>610</v>
      </c>
      <c r="AT2" s="253" t="s">
        <v>987</v>
      </c>
    </row>
    <row r="3" spans="1:46" ht="14.95" customHeight="1" thickBot="1" x14ac:dyDescent="0.3">
      <c r="A3" s="195">
        <v>43132</v>
      </c>
      <c r="B3" s="196" t="s">
        <v>46</v>
      </c>
      <c r="C3" s="196" t="s">
        <v>32</v>
      </c>
      <c r="D3" s="196" t="s">
        <v>121</v>
      </c>
      <c r="E3" s="197" t="s">
        <v>3</v>
      </c>
      <c r="F3" s="197">
        <v>19</v>
      </c>
      <c r="G3" s="197">
        <v>24</v>
      </c>
      <c r="H3" s="197">
        <v>0</v>
      </c>
      <c r="I3" s="197">
        <v>1</v>
      </c>
      <c r="J3" s="197">
        <v>2</v>
      </c>
      <c r="K3" s="197">
        <v>0</v>
      </c>
      <c r="L3" s="197">
        <v>1</v>
      </c>
      <c r="M3" s="197">
        <v>2</v>
      </c>
      <c r="N3" s="197">
        <v>0</v>
      </c>
      <c r="O3" s="197">
        <v>0</v>
      </c>
      <c r="P3" s="197">
        <v>0</v>
      </c>
      <c r="Q3" s="197">
        <v>0</v>
      </c>
      <c r="R3" s="197">
        <v>3</v>
      </c>
      <c r="S3" s="209">
        <v>60000</v>
      </c>
      <c r="T3" s="222" t="s">
        <v>175</v>
      </c>
      <c r="U3" s="210" t="s">
        <v>132</v>
      </c>
      <c r="V3" s="209" t="s">
        <v>131</v>
      </c>
      <c r="W3" s="198" t="s">
        <v>129</v>
      </c>
      <c r="X3" s="211" t="s">
        <v>146</v>
      </c>
      <c r="Y3" s="212">
        <v>1</v>
      </c>
      <c r="Z3" s="212">
        <v>0</v>
      </c>
      <c r="AA3" s="212">
        <v>0</v>
      </c>
      <c r="AB3" s="213">
        <v>1</v>
      </c>
      <c r="AC3" s="212">
        <v>1</v>
      </c>
      <c r="AD3" s="212">
        <v>0</v>
      </c>
      <c r="AE3" s="212">
        <v>0</v>
      </c>
      <c r="AF3" s="213">
        <v>1</v>
      </c>
      <c r="AG3" s="212">
        <v>0</v>
      </c>
      <c r="AH3" s="212">
        <v>0</v>
      </c>
      <c r="AI3" s="212">
        <v>0</v>
      </c>
      <c r="AJ3" s="213">
        <v>0</v>
      </c>
      <c r="AK3" s="212">
        <v>0</v>
      </c>
      <c r="AL3" s="212">
        <v>0</v>
      </c>
      <c r="AM3" s="212">
        <v>0</v>
      </c>
      <c r="AN3" s="213">
        <v>0</v>
      </c>
      <c r="AP3" s="849" t="s">
        <v>627</v>
      </c>
      <c r="AQ3" s="850">
        <f>Francealltestshistplayed</f>
        <v>767</v>
      </c>
      <c r="AS3" s="849" t="s">
        <v>627</v>
      </c>
      <c r="AT3" s="850">
        <f>FranceRWChistplayed</f>
        <v>53</v>
      </c>
    </row>
    <row r="4" spans="1:46" ht="14.95" customHeight="1" thickBot="1" x14ac:dyDescent="0.3">
      <c r="A4" s="187">
        <v>43141</v>
      </c>
      <c r="B4" s="178" t="s">
        <v>46</v>
      </c>
      <c r="C4" s="178" t="s">
        <v>30</v>
      </c>
      <c r="D4" s="178" t="s">
        <v>124</v>
      </c>
      <c r="E4" s="179" t="s">
        <v>3</v>
      </c>
      <c r="F4" s="179">
        <v>8</v>
      </c>
      <c r="G4" s="179">
        <v>44</v>
      </c>
      <c r="H4" s="179">
        <v>0</v>
      </c>
      <c r="I4" s="179">
        <v>0</v>
      </c>
      <c r="J4" s="179">
        <v>1</v>
      </c>
      <c r="K4" s="179">
        <v>0</v>
      </c>
      <c r="L4" s="179">
        <v>0</v>
      </c>
      <c r="M4" s="179">
        <v>1</v>
      </c>
      <c r="N4" s="179">
        <v>1</v>
      </c>
      <c r="O4" s="179">
        <v>0</v>
      </c>
      <c r="P4" s="179">
        <v>1</v>
      </c>
      <c r="Q4" s="179">
        <v>0</v>
      </c>
      <c r="R4" s="179">
        <v>6</v>
      </c>
      <c r="S4" s="180">
        <v>82000</v>
      </c>
      <c r="T4" s="223" t="s">
        <v>220</v>
      </c>
      <c r="U4" s="181" t="s">
        <v>219</v>
      </c>
      <c r="V4" s="180" t="s">
        <v>137</v>
      </c>
      <c r="W4" s="182" t="s">
        <v>129</v>
      </c>
      <c r="X4" s="183" t="s">
        <v>146</v>
      </c>
      <c r="Y4" s="184">
        <v>1</v>
      </c>
      <c r="Z4" s="184">
        <v>0</v>
      </c>
      <c r="AA4" s="184">
        <v>0</v>
      </c>
      <c r="AB4" s="185">
        <v>1</v>
      </c>
      <c r="AC4" s="184">
        <v>0</v>
      </c>
      <c r="AD4" s="184">
        <v>0</v>
      </c>
      <c r="AE4" s="184">
        <v>0</v>
      </c>
      <c r="AF4" s="185">
        <v>0</v>
      </c>
      <c r="AG4" s="184">
        <v>1</v>
      </c>
      <c r="AH4" s="184">
        <v>0</v>
      </c>
      <c r="AI4" s="184">
        <v>0</v>
      </c>
      <c r="AJ4" s="185">
        <v>1</v>
      </c>
      <c r="AK4" s="184">
        <v>0</v>
      </c>
      <c r="AL4" s="184">
        <v>0</v>
      </c>
      <c r="AM4" s="184">
        <v>0</v>
      </c>
      <c r="AN4" s="185">
        <v>0</v>
      </c>
      <c r="AP4" s="851" t="s">
        <v>628</v>
      </c>
      <c r="AQ4" s="852">
        <f>Francealltestshistwon</f>
        <v>412</v>
      </c>
      <c r="AS4" s="851" t="s">
        <v>628</v>
      </c>
      <c r="AT4" s="852">
        <f>FranceRWChistwon</f>
        <v>36</v>
      </c>
    </row>
    <row r="5" spans="1:46" ht="14.95" customHeight="1" thickBot="1" x14ac:dyDescent="0.35">
      <c r="A5" s="195">
        <v>43154</v>
      </c>
      <c r="B5" s="196" t="s">
        <v>46</v>
      </c>
      <c r="C5" s="196" t="s">
        <v>35</v>
      </c>
      <c r="D5" s="196" t="s">
        <v>121</v>
      </c>
      <c r="E5" s="197" t="s">
        <v>1</v>
      </c>
      <c r="F5" s="197">
        <v>27</v>
      </c>
      <c r="G5" s="197">
        <v>10</v>
      </c>
      <c r="H5" s="197">
        <v>1</v>
      </c>
      <c r="I5" s="197">
        <v>0</v>
      </c>
      <c r="J5" s="197">
        <v>4</v>
      </c>
      <c r="K5" s="197">
        <v>2</v>
      </c>
      <c r="L5" s="197">
        <v>0</v>
      </c>
      <c r="M5" s="197">
        <v>1</v>
      </c>
      <c r="N5" s="197">
        <v>1</v>
      </c>
      <c r="O5" s="197">
        <v>0</v>
      </c>
      <c r="P5" s="197">
        <v>0</v>
      </c>
      <c r="Q5" s="197">
        <v>0</v>
      </c>
      <c r="R5" s="197">
        <v>1</v>
      </c>
      <c r="S5" s="209">
        <v>80000</v>
      </c>
      <c r="T5" s="346" t="s">
        <v>226</v>
      </c>
      <c r="U5" s="210" t="s">
        <v>227</v>
      </c>
      <c r="V5" s="209" t="s">
        <v>131</v>
      </c>
      <c r="W5" s="198" t="s">
        <v>219</v>
      </c>
      <c r="X5" s="211" t="s">
        <v>129</v>
      </c>
      <c r="Y5" s="212">
        <v>1</v>
      </c>
      <c r="Z5" s="212">
        <v>1</v>
      </c>
      <c r="AA5" s="212">
        <v>0</v>
      </c>
      <c r="AB5" s="213">
        <v>0</v>
      </c>
      <c r="AC5" s="212">
        <v>1</v>
      </c>
      <c r="AD5" s="212">
        <v>1</v>
      </c>
      <c r="AE5" s="212">
        <v>0</v>
      </c>
      <c r="AF5" s="213">
        <v>0</v>
      </c>
      <c r="AG5" s="212">
        <v>0</v>
      </c>
      <c r="AH5" s="212">
        <v>0</v>
      </c>
      <c r="AI5" s="212">
        <v>0</v>
      </c>
      <c r="AJ5" s="213">
        <v>0</v>
      </c>
      <c r="AK5" s="212">
        <v>0</v>
      </c>
      <c r="AL5" s="212">
        <v>0</v>
      </c>
      <c r="AM5" s="212">
        <v>0</v>
      </c>
      <c r="AN5" s="213">
        <v>0</v>
      </c>
      <c r="AP5" s="851" t="s">
        <v>634</v>
      </c>
      <c r="AQ5" s="852">
        <f>Francealltestshistdrawn</f>
        <v>34</v>
      </c>
      <c r="AS5" s="851" t="s">
        <v>634</v>
      </c>
      <c r="AT5" s="852">
        <f>FranceRWChistdrawn</f>
        <v>2</v>
      </c>
    </row>
    <row r="6" spans="1:46" ht="14.95" customHeight="1" thickBot="1" x14ac:dyDescent="0.3">
      <c r="A6" s="187">
        <v>43169</v>
      </c>
      <c r="B6" s="178" t="s">
        <v>46</v>
      </c>
      <c r="C6" s="178" t="s">
        <v>39</v>
      </c>
      <c r="D6" s="178" t="s">
        <v>123</v>
      </c>
      <c r="E6" s="179" t="s">
        <v>3</v>
      </c>
      <c r="F6" s="179">
        <v>14</v>
      </c>
      <c r="G6" s="179">
        <v>26</v>
      </c>
      <c r="H6" s="179">
        <v>0</v>
      </c>
      <c r="I6" s="179">
        <v>0</v>
      </c>
      <c r="J6" s="179">
        <v>2</v>
      </c>
      <c r="K6" s="179">
        <v>2</v>
      </c>
      <c r="L6" s="179">
        <v>0</v>
      </c>
      <c r="M6" s="179">
        <v>0</v>
      </c>
      <c r="N6" s="179">
        <v>1</v>
      </c>
      <c r="O6" s="179">
        <v>0</v>
      </c>
      <c r="P6" s="179">
        <v>1</v>
      </c>
      <c r="Q6" s="179">
        <v>0</v>
      </c>
      <c r="R6" s="179">
        <v>4</v>
      </c>
      <c r="S6" s="180">
        <v>51000</v>
      </c>
      <c r="T6" s="223" t="s">
        <v>279</v>
      </c>
      <c r="U6" s="181" t="s">
        <v>276</v>
      </c>
      <c r="V6" s="180" t="s">
        <v>277</v>
      </c>
      <c r="W6" s="182" t="s">
        <v>278</v>
      </c>
      <c r="X6" s="183" t="s">
        <v>233</v>
      </c>
      <c r="Y6" s="184">
        <v>1</v>
      </c>
      <c r="Z6" s="184">
        <v>0</v>
      </c>
      <c r="AA6" s="184">
        <v>0</v>
      </c>
      <c r="AB6" s="185">
        <v>1</v>
      </c>
      <c r="AC6" s="184">
        <v>0</v>
      </c>
      <c r="AD6" s="184">
        <v>0</v>
      </c>
      <c r="AE6" s="184">
        <v>0</v>
      </c>
      <c r="AF6" s="185">
        <v>0</v>
      </c>
      <c r="AG6" s="184">
        <v>1</v>
      </c>
      <c r="AH6" s="184">
        <v>0</v>
      </c>
      <c r="AI6" s="184">
        <v>0</v>
      </c>
      <c r="AJ6" s="185">
        <v>1</v>
      </c>
      <c r="AK6" s="184">
        <v>0</v>
      </c>
      <c r="AL6" s="184">
        <v>0</v>
      </c>
      <c r="AM6" s="184">
        <v>0</v>
      </c>
      <c r="AN6" s="185">
        <v>0</v>
      </c>
      <c r="AP6" s="851" t="s">
        <v>629</v>
      </c>
      <c r="AQ6" s="852">
        <f>Francealltestshistlost</f>
        <v>321</v>
      </c>
      <c r="AS6" s="851" t="s">
        <v>629</v>
      </c>
      <c r="AT6" s="852">
        <f>FranceRWChistlost</f>
        <v>15</v>
      </c>
    </row>
    <row r="7" spans="1:46" ht="14.95" customHeight="1" thickBot="1" x14ac:dyDescent="0.35">
      <c r="A7" s="187">
        <v>43175</v>
      </c>
      <c r="B7" s="178" t="s">
        <v>46</v>
      </c>
      <c r="C7" s="178" t="s">
        <v>33</v>
      </c>
      <c r="D7" s="178" t="s">
        <v>122</v>
      </c>
      <c r="E7" s="179" t="s">
        <v>1</v>
      </c>
      <c r="F7" s="179">
        <v>25</v>
      </c>
      <c r="G7" s="179">
        <v>14</v>
      </c>
      <c r="H7" s="179">
        <v>0</v>
      </c>
      <c r="I7" s="179">
        <v>0</v>
      </c>
      <c r="J7" s="179">
        <v>3</v>
      </c>
      <c r="K7" s="179">
        <v>2</v>
      </c>
      <c r="L7" s="179">
        <v>1</v>
      </c>
      <c r="M7" s="179">
        <v>1</v>
      </c>
      <c r="N7" s="179">
        <v>1</v>
      </c>
      <c r="O7" s="179">
        <v>0</v>
      </c>
      <c r="P7" s="179">
        <v>0</v>
      </c>
      <c r="Q7" s="179">
        <v>0</v>
      </c>
      <c r="R7" s="179">
        <v>1</v>
      </c>
      <c r="S7" s="180">
        <v>48820</v>
      </c>
      <c r="T7" s="396" t="s">
        <v>296</v>
      </c>
      <c r="U7" s="181" t="s">
        <v>295</v>
      </c>
      <c r="V7" s="180" t="s">
        <v>232</v>
      </c>
      <c r="W7" s="182" t="s">
        <v>219</v>
      </c>
      <c r="X7" s="183" t="s">
        <v>129</v>
      </c>
      <c r="Y7" s="184">
        <v>1</v>
      </c>
      <c r="Z7" s="184">
        <v>1</v>
      </c>
      <c r="AA7" s="184">
        <v>0</v>
      </c>
      <c r="AB7" s="185">
        <v>0</v>
      </c>
      <c r="AC7" s="184">
        <v>0</v>
      </c>
      <c r="AD7" s="184">
        <v>0</v>
      </c>
      <c r="AE7" s="184">
        <v>0</v>
      </c>
      <c r="AF7" s="185">
        <v>0</v>
      </c>
      <c r="AG7" s="184">
        <v>1</v>
      </c>
      <c r="AH7" s="184">
        <v>1</v>
      </c>
      <c r="AI7" s="184">
        <v>0</v>
      </c>
      <c r="AJ7" s="185">
        <v>0</v>
      </c>
      <c r="AK7" s="184">
        <v>0</v>
      </c>
      <c r="AL7" s="184">
        <v>0</v>
      </c>
      <c r="AM7" s="184">
        <v>0</v>
      </c>
      <c r="AN7" s="185">
        <v>0</v>
      </c>
      <c r="AP7" s="851" t="s">
        <v>635</v>
      </c>
      <c r="AQ7" s="852">
        <f>Francealltestshistptsscored</f>
        <v>14043</v>
      </c>
      <c r="AS7" s="851" t="s">
        <v>635</v>
      </c>
      <c r="AT7" s="852">
        <f>FranceRWChistptsscored</f>
        <v>1585</v>
      </c>
    </row>
    <row r="8" spans="1:46" ht="14.95" customHeight="1" thickBot="1" x14ac:dyDescent="0.35">
      <c r="A8" s="195">
        <v>43694</v>
      </c>
      <c r="B8" s="196" t="s">
        <v>45</v>
      </c>
      <c r="C8" s="196" t="s">
        <v>35</v>
      </c>
      <c r="D8" s="196" t="s">
        <v>596</v>
      </c>
      <c r="E8" s="197" t="s">
        <v>1</v>
      </c>
      <c r="F8" s="197">
        <v>32</v>
      </c>
      <c r="G8" s="197">
        <v>3</v>
      </c>
      <c r="H8" s="197" t="s">
        <v>108</v>
      </c>
      <c r="I8" s="197" t="s">
        <v>108</v>
      </c>
      <c r="J8" s="197">
        <v>5</v>
      </c>
      <c r="K8" s="197">
        <v>2</v>
      </c>
      <c r="L8" s="197">
        <v>0</v>
      </c>
      <c r="M8" s="197">
        <v>1</v>
      </c>
      <c r="N8" s="197">
        <v>0</v>
      </c>
      <c r="O8" s="197">
        <v>0</v>
      </c>
      <c r="P8" s="197" t="s">
        <v>108</v>
      </c>
      <c r="Q8" s="197" t="s">
        <v>108</v>
      </c>
      <c r="R8" s="197">
        <v>0</v>
      </c>
      <c r="S8" s="209">
        <v>35624</v>
      </c>
      <c r="T8" s="346" t="s">
        <v>801</v>
      </c>
      <c r="U8" s="210" t="s">
        <v>219</v>
      </c>
      <c r="V8" s="209" t="s">
        <v>232</v>
      </c>
      <c r="W8" s="209" t="s">
        <v>132</v>
      </c>
      <c r="X8" s="199" t="s">
        <v>134</v>
      </c>
      <c r="Y8" s="212">
        <v>1</v>
      </c>
      <c r="Z8" s="212">
        <v>1</v>
      </c>
      <c r="AA8" s="212">
        <v>0</v>
      </c>
      <c r="AB8" s="213">
        <v>0</v>
      </c>
      <c r="AC8" s="212">
        <v>1</v>
      </c>
      <c r="AD8" s="212">
        <v>1</v>
      </c>
      <c r="AE8" s="212">
        <v>0</v>
      </c>
      <c r="AF8" s="213">
        <v>0</v>
      </c>
      <c r="AG8" s="212">
        <v>0</v>
      </c>
      <c r="AH8" s="212">
        <v>0</v>
      </c>
      <c r="AI8" s="212">
        <v>0</v>
      </c>
      <c r="AJ8" s="213">
        <v>0</v>
      </c>
      <c r="AK8" s="212">
        <v>0</v>
      </c>
      <c r="AL8" s="212">
        <v>0</v>
      </c>
      <c r="AM8" s="212">
        <v>0</v>
      </c>
      <c r="AN8" s="213">
        <v>0</v>
      </c>
      <c r="AP8" s="851" t="s">
        <v>636</v>
      </c>
      <c r="AQ8" s="852">
        <f>Francealltestshistptscon</f>
        <v>11752</v>
      </c>
      <c r="AS8" s="851" t="s">
        <v>636</v>
      </c>
      <c r="AT8" s="852">
        <f>FranceRWChistptsagainst</f>
        <v>966</v>
      </c>
    </row>
    <row r="9" spans="1:46" ht="14.95" customHeight="1" thickBot="1" x14ac:dyDescent="0.35">
      <c r="A9" s="187">
        <v>43701</v>
      </c>
      <c r="B9" s="178" t="s">
        <v>45</v>
      </c>
      <c r="C9" s="178" t="s">
        <v>35</v>
      </c>
      <c r="D9" s="178" t="s">
        <v>125</v>
      </c>
      <c r="E9" s="179" t="s">
        <v>3</v>
      </c>
      <c r="F9" s="179">
        <v>14</v>
      </c>
      <c r="G9" s="179">
        <v>17</v>
      </c>
      <c r="H9" s="179" t="s">
        <v>108</v>
      </c>
      <c r="I9" s="179" t="s">
        <v>108</v>
      </c>
      <c r="J9" s="179">
        <v>2</v>
      </c>
      <c r="K9" s="179">
        <v>2</v>
      </c>
      <c r="L9" s="179">
        <v>0</v>
      </c>
      <c r="M9" s="179">
        <v>0</v>
      </c>
      <c r="N9" s="179">
        <v>0</v>
      </c>
      <c r="O9" s="179">
        <v>0</v>
      </c>
      <c r="P9" s="179" t="s">
        <v>108</v>
      </c>
      <c r="Q9" s="179" t="s">
        <v>108</v>
      </c>
      <c r="R9" s="179">
        <v>2</v>
      </c>
      <c r="S9" s="180">
        <v>66181</v>
      </c>
      <c r="T9" s="464" t="s">
        <v>718</v>
      </c>
      <c r="U9" s="181" t="s">
        <v>132</v>
      </c>
      <c r="V9" s="180" t="s">
        <v>232</v>
      </c>
      <c r="W9" s="181" t="s">
        <v>129</v>
      </c>
      <c r="X9" s="180" t="s">
        <v>134</v>
      </c>
      <c r="Y9" s="184">
        <v>1</v>
      </c>
      <c r="Z9" s="184">
        <v>0</v>
      </c>
      <c r="AA9" s="184">
        <v>0</v>
      </c>
      <c r="AB9" s="185">
        <v>1</v>
      </c>
      <c r="AC9" s="184">
        <v>0</v>
      </c>
      <c r="AD9" s="184">
        <v>0</v>
      </c>
      <c r="AE9" s="184">
        <v>0</v>
      </c>
      <c r="AF9" s="185">
        <v>0</v>
      </c>
      <c r="AG9" s="184">
        <v>1</v>
      </c>
      <c r="AH9" s="184">
        <v>0</v>
      </c>
      <c r="AI9" s="184">
        <v>0</v>
      </c>
      <c r="AJ9" s="185">
        <v>1</v>
      </c>
      <c r="AK9" s="184">
        <v>0</v>
      </c>
      <c r="AL9" s="184">
        <v>0</v>
      </c>
      <c r="AM9" s="184">
        <v>0</v>
      </c>
      <c r="AN9" s="185">
        <v>0</v>
      </c>
      <c r="AP9" s="851" t="s">
        <v>623</v>
      </c>
      <c r="AQ9" s="852">
        <f>Francealltestshisttriesscored</f>
        <v>1771</v>
      </c>
      <c r="AS9" s="851" t="s">
        <v>623</v>
      </c>
      <c r="AT9" s="852">
        <f>FranceRWChisttriesscored</f>
        <v>183</v>
      </c>
    </row>
    <row r="10" spans="1:46" ht="14.95" customHeight="1" thickBot="1" x14ac:dyDescent="0.35">
      <c r="A10" s="195">
        <v>43707</v>
      </c>
      <c r="B10" s="196" t="s">
        <v>45</v>
      </c>
      <c r="C10" s="196" t="s">
        <v>33</v>
      </c>
      <c r="D10" s="196" t="s">
        <v>121</v>
      </c>
      <c r="E10" s="197" t="s">
        <v>1</v>
      </c>
      <c r="F10" s="197">
        <v>47</v>
      </c>
      <c r="G10" s="197">
        <v>19</v>
      </c>
      <c r="H10" s="197" t="s">
        <v>108</v>
      </c>
      <c r="I10" s="197" t="s">
        <v>108</v>
      </c>
      <c r="J10" s="197">
        <v>7</v>
      </c>
      <c r="K10" s="197">
        <v>5</v>
      </c>
      <c r="L10" s="197">
        <v>0</v>
      </c>
      <c r="M10" s="197">
        <v>0</v>
      </c>
      <c r="N10" s="197">
        <v>2</v>
      </c>
      <c r="O10" s="197">
        <v>0</v>
      </c>
      <c r="P10" s="197" t="s">
        <v>108</v>
      </c>
      <c r="Q10" s="197" t="s">
        <v>108</v>
      </c>
      <c r="R10" s="197">
        <v>3</v>
      </c>
      <c r="S10" s="209">
        <v>25000</v>
      </c>
      <c r="T10" s="346" t="s">
        <v>816</v>
      </c>
      <c r="U10" s="210" t="s">
        <v>295</v>
      </c>
      <c r="V10" s="209" t="s">
        <v>232</v>
      </c>
      <c r="W10" s="198" t="s">
        <v>133</v>
      </c>
      <c r="X10" s="211" t="s">
        <v>134</v>
      </c>
      <c r="Y10" s="212">
        <v>1</v>
      </c>
      <c r="Z10" s="212">
        <v>1</v>
      </c>
      <c r="AA10" s="212">
        <v>0</v>
      </c>
      <c r="AB10" s="213">
        <v>0</v>
      </c>
      <c r="AC10" s="212">
        <v>1</v>
      </c>
      <c r="AD10" s="212">
        <v>1</v>
      </c>
      <c r="AE10" s="212">
        <v>0</v>
      </c>
      <c r="AF10" s="213">
        <v>0</v>
      </c>
      <c r="AG10" s="212">
        <v>0</v>
      </c>
      <c r="AH10" s="212">
        <v>0</v>
      </c>
      <c r="AI10" s="212">
        <v>0</v>
      </c>
      <c r="AJ10" s="213">
        <v>0</v>
      </c>
      <c r="AK10" s="212">
        <v>0</v>
      </c>
      <c r="AL10" s="212">
        <v>0</v>
      </c>
      <c r="AM10" s="212">
        <v>0</v>
      </c>
      <c r="AN10" s="213">
        <v>0</v>
      </c>
    </row>
    <row r="11" spans="1:46" ht="14.95" customHeight="1" thickBot="1" x14ac:dyDescent="0.35">
      <c r="A11" s="188">
        <v>43729</v>
      </c>
      <c r="B11" s="189" t="s">
        <v>158</v>
      </c>
      <c r="C11" s="189" t="s">
        <v>37</v>
      </c>
      <c r="D11" s="189" t="s">
        <v>160</v>
      </c>
      <c r="E11" s="190" t="s">
        <v>1</v>
      </c>
      <c r="F11" s="190">
        <v>23</v>
      </c>
      <c r="G11" s="190">
        <v>21</v>
      </c>
      <c r="H11" s="190">
        <v>0</v>
      </c>
      <c r="I11" s="190">
        <v>0</v>
      </c>
      <c r="J11" s="190">
        <v>2</v>
      </c>
      <c r="K11" s="190">
        <v>2</v>
      </c>
      <c r="L11" s="190">
        <v>1</v>
      </c>
      <c r="M11" s="190">
        <v>2</v>
      </c>
      <c r="N11" s="190">
        <v>0</v>
      </c>
      <c r="O11" s="190">
        <v>0</v>
      </c>
      <c r="P11" s="190">
        <v>0</v>
      </c>
      <c r="Q11" s="190">
        <v>1</v>
      </c>
      <c r="R11" s="190">
        <v>2</v>
      </c>
      <c r="S11" s="203">
        <v>44004</v>
      </c>
      <c r="T11" s="411" t="s">
        <v>801</v>
      </c>
      <c r="U11" s="204" t="s">
        <v>278</v>
      </c>
      <c r="V11" s="203" t="s">
        <v>270</v>
      </c>
      <c r="W11" s="191" t="s">
        <v>229</v>
      </c>
      <c r="X11" s="205" t="s">
        <v>146</v>
      </c>
      <c r="Y11" s="206">
        <v>1</v>
      </c>
      <c r="Z11" s="206">
        <v>1</v>
      </c>
      <c r="AA11" s="206">
        <v>0</v>
      </c>
      <c r="AB11" s="207">
        <v>0</v>
      </c>
      <c r="AC11" s="206">
        <v>1</v>
      </c>
      <c r="AD11" s="206">
        <v>1</v>
      </c>
      <c r="AE11" s="206">
        <v>0</v>
      </c>
      <c r="AF11" s="207">
        <v>0</v>
      </c>
      <c r="AG11" s="206">
        <v>0</v>
      </c>
      <c r="AH11" s="206">
        <v>0</v>
      </c>
      <c r="AI11" s="206">
        <v>0</v>
      </c>
      <c r="AJ11" s="207">
        <v>0</v>
      </c>
      <c r="AK11" s="206">
        <v>0</v>
      </c>
      <c r="AL11" s="206">
        <v>0</v>
      </c>
      <c r="AM11" s="206">
        <v>0</v>
      </c>
      <c r="AN11" s="207">
        <v>0</v>
      </c>
    </row>
    <row r="12" spans="1:46" ht="14.95" customHeight="1" thickBot="1" x14ac:dyDescent="0.35">
      <c r="A12" s="188">
        <v>43740</v>
      </c>
      <c r="B12" s="483" t="s">
        <v>158</v>
      </c>
      <c r="C12" s="189" t="s">
        <v>60</v>
      </c>
      <c r="D12" s="189" t="s">
        <v>168</v>
      </c>
      <c r="E12" s="190" t="s">
        <v>1</v>
      </c>
      <c r="F12" s="190">
        <v>33</v>
      </c>
      <c r="G12" s="484">
        <v>9</v>
      </c>
      <c r="H12" s="484">
        <v>1</v>
      </c>
      <c r="I12" s="190">
        <v>0</v>
      </c>
      <c r="J12" s="190">
        <v>5</v>
      </c>
      <c r="K12" s="190">
        <v>4</v>
      </c>
      <c r="L12" s="190">
        <v>0</v>
      </c>
      <c r="M12" s="190">
        <v>0</v>
      </c>
      <c r="N12" s="190">
        <v>0</v>
      </c>
      <c r="O12" s="190">
        <v>0</v>
      </c>
      <c r="P12" s="190">
        <v>0</v>
      </c>
      <c r="Q12" s="190">
        <v>0</v>
      </c>
      <c r="R12" s="190">
        <v>0</v>
      </c>
      <c r="S12" s="203">
        <v>17660</v>
      </c>
      <c r="T12" s="411" t="s">
        <v>356</v>
      </c>
      <c r="U12" s="204" t="s">
        <v>276</v>
      </c>
      <c r="V12" s="203" t="s">
        <v>131</v>
      </c>
      <c r="W12" s="191" t="s">
        <v>132</v>
      </c>
      <c r="X12" s="205" t="s">
        <v>149</v>
      </c>
      <c r="Y12" s="206">
        <v>1</v>
      </c>
      <c r="Z12" s="206">
        <v>1</v>
      </c>
      <c r="AA12" s="206">
        <v>0</v>
      </c>
      <c r="AB12" s="207">
        <v>0</v>
      </c>
      <c r="AC12" s="206">
        <v>0</v>
      </c>
      <c r="AD12" s="206">
        <v>0</v>
      </c>
      <c r="AE12" s="206">
        <v>0</v>
      </c>
      <c r="AF12" s="207">
        <v>0</v>
      </c>
      <c r="AG12" s="206">
        <v>0</v>
      </c>
      <c r="AH12" s="206">
        <v>0</v>
      </c>
      <c r="AI12" s="206">
        <v>0</v>
      </c>
      <c r="AJ12" s="207">
        <v>0</v>
      </c>
      <c r="AK12" s="206">
        <v>1</v>
      </c>
      <c r="AL12" s="206">
        <v>1</v>
      </c>
      <c r="AM12" s="206">
        <v>0</v>
      </c>
      <c r="AN12" s="207">
        <v>0</v>
      </c>
    </row>
    <row r="13" spans="1:46" ht="17" thickBot="1" x14ac:dyDescent="0.35">
      <c r="A13" s="188">
        <v>43744</v>
      </c>
      <c r="B13" s="483" t="s">
        <v>158</v>
      </c>
      <c r="C13" s="189" t="s">
        <v>145</v>
      </c>
      <c r="D13" s="189" t="s">
        <v>705</v>
      </c>
      <c r="E13" s="190" t="s">
        <v>1</v>
      </c>
      <c r="F13" s="190">
        <v>23</v>
      </c>
      <c r="G13" s="484">
        <v>21</v>
      </c>
      <c r="H13" s="484">
        <v>0</v>
      </c>
      <c r="I13" s="190">
        <v>0</v>
      </c>
      <c r="J13" s="190">
        <v>2</v>
      </c>
      <c r="K13" s="190">
        <v>2</v>
      </c>
      <c r="L13" s="190">
        <v>0</v>
      </c>
      <c r="M13" s="190">
        <v>3</v>
      </c>
      <c r="N13" s="190">
        <v>0</v>
      </c>
      <c r="O13" s="190">
        <v>0</v>
      </c>
      <c r="P13" s="190">
        <v>0</v>
      </c>
      <c r="Q13" s="190">
        <v>1</v>
      </c>
      <c r="R13" s="190">
        <v>3</v>
      </c>
      <c r="S13" s="203">
        <v>28477</v>
      </c>
      <c r="T13" s="411" t="s">
        <v>428</v>
      </c>
      <c r="U13" s="204" t="s">
        <v>227</v>
      </c>
      <c r="V13" s="203" t="s">
        <v>277</v>
      </c>
      <c r="W13" s="191" t="s">
        <v>273</v>
      </c>
      <c r="X13" s="205" t="s">
        <v>295</v>
      </c>
      <c r="Y13" s="206">
        <v>1</v>
      </c>
      <c r="Z13" s="206">
        <v>1</v>
      </c>
      <c r="AA13" s="206">
        <v>0</v>
      </c>
      <c r="AB13" s="207">
        <v>0</v>
      </c>
      <c r="AC13" s="206">
        <v>0</v>
      </c>
      <c r="AD13" s="206">
        <v>0</v>
      </c>
      <c r="AE13" s="206">
        <v>0</v>
      </c>
      <c r="AF13" s="207">
        <v>0</v>
      </c>
      <c r="AG13" s="206">
        <v>0</v>
      </c>
      <c r="AH13" s="206">
        <v>0</v>
      </c>
      <c r="AI13" s="206">
        <v>0</v>
      </c>
      <c r="AJ13" s="207">
        <v>0</v>
      </c>
      <c r="AK13" s="206">
        <v>1</v>
      </c>
      <c r="AL13" s="206">
        <v>1</v>
      </c>
      <c r="AM13" s="206">
        <v>0</v>
      </c>
      <c r="AN13" s="207">
        <v>0</v>
      </c>
    </row>
    <row r="14" spans="1:46" ht="14.95" thickBot="1" x14ac:dyDescent="0.3">
      <c r="A14" s="188">
        <v>43750</v>
      </c>
      <c r="B14" s="483" t="s">
        <v>158</v>
      </c>
      <c r="C14" s="189" t="s">
        <v>30</v>
      </c>
      <c r="D14" s="189" t="s">
        <v>141</v>
      </c>
      <c r="E14" s="190" t="s">
        <v>13</v>
      </c>
      <c r="F14" s="190" t="s">
        <v>108</v>
      </c>
      <c r="G14" s="484" t="s">
        <v>108</v>
      </c>
      <c r="H14" s="484" t="s">
        <v>108</v>
      </c>
      <c r="I14" s="190" t="s">
        <v>108</v>
      </c>
      <c r="J14" s="190" t="s">
        <v>108</v>
      </c>
      <c r="K14" s="190" t="s">
        <v>108</v>
      </c>
      <c r="L14" s="190" t="s">
        <v>108</v>
      </c>
      <c r="M14" s="190" t="s">
        <v>108</v>
      </c>
      <c r="N14" s="190" t="s">
        <v>108</v>
      </c>
      <c r="O14" s="190" t="s">
        <v>108</v>
      </c>
      <c r="P14" s="190" t="s">
        <v>108</v>
      </c>
      <c r="Q14" s="190" t="s">
        <v>108</v>
      </c>
      <c r="R14" s="190" t="s">
        <v>108</v>
      </c>
      <c r="S14" s="203" t="s">
        <v>108</v>
      </c>
      <c r="T14" s="406" t="s">
        <v>108</v>
      </c>
      <c r="U14" s="204" t="s">
        <v>108</v>
      </c>
      <c r="V14" s="203" t="s">
        <v>108</v>
      </c>
      <c r="W14" s="191" t="s">
        <v>108</v>
      </c>
      <c r="X14" s="205" t="s">
        <v>108</v>
      </c>
      <c r="Y14" s="206">
        <v>1</v>
      </c>
      <c r="Z14" s="206">
        <v>0</v>
      </c>
      <c r="AA14" s="206">
        <v>1</v>
      </c>
      <c r="AB14" s="207">
        <v>0</v>
      </c>
      <c r="AC14" s="206">
        <v>0</v>
      </c>
      <c r="AD14" s="206">
        <v>0</v>
      </c>
      <c r="AE14" s="206">
        <v>0</v>
      </c>
      <c r="AF14" s="207">
        <v>0</v>
      </c>
      <c r="AG14" s="206">
        <v>0</v>
      </c>
      <c r="AH14" s="206">
        <v>0</v>
      </c>
      <c r="AI14" s="206">
        <v>0</v>
      </c>
      <c r="AJ14" s="207">
        <v>0</v>
      </c>
      <c r="AK14" s="206">
        <v>1</v>
      </c>
      <c r="AL14" s="206">
        <v>0</v>
      </c>
      <c r="AM14" s="206">
        <v>1</v>
      </c>
      <c r="AN14" s="207">
        <v>0</v>
      </c>
    </row>
    <row r="15" spans="1:46" ht="17" thickBot="1" x14ac:dyDescent="0.35">
      <c r="A15" s="188">
        <v>43758</v>
      </c>
      <c r="B15" s="483" t="s">
        <v>110</v>
      </c>
      <c r="C15" s="189" t="s">
        <v>32</v>
      </c>
      <c r="D15" s="189" t="s">
        <v>180</v>
      </c>
      <c r="E15" s="190" t="s">
        <v>3</v>
      </c>
      <c r="F15" s="190">
        <v>19</v>
      </c>
      <c r="G15" s="484">
        <v>20</v>
      </c>
      <c r="H15" s="484" t="s">
        <v>108</v>
      </c>
      <c r="I15" s="190" t="s">
        <v>108</v>
      </c>
      <c r="J15" s="190">
        <v>3</v>
      </c>
      <c r="K15" s="190">
        <v>2</v>
      </c>
      <c r="L15" s="190">
        <v>0</v>
      </c>
      <c r="M15" s="190">
        <v>0</v>
      </c>
      <c r="N15" s="190">
        <v>0</v>
      </c>
      <c r="O15" s="190">
        <v>1</v>
      </c>
      <c r="P15" s="190" t="s">
        <v>108</v>
      </c>
      <c r="Q15" s="190" t="s">
        <v>108</v>
      </c>
      <c r="R15" s="190">
        <v>2</v>
      </c>
      <c r="S15" s="191">
        <v>34426</v>
      </c>
      <c r="T15" s="962" t="s">
        <v>768</v>
      </c>
      <c r="U15" s="485" t="s">
        <v>229</v>
      </c>
      <c r="V15" s="191" t="s">
        <v>270</v>
      </c>
      <c r="W15" s="191" t="s">
        <v>227</v>
      </c>
      <c r="X15" s="205" t="s">
        <v>273</v>
      </c>
      <c r="Y15" s="206">
        <v>1</v>
      </c>
      <c r="Z15" s="206">
        <v>0</v>
      </c>
      <c r="AA15" s="206">
        <v>0</v>
      </c>
      <c r="AB15" s="207">
        <v>1</v>
      </c>
      <c r="AC15" s="206">
        <v>0</v>
      </c>
      <c r="AD15" s="206">
        <v>0</v>
      </c>
      <c r="AE15" s="206">
        <v>0</v>
      </c>
      <c r="AF15" s="207">
        <v>0</v>
      </c>
      <c r="AG15" s="206">
        <v>0</v>
      </c>
      <c r="AH15" s="206">
        <v>0</v>
      </c>
      <c r="AI15" s="206">
        <v>0</v>
      </c>
      <c r="AJ15" s="207">
        <v>0</v>
      </c>
      <c r="AK15" s="206">
        <v>1</v>
      </c>
      <c r="AL15" s="206">
        <v>0</v>
      </c>
      <c r="AM15" s="206">
        <v>0</v>
      </c>
      <c r="AN15" s="207">
        <v>1</v>
      </c>
    </row>
    <row r="16" spans="1:46" ht="14.95" thickBot="1" x14ac:dyDescent="0.3">
      <c r="A16" s="438"/>
      <c r="B16" s="439"/>
      <c r="C16" s="1069" t="s">
        <v>116</v>
      </c>
      <c r="D16" s="1070"/>
      <c r="E16" s="1071"/>
      <c r="F16" s="433">
        <f t="shared" ref="F16:R16" si="0">SUM(F3:F7)</f>
        <v>93</v>
      </c>
      <c r="G16" s="433">
        <f t="shared" si="0"/>
        <v>118</v>
      </c>
      <c r="H16" s="433">
        <f t="shared" si="0"/>
        <v>1</v>
      </c>
      <c r="I16" s="433">
        <f t="shared" si="0"/>
        <v>1</v>
      </c>
      <c r="J16" s="433">
        <f t="shared" si="0"/>
        <v>12</v>
      </c>
      <c r="K16" s="433">
        <f t="shared" si="0"/>
        <v>6</v>
      </c>
      <c r="L16" s="433">
        <f t="shared" si="0"/>
        <v>2</v>
      </c>
      <c r="M16" s="433">
        <f t="shared" si="0"/>
        <v>5</v>
      </c>
      <c r="N16" s="433">
        <f t="shared" si="0"/>
        <v>4</v>
      </c>
      <c r="O16" s="433">
        <f t="shared" si="0"/>
        <v>0</v>
      </c>
      <c r="P16" s="433">
        <f t="shared" si="0"/>
        <v>2</v>
      </c>
      <c r="Q16" s="433">
        <f t="shared" si="0"/>
        <v>0</v>
      </c>
      <c r="R16" s="433">
        <f t="shared" si="0"/>
        <v>15</v>
      </c>
      <c r="W16" s="434"/>
      <c r="X16" s="459" t="s">
        <v>116</v>
      </c>
      <c r="Y16" s="433">
        <f t="shared" ref="Y16:AN16" si="1">SUM(Y3:Y7)</f>
        <v>5</v>
      </c>
      <c r="Z16" s="433">
        <f t="shared" si="1"/>
        <v>2</v>
      </c>
      <c r="AA16" s="433">
        <f t="shared" si="1"/>
        <v>0</v>
      </c>
      <c r="AB16" s="433">
        <f t="shared" si="1"/>
        <v>3</v>
      </c>
      <c r="AC16" s="435">
        <f t="shared" si="1"/>
        <v>2</v>
      </c>
      <c r="AD16" s="435">
        <f t="shared" si="1"/>
        <v>1</v>
      </c>
      <c r="AE16" s="435">
        <f t="shared" si="1"/>
        <v>0</v>
      </c>
      <c r="AF16" s="435">
        <f t="shared" si="1"/>
        <v>1</v>
      </c>
      <c r="AG16" s="436">
        <f t="shared" si="1"/>
        <v>3</v>
      </c>
      <c r="AH16" s="436">
        <f t="shared" si="1"/>
        <v>1</v>
      </c>
      <c r="AI16" s="436">
        <f t="shared" si="1"/>
        <v>0</v>
      </c>
      <c r="AJ16" s="436">
        <f t="shared" si="1"/>
        <v>2</v>
      </c>
      <c r="AK16" s="437">
        <f t="shared" si="1"/>
        <v>0</v>
      </c>
      <c r="AL16" s="437">
        <f t="shared" si="1"/>
        <v>0</v>
      </c>
      <c r="AM16" s="437">
        <f t="shared" si="1"/>
        <v>0</v>
      </c>
      <c r="AN16" s="437">
        <f t="shared" si="1"/>
        <v>0</v>
      </c>
    </row>
    <row r="17" spans="1:40" ht="15.8" customHeight="1" thickBot="1" x14ac:dyDescent="0.3">
      <c r="A17" s="438"/>
      <c r="B17" s="439"/>
      <c r="C17" s="1037" t="s">
        <v>163</v>
      </c>
      <c r="D17" s="1091"/>
      <c r="E17" s="1092"/>
      <c r="F17" s="446">
        <f>SUM(F8:F10)</f>
        <v>93</v>
      </c>
      <c r="G17" s="446">
        <f>SUM(G8:G10)</f>
        <v>39</v>
      </c>
      <c r="H17" s="446" t="s">
        <v>108</v>
      </c>
      <c r="I17" s="446" t="s">
        <v>108</v>
      </c>
      <c r="J17" s="446">
        <f t="shared" ref="J17:O17" si="2">SUM(J8:J10)</f>
        <v>14</v>
      </c>
      <c r="K17" s="446">
        <f t="shared" si="2"/>
        <v>9</v>
      </c>
      <c r="L17" s="446">
        <f t="shared" si="2"/>
        <v>0</v>
      </c>
      <c r="M17" s="446">
        <f t="shared" si="2"/>
        <v>1</v>
      </c>
      <c r="N17" s="446">
        <f t="shared" si="2"/>
        <v>2</v>
      </c>
      <c r="O17" s="446">
        <f t="shared" si="2"/>
        <v>0</v>
      </c>
      <c r="P17" s="446" t="s">
        <v>108</v>
      </c>
      <c r="Q17" s="446" t="s">
        <v>108</v>
      </c>
      <c r="R17" s="446">
        <f>SUM(R8:R10)</f>
        <v>5</v>
      </c>
      <c r="S17" s="447"/>
      <c r="T17" s="447"/>
      <c r="U17" s="447"/>
      <c r="V17" s="447"/>
      <c r="W17" s="448"/>
      <c r="X17" s="461" t="s">
        <v>163</v>
      </c>
      <c r="Y17" s="446">
        <f t="shared" ref="Y17:AN17" si="3">SUM(Y8:Y10)</f>
        <v>3</v>
      </c>
      <c r="Z17" s="446">
        <f t="shared" si="3"/>
        <v>2</v>
      </c>
      <c r="AA17" s="446">
        <f t="shared" si="3"/>
        <v>0</v>
      </c>
      <c r="AB17" s="446">
        <f t="shared" si="3"/>
        <v>1</v>
      </c>
      <c r="AC17" s="450">
        <f t="shared" si="3"/>
        <v>2</v>
      </c>
      <c r="AD17" s="450">
        <f t="shared" si="3"/>
        <v>2</v>
      </c>
      <c r="AE17" s="450">
        <f t="shared" si="3"/>
        <v>0</v>
      </c>
      <c r="AF17" s="450">
        <f t="shared" si="3"/>
        <v>0</v>
      </c>
      <c r="AG17" s="451">
        <f t="shared" si="3"/>
        <v>1</v>
      </c>
      <c r="AH17" s="451">
        <f t="shared" si="3"/>
        <v>0</v>
      </c>
      <c r="AI17" s="451">
        <f t="shared" si="3"/>
        <v>0</v>
      </c>
      <c r="AJ17" s="451">
        <f t="shared" si="3"/>
        <v>1</v>
      </c>
      <c r="AK17" s="452">
        <f t="shared" si="3"/>
        <v>0</v>
      </c>
      <c r="AL17" s="452">
        <f t="shared" si="3"/>
        <v>0</v>
      </c>
      <c r="AM17" s="452">
        <f t="shared" si="3"/>
        <v>0</v>
      </c>
      <c r="AN17" s="452">
        <f t="shared" si="3"/>
        <v>0</v>
      </c>
    </row>
    <row r="18" spans="1:40" ht="15.8" customHeight="1" thickBot="1" x14ac:dyDescent="0.3">
      <c r="A18" s="438"/>
      <c r="B18" s="439"/>
      <c r="C18" s="1040" t="s">
        <v>611</v>
      </c>
      <c r="D18" s="1041"/>
      <c r="E18" s="1042"/>
      <c r="F18" s="685">
        <f t="shared" ref="F18:R18" si="4">SUM(F11:F14)</f>
        <v>79</v>
      </c>
      <c r="G18" s="685">
        <f t="shared" si="4"/>
        <v>51</v>
      </c>
      <c r="H18" s="685">
        <f t="shared" si="4"/>
        <v>1</v>
      </c>
      <c r="I18" s="685">
        <f t="shared" si="4"/>
        <v>0</v>
      </c>
      <c r="J18" s="685">
        <f t="shared" si="4"/>
        <v>9</v>
      </c>
      <c r="K18" s="685">
        <f t="shared" si="4"/>
        <v>8</v>
      </c>
      <c r="L18" s="685">
        <f t="shared" si="4"/>
        <v>1</v>
      </c>
      <c r="M18" s="685">
        <f t="shared" si="4"/>
        <v>5</v>
      </c>
      <c r="N18" s="685">
        <f t="shared" si="4"/>
        <v>0</v>
      </c>
      <c r="O18" s="685">
        <f t="shared" si="4"/>
        <v>0</v>
      </c>
      <c r="P18" s="685">
        <f t="shared" si="4"/>
        <v>0</v>
      </c>
      <c r="Q18" s="685">
        <f t="shared" si="4"/>
        <v>2</v>
      </c>
      <c r="R18" s="685">
        <f t="shared" si="4"/>
        <v>5</v>
      </c>
      <c r="S18" s="686"/>
      <c r="T18" s="686"/>
      <c r="U18" s="686"/>
      <c r="V18" s="686"/>
      <c r="W18" s="687"/>
      <c r="X18" s="688" t="s">
        <v>611</v>
      </c>
      <c r="Y18" s="689">
        <f t="shared" ref="Y18:AN18" si="5">SUM(Y11:Y14)</f>
        <v>4</v>
      </c>
      <c r="Z18" s="690">
        <f t="shared" si="5"/>
        <v>3</v>
      </c>
      <c r="AA18" s="685">
        <f t="shared" si="5"/>
        <v>1</v>
      </c>
      <c r="AB18" s="685">
        <f t="shared" si="5"/>
        <v>0</v>
      </c>
      <c r="AC18" s="691">
        <f t="shared" si="5"/>
        <v>1</v>
      </c>
      <c r="AD18" s="691">
        <f t="shared" si="5"/>
        <v>1</v>
      </c>
      <c r="AE18" s="691">
        <f t="shared" si="5"/>
        <v>0</v>
      </c>
      <c r="AF18" s="691">
        <f t="shared" si="5"/>
        <v>0</v>
      </c>
      <c r="AG18" s="692">
        <f t="shared" si="5"/>
        <v>0</v>
      </c>
      <c r="AH18" s="692">
        <f t="shared" si="5"/>
        <v>0</v>
      </c>
      <c r="AI18" s="692">
        <f t="shared" si="5"/>
        <v>0</v>
      </c>
      <c r="AJ18" s="692">
        <f t="shared" si="5"/>
        <v>0</v>
      </c>
      <c r="AK18" s="693">
        <f t="shared" si="5"/>
        <v>3</v>
      </c>
      <c r="AL18" s="693">
        <f t="shared" si="5"/>
        <v>2</v>
      </c>
      <c r="AM18" s="693">
        <f t="shared" si="5"/>
        <v>1</v>
      </c>
      <c r="AN18" s="693">
        <f t="shared" si="5"/>
        <v>0</v>
      </c>
    </row>
    <row r="19" spans="1:40" ht="15.8" customHeight="1" thickBot="1" x14ac:dyDescent="0.3">
      <c r="A19" s="438"/>
      <c r="B19" s="439"/>
      <c r="C19" s="1040" t="s">
        <v>612</v>
      </c>
      <c r="D19" s="1041"/>
      <c r="E19" s="1042"/>
      <c r="F19" s="694">
        <f>SUM(F15:F15)</f>
        <v>19</v>
      </c>
      <c r="G19" s="685">
        <f>SUM(G15:G15)</f>
        <v>20</v>
      </c>
      <c r="H19" s="685" t="s">
        <v>108</v>
      </c>
      <c r="I19" s="685" t="s">
        <v>108</v>
      </c>
      <c r="J19" s="685">
        <f t="shared" ref="J19:O19" si="6">SUM(J15:J15)</f>
        <v>3</v>
      </c>
      <c r="K19" s="685">
        <f t="shared" si="6"/>
        <v>2</v>
      </c>
      <c r="L19" s="685">
        <f t="shared" si="6"/>
        <v>0</v>
      </c>
      <c r="M19" s="685">
        <f t="shared" si="6"/>
        <v>0</v>
      </c>
      <c r="N19" s="685">
        <f t="shared" si="6"/>
        <v>0</v>
      </c>
      <c r="O19" s="685">
        <f t="shared" si="6"/>
        <v>1</v>
      </c>
      <c r="P19" s="685" t="s">
        <v>108</v>
      </c>
      <c r="Q19" s="685" t="s">
        <v>108</v>
      </c>
      <c r="R19" s="685">
        <f>SUM(R15:R15)</f>
        <v>2</v>
      </c>
      <c r="S19" s="686"/>
      <c r="T19" s="686"/>
      <c r="U19" s="686"/>
      <c r="V19" s="686"/>
      <c r="W19" s="687"/>
      <c r="X19" s="688" t="s">
        <v>612</v>
      </c>
      <c r="Y19" s="689">
        <f t="shared" ref="Y19:AN19" si="7">SUM(Y15:Y15)</f>
        <v>1</v>
      </c>
      <c r="Z19" s="690">
        <f t="shared" si="7"/>
        <v>0</v>
      </c>
      <c r="AA19" s="685">
        <f t="shared" si="7"/>
        <v>0</v>
      </c>
      <c r="AB19" s="685">
        <f t="shared" si="7"/>
        <v>1</v>
      </c>
      <c r="AC19" s="691">
        <f t="shared" si="7"/>
        <v>0</v>
      </c>
      <c r="AD19" s="691">
        <f t="shared" si="7"/>
        <v>0</v>
      </c>
      <c r="AE19" s="691">
        <f t="shared" si="7"/>
        <v>0</v>
      </c>
      <c r="AF19" s="691">
        <f t="shared" si="7"/>
        <v>0</v>
      </c>
      <c r="AG19" s="692">
        <f t="shared" si="7"/>
        <v>0</v>
      </c>
      <c r="AH19" s="692">
        <f t="shared" si="7"/>
        <v>0</v>
      </c>
      <c r="AI19" s="692">
        <f t="shared" si="7"/>
        <v>0</v>
      </c>
      <c r="AJ19" s="692">
        <f t="shared" si="7"/>
        <v>0</v>
      </c>
      <c r="AK19" s="693">
        <f t="shared" si="7"/>
        <v>1</v>
      </c>
      <c r="AL19" s="693">
        <f t="shared" si="7"/>
        <v>0</v>
      </c>
      <c r="AM19" s="693">
        <f t="shared" si="7"/>
        <v>0</v>
      </c>
      <c r="AN19" s="693">
        <f t="shared" si="7"/>
        <v>1</v>
      </c>
    </row>
    <row r="20" spans="1:40" ht="15.8" customHeight="1" thickBot="1" x14ac:dyDescent="0.3">
      <c r="A20" s="438"/>
      <c r="B20" s="439"/>
      <c r="C20" s="1040" t="s">
        <v>613</v>
      </c>
      <c r="D20" s="1041"/>
      <c r="E20" s="1042"/>
      <c r="F20" s="685">
        <f>SUM(F18:F19)</f>
        <v>98</v>
      </c>
      <c r="G20" s="685">
        <f t="shared" ref="G20:R20" si="8">SUM(G18:G19)</f>
        <v>71</v>
      </c>
      <c r="H20" s="685">
        <f t="shared" si="8"/>
        <v>1</v>
      </c>
      <c r="I20" s="685">
        <f t="shared" si="8"/>
        <v>0</v>
      </c>
      <c r="J20" s="685">
        <f t="shared" si="8"/>
        <v>12</v>
      </c>
      <c r="K20" s="685">
        <f t="shared" si="8"/>
        <v>10</v>
      </c>
      <c r="L20" s="685">
        <f t="shared" si="8"/>
        <v>1</v>
      </c>
      <c r="M20" s="685">
        <f t="shared" si="8"/>
        <v>5</v>
      </c>
      <c r="N20" s="685">
        <f t="shared" si="8"/>
        <v>0</v>
      </c>
      <c r="O20" s="685">
        <f t="shared" si="8"/>
        <v>1</v>
      </c>
      <c r="P20" s="685">
        <f t="shared" si="8"/>
        <v>0</v>
      </c>
      <c r="Q20" s="685">
        <f t="shared" si="8"/>
        <v>2</v>
      </c>
      <c r="R20" s="685">
        <f t="shared" si="8"/>
        <v>7</v>
      </c>
      <c r="S20" s="686"/>
      <c r="T20" s="686"/>
      <c r="U20" s="686"/>
      <c r="V20" s="686"/>
      <c r="W20" s="687"/>
      <c r="X20" s="688" t="s">
        <v>613</v>
      </c>
      <c r="Y20" s="689">
        <f t="shared" ref="Y20:AN20" si="9">SUM(Y18:Y19)</f>
        <v>5</v>
      </c>
      <c r="Z20" s="690">
        <f t="shared" si="9"/>
        <v>3</v>
      </c>
      <c r="AA20" s="685">
        <f t="shared" si="9"/>
        <v>1</v>
      </c>
      <c r="AB20" s="685">
        <f t="shared" si="9"/>
        <v>1</v>
      </c>
      <c r="AC20" s="691">
        <f t="shared" si="9"/>
        <v>1</v>
      </c>
      <c r="AD20" s="691">
        <f t="shared" si="9"/>
        <v>1</v>
      </c>
      <c r="AE20" s="691">
        <f t="shared" si="9"/>
        <v>0</v>
      </c>
      <c r="AF20" s="691">
        <f t="shared" si="9"/>
        <v>0</v>
      </c>
      <c r="AG20" s="692">
        <f t="shared" si="9"/>
        <v>0</v>
      </c>
      <c r="AH20" s="692">
        <f t="shared" si="9"/>
        <v>0</v>
      </c>
      <c r="AI20" s="692">
        <f t="shared" si="9"/>
        <v>0</v>
      </c>
      <c r="AJ20" s="692">
        <f t="shared" si="9"/>
        <v>0</v>
      </c>
      <c r="AK20" s="693">
        <f t="shared" si="9"/>
        <v>4</v>
      </c>
      <c r="AL20" s="693">
        <f t="shared" si="9"/>
        <v>2</v>
      </c>
      <c r="AM20" s="693">
        <f t="shared" si="9"/>
        <v>1</v>
      </c>
      <c r="AN20" s="693">
        <f t="shared" si="9"/>
        <v>1</v>
      </c>
    </row>
    <row r="21" spans="1:40" ht="14.95" thickBot="1" x14ac:dyDescent="0.3">
      <c r="A21" s="438"/>
      <c r="B21" s="439"/>
      <c r="C21" s="1034" t="s">
        <v>112</v>
      </c>
      <c r="D21" s="1035"/>
      <c r="E21" s="1036"/>
      <c r="F21" s="453">
        <f t="shared" ref="F21:R21" si="10">SUM(F3:F15)</f>
        <v>284</v>
      </c>
      <c r="G21" s="453">
        <f t="shared" si="10"/>
        <v>228</v>
      </c>
      <c r="H21" s="453">
        <f t="shared" si="10"/>
        <v>2</v>
      </c>
      <c r="I21" s="453">
        <f t="shared" si="10"/>
        <v>1</v>
      </c>
      <c r="J21" s="453">
        <f t="shared" si="10"/>
        <v>38</v>
      </c>
      <c r="K21" s="453">
        <f t="shared" si="10"/>
        <v>25</v>
      </c>
      <c r="L21" s="453">
        <f t="shared" si="10"/>
        <v>3</v>
      </c>
      <c r="M21" s="453">
        <f t="shared" si="10"/>
        <v>11</v>
      </c>
      <c r="N21" s="453">
        <f t="shared" si="10"/>
        <v>6</v>
      </c>
      <c r="O21" s="453">
        <f t="shared" si="10"/>
        <v>1</v>
      </c>
      <c r="P21" s="453">
        <f t="shared" si="10"/>
        <v>2</v>
      </c>
      <c r="Q21" s="453">
        <f t="shared" si="10"/>
        <v>2</v>
      </c>
      <c r="R21" s="453">
        <f t="shared" si="10"/>
        <v>27</v>
      </c>
      <c r="S21" s="454"/>
      <c r="T21" s="454"/>
      <c r="U21" s="454"/>
      <c r="V21" s="454"/>
      <c r="W21" s="455"/>
      <c r="X21" s="462" t="s">
        <v>112</v>
      </c>
      <c r="Y21" s="453">
        <f t="shared" ref="Y21:AN21" si="11">SUM(Y3:Y15)</f>
        <v>13</v>
      </c>
      <c r="Z21" s="453">
        <f t="shared" si="11"/>
        <v>7</v>
      </c>
      <c r="AA21" s="453">
        <f t="shared" si="11"/>
        <v>1</v>
      </c>
      <c r="AB21" s="453">
        <f t="shared" si="11"/>
        <v>5</v>
      </c>
      <c r="AC21" s="456">
        <f t="shared" si="11"/>
        <v>5</v>
      </c>
      <c r="AD21" s="456">
        <f t="shared" si="11"/>
        <v>4</v>
      </c>
      <c r="AE21" s="456">
        <f t="shared" si="11"/>
        <v>0</v>
      </c>
      <c r="AF21" s="456">
        <f t="shared" si="11"/>
        <v>1</v>
      </c>
      <c r="AG21" s="457">
        <f t="shared" si="11"/>
        <v>4</v>
      </c>
      <c r="AH21" s="457">
        <f t="shared" si="11"/>
        <v>1</v>
      </c>
      <c r="AI21" s="457">
        <f t="shared" si="11"/>
        <v>0</v>
      </c>
      <c r="AJ21" s="457">
        <f t="shared" si="11"/>
        <v>3</v>
      </c>
      <c r="AK21" s="458">
        <f t="shared" si="11"/>
        <v>4</v>
      </c>
      <c r="AL21" s="458">
        <f t="shared" si="11"/>
        <v>2</v>
      </c>
      <c r="AM21" s="458">
        <f t="shared" si="11"/>
        <v>1</v>
      </c>
      <c r="AN21" s="458">
        <f t="shared" si="11"/>
        <v>1</v>
      </c>
    </row>
    <row r="22" spans="1:40" x14ac:dyDescent="0.25">
      <c r="A22" s="1107" t="s">
        <v>815</v>
      </c>
      <c r="B22" s="1108"/>
      <c r="C22" s="1108"/>
      <c r="D22" s="1108"/>
      <c r="E22" s="1108"/>
      <c r="F22" s="1108"/>
      <c r="G22" s="1108"/>
      <c r="H22" s="1108"/>
      <c r="I22" s="1108"/>
      <c r="J22" s="1108"/>
      <c r="K22" s="1108"/>
      <c r="L22" s="1108"/>
      <c r="M22" s="1108"/>
      <c r="N22" s="1108"/>
      <c r="O22" s="1108"/>
      <c r="P22" s="1108"/>
      <c r="Q22" s="1108"/>
      <c r="R22" s="1108"/>
      <c r="S22" s="1108"/>
      <c r="T22" s="1108"/>
      <c r="U22" s="1108"/>
      <c r="V22" s="1108"/>
      <c r="W22" s="1108"/>
      <c r="X22" s="1108"/>
      <c r="Y22" s="1108"/>
      <c r="Z22" s="1108"/>
      <c r="AA22" s="1108"/>
      <c r="AB22" s="1108"/>
      <c r="AC22" s="1108"/>
      <c r="AD22" s="1108"/>
      <c r="AE22" s="1108"/>
      <c r="AF22" s="1108"/>
      <c r="AG22" s="1108"/>
      <c r="AH22" s="1108"/>
      <c r="AI22" s="1108"/>
      <c r="AJ22" s="1108"/>
      <c r="AK22" s="1108"/>
      <c r="AL22" s="1108"/>
      <c r="AM22" s="1108"/>
      <c r="AN22" s="1108"/>
    </row>
    <row r="23" spans="1:40" x14ac:dyDescent="0.25">
      <c r="A23" s="1067" t="s">
        <v>953</v>
      </c>
      <c r="B23" s="988"/>
      <c r="C23" s="988"/>
      <c r="D23" s="988"/>
      <c r="E23" s="988"/>
      <c r="F23" s="988"/>
      <c r="G23" s="988"/>
      <c r="H23" s="988"/>
      <c r="I23" s="988"/>
      <c r="J23" s="988"/>
      <c r="K23" s="988"/>
      <c r="L23" s="988"/>
      <c r="M23" s="988"/>
      <c r="N23" s="988"/>
      <c r="O23" s="988"/>
      <c r="P23" s="988"/>
      <c r="Q23" s="988"/>
      <c r="R23" s="988"/>
      <c r="S23" s="988"/>
      <c r="T23" s="988"/>
      <c r="U23" s="988"/>
      <c r="V23" s="988"/>
      <c r="W23" s="988"/>
      <c r="X23" s="988"/>
      <c r="Y23" s="988"/>
      <c r="Z23" s="988"/>
      <c r="AA23" s="988"/>
      <c r="AB23" s="988"/>
      <c r="AC23" s="988"/>
      <c r="AD23" s="988"/>
      <c r="AE23" s="988"/>
      <c r="AF23" s="988"/>
      <c r="AG23" s="988"/>
      <c r="AH23" s="988"/>
      <c r="AI23" s="988"/>
      <c r="AJ23" s="988"/>
      <c r="AK23" s="988"/>
      <c r="AL23" s="988"/>
      <c r="AM23" s="988"/>
      <c r="AN23" s="988"/>
    </row>
    <row r="24" spans="1:40" x14ac:dyDescent="0.25">
      <c r="A24" t="s">
        <v>166</v>
      </c>
      <c r="F24" s="14"/>
      <c r="G24" s="14"/>
      <c r="H24" s="13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40" x14ac:dyDescent="0.25">
      <c r="A25" t="s">
        <v>167</v>
      </c>
      <c r="F25" s="14"/>
      <c r="G25" s="14"/>
      <c r="H25" s="13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40" x14ac:dyDescent="0.25">
      <c r="A26" t="s">
        <v>706</v>
      </c>
      <c r="F26" s="14"/>
      <c r="G26" s="14"/>
      <c r="H26" s="13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40" x14ac:dyDescent="0.25">
      <c r="A27" t="s">
        <v>209</v>
      </c>
      <c r="F27" s="14"/>
      <c r="G27" s="14"/>
      <c r="H27" s="13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40" x14ac:dyDescent="0.25">
      <c r="A28" t="s">
        <v>682</v>
      </c>
      <c r="F28" s="14"/>
      <c r="G28" s="14"/>
      <c r="H28" s="13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40" x14ac:dyDescent="0.25">
      <c r="A29" s="159"/>
      <c r="B29" t="s">
        <v>44</v>
      </c>
    </row>
    <row r="30" spans="1:40" x14ac:dyDescent="0.25">
      <c r="A30" s="157"/>
      <c r="B30" t="s">
        <v>42</v>
      </c>
    </row>
    <row r="31" spans="1:40" x14ac:dyDescent="0.25">
      <c r="A31" s="158"/>
      <c r="B31" t="s">
        <v>43</v>
      </c>
    </row>
    <row r="32" spans="1:40" x14ac:dyDescent="0.25">
      <c r="A32" s="15" t="s">
        <v>28</v>
      </c>
    </row>
  </sheetData>
  <mergeCells count="18">
    <mergeCell ref="A23:AN23"/>
    <mergeCell ref="A22:AN22"/>
    <mergeCell ref="C17:E17"/>
    <mergeCell ref="C18:E18"/>
    <mergeCell ref="C21:E21"/>
    <mergeCell ref="C19:E19"/>
    <mergeCell ref="C20:E20"/>
    <mergeCell ref="A1:C1"/>
    <mergeCell ref="E1:G1"/>
    <mergeCell ref="H1:I1"/>
    <mergeCell ref="J1:M1"/>
    <mergeCell ref="C16:E16"/>
    <mergeCell ref="Y1:AB1"/>
    <mergeCell ref="AC1:AF1"/>
    <mergeCell ref="AG1:AJ1"/>
    <mergeCell ref="AK1:AN1"/>
    <mergeCell ref="N1:O1"/>
    <mergeCell ref="P1:R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25"/>
  <sheetViews>
    <sheetView workbookViewId="0">
      <pane ySplit="2" topLeftCell="A3" activePane="bottomLeft" state="frozen"/>
      <selection pane="bottomLeft" activeCell="V31" sqref="V31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25" customWidth="1"/>
    <col min="5" max="10" width="3.75" customWidth="1"/>
    <col min="11" max="11" width="3.875" customWidth="1"/>
    <col min="12" max="18" width="3.75" customWidth="1"/>
    <col min="19" max="20" width="6.25" customWidth="1"/>
    <col min="21" max="21" width="21.125" bestFit="1" customWidth="1"/>
    <col min="22" max="22" width="20.125" customWidth="1"/>
    <col min="23" max="23" width="21.125" bestFit="1" customWidth="1"/>
    <col min="24" max="24" width="21" customWidth="1"/>
    <col min="25" max="40" width="3.7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1116" t="s">
        <v>164</v>
      </c>
      <c r="B1" s="1117"/>
      <c r="C1" s="1117"/>
      <c r="D1" s="155"/>
      <c r="E1" s="1114" t="s">
        <v>24</v>
      </c>
      <c r="F1" s="1118"/>
      <c r="G1" s="1115"/>
      <c r="H1" s="1114" t="s">
        <v>23</v>
      </c>
      <c r="I1" s="1115"/>
      <c r="J1" s="1111" t="s">
        <v>6</v>
      </c>
      <c r="K1" s="1112"/>
      <c r="L1" s="1112"/>
      <c r="M1" s="1113"/>
      <c r="N1" s="1111" t="s">
        <v>7</v>
      </c>
      <c r="O1" s="1113"/>
      <c r="P1" s="1111" t="s">
        <v>25</v>
      </c>
      <c r="Q1" s="1112"/>
      <c r="R1" s="1113"/>
      <c r="S1" s="41" t="s">
        <v>8</v>
      </c>
      <c r="T1" s="914" t="s">
        <v>9</v>
      </c>
      <c r="U1" s="42" t="s">
        <v>10</v>
      </c>
      <c r="V1" s="41" t="s">
        <v>11</v>
      </c>
      <c r="W1" s="43" t="s">
        <v>26</v>
      </c>
      <c r="X1" s="174" t="s">
        <v>27</v>
      </c>
      <c r="Y1" s="1109" t="s">
        <v>20</v>
      </c>
      <c r="Z1" s="1044"/>
      <c r="AA1" s="1044"/>
      <c r="AB1" s="1045"/>
      <c r="AC1" s="1110" t="s">
        <v>61</v>
      </c>
      <c r="AD1" s="1044"/>
      <c r="AE1" s="1044"/>
      <c r="AF1" s="1045"/>
      <c r="AG1" s="1110" t="s">
        <v>62</v>
      </c>
      <c r="AH1" s="1044"/>
      <c r="AI1" s="1044"/>
      <c r="AJ1" s="1045"/>
      <c r="AK1" s="1110" t="s">
        <v>63</v>
      </c>
      <c r="AL1" s="1044"/>
      <c r="AM1" s="1044"/>
      <c r="AN1" s="1045"/>
      <c r="AP1" s="589" t="s">
        <v>643</v>
      </c>
      <c r="AQ1" s="868"/>
      <c r="AR1" s="868"/>
      <c r="AS1" s="589" t="s">
        <v>643</v>
      </c>
    </row>
    <row r="2" spans="1:46" ht="14.95" customHeight="1" thickBot="1" x14ac:dyDescent="0.3">
      <c r="A2" s="12" t="s">
        <v>19</v>
      </c>
      <c r="B2" s="44" t="s">
        <v>18</v>
      </c>
      <c r="C2" s="45" t="s">
        <v>17</v>
      </c>
      <c r="D2" s="45" t="s">
        <v>41</v>
      </c>
      <c r="E2" s="46" t="s">
        <v>16</v>
      </c>
      <c r="F2" s="46" t="s">
        <v>4</v>
      </c>
      <c r="G2" s="46" t="s">
        <v>5</v>
      </c>
      <c r="H2" s="47" t="s">
        <v>12</v>
      </c>
      <c r="I2" s="47" t="s">
        <v>3</v>
      </c>
      <c r="J2" s="47" t="s">
        <v>12</v>
      </c>
      <c r="K2" s="47" t="s">
        <v>13</v>
      </c>
      <c r="L2" s="47" t="s">
        <v>2</v>
      </c>
      <c r="M2" s="47" t="s">
        <v>14</v>
      </c>
      <c r="N2" s="47" t="s">
        <v>15</v>
      </c>
      <c r="O2" s="47" t="s">
        <v>16</v>
      </c>
      <c r="P2" s="47" t="s">
        <v>21</v>
      </c>
      <c r="Q2" s="47" t="s">
        <v>22</v>
      </c>
      <c r="R2" s="47" t="s">
        <v>12</v>
      </c>
      <c r="S2" s="48"/>
      <c r="T2" s="49"/>
      <c r="U2" s="50"/>
      <c r="V2" s="48"/>
      <c r="W2" s="202"/>
      <c r="X2" s="51"/>
      <c r="Y2" s="511" t="s">
        <v>0</v>
      </c>
      <c r="Z2" s="511" t="s">
        <v>1</v>
      </c>
      <c r="AA2" s="511" t="s">
        <v>2</v>
      </c>
      <c r="AB2" s="511" t="s">
        <v>3</v>
      </c>
      <c r="AC2" s="512" t="s">
        <v>0</v>
      </c>
      <c r="AD2" s="512" t="s">
        <v>1</v>
      </c>
      <c r="AE2" s="512" t="s">
        <v>2</v>
      </c>
      <c r="AF2" s="512" t="s">
        <v>3</v>
      </c>
      <c r="AG2" s="512" t="s">
        <v>0</v>
      </c>
      <c r="AH2" s="512" t="s">
        <v>1</v>
      </c>
      <c r="AI2" s="512" t="s">
        <v>2</v>
      </c>
      <c r="AJ2" s="512" t="s">
        <v>3</v>
      </c>
      <c r="AK2" s="512" t="s">
        <v>0</v>
      </c>
      <c r="AL2" s="512" t="s">
        <v>1</v>
      </c>
      <c r="AM2" s="512" t="s">
        <v>2</v>
      </c>
      <c r="AN2" s="512" t="s">
        <v>3</v>
      </c>
      <c r="AP2" s="592" t="s">
        <v>112</v>
      </c>
      <c r="AQ2" s="253"/>
      <c r="AS2" s="672" t="s">
        <v>610</v>
      </c>
      <c r="AT2" s="253"/>
    </row>
    <row r="3" spans="1:46" ht="14.95" customHeight="1" thickBot="1" x14ac:dyDescent="0.3">
      <c r="A3" s="187">
        <v>43673</v>
      </c>
      <c r="B3" s="178" t="s">
        <v>147</v>
      </c>
      <c r="C3" s="178" t="s">
        <v>36</v>
      </c>
      <c r="D3" s="178" t="s">
        <v>582</v>
      </c>
      <c r="E3" s="179" t="s">
        <v>3</v>
      </c>
      <c r="F3" s="179">
        <v>21</v>
      </c>
      <c r="G3" s="179">
        <v>34</v>
      </c>
      <c r="H3" s="179">
        <v>0</v>
      </c>
      <c r="I3" s="179">
        <v>0</v>
      </c>
      <c r="J3" s="179">
        <v>3</v>
      </c>
      <c r="K3" s="179">
        <v>3</v>
      </c>
      <c r="L3" s="179">
        <v>0</v>
      </c>
      <c r="M3" s="179">
        <v>0</v>
      </c>
      <c r="N3" s="179">
        <v>1</v>
      </c>
      <c r="O3" s="179">
        <v>0</v>
      </c>
      <c r="P3" s="179">
        <v>1</v>
      </c>
      <c r="Q3" s="179">
        <v>0</v>
      </c>
      <c r="R3" s="179">
        <v>5</v>
      </c>
      <c r="S3" s="180">
        <v>13135</v>
      </c>
      <c r="T3" s="223" t="s">
        <v>736</v>
      </c>
      <c r="U3" s="181" t="s">
        <v>133</v>
      </c>
      <c r="V3" s="180" t="s">
        <v>137</v>
      </c>
      <c r="W3" s="180" t="s">
        <v>734</v>
      </c>
      <c r="X3" s="182" t="s">
        <v>735</v>
      </c>
      <c r="Y3" s="184">
        <v>1</v>
      </c>
      <c r="Z3" s="184">
        <v>0</v>
      </c>
      <c r="AA3" s="184">
        <v>0</v>
      </c>
      <c r="AB3" s="185">
        <v>1</v>
      </c>
      <c r="AC3" s="184">
        <v>0</v>
      </c>
      <c r="AD3" s="184">
        <v>0</v>
      </c>
      <c r="AE3" s="184">
        <v>0</v>
      </c>
      <c r="AF3" s="184">
        <v>0</v>
      </c>
      <c r="AG3" s="184">
        <v>1</v>
      </c>
      <c r="AH3" s="184">
        <v>0</v>
      </c>
      <c r="AI3" s="184">
        <v>0</v>
      </c>
      <c r="AJ3" s="184">
        <v>1</v>
      </c>
      <c r="AK3" s="184">
        <v>0</v>
      </c>
      <c r="AL3" s="184">
        <v>0</v>
      </c>
      <c r="AM3" s="184">
        <v>0</v>
      </c>
      <c r="AN3" s="184">
        <v>0</v>
      </c>
      <c r="AP3" s="849" t="s">
        <v>627</v>
      </c>
      <c r="AQ3" s="850">
        <f>Fijialltestshistplayed</f>
        <v>346</v>
      </c>
      <c r="AS3" s="849" t="s">
        <v>627</v>
      </c>
      <c r="AT3" s="850">
        <f>FijiRWChistplayed</f>
        <v>32</v>
      </c>
    </row>
    <row r="4" spans="1:46" ht="14.95" customHeight="1" thickBot="1" x14ac:dyDescent="0.35">
      <c r="A4" s="195">
        <v>43680</v>
      </c>
      <c r="B4" s="196" t="s">
        <v>147</v>
      </c>
      <c r="C4" s="196" t="s">
        <v>40</v>
      </c>
      <c r="D4" s="196" t="s">
        <v>586</v>
      </c>
      <c r="E4" s="197" t="s">
        <v>1</v>
      </c>
      <c r="F4" s="197">
        <v>38</v>
      </c>
      <c r="G4" s="197">
        <v>13</v>
      </c>
      <c r="H4" s="197">
        <v>1</v>
      </c>
      <c r="I4" s="197">
        <v>0</v>
      </c>
      <c r="J4" s="197">
        <v>6</v>
      </c>
      <c r="K4" s="197">
        <v>4</v>
      </c>
      <c r="L4" s="197">
        <v>0</v>
      </c>
      <c r="M4" s="197">
        <v>0</v>
      </c>
      <c r="N4" s="197">
        <v>0</v>
      </c>
      <c r="O4" s="197">
        <v>0</v>
      </c>
      <c r="P4" s="197">
        <v>0</v>
      </c>
      <c r="Q4" s="197">
        <v>0</v>
      </c>
      <c r="R4" s="197">
        <v>1</v>
      </c>
      <c r="S4" s="209"/>
      <c r="T4" s="346" t="s">
        <v>371</v>
      </c>
      <c r="U4" s="210" t="s">
        <v>730</v>
      </c>
      <c r="V4" s="209" t="s">
        <v>314</v>
      </c>
      <c r="W4" s="198" t="s">
        <v>748</v>
      </c>
      <c r="X4" s="211" t="s">
        <v>731</v>
      </c>
      <c r="Y4" s="212">
        <v>1</v>
      </c>
      <c r="Z4" s="212">
        <v>1</v>
      </c>
      <c r="AA4" s="212">
        <v>0</v>
      </c>
      <c r="AB4" s="213">
        <v>0</v>
      </c>
      <c r="AC4" s="212">
        <v>1</v>
      </c>
      <c r="AD4" s="212">
        <v>1</v>
      </c>
      <c r="AE4" s="212">
        <v>0</v>
      </c>
      <c r="AF4" s="212">
        <v>0</v>
      </c>
      <c r="AG4" s="212">
        <v>0</v>
      </c>
      <c r="AH4" s="212">
        <v>0</v>
      </c>
      <c r="AI4" s="212">
        <v>0</v>
      </c>
      <c r="AJ4" s="212">
        <v>0</v>
      </c>
      <c r="AK4" s="212">
        <v>0</v>
      </c>
      <c r="AL4" s="212">
        <v>0</v>
      </c>
      <c r="AM4" s="212">
        <v>0</v>
      </c>
      <c r="AN4" s="212">
        <v>0</v>
      </c>
      <c r="AP4" s="851" t="s">
        <v>628</v>
      </c>
      <c r="AQ4" s="852">
        <f>Fijialltestshistwon</f>
        <v>169</v>
      </c>
      <c r="AS4" s="851" t="s">
        <v>628</v>
      </c>
      <c r="AT4" s="852">
        <f>FijiRWChistwon</f>
        <v>11</v>
      </c>
    </row>
    <row r="5" spans="1:46" ht="14.95" customHeight="1" thickBot="1" x14ac:dyDescent="0.3">
      <c r="A5" s="195">
        <v>43687</v>
      </c>
      <c r="B5" s="196" t="s">
        <v>147</v>
      </c>
      <c r="C5" s="196" t="s">
        <v>148</v>
      </c>
      <c r="D5" s="196" t="s">
        <v>586</v>
      </c>
      <c r="E5" s="197" t="s">
        <v>1</v>
      </c>
      <c r="F5" s="197">
        <v>10</v>
      </c>
      <c r="G5" s="197">
        <v>3</v>
      </c>
      <c r="H5" s="197">
        <v>0</v>
      </c>
      <c r="I5" s="197">
        <v>0</v>
      </c>
      <c r="J5" s="197">
        <v>1</v>
      </c>
      <c r="K5" s="197">
        <v>1</v>
      </c>
      <c r="L5" s="197">
        <v>0</v>
      </c>
      <c r="M5" s="197">
        <v>1</v>
      </c>
      <c r="N5" s="197">
        <v>1</v>
      </c>
      <c r="O5" s="197">
        <v>0</v>
      </c>
      <c r="P5" s="197">
        <v>0</v>
      </c>
      <c r="Q5" s="197">
        <v>1</v>
      </c>
      <c r="R5" s="197">
        <v>0</v>
      </c>
      <c r="S5" s="209">
        <v>6500</v>
      </c>
      <c r="T5" s="911" t="s">
        <v>763</v>
      </c>
      <c r="U5" s="210" t="s">
        <v>146</v>
      </c>
      <c r="V5" s="209" t="s">
        <v>314</v>
      </c>
      <c r="W5" s="198" t="s">
        <v>746</v>
      </c>
      <c r="X5" s="211" t="s">
        <v>764</v>
      </c>
      <c r="Y5" s="212">
        <v>1</v>
      </c>
      <c r="Z5" s="212">
        <v>1</v>
      </c>
      <c r="AA5" s="212">
        <v>0</v>
      </c>
      <c r="AB5" s="213">
        <v>0</v>
      </c>
      <c r="AC5" s="256">
        <v>1</v>
      </c>
      <c r="AD5" s="212">
        <v>1</v>
      </c>
      <c r="AE5" s="256">
        <v>0</v>
      </c>
      <c r="AF5" s="256">
        <v>0</v>
      </c>
      <c r="AG5" s="256">
        <v>0</v>
      </c>
      <c r="AH5" s="256">
        <v>0</v>
      </c>
      <c r="AI5" s="256">
        <v>0</v>
      </c>
      <c r="AJ5" s="256">
        <v>0</v>
      </c>
      <c r="AK5" s="256">
        <v>0</v>
      </c>
      <c r="AL5" s="256">
        <v>0</v>
      </c>
      <c r="AM5" s="256">
        <v>0</v>
      </c>
      <c r="AN5" s="256">
        <v>0</v>
      </c>
      <c r="AP5" s="851" t="s">
        <v>634</v>
      </c>
      <c r="AQ5" s="852">
        <f>Fijialltestshistdrawn</f>
        <v>10</v>
      </c>
      <c r="AS5" s="851" t="s">
        <v>634</v>
      </c>
      <c r="AT5" s="852">
        <f>FijiRWChistdrawn</f>
        <v>0</v>
      </c>
    </row>
    <row r="6" spans="1:46" ht="14.95" customHeight="1" thickBot="1" x14ac:dyDescent="0.35">
      <c r="A6" s="188">
        <v>43708</v>
      </c>
      <c r="B6" s="189" t="s">
        <v>45</v>
      </c>
      <c r="C6" s="189" t="s">
        <v>145</v>
      </c>
      <c r="D6" s="189" t="s">
        <v>595</v>
      </c>
      <c r="E6" s="190" t="s">
        <v>1</v>
      </c>
      <c r="F6" s="190">
        <v>29</v>
      </c>
      <c r="G6" s="190">
        <v>19</v>
      </c>
      <c r="H6" s="190" t="s">
        <v>108</v>
      </c>
      <c r="I6" s="190" t="s">
        <v>108</v>
      </c>
      <c r="J6" s="190">
        <v>5</v>
      </c>
      <c r="K6" s="190">
        <v>2</v>
      </c>
      <c r="L6" s="190">
        <v>0</v>
      </c>
      <c r="M6" s="190">
        <v>0</v>
      </c>
      <c r="N6" s="190">
        <v>1</v>
      </c>
      <c r="O6" s="190">
        <v>0</v>
      </c>
      <c r="P6" s="190" t="s">
        <v>108</v>
      </c>
      <c r="Q6" s="190" t="s">
        <v>108</v>
      </c>
      <c r="R6" s="190">
        <v>3</v>
      </c>
      <c r="S6" s="203"/>
      <c r="T6" s="411" t="s">
        <v>818</v>
      </c>
      <c r="U6" s="204" t="s">
        <v>276</v>
      </c>
      <c r="V6" s="203" t="s">
        <v>819</v>
      </c>
      <c r="W6" s="191" t="s">
        <v>748</v>
      </c>
      <c r="X6" s="205" t="s">
        <v>735</v>
      </c>
      <c r="Y6" s="206">
        <v>1</v>
      </c>
      <c r="Z6" s="206">
        <v>1</v>
      </c>
      <c r="AA6" s="206">
        <v>0</v>
      </c>
      <c r="AB6" s="207">
        <v>0</v>
      </c>
      <c r="AC6" s="206">
        <v>0</v>
      </c>
      <c r="AD6" s="206">
        <v>0</v>
      </c>
      <c r="AE6" s="206">
        <v>0</v>
      </c>
      <c r="AF6" s="207">
        <v>0</v>
      </c>
      <c r="AG6" s="206">
        <v>0</v>
      </c>
      <c r="AH6" s="206">
        <v>0</v>
      </c>
      <c r="AI6" s="206">
        <v>0</v>
      </c>
      <c r="AJ6" s="207">
        <v>0</v>
      </c>
      <c r="AK6" s="206">
        <v>1</v>
      </c>
      <c r="AL6" s="206">
        <v>1</v>
      </c>
      <c r="AM6" s="206">
        <v>0</v>
      </c>
      <c r="AN6" s="207">
        <v>0</v>
      </c>
      <c r="AP6" s="851" t="s">
        <v>629</v>
      </c>
      <c r="AQ6" s="852">
        <f>Fijialltestshistlost</f>
        <v>167</v>
      </c>
      <c r="AS6" s="851" t="s">
        <v>629</v>
      </c>
      <c r="AT6" s="852">
        <f>FijiRWChistlost</f>
        <v>21</v>
      </c>
    </row>
    <row r="7" spans="1:46" ht="14.95" customHeight="1" thickBot="1" x14ac:dyDescent="0.35">
      <c r="A7" s="188">
        <v>43729</v>
      </c>
      <c r="B7" s="483" t="s">
        <v>158</v>
      </c>
      <c r="C7" s="189" t="s">
        <v>29</v>
      </c>
      <c r="D7" s="483" t="s">
        <v>159</v>
      </c>
      <c r="E7" s="190" t="s">
        <v>3</v>
      </c>
      <c r="F7" s="190">
        <v>21</v>
      </c>
      <c r="G7" s="190">
        <v>39</v>
      </c>
      <c r="H7" s="190">
        <v>0</v>
      </c>
      <c r="I7" s="190">
        <v>0</v>
      </c>
      <c r="J7" s="190">
        <v>2</v>
      </c>
      <c r="K7" s="190">
        <v>1</v>
      </c>
      <c r="L7" s="190">
        <v>0</v>
      </c>
      <c r="M7" s="190">
        <v>3</v>
      </c>
      <c r="N7" s="190">
        <v>1</v>
      </c>
      <c r="O7" s="190">
        <v>0</v>
      </c>
      <c r="P7" s="190">
        <v>1</v>
      </c>
      <c r="Q7" s="190">
        <v>0</v>
      </c>
      <c r="R7" s="190">
        <v>6</v>
      </c>
      <c r="S7" s="203">
        <v>36482</v>
      </c>
      <c r="T7" s="514" t="s">
        <v>859</v>
      </c>
      <c r="U7" s="204" t="s">
        <v>276</v>
      </c>
      <c r="V7" s="203" t="s">
        <v>131</v>
      </c>
      <c r="W7" s="204" t="s">
        <v>133</v>
      </c>
      <c r="X7" s="191" t="s">
        <v>129</v>
      </c>
      <c r="Y7" s="206">
        <v>1</v>
      </c>
      <c r="Z7" s="206">
        <v>0</v>
      </c>
      <c r="AA7" s="206">
        <v>0</v>
      </c>
      <c r="AB7" s="207">
        <v>1</v>
      </c>
      <c r="AC7" s="206">
        <v>0</v>
      </c>
      <c r="AD7" s="206">
        <v>0</v>
      </c>
      <c r="AE7" s="206">
        <v>0</v>
      </c>
      <c r="AF7" s="207">
        <v>0</v>
      </c>
      <c r="AG7" s="206">
        <v>0</v>
      </c>
      <c r="AH7" s="206">
        <v>0</v>
      </c>
      <c r="AI7" s="206">
        <v>0</v>
      </c>
      <c r="AJ7" s="207">
        <v>0</v>
      </c>
      <c r="AK7" s="206">
        <v>1</v>
      </c>
      <c r="AL7" s="206">
        <v>0</v>
      </c>
      <c r="AM7" s="206">
        <v>0</v>
      </c>
      <c r="AN7" s="207">
        <v>1</v>
      </c>
      <c r="AP7" s="851" t="s">
        <v>635</v>
      </c>
      <c r="AQ7" s="852">
        <f>Fijialltestshistptsscored</f>
        <v>7471</v>
      </c>
      <c r="AS7" s="851" t="s">
        <v>635</v>
      </c>
      <c r="AT7" s="852">
        <f>FijiRWChistptsscored</f>
        <v>732</v>
      </c>
    </row>
    <row r="8" spans="1:46" ht="14.95" customHeight="1" thickBot="1" x14ac:dyDescent="0.3">
      <c r="A8" s="579">
        <v>43733</v>
      </c>
      <c r="B8" s="513" t="s">
        <v>158</v>
      </c>
      <c r="C8" s="513" t="s">
        <v>107</v>
      </c>
      <c r="D8" s="513" t="s">
        <v>582</v>
      </c>
      <c r="E8" s="190" t="s">
        <v>3</v>
      </c>
      <c r="F8" s="190">
        <v>27</v>
      </c>
      <c r="G8" s="190">
        <v>30</v>
      </c>
      <c r="H8" s="190">
        <v>1</v>
      </c>
      <c r="I8" s="190">
        <v>1</v>
      </c>
      <c r="J8" s="190">
        <v>5</v>
      </c>
      <c r="K8" s="190">
        <v>1</v>
      </c>
      <c r="L8" s="190">
        <v>0</v>
      </c>
      <c r="M8" s="190">
        <v>0</v>
      </c>
      <c r="N8" s="190">
        <v>0</v>
      </c>
      <c r="O8" s="190">
        <v>0</v>
      </c>
      <c r="P8" s="190">
        <v>0</v>
      </c>
      <c r="Q8" s="190">
        <v>0</v>
      </c>
      <c r="R8" s="190">
        <v>3</v>
      </c>
      <c r="S8" s="203">
        <v>14025</v>
      </c>
      <c r="T8" s="406" t="s">
        <v>890</v>
      </c>
      <c r="U8" s="204" t="s">
        <v>211</v>
      </c>
      <c r="V8" s="203" t="s">
        <v>270</v>
      </c>
      <c r="W8" s="191" t="s">
        <v>278</v>
      </c>
      <c r="X8" s="205" t="s">
        <v>129</v>
      </c>
      <c r="Y8" s="206">
        <v>1</v>
      </c>
      <c r="Z8" s="206">
        <v>0</v>
      </c>
      <c r="AA8" s="206">
        <v>0</v>
      </c>
      <c r="AB8" s="207">
        <v>1</v>
      </c>
      <c r="AC8" s="206">
        <v>0</v>
      </c>
      <c r="AD8" s="206">
        <v>0</v>
      </c>
      <c r="AE8" s="206">
        <v>0</v>
      </c>
      <c r="AF8" s="207">
        <v>0</v>
      </c>
      <c r="AG8" s="206">
        <v>0</v>
      </c>
      <c r="AH8" s="206">
        <v>0</v>
      </c>
      <c r="AI8" s="206">
        <v>0</v>
      </c>
      <c r="AJ8" s="207">
        <v>0</v>
      </c>
      <c r="AK8" s="206">
        <v>1</v>
      </c>
      <c r="AL8" s="206">
        <v>0</v>
      </c>
      <c r="AM8" s="206">
        <v>0</v>
      </c>
      <c r="AN8" s="207">
        <v>1</v>
      </c>
      <c r="AP8" s="851" t="s">
        <v>636</v>
      </c>
      <c r="AQ8" s="852">
        <f>Fijialltestshistptsagainst</f>
        <v>7226</v>
      </c>
      <c r="AS8" s="851" t="s">
        <v>636</v>
      </c>
      <c r="AT8" s="852">
        <f>FijiRWChistptsagainst</f>
        <v>971</v>
      </c>
    </row>
    <row r="9" spans="1:46" ht="14.95" customHeight="1" thickBot="1" x14ac:dyDescent="0.35">
      <c r="A9" s="579">
        <v>43741</v>
      </c>
      <c r="B9" s="513" t="s">
        <v>158</v>
      </c>
      <c r="C9" s="513" t="s">
        <v>38</v>
      </c>
      <c r="D9" s="513" t="s">
        <v>872</v>
      </c>
      <c r="E9" s="580" t="s">
        <v>1</v>
      </c>
      <c r="F9" s="580">
        <v>45</v>
      </c>
      <c r="G9" s="190">
        <v>10</v>
      </c>
      <c r="H9" s="190">
        <v>1</v>
      </c>
      <c r="I9" s="190">
        <v>0</v>
      </c>
      <c r="J9" s="190">
        <v>7</v>
      </c>
      <c r="K9" s="190">
        <v>5</v>
      </c>
      <c r="L9" s="190">
        <v>0</v>
      </c>
      <c r="M9" s="190">
        <v>0</v>
      </c>
      <c r="N9" s="190">
        <v>0</v>
      </c>
      <c r="O9" s="190">
        <v>0</v>
      </c>
      <c r="P9" s="190">
        <v>0</v>
      </c>
      <c r="Q9" s="190">
        <v>0</v>
      </c>
      <c r="R9" s="190">
        <v>1</v>
      </c>
      <c r="S9" s="191">
        <v>21069</v>
      </c>
      <c r="T9" s="501" t="s">
        <v>926</v>
      </c>
      <c r="U9" s="191" t="s">
        <v>927</v>
      </c>
      <c r="V9" s="191" t="s">
        <v>232</v>
      </c>
      <c r="W9" s="191" t="s">
        <v>229</v>
      </c>
      <c r="X9" s="191" t="s">
        <v>295</v>
      </c>
      <c r="Y9" s="206">
        <v>1</v>
      </c>
      <c r="Z9" s="206">
        <v>1</v>
      </c>
      <c r="AA9" s="206">
        <v>0</v>
      </c>
      <c r="AB9" s="207">
        <v>0</v>
      </c>
      <c r="AC9" s="206">
        <v>0</v>
      </c>
      <c r="AD9" s="206">
        <v>0</v>
      </c>
      <c r="AE9" s="206">
        <v>0</v>
      </c>
      <c r="AF9" s="207">
        <v>0</v>
      </c>
      <c r="AG9" s="206">
        <v>0</v>
      </c>
      <c r="AH9" s="206">
        <v>0</v>
      </c>
      <c r="AI9" s="206">
        <v>0</v>
      </c>
      <c r="AJ9" s="207">
        <v>0</v>
      </c>
      <c r="AK9" s="206">
        <v>1</v>
      </c>
      <c r="AL9" s="206">
        <v>1</v>
      </c>
      <c r="AM9" s="206">
        <v>0</v>
      </c>
      <c r="AN9" s="207">
        <v>0</v>
      </c>
      <c r="AP9" s="851" t="s">
        <v>623</v>
      </c>
      <c r="AQ9" s="852">
        <f>Fijialltestshisttriesscored</f>
        <v>1052</v>
      </c>
      <c r="AS9" s="851" t="s">
        <v>623</v>
      </c>
      <c r="AT9" s="852">
        <f>FijiRWChisttriesscored</f>
        <v>86</v>
      </c>
    </row>
    <row r="10" spans="1:46" ht="14.95" customHeight="1" thickBot="1" x14ac:dyDescent="0.3">
      <c r="A10" s="188">
        <v>43747</v>
      </c>
      <c r="B10" s="189" t="s">
        <v>158</v>
      </c>
      <c r="C10" s="189" t="s">
        <v>32</v>
      </c>
      <c r="D10" s="189" t="s">
        <v>180</v>
      </c>
      <c r="E10" s="190" t="s">
        <v>3</v>
      </c>
      <c r="F10" s="190">
        <v>17</v>
      </c>
      <c r="G10" s="190">
        <v>29</v>
      </c>
      <c r="H10" s="190">
        <v>0</v>
      </c>
      <c r="I10" s="190">
        <v>0</v>
      </c>
      <c r="J10" s="190">
        <v>3</v>
      </c>
      <c r="K10" s="190">
        <v>0</v>
      </c>
      <c r="L10" s="190">
        <v>0</v>
      </c>
      <c r="M10" s="190">
        <v>0</v>
      </c>
      <c r="N10" s="190">
        <v>2</v>
      </c>
      <c r="O10" s="190">
        <v>0</v>
      </c>
      <c r="P10" s="190">
        <v>1</v>
      </c>
      <c r="Q10" s="190">
        <v>0</v>
      </c>
      <c r="R10" s="190">
        <v>4</v>
      </c>
      <c r="S10" s="191">
        <v>33379</v>
      </c>
      <c r="T10" s="926" t="s">
        <v>719</v>
      </c>
      <c r="U10" s="191" t="s">
        <v>138</v>
      </c>
      <c r="V10" s="191" t="s">
        <v>277</v>
      </c>
      <c r="W10" s="191" t="s">
        <v>130</v>
      </c>
      <c r="X10" s="191" t="s">
        <v>233</v>
      </c>
      <c r="Y10" s="206">
        <v>1</v>
      </c>
      <c r="Z10" s="206">
        <v>0</v>
      </c>
      <c r="AA10" s="206">
        <v>0</v>
      </c>
      <c r="AB10" s="207">
        <v>1</v>
      </c>
      <c r="AC10" s="206">
        <v>0</v>
      </c>
      <c r="AD10" s="206">
        <v>0</v>
      </c>
      <c r="AE10" s="206">
        <v>0</v>
      </c>
      <c r="AF10" s="207">
        <v>0</v>
      </c>
      <c r="AG10" s="206">
        <v>0</v>
      </c>
      <c r="AH10" s="206">
        <v>0</v>
      </c>
      <c r="AI10" s="206">
        <v>0</v>
      </c>
      <c r="AJ10" s="207">
        <v>0</v>
      </c>
      <c r="AK10" s="206">
        <v>1</v>
      </c>
      <c r="AL10" s="206">
        <v>0</v>
      </c>
      <c r="AM10" s="206">
        <v>0</v>
      </c>
      <c r="AN10" s="207">
        <v>1</v>
      </c>
    </row>
    <row r="11" spans="1:46" ht="14.95" thickBot="1" x14ac:dyDescent="0.3">
      <c r="A11" s="438"/>
      <c r="B11" s="439"/>
      <c r="C11" s="1072" t="s">
        <v>642</v>
      </c>
      <c r="D11" s="1073"/>
      <c r="E11" s="1074"/>
      <c r="F11" s="440">
        <f t="shared" ref="F11:R11" si="0">SUM(F3:F5)</f>
        <v>69</v>
      </c>
      <c r="G11" s="440">
        <f t="shared" si="0"/>
        <v>50</v>
      </c>
      <c r="H11" s="440">
        <f t="shared" si="0"/>
        <v>1</v>
      </c>
      <c r="I11" s="440">
        <f t="shared" si="0"/>
        <v>0</v>
      </c>
      <c r="J11" s="440">
        <f t="shared" si="0"/>
        <v>10</v>
      </c>
      <c r="K11" s="440">
        <f t="shared" si="0"/>
        <v>8</v>
      </c>
      <c r="L11" s="440">
        <f t="shared" si="0"/>
        <v>0</v>
      </c>
      <c r="M11" s="440">
        <f t="shared" si="0"/>
        <v>1</v>
      </c>
      <c r="N11" s="440">
        <f t="shared" si="0"/>
        <v>2</v>
      </c>
      <c r="O11" s="440">
        <f t="shared" si="0"/>
        <v>0</v>
      </c>
      <c r="P11" s="440">
        <f t="shared" si="0"/>
        <v>1</v>
      </c>
      <c r="Q11" s="440">
        <f t="shared" si="0"/>
        <v>1</v>
      </c>
      <c r="R11" s="440">
        <f t="shared" si="0"/>
        <v>6</v>
      </c>
      <c r="S11" s="441"/>
      <c r="T11" s="441"/>
      <c r="U11" s="441"/>
      <c r="V11" s="441"/>
      <c r="W11" s="442"/>
      <c r="X11" s="460" t="s">
        <v>642</v>
      </c>
      <c r="Y11" s="440">
        <f t="shared" ref="Y11:AN11" si="1">SUM(Y3:Y5)</f>
        <v>3</v>
      </c>
      <c r="Z11" s="440">
        <f t="shared" si="1"/>
        <v>2</v>
      </c>
      <c r="AA11" s="440">
        <f t="shared" si="1"/>
        <v>0</v>
      </c>
      <c r="AB11" s="440">
        <f t="shared" si="1"/>
        <v>1</v>
      </c>
      <c r="AC11" s="443">
        <f t="shared" si="1"/>
        <v>2</v>
      </c>
      <c r="AD11" s="443">
        <f t="shared" si="1"/>
        <v>2</v>
      </c>
      <c r="AE11" s="443">
        <f t="shared" si="1"/>
        <v>0</v>
      </c>
      <c r="AF11" s="443">
        <f t="shared" si="1"/>
        <v>0</v>
      </c>
      <c r="AG11" s="444">
        <f t="shared" si="1"/>
        <v>1</v>
      </c>
      <c r="AH11" s="444">
        <f t="shared" si="1"/>
        <v>0</v>
      </c>
      <c r="AI11" s="444">
        <f t="shared" si="1"/>
        <v>0</v>
      </c>
      <c r="AJ11" s="444">
        <f t="shared" si="1"/>
        <v>1</v>
      </c>
      <c r="AK11" s="445">
        <f t="shared" si="1"/>
        <v>0</v>
      </c>
      <c r="AL11" s="445">
        <f t="shared" si="1"/>
        <v>0</v>
      </c>
      <c r="AM11" s="445">
        <f t="shared" si="1"/>
        <v>0</v>
      </c>
      <c r="AN11" s="445">
        <f t="shared" si="1"/>
        <v>0</v>
      </c>
    </row>
    <row r="12" spans="1:46" ht="14.95" thickBot="1" x14ac:dyDescent="0.3">
      <c r="A12" s="438"/>
      <c r="B12" s="439"/>
      <c r="C12" s="1037" t="s">
        <v>163</v>
      </c>
      <c r="D12" s="1038"/>
      <c r="E12" s="1039"/>
      <c r="F12" s="446">
        <f>SUM(F6)</f>
        <v>29</v>
      </c>
      <c r="G12" s="446">
        <f>SUM(G6)</f>
        <v>19</v>
      </c>
      <c r="H12" s="446" t="s">
        <v>108</v>
      </c>
      <c r="I12" s="446" t="s">
        <v>108</v>
      </c>
      <c r="J12" s="446">
        <f t="shared" ref="J12:O12" si="2">SUM(J6)</f>
        <v>5</v>
      </c>
      <c r="K12" s="446">
        <f t="shared" si="2"/>
        <v>2</v>
      </c>
      <c r="L12" s="446">
        <f t="shared" si="2"/>
        <v>0</v>
      </c>
      <c r="M12" s="446">
        <f t="shared" si="2"/>
        <v>0</v>
      </c>
      <c r="N12" s="446">
        <f t="shared" si="2"/>
        <v>1</v>
      </c>
      <c r="O12" s="446">
        <f t="shared" si="2"/>
        <v>0</v>
      </c>
      <c r="P12" s="446" t="s">
        <v>108</v>
      </c>
      <c r="Q12" s="446" t="s">
        <v>108</v>
      </c>
      <c r="R12" s="446">
        <f>SUM(R6)</f>
        <v>3</v>
      </c>
      <c r="S12" s="447"/>
      <c r="T12" s="447"/>
      <c r="U12" s="447"/>
      <c r="V12" s="447"/>
      <c r="W12" s="448"/>
      <c r="X12" s="461" t="s">
        <v>163</v>
      </c>
      <c r="Y12" s="449">
        <f t="shared" ref="Y12:AN12" si="3">SUM(Y6)</f>
        <v>1</v>
      </c>
      <c r="Z12" s="446">
        <f t="shared" si="3"/>
        <v>1</v>
      </c>
      <c r="AA12" s="446">
        <f t="shared" si="3"/>
        <v>0</v>
      </c>
      <c r="AB12" s="446">
        <f t="shared" si="3"/>
        <v>0</v>
      </c>
      <c r="AC12" s="450">
        <f t="shared" si="3"/>
        <v>0</v>
      </c>
      <c r="AD12" s="450">
        <f t="shared" si="3"/>
        <v>0</v>
      </c>
      <c r="AE12" s="450">
        <f t="shared" si="3"/>
        <v>0</v>
      </c>
      <c r="AF12" s="450">
        <f t="shared" si="3"/>
        <v>0</v>
      </c>
      <c r="AG12" s="451">
        <f t="shared" si="3"/>
        <v>0</v>
      </c>
      <c r="AH12" s="451">
        <f t="shared" si="3"/>
        <v>0</v>
      </c>
      <c r="AI12" s="451">
        <f t="shared" si="3"/>
        <v>0</v>
      </c>
      <c r="AJ12" s="451">
        <f t="shared" si="3"/>
        <v>0</v>
      </c>
      <c r="AK12" s="452">
        <f t="shared" si="3"/>
        <v>1</v>
      </c>
      <c r="AL12" s="452">
        <f t="shared" si="3"/>
        <v>1</v>
      </c>
      <c r="AM12" s="452">
        <f t="shared" si="3"/>
        <v>0</v>
      </c>
      <c r="AN12" s="452">
        <f t="shared" si="3"/>
        <v>0</v>
      </c>
    </row>
    <row r="13" spans="1:46" ht="14.95" thickBot="1" x14ac:dyDescent="0.3">
      <c r="A13" s="438"/>
      <c r="B13" s="439"/>
      <c r="C13" s="1040" t="s">
        <v>611</v>
      </c>
      <c r="D13" s="1041"/>
      <c r="E13" s="1042"/>
      <c r="F13" s="685">
        <f t="shared" ref="F13:R13" si="4">SUM(F7:F10)</f>
        <v>110</v>
      </c>
      <c r="G13" s="685">
        <f t="shared" si="4"/>
        <v>108</v>
      </c>
      <c r="H13" s="685">
        <f t="shared" si="4"/>
        <v>2</v>
      </c>
      <c r="I13" s="685">
        <f t="shared" si="4"/>
        <v>1</v>
      </c>
      <c r="J13" s="685">
        <f t="shared" si="4"/>
        <v>17</v>
      </c>
      <c r="K13" s="685">
        <f t="shared" si="4"/>
        <v>7</v>
      </c>
      <c r="L13" s="685">
        <f t="shared" si="4"/>
        <v>0</v>
      </c>
      <c r="M13" s="685">
        <f t="shared" si="4"/>
        <v>3</v>
      </c>
      <c r="N13" s="685">
        <f t="shared" si="4"/>
        <v>3</v>
      </c>
      <c r="O13" s="685">
        <f t="shared" si="4"/>
        <v>0</v>
      </c>
      <c r="P13" s="685">
        <f t="shared" si="4"/>
        <v>2</v>
      </c>
      <c r="Q13" s="685">
        <f t="shared" si="4"/>
        <v>0</v>
      </c>
      <c r="R13" s="685">
        <f t="shared" si="4"/>
        <v>14</v>
      </c>
      <c r="S13" s="686"/>
      <c r="T13" s="686"/>
      <c r="U13" s="686"/>
      <c r="V13" s="686"/>
      <c r="W13" s="687"/>
      <c r="X13" s="688" t="s">
        <v>611</v>
      </c>
      <c r="Y13" s="689">
        <f t="shared" ref="Y13:AN13" si="5">SUM(Y7:Y10)</f>
        <v>4</v>
      </c>
      <c r="Z13" s="690">
        <f t="shared" si="5"/>
        <v>1</v>
      </c>
      <c r="AA13" s="685">
        <f t="shared" si="5"/>
        <v>0</v>
      </c>
      <c r="AB13" s="685">
        <f t="shared" si="5"/>
        <v>3</v>
      </c>
      <c r="AC13" s="691">
        <f t="shared" si="5"/>
        <v>0</v>
      </c>
      <c r="AD13" s="691">
        <f t="shared" si="5"/>
        <v>0</v>
      </c>
      <c r="AE13" s="691">
        <f t="shared" si="5"/>
        <v>0</v>
      </c>
      <c r="AF13" s="691">
        <f t="shared" si="5"/>
        <v>0</v>
      </c>
      <c r="AG13" s="692">
        <f t="shared" si="5"/>
        <v>0</v>
      </c>
      <c r="AH13" s="692">
        <f t="shared" si="5"/>
        <v>0</v>
      </c>
      <c r="AI13" s="692">
        <f t="shared" si="5"/>
        <v>0</v>
      </c>
      <c r="AJ13" s="692">
        <f t="shared" si="5"/>
        <v>0</v>
      </c>
      <c r="AK13" s="693">
        <f t="shared" si="5"/>
        <v>4</v>
      </c>
      <c r="AL13" s="693">
        <f t="shared" si="5"/>
        <v>1</v>
      </c>
      <c r="AM13" s="693">
        <f t="shared" si="5"/>
        <v>0</v>
      </c>
      <c r="AN13" s="693">
        <f t="shared" si="5"/>
        <v>3</v>
      </c>
    </row>
    <row r="14" spans="1:46" ht="14.95" thickBot="1" x14ac:dyDescent="0.3">
      <c r="A14" s="438"/>
      <c r="B14" s="439"/>
      <c r="C14" s="1040" t="s">
        <v>612</v>
      </c>
      <c r="D14" s="1041"/>
      <c r="E14" s="1042"/>
      <c r="F14" s="694">
        <v>0</v>
      </c>
      <c r="G14" s="685">
        <v>0</v>
      </c>
      <c r="H14" s="685" t="s">
        <v>108</v>
      </c>
      <c r="I14" s="685" t="s">
        <v>108</v>
      </c>
      <c r="J14" s="685">
        <v>0</v>
      </c>
      <c r="K14" s="685">
        <v>0</v>
      </c>
      <c r="L14" s="685">
        <v>0</v>
      </c>
      <c r="M14" s="685">
        <v>0</v>
      </c>
      <c r="N14" s="685">
        <v>0</v>
      </c>
      <c r="O14" s="685">
        <v>0</v>
      </c>
      <c r="P14" s="685" t="s">
        <v>108</v>
      </c>
      <c r="Q14" s="685" t="s">
        <v>108</v>
      </c>
      <c r="R14" s="685">
        <v>0</v>
      </c>
      <c r="S14" s="686"/>
      <c r="T14" s="686"/>
      <c r="U14" s="686"/>
      <c r="V14" s="686"/>
      <c r="W14" s="687"/>
      <c r="X14" s="688" t="s">
        <v>612</v>
      </c>
      <c r="Y14" s="689">
        <v>0</v>
      </c>
      <c r="Z14" s="690">
        <v>0</v>
      </c>
      <c r="AA14" s="685">
        <v>0</v>
      </c>
      <c r="AB14" s="685">
        <v>0</v>
      </c>
      <c r="AC14" s="691">
        <v>0</v>
      </c>
      <c r="AD14" s="691">
        <v>0</v>
      </c>
      <c r="AE14" s="691">
        <v>0</v>
      </c>
      <c r="AF14" s="691">
        <v>0</v>
      </c>
      <c r="AG14" s="692">
        <v>0</v>
      </c>
      <c r="AH14" s="692">
        <v>0</v>
      </c>
      <c r="AI14" s="692">
        <v>0</v>
      </c>
      <c r="AJ14" s="692">
        <v>0</v>
      </c>
      <c r="AK14" s="693">
        <v>0</v>
      </c>
      <c r="AL14" s="693">
        <v>0</v>
      </c>
      <c r="AM14" s="693">
        <v>0</v>
      </c>
      <c r="AN14" s="693">
        <v>0</v>
      </c>
    </row>
    <row r="15" spans="1:46" ht="14.95" thickBot="1" x14ac:dyDescent="0.3">
      <c r="A15" s="438"/>
      <c r="B15" s="439"/>
      <c r="C15" s="1040" t="s">
        <v>613</v>
      </c>
      <c r="D15" s="1041"/>
      <c r="E15" s="1042"/>
      <c r="F15" s="685">
        <f>SUM(F13:F14)</f>
        <v>110</v>
      </c>
      <c r="G15" s="685">
        <f t="shared" ref="G15:R15" si="6">SUM(G13:G14)</f>
        <v>108</v>
      </c>
      <c r="H15" s="685">
        <f t="shared" si="6"/>
        <v>2</v>
      </c>
      <c r="I15" s="685">
        <f t="shared" si="6"/>
        <v>1</v>
      </c>
      <c r="J15" s="685">
        <f t="shared" si="6"/>
        <v>17</v>
      </c>
      <c r="K15" s="685">
        <f t="shared" si="6"/>
        <v>7</v>
      </c>
      <c r="L15" s="685">
        <f t="shared" si="6"/>
        <v>0</v>
      </c>
      <c r="M15" s="685">
        <f t="shared" si="6"/>
        <v>3</v>
      </c>
      <c r="N15" s="685">
        <f t="shared" si="6"/>
        <v>3</v>
      </c>
      <c r="O15" s="685">
        <f t="shared" si="6"/>
        <v>0</v>
      </c>
      <c r="P15" s="685">
        <f t="shared" si="6"/>
        <v>2</v>
      </c>
      <c r="Q15" s="685">
        <f t="shared" si="6"/>
        <v>0</v>
      </c>
      <c r="R15" s="685">
        <f t="shared" si="6"/>
        <v>14</v>
      </c>
      <c r="S15" s="686"/>
      <c r="T15" s="686"/>
      <c r="U15" s="686"/>
      <c r="V15" s="686"/>
      <c r="W15" s="687"/>
      <c r="X15" s="688" t="s">
        <v>613</v>
      </c>
      <c r="Y15" s="689">
        <f t="shared" ref="Y15:AN15" si="7">SUM(Y13:Y14)</f>
        <v>4</v>
      </c>
      <c r="Z15" s="690">
        <f t="shared" si="7"/>
        <v>1</v>
      </c>
      <c r="AA15" s="685">
        <f t="shared" si="7"/>
        <v>0</v>
      </c>
      <c r="AB15" s="685">
        <f t="shared" si="7"/>
        <v>3</v>
      </c>
      <c r="AC15" s="691">
        <f t="shared" si="7"/>
        <v>0</v>
      </c>
      <c r="AD15" s="691">
        <f t="shared" si="7"/>
        <v>0</v>
      </c>
      <c r="AE15" s="691">
        <f t="shared" si="7"/>
        <v>0</v>
      </c>
      <c r="AF15" s="691">
        <f t="shared" si="7"/>
        <v>0</v>
      </c>
      <c r="AG15" s="692">
        <f t="shared" si="7"/>
        <v>0</v>
      </c>
      <c r="AH15" s="692">
        <f t="shared" si="7"/>
        <v>0</v>
      </c>
      <c r="AI15" s="692">
        <f t="shared" si="7"/>
        <v>0</v>
      </c>
      <c r="AJ15" s="692">
        <f t="shared" si="7"/>
        <v>0</v>
      </c>
      <c r="AK15" s="693">
        <f t="shared" si="7"/>
        <v>4</v>
      </c>
      <c r="AL15" s="693">
        <f t="shared" si="7"/>
        <v>1</v>
      </c>
      <c r="AM15" s="693">
        <f t="shared" si="7"/>
        <v>0</v>
      </c>
      <c r="AN15" s="693">
        <f t="shared" si="7"/>
        <v>3</v>
      </c>
    </row>
    <row r="16" spans="1:46" ht="14.95" thickBot="1" x14ac:dyDescent="0.3">
      <c r="A16" s="438"/>
      <c r="B16" s="439"/>
      <c r="C16" s="1034" t="s">
        <v>112</v>
      </c>
      <c r="D16" s="1035"/>
      <c r="E16" s="1036"/>
      <c r="F16" s="453">
        <f t="shared" ref="F16:R16" si="8">SUM(F3:F10)</f>
        <v>208</v>
      </c>
      <c r="G16" s="453">
        <f t="shared" si="8"/>
        <v>177</v>
      </c>
      <c r="H16" s="453">
        <f t="shared" si="8"/>
        <v>3</v>
      </c>
      <c r="I16" s="453">
        <f t="shared" si="8"/>
        <v>1</v>
      </c>
      <c r="J16" s="453">
        <f t="shared" si="8"/>
        <v>32</v>
      </c>
      <c r="K16" s="453">
        <f t="shared" si="8"/>
        <v>17</v>
      </c>
      <c r="L16" s="453">
        <f t="shared" si="8"/>
        <v>0</v>
      </c>
      <c r="M16" s="453">
        <f t="shared" si="8"/>
        <v>4</v>
      </c>
      <c r="N16" s="453">
        <f t="shared" si="8"/>
        <v>6</v>
      </c>
      <c r="O16" s="453">
        <f t="shared" si="8"/>
        <v>0</v>
      </c>
      <c r="P16" s="453">
        <f t="shared" si="8"/>
        <v>3</v>
      </c>
      <c r="Q16" s="453">
        <f t="shared" si="8"/>
        <v>1</v>
      </c>
      <c r="R16" s="453">
        <f t="shared" si="8"/>
        <v>23</v>
      </c>
      <c r="S16" s="454"/>
      <c r="T16" s="454"/>
      <c r="U16" s="454"/>
      <c r="V16" s="454"/>
      <c r="W16" s="455"/>
      <c r="X16" s="462" t="s">
        <v>112</v>
      </c>
      <c r="Y16" s="453">
        <f t="shared" ref="Y16:AN16" si="9">SUM(Y3:Y10)</f>
        <v>8</v>
      </c>
      <c r="Z16" s="453">
        <f t="shared" si="9"/>
        <v>4</v>
      </c>
      <c r="AA16" s="453">
        <f t="shared" si="9"/>
        <v>0</v>
      </c>
      <c r="AB16" s="453">
        <f t="shared" si="9"/>
        <v>4</v>
      </c>
      <c r="AC16" s="456">
        <f t="shared" si="9"/>
        <v>2</v>
      </c>
      <c r="AD16" s="456">
        <f t="shared" si="9"/>
        <v>2</v>
      </c>
      <c r="AE16" s="456">
        <f t="shared" si="9"/>
        <v>0</v>
      </c>
      <c r="AF16" s="456">
        <f t="shared" si="9"/>
        <v>0</v>
      </c>
      <c r="AG16" s="457">
        <f t="shared" si="9"/>
        <v>1</v>
      </c>
      <c r="AH16" s="457">
        <f t="shared" si="9"/>
        <v>0</v>
      </c>
      <c r="AI16" s="457">
        <f t="shared" si="9"/>
        <v>0</v>
      </c>
      <c r="AJ16" s="457">
        <f t="shared" si="9"/>
        <v>1</v>
      </c>
      <c r="AK16" s="458">
        <f t="shared" si="9"/>
        <v>5</v>
      </c>
      <c r="AL16" s="458">
        <f t="shared" si="9"/>
        <v>2</v>
      </c>
      <c r="AM16" s="458">
        <f t="shared" si="9"/>
        <v>0</v>
      </c>
      <c r="AN16" s="458">
        <f t="shared" si="9"/>
        <v>3</v>
      </c>
    </row>
    <row r="17" spans="1:2" x14ac:dyDescent="0.25">
      <c r="A17" t="s">
        <v>587</v>
      </c>
    </row>
    <row r="18" spans="1:2" x14ac:dyDescent="0.25">
      <c r="A18" t="s">
        <v>820</v>
      </c>
    </row>
    <row r="19" spans="1:2" x14ac:dyDescent="0.25">
      <c r="A19" t="s">
        <v>700</v>
      </c>
    </row>
    <row r="20" spans="1:2" x14ac:dyDescent="0.25">
      <c r="A20" t="s">
        <v>701</v>
      </c>
    </row>
    <row r="21" spans="1:2" x14ac:dyDescent="0.25">
      <c r="A21" s="253" t="s">
        <v>950</v>
      </c>
    </row>
    <row r="22" spans="1:2" x14ac:dyDescent="0.25">
      <c r="A22" s="159"/>
      <c r="B22" t="s">
        <v>44</v>
      </c>
    </row>
    <row r="23" spans="1:2" x14ac:dyDescent="0.25">
      <c r="A23" s="157"/>
      <c r="B23" t="s">
        <v>42</v>
      </c>
    </row>
    <row r="24" spans="1:2" x14ac:dyDescent="0.25">
      <c r="A24" s="158"/>
      <c r="B24" t="s">
        <v>43</v>
      </c>
    </row>
    <row r="25" spans="1:2" x14ac:dyDescent="0.25">
      <c r="A25" s="15" t="s">
        <v>28</v>
      </c>
    </row>
  </sheetData>
  <mergeCells count="16">
    <mergeCell ref="C16:E16"/>
    <mergeCell ref="H1:I1"/>
    <mergeCell ref="A1:C1"/>
    <mergeCell ref="E1:G1"/>
    <mergeCell ref="C11:E11"/>
    <mergeCell ref="C12:E12"/>
    <mergeCell ref="C13:E13"/>
    <mergeCell ref="C14:E14"/>
    <mergeCell ref="C15:E15"/>
    <mergeCell ref="Y1:AB1"/>
    <mergeCell ref="AC1:AF1"/>
    <mergeCell ref="AG1:AJ1"/>
    <mergeCell ref="AK1:AN1"/>
    <mergeCell ref="J1:M1"/>
    <mergeCell ref="N1:O1"/>
    <mergeCell ref="P1:R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T31"/>
  <sheetViews>
    <sheetView workbookViewId="0">
      <pane ySplit="2" topLeftCell="A3" activePane="bottomLeft" state="frozen"/>
      <selection pane="bottomLeft" activeCell="W12" sqref="W12"/>
    </sheetView>
  </sheetViews>
  <sheetFormatPr defaultRowHeight="14.95" customHeight="1" x14ac:dyDescent="0.25"/>
  <cols>
    <col min="1" max="1" width="7.5" customWidth="1"/>
    <col min="2" max="2" width="5.5" customWidth="1"/>
    <col min="3" max="3" width="11.5" customWidth="1"/>
    <col min="4" max="4" width="4.875" bestFit="1" customWidth="1"/>
    <col min="5" max="18" width="3.75" customWidth="1"/>
    <col min="19" max="20" width="6.25" customWidth="1"/>
    <col min="21" max="21" width="25.875" bestFit="1" customWidth="1"/>
    <col min="22" max="22" width="22" bestFit="1" customWidth="1"/>
    <col min="23" max="23" width="25.875" bestFit="1" customWidth="1"/>
    <col min="24" max="24" width="21.875" bestFit="1" customWidth="1"/>
    <col min="25" max="40" width="3.7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1123" t="s">
        <v>169</v>
      </c>
      <c r="B1" s="1124"/>
      <c r="C1" s="1124"/>
      <c r="D1" s="272"/>
      <c r="E1" s="1125" t="s">
        <v>24</v>
      </c>
      <c r="F1" s="1126"/>
      <c r="G1" s="1127"/>
      <c r="H1" s="1125" t="s">
        <v>23</v>
      </c>
      <c r="I1" s="1127"/>
      <c r="J1" s="1120" t="s">
        <v>6</v>
      </c>
      <c r="K1" s="1122"/>
      <c r="L1" s="1122"/>
      <c r="M1" s="1121"/>
      <c r="N1" s="1120" t="s">
        <v>7</v>
      </c>
      <c r="O1" s="1121"/>
      <c r="P1" s="1120" t="s">
        <v>25</v>
      </c>
      <c r="Q1" s="1122"/>
      <c r="R1" s="1121"/>
      <c r="S1" s="916" t="s">
        <v>8</v>
      </c>
      <c r="T1" s="916" t="s">
        <v>9</v>
      </c>
      <c r="U1" s="274" t="s">
        <v>10</v>
      </c>
      <c r="V1" s="273" t="s">
        <v>11</v>
      </c>
      <c r="W1" s="275" t="s">
        <v>26</v>
      </c>
      <c r="X1" s="276" t="s">
        <v>27</v>
      </c>
      <c r="Y1" s="1119" t="s">
        <v>20</v>
      </c>
      <c r="Z1" s="1044"/>
      <c r="AA1" s="1044"/>
      <c r="AB1" s="1045"/>
      <c r="AC1" s="1119" t="s">
        <v>61</v>
      </c>
      <c r="AD1" s="1044"/>
      <c r="AE1" s="1044"/>
      <c r="AF1" s="1045"/>
      <c r="AG1" s="1119" t="s">
        <v>62</v>
      </c>
      <c r="AH1" s="1044"/>
      <c r="AI1" s="1044"/>
      <c r="AJ1" s="1045"/>
      <c r="AK1" s="1119" t="s">
        <v>63</v>
      </c>
      <c r="AL1" s="1044"/>
      <c r="AM1" s="1044"/>
      <c r="AN1" s="1045"/>
      <c r="AP1" s="277" t="s">
        <v>673</v>
      </c>
      <c r="AQ1" s="868"/>
      <c r="AR1" s="868"/>
      <c r="AS1" s="277" t="s">
        <v>673</v>
      </c>
    </row>
    <row r="2" spans="1:46" ht="14.95" customHeight="1" thickBot="1" x14ac:dyDescent="0.3">
      <c r="A2" s="278" t="s">
        <v>19</v>
      </c>
      <c r="B2" s="279" t="s">
        <v>18</v>
      </c>
      <c r="C2" s="280" t="s">
        <v>17</v>
      </c>
      <c r="D2" s="280" t="s">
        <v>41</v>
      </c>
      <c r="E2" s="281" t="s">
        <v>16</v>
      </c>
      <c r="F2" s="281" t="s">
        <v>4</v>
      </c>
      <c r="G2" s="281" t="s">
        <v>5</v>
      </c>
      <c r="H2" s="282" t="s">
        <v>12</v>
      </c>
      <c r="I2" s="282" t="s">
        <v>3</v>
      </c>
      <c r="J2" s="282" t="s">
        <v>12</v>
      </c>
      <c r="K2" s="282" t="s">
        <v>13</v>
      </c>
      <c r="L2" s="282" t="s">
        <v>2</v>
      </c>
      <c r="M2" s="282" t="s">
        <v>14</v>
      </c>
      <c r="N2" s="282" t="s">
        <v>15</v>
      </c>
      <c r="O2" s="282" t="s">
        <v>16</v>
      </c>
      <c r="P2" s="282" t="s">
        <v>21</v>
      </c>
      <c r="Q2" s="282" t="s">
        <v>22</v>
      </c>
      <c r="R2" s="282" t="s">
        <v>12</v>
      </c>
      <c r="S2" s="283"/>
      <c r="T2" s="284"/>
      <c r="U2" s="285"/>
      <c r="V2" s="283"/>
      <c r="W2" s="286"/>
      <c r="X2" s="287"/>
      <c r="Y2" s="273" t="s">
        <v>0</v>
      </c>
      <c r="Z2" s="273" t="s">
        <v>1</v>
      </c>
      <c r="AA2" s="273" t="s">
        <v>2</v>
      </c>
      <c r="AB2" s="273" t="s">
        <v>3</v>
      </c>
      <c r="AC2" s="273" t="s">
        <v>0</v>
      </c>
      <c r="AD2" s="273" t="s">
        <v>1</v>
      </c>
      <c r="AE2" s="273" t="s">
        <v>2</v>
      </c>
      <c r="AF2" s="273" t="s">
        <v>3</v>
      </c>
      <c r="AG2" s="273" t="s">
        <v>0</v>
      </c>
      <c r="AH2" s="273" t="s">
        <v>1</v>
      </c>
      <c r="AI2" s="273" t="s">
        <v>2</v>
      </c>
      <c r="AJ2" s="273" t="s">
        <v>3</v>
      </c>
      <c r="AK2" s="273" t="s">
        <v>0</v>
      </c>
      <c r="AL2" s="273" t="s">
        <v>1</v>
      </c>
      <c r="AM2" s="273" t="s">
        <v>2</v>
      </c>
      <c r="AN2" s="273" t="s">
        <v>3</v>
      </c>
      <c r="AP2" s="592" t="s">
        <v>112</v>
      </c>
      <c r="AQ2" s="253"/>
      <c r="AS2" s="672" t="s">
        <v>610</v>
      </c>
      <c r="AT2" s="253"/>
    </row>
    <row r="3" spans="1:46" ht="14.95" customHeight="1" thickBot="1" x14ac:dyDescent="0.3">
      <c r="A3" s="407">
        <v>43505</v>
      </c>
      <c r="B3" s="178" t="s">
        <v>118</v>
      </c>
      <c r="C3" s="178" t="s">
        <v>244</v>
      </c>
      <c r="D3" s="178" t="s">
        <v>245</v>
      </c>
      <c r="E3" s="179" t="s">
        <v>1</v>
      </c>
      <c r="F3" s="179">
        <v>18</v>
      </c>
      <c r="G3" s="179">
        <v>9</v>
      </c>
      <c r="H3" s="179">
        <v>0</v>
      </c>
      <c r="I3" s="179">
        <v>0</v>
      </c>
      <c r="J3" s="179">
        <v>2</v>
      </c>
      <c r="K3" s="179">
        <v>0</v>
      </c>
      <c r="L3" s="179">
        <v>0</v>
      </c>
      <c r="M3" s="179">
        <v>2</v>
      </c>
      <c r="N3" s="179">
        <v>0</v>
      </c>
      <c r="O3" s="179">
        <v>0</v>
      </c>
      <c r="P3" s="179">
        <v>0</v>
      </c>
      <c r="Q3" s="179">
        <v>0</v>
      </c>
      <c r="R3" s="179">
        <v>0</v>
      </c>
      <c r="S3" s="180">
        <v>1500</v>
      </c>
      <c r="T3" s="223" t="s">
        <v>317</v>
      </c>
      <c r="U3" s="181" t="s">
        <v>313</v>
      </c>
      <c r="V3" s="180" t="s">
        <v>314</v>
      </c>
      <c r="W3" s="182" t="s">
        <v>315</v>
      </c>
      <c r="X3" s="183" t="s">
        <v>316</v>
      </c>
      <c r="Y3" s="184">
        <v>1</v>
      </c>
      <c r="Z3" s="184">
        <v>1</v>
      </c>
      <c r="AA3" s="184">
        <v>0</v>
      </c>
      <c r="AB3" s="185">
        <v>0</v>
      </c>
      <c r="AC3" s="184">
        <v>0</v>
      </c>
      <c r="AD3" s="184">
        <v>0</v>
      </c>
      <c r="AE3" s="184">
        <v>0</v>
      </c>
      <c r="AF3" s="185">
        <v>0</v>
      </c>
      <c r="AG3" s="184">
        <v>1</v>
      </c>
      <c r="AH3" s="184">
        <v>1</v>
      </c>
      <c r="AI3" s="184">
        <v>0</v>
      </c>
      <c r="AJ3" s="185">
        <v>0</v>
      </c>
      <c r="AK3" s="184">
        <v>0</v>
      </c>
      <c r="AL3" s="184">
        <v>0</v>
      </c>
      <c r="AM3" s="184">
        <v>0</v>
      </c>
      <c r="AN3" s="185">
        <v>0</v>
      </c>
      <c r="AP3" s="849" t="s">
        <v>627</v>
      </c>
      <c r="AQ3" s="850">
        <f>Georgiaalltestshistplayed</f>
        <v>229</v>
      </c>
      <c r="AS3" s="849" t="s">
        <v>627</v>
      </c>
      <c r="AT3" s="850">
        <f>GeorgiaRWChistplayed</f>
        <v>20</v>
      </c>
    </row>
    <row r="4" spans="1:46" ht="14.95" customHeight="1" thickBot="1" x14ac:dyDescent="0.35">
      <c r="A4" s="195">
        <v>43513</v>
      </c>
      <c r="B4" s="196" t="s">
        <v>118</v>
      </c>
      <c r="C4" s="196" t="s">
        <v>253</v>
      </c>
      <c r="D4" s="196" t="s">
        <v>140</v>
      </c>
      <c r="E4" s="197" t="s">
        <v>1</v>
      </c>
      <c r="F4" s="197">
        <v>24</v>
      </c>
      <c r="G4" s="197">
        <v>10</v>
      </c>
      <c r="H4" s="197">
        <v>0</v>
      </c>
      <c r="I4" s="197">
        <v>0</v>
      </c>
      <c r="J4" s="197">
        <v>4</v>
      </c>
      <c r="K4" s="197">
        <v>2</v>
      </c>
      <c r="L4" s="197">
        <v>0</v>
      </c>
      <c r="M4" s="197">
        <v>0</v>
      </c>
      <c r="N4" s="197">
        <v>0</v>
      </c>
      <c r="O4" s="197">
        <v>0</v>
      </c>
      <c r="P4" s="197">
        <v>0</v>
      </c>
      <c r="Q4" s="197">
        <v>0</v>
      </c>
      <c r="R4" s="197">
        <v>2</v>
      </c>
      <c r="S4" s="209">
        <v>3000</v>
      </c>
      <c r="T4" s="346" t="s">
        <v>340</v>
      </c>
      <c r="U4" s="210" t="s">
        <v>341</v>
      </c>
      <c r="V4" s="209" t="s">
        <v>314</v>
      </c>
      <c r="W4" s="198" t="s">
        <v>342</v>
      </c>
      <c r="X4" s="211" t="s">
        <v>343</v>
      </c>
      <c r="Y4" s="212">
        <v>1</v>
      </c>
      <c r="Z4" s="212">
        <v>1</v>
      </c>
      <c r="AA4" s="212">
        <v>0</v>
      </c>
      <c r="AB4" s="213">
        <v>0</v>
      </c>
      <c r="AC4" s="212">
        <v>1</v>
      </c>
      <c r="AD4" s="212">
        <v>1</v>
      </c>
      <c r="AE4" s="212">
        <v>0</v>
      </c>
      <c r="AF4" s="213">
        <v>0</v>
      </c>
      <c r="AG4" s="212">
        <v>0</v>
      </c>
      <c r="AH4" s="212">
        <v>0</v>
      </c>
      <c r="AI4" s="212">
        <v>0</v>
      </c>
      <c r="AJ4" s="213">
        <v>0</v>
      </c>
      <c r="AK4" s="212">
        <v>0</v>
      </c>
      <c r="AL4" s="212">
        <v>0</v>
      </c>
      <c r="AM4" s="212">
        <v>0</v>
      </c>
      <c r="AN4" s="213">
        <v>0</v>
      </c>
      <c r="AP4" s="851" t="s">
        <v>628</v>
      </c>
      <c r="AQ4" s="852">
        <f>Georgiaalltestshistwon</f>
        <v>141</v>
      </c>
      <c r="AS4" s="851" t="s">
        <v>628</v>
      </c>
      <c r="AT4" s="852">
        <f>GeorgiaRWChistwon</f>
        <v>5</v>
      </c>
    </row>
    <row r="5" spans="1:46" ht="14.95" customHeight="1" thickBot="1" x14ac:dyDescent="0.35">
      <c r="A5" s="187">
        <v>43526</v>
      </c>
      <c r="B5" s="178" t="s">
        <v>118</v>
      </c>
      <c r="C5" s="178" t="s">
        <v>241</v>
      </c>
      <c r="D5" s="178" t="s">
        <v>360</v>
      </c>
      <c r="E5" s="179" t="s">
        <v>1</v>
      </c>
      <c r="F5" s="179">
        <v>46</v>
      </c>
      <c r="G5" s="179">
        <v>6</v>
      </c>
      <c r="H5" s="179">
        <v>1</v>
      </c>
      <c r="I5" s="179">
        <v>0</v>
      </c>
      <c r="J5" s="179">
        <v>8</v>
      </c>
      <c r="K5" s="179">
        <v>3</v>
      </c>
      <c r="L5" s="179">
        <v>0</v>
      </c>
      <c r="M5" s="179">
        <v>0</v>
      </c>
      <c r="N5" s="179">
        <v>0</v>
      </c>
      <c r="O5" s="179">
        <v>0</v>
      </c>
      <c r="P5" s="179">
        <v>0</v>
      </c>
      <c r="Q5" s="179">
        <v>0</v>
      </c>
      <c r="R5" s="179">
        <v>0</v>
      </c>
      <c r="S5" s="180">
        <v>2000</v>
      </c>
      <c r="T5" s="396" t="s">
        <v>362</v>
      </c>
      <c r="U5" s="181" t="s">
        <v>363</v>
      </c>
      <c r="V5" s="180" t="s">
        <v>314</v>
      </c>
      <c r="W5" s="182" t="s">
        <v>364</v>
      </c>
      <c r="X5" s="183" t="s">
        <v>365</v>
      </c>
      <c r="Y5" s="184">
        <v>1</v>
      </c>
      <c r="Z5" s="184">
        <v>1</v>
      </c>
      <c r="AA5" s="184">
        <v>0</v>
      </c>
      <c r="AB5" s="185">
        <v>0</v>
      </c>
      <c r="AC5" s="184">
        <v>0</v>
      </c>
      <c r="AD5" s="184">
        <v>0</v>
      </c>
      <c r="AE5" s="184">
        <v>0</v>
      </c>
      <c r="AF5" s="185">
        <v>0</v>
      </c>
      <c r="AG5" s="184">
        <v>1</v>
      </c>
      <c r="AH5" s="184">
        <v>1</v>
      </c>
      <c r="AI5" s="184">
        <v>0</v>
      </c>
      <c r="AJ5" s="185">
        <v>0</v>
      </c>
      <c r="AK5" s="184">
        <v>0</v>
      </c>
      <c r="AL5" s="184">
        <v>0</v>
      </c>
      <c r="AM5" s="184">
        <v>0</v>
      </c>
      <c r="AN5" s="185">
        <v>0</v>
      </c>
      <c r="AP5" s="851" t="s">
        <v>634</v>
      </c>
      <c r="AQ5" s="852">
        <f>Georgiaalltestshistdrawn</f>
        <v>7</v>
      </c>
      <c r="AS5" s="851" t="s">
        <v>634</v>
      </c>
      <c r="AT5" s="852">
        <f>GeorgiaRWChistdrawn</f>
        <v>0</v>
      </c>
    </row>
    <row r="6" spans="1:46" ht="14.95" customHeight="1" thickBot="1" x14ac:dyDescent="0.35">
      <c r="A6" s="195">
        <v>43534</v>
      </c>
      <c r="B6" s="196" t="s">
        <v>118</v>
      </c>
      <c r="C6" s="196" t="s">
        <v>242</v>
      </c>
      <c r="D6" s="196" t="s">
        <v>395</v>
      </c>
      <c r="E6" s="197" t="s">
        <v>1</v>
      </c>
      <c r="F6" s="197">
        <v>52</v>
      </c>
      <c r="G6" s="197">
        <v>3</v>
      </c>
      <c r="H6" s="197">
        <v>1</v>
      </c>
      <c r="I6" s="197">
        <v>0</v>
      </c>
      <c r="J6" s="197">
        <v>8</v>
      </c>
      <c r="K6" s="197">
        <v>6</v>
      </c>
      <c r="L6" s="197">
        <v>0</v>
      </c>
      <c r="M6" s="197">
        <v>0</v>
      </c>
      <c r="N6" s="197">
        <v>1</v>
      </c>
      <c r="O6" s="197">
        <v>0</v>
      </c>
      <c r="P6" s="197">
        <v>0</v>
      </c>
      <c r="Q6" s="197">
        <v>0</v>
      </c>
      <c r="R6" s="197">
        <v>0</v>
      </c>
      <c r="S6" s="209">
        <v>6000</v>
      </c>
      <c r="T6" s="346" t="s">
        <v>396</v>
      </c>
      <c r="U6" s="210" t="s">
        <v>397</v>
      </c>
      <c r="V6" s="209" t="s">
        <v>314</v>
      </c>
      <c r="W6" s="198" t="s">
        <v>398</v>
      </c>
      <c r="X6" s="211" t="s">
        <v>399</v>
      </c>
      <c r="Y6" s="212">
        <v>1</v>
      </c>
      <c r="Z6" s="212">
        <v>1</v>
      </c>
      <c r="AA6" s="212">
        <v>0</v>
      </c>
      <c r="AB6" s="213">
        <v>0</v>
      </c>
      <c r="AC6" s="212">
        <v>1</v>
      </c>
      <c r="AD6" s="212">
        <v>1</v>
      </c>
      <c r="AE6" s="212">
        <v>0</v>
      </c>
      <c r="AF6" s="213">
        <v>0</v>
      </c>
      <c r="AG6" s="212">
        <v>0</v>
      </c>
      <c r="AH6" s="212">
        <v>0</v>
      </c>
      <c r="AI6" s="212">
        <v>0</v>
      </c>
      <c r="AJ6" s="213">
        <v>0</v>
      </c>
      <c r="AK6" s="212">
        <v>0</v>
      </c>
      <c r="AL6" s="212">
        <v>0</v>
      </c>
      <c r="AM6" s="212">
        <v>0</v>
      </c>
      <c r="AN6" s="213">
        <v>0</v>
      </c>
      <c r="AP6" s="851" t="s">
        <v>629</v>
      </c>
      <c r="AQ6" s="852">
        <f>Georgiaalltestshistlost</f>
        <v>81</v>
      </c>
      <c r="AS6" s="851" t="s">
        <v>629</v>
      </c>
      <c r="AT6" s="852">
        <f>GeorgiaRWChistlost</f>
        <v>15</v>
      </c>
    </row>
    <row r="7" spans="1:46" ht="14.95" customHeight="1" thickBot="1" x14ac:dyDescent="0.35">
      <c r="A7" s="187">
        <v>43541</v>
      </c>
      <c r="B7" s="178" t="s">
        <v>118</v>
      </c>
      <c r="C7" s="178" t="s">
        <v>105</v>
      </c>
      <c r="D7" s="178" t="s">
        <v>406</v>
      </c>
      <c r="E7" s="179" t="s">
        <v>1</v>
      </c>
      <c r="F7" s="179">
        <v>22</v>
      </c>
      <c r="G7" s="179">
        <v>6</v>
      </c>
      <c r="H7" s="179">
        <v>1</v>
      </c>
      <c r="I7" s="179">
        <v>0</v>
      </c>
      <c r="J7" s="179">
        <v>3</v>
      </c>
      <c r="K7" s="179">
        <v>1</v>
      </c>
      <c r="L7" s="179">
        <v>0</v>
      </c>
      <c r="M7" s="179">
        <v>1</v>
      </c>
      <c r="N7" s="179">
        <v>0</v>
      </c>
      <c r="O7" s="179">
        <v>0</v>
      </c>
      <c r="P7" s="179">
        <v>0</v>
      </c>
      <c r="Q7" s="179">
        <v>0</v>
      </c>
      <c r="R7" s="179">
        <v>0</v>
      </c>
      <c r="S7" s="180">
        <v>5850</v>
      </c>
      <c r="T7" s="396" t="s">
        <v>226</v>
      </c>
      <c r="U7" s="181" t="s">
        <v>407</v>
      </c>
      <c r="V7" s="180" t="s">
        <v>314</v>
      </c>
      <c r="W7" s="182" t="s">
        <v>408</v>
      </c>
      <c r="X7" s="183" t="s">
        <v>409</v>
      </c>
      <c r="Y7" s="184">
        <v>1</v>
      </c>
      <c r="Z7" s="184">
        <v>1</v>
      </c>
      <c r="AA7" s="184">
        <v>0</v>
      </c>
      <c r="AB7" s="185">
        <v>0</v>
      </c>
      <c r="AC7" s="184">
        <v>0</v>
      </c>
      <c r="AD7" s="184">
        <v>0</v>
      </c>
      <c r="AE7" s="184">
        <v>0</v>
      </c>
      <c r="AF7" s="185">
        <v>0</v>
      </c>
      <c r="AG7" s="184">
        <v>1</v>
      </c>
      <c r="AH7" s="184">
        <v>1</v>
      </c>
      <c r="AI7" s="184">
        <v>0</v>
      </c>
      <c r="AJ7" s="185">
        <v>0</v>
      </c>
      <c r="AK7" s="184">
        <v>0</v>
      </c>
      <c r="AL7" s="184">
        <v>0</v>
      </c>
      <c r="AM7" s="184">
        <v>0</v>
      </c>
      <c r="AN7" s="185">
        <v>0</v>
      </c>
      <c r="AP7" s="851" t="s">
        <v>635</v>
      </c>
      <c r="AQ7" s="852">
        <f>Georgiaalltestshistptsscored</f>
        <v>5313</v>
      </c>
      <c r="AS7" s="851" t="s">
        <v>635</v>
      </c>
      <c r="AT7" s="852">
        <f>GeorgiaRWChistptsscored</f>
        <v>262</v>
      </c>
    </row>
    <row r="8" spans="1:46" ht="14.95" customHeight="1" thickBot="1" x14ac:dyDescent="0.3">
      <c r="A8" s="195">
        <v>43708</v>
      </c>
      <c r="B8" s="196" t="s">
        <v>45</v>
      </c>
      <c r="C8" s="196" t="s">
        <v>35</v>
      </c>
      <c r="D8" s="196" t="s">
        <v>601</v>
      </c>
      <c r="E8" s="197" t="s">
        <v>3</v>
      </c>
      <c r="F8" s="197">
        <v>10</v>
      </c>
      <c r="G8" s="197">
        <v>44</v>
      </c>
      <c r="H8" s="197" t="s">
        <v>108</v>
      </c>
      <c r="I8" s="197" t="s">
        <v>108</v>
      </c>
      <c r="J8" s="197">
        <v>1</v>
      </c>
      <c r="K8" s="197">
        <v>1</v>
      </c>
      <c r="L8" s="197">
        <v>0</v>
      </c>
      <c r="M8" s="197">
        <v>1</v>
      </c>
      <c r="N8" s="197">
        <v>0</v>
      </c>
      <c r="O8" s="197">
        <v>0</v>
      </c>
      <c r="P8" s="197" t="s">
        <v>108</v>
      </c>
      <c r="Q8" s="197" t="s">
        <v>108</v>
      </c>
      <c r="R8" s="197">
        <v>5</v>
      </c>
      <c r="S8" s="209">
        <v>45000</v>
      </c>
      <c r="T8" s="222" t="s">
        <v>823</v>
      </c>
      <c r="U8" s="210" t="s">
        <v>136</v>
      </c>
      <c r="V8" s="209" t="s">
        <v>824</v>
      </c>
      <c r="W8" s="198" t="s">
        <v>427</v>
      </c>
      <c r="X8" s="211" t="s">
        <v>384</v>
      </c>
      <c r="Y8" s="198">
        <v>1</v>
      </c>
      <c r="Z8" s="198">
        <v>0</v>
      </c>
      <c r="AA8" s="198">
        <v>0</v>
      </c>
      <c r="AB8" s="233">
        <v>1</v>
      </c>
      <c r="AC8" s="198">
        <v>1</v>
      </c>
      <c r="AD8" s="198">
        <v>0</v>
      </c>
      <c r="AE8" s="198">
        <v>0</v>
      </c>
      <c r="AF8" s="233">
        <v>1</v>
      </c>
      <c r="AG8" s="198">
        <v>0</v>
      </c>
      <c r="AH8" s="198">
        <v>0</v>
      </c>
      <c r="AI8" s="198">
        <v>0</v>
      </c>
      <c r="AJ8" s="233">
        <v>0</v>
      </c>
      <c r="AK8" s="198">
        <v>0</v>
      </c>
      <c r="AL8" s="198">
        <v>0</v>
      </c>
      <c r="AM8" s="198">
        <v>0</v>
      </c>
      <c r="AN8" s="233">
        <v>0</v>
      </c>
      <c r="AP8" s="851" t="s">
        <v>636</v>
      </c>
      <c r="AQ8" s="852">
        <f>Georgiaalltestshistptsagainst</f>
        <v>4153</v>
      </c>
      <c r="AS8" s="851" t="s">
        <v>636</v>
      </c>
      <c r="AT8" s="852">
        <f>GeorgiaRWChistptsagainst</f>
        <v>646</v>
      </c>
    </row>
    <row r="9" spans="1:46" ht="14.95" customHeight="1" thickBot="1" x14ac:dyDescent="0.3">
      <c r="A9" s="187">
        <v>43714</v>
      </c>
      <c r="B9" s="178" t="s">
        <v>45</v>
      </c>
      <c r="C9" s="178" t="s">
        <v>35</v>
      </c>
      <c r="D9" s="178" t="s">
        <v>125</v>
      </c>
      <c r="E9" s="179" t="s">
        <v>3</v>
      </c>
      <c r="F9" s="179">
        <v>9</v>
      </c>
      <c r="G9" s="179">
        <v>36</v>
      </c>
      <c r="H9" s="179" t="s">
        <v>108</v>
      </c>
      <c r="I9" s="179" t="s">
        <v>108</v>
      </c>
      <c r="J9" s="179">
        <v>0</v>
      </c>
      <c r="K9" s="179">
        <v>0</v>
      </c>
      <c r="L9" s="179">
        <v>0</v>
      </c>
      <c r="M9" s="179">
        <v>3</v>
      </c>
      <c r="N9" s="179">
        <v>2</v>
      </c>
      <c r="O9" s="179">
        <v>0</v>
      </c>
      <c r="P9" s="179" t="s">
        <v>108</v>
      </c>
      <c r="Q9" s="179" t="s">
        <v>108</v>
      </c>
      <c r="R9" s="179">
        <v>6</v>
      </c>
      <c r="S9" s="180">
        <v>53406</v>
      </c>
      <c r="T9" s="223" t="s">
        <v>837</v>
      </c>
      <c r="U9" s="181" t="s">
        <v>130</v>
      </c>
      <c r="V9" s="180" t="s">
        <v>131</v>
      </c>
      <c r="W9" s="182" t="s">
        <v>129</v>
      </c>
      <c r="X9" s="183" t="s">
        <v>233</v>
      </c>
      <c r="Y9" s="182">
        <v>1</v>
      </c>
      <c r="Z9" s="182">
        <v>0</v>
      </c>
      <c r="AA9" s="182">
        <v>0</v>
      </c>
      <c r="AB9" s="186">
        <v>1</v>
      </c>
      <c r="AC9" s="182">
        <v>0</v>
      </c>
      <c r="AD9" s="182">
        <v>0</v>
      </c>
      <c r="AE9" s="182">
        <v>0</v>
      </c>
      <c r="AF9" s="186">
        <v>0</v>
      </c>
      <c r="AG9" s="182">
        <v>1</v>
      </c>
      <c r="AH9" s="182">
        <v>0</v>
      </c>
      <c r="AI9" s="182">
        <v>0</v>
      </c>
      <c r="AJ9" s="186">
        <v>1</v>
      </c>
      <c r="AK9" s="182">
        <v>0</v>
      </c>
      <c r="AL9" s="182">
        <v>0</v>
      </c>
      <c r="AM9" s="182">
        <v>0</v>
      </c>
      <c r="AN9" s="186">
        <v>0</v>
      </c>
      <c r="AP9" s="851" t="s">
        <v>623</v>
      </c>
      <c r="AQ9" s="852">
        <f>Georgiaalltestshisttriesscored</f>
        <v>640</v>
      </c>
      <c r="AS9" s="851" t="s">
        <v>623</v>
      </c>
      <c r="AT9" s="852">
        <f>GeorgiaRWChisttriesscored</f>
        <v>23</v>
      </c>
    </row>
    <row r="10" spans="1:46" ht="14.95" customHeight="1" thickBot="1" x14ac:dyDescent="0.3">
      <c r="A10" s="188">
        <v>43731</v>
      </c>
      <c r="B10" s="189" t="s">
        <v>158</v>
      </c>
      <c r="C10" s="189" t="s">
        <v>32</v>
      </c>
      <c r="D10" s="189" t="s">
        <v>128</v>
      </c>
      <c r="E10" s="190" t="s">
        <v>3</v>
      </c>
      <c r="F10" s="190">
        <v>14</v>
      </c>
      <c r="G10" s="190">
        <v>43</v>
      </c>
      <c r="H10" s="190">
        <v>0</v>
      </c>
      <c r="I10" s="190">
        <v>0</v>
      </c>
      <c r="J10" s="190">
        <v>2</v>
      </c>
      <c r="K10" s="190">
        <v>2</v>
      </c>
      <c r="L10" s="190">
        <v>0</v>
      </c>
      <c r="M10" s="190">
        <v>0</v>
      </c>
      <c r="N10" s="190">
        <v>1</v>
      </c>
      <c r="O10" s="190">
        <v>0</v>
      </c>
      <c r="P10" s="190">
        <v>1</v>
      </c>
      <c r="Q10" s="190">
        <v>0</v>
      </c>
      <c r="R10" s="190">
        <v>6</v>
      </c>
      <c r="S10" s="203">
        <v>35000</v>
      </c>
      <c r="T10" s="406" t="s">
        <v>883</v>
      </c>
      <c r="U10" s="204" t="s">
        <v>133</v>
      </c>
      <c r="V10" s="203" t="s">
        <v>131</v>
      </c>
      <c r="W10" s="204" t="s">
        <v>276</v>
      </c>
      <c r="X10" s="191" t="s">
        <v>295</v>
      </c>
      <c r="Y10" s="206">
        <v>1</v>
      </c>
      <c r="Z10" s="206">
        <v>0</v>
      </c>
      <c r="AA10" s="206">
        <v>0</v>
      </c>
      <c r="AB10" s="207">
        <v>1</v>
      </c>
      <c r="AC10" s="206">
        <v>0</v>
      </c>
      <c r="AD10" s="206">
        <v>0</v>
      </c>
      <c r="AE10" s="206">
        <v>0</v>
      </c>
      <c r="AF10" s="207">
        <v>0</v>
      </c>
      <c r="AG10" s="206">
        <v>0</v>
      </c>
      <c r="AH10" s="206">
        <v>0</v>
      </c>
      <c r="AI10" s="206">
        <v>0</v>
      </c>
      <c r="AJ10" s="207">
        <v>0</v>
      </c>
      <c r="AK10" s="206">
        <v>1</v>
      </c>
      <c r="AL10" s="206">
        <v>0</v>
      </c>
      <c r="AM10" s="206">
        <v>0</v>
      </c>
      <c r="AN10" s="207">
        <v>1</v>
      </c>
    </row>
    <row r="11" spans="1:46" ht="14.95" customHeight="1" thickBot="1" x14ac:dyDescent="0.35">
      <c r="A11" s="579">
        <v>43737</v>
      </c>
      <c r="B11" s="513" t="s">
        <v>158</v>
      </c>
      <c r="C11" s="513" t="s">
        <v>107</v>
      </c>
      <c r="D11" s="513" t="s">
        <v>603</v>
      </c>
      <c r="E11" s="190" t="s">
        <v>1</v>
      </c>
      <c r="F11" s="190">
        <v>33</v>
      </c>
      <c r="G11" s="190">
        <v>7</v>
      </c>
      <c r="H11" s="190">
        <v>1</v>
      </c>
      <c r="I11" s="190">
        <v>0</v>
      </c>
      <c r="J11" s="190">
        <v>5</v>
      </c>
      <c r="K11" s="190">
        <v>4</v>
      </c>
      <c r="L11" s="190">
        <v>0</v>
      </c>
      <c r="M11" s="190">
        <v>0</v>
      </c>
      <c r="N11" s="190">
        <v>0</v>
      </c>
      <c r="O11" s="190">
        <v>0</v>
      </c>
      <c r="P11" s="190">
        <v>0</v>
      </c>
      <c r="Q11" s="190">
        <v>0</v>
      </c>
      <c r="R11" s="190">
        <v>1</v>
      </c>
      <c r="S11" s="203">
        <v>24895</v>
      </c>
      <c r="T11" s="411" t="s">
        <v>216</v>
      </c>
      <c r="U11" s="204" t="s">
        <v>132</v>
      </c>
      <c r="V11" s="203" t="s">
        <v>270</v>
      </c>
      <c r="W11" s="191" t="s">
        <v>273</v>
      </c>
      <c r="X11" s="205" t="s">
        <v>212</v>
      </c>
      <c r="Y11" s="206">
        <v>1</v>
      </c>
      <c r="Z11" s="206">
        <v>1</v>
      </c>
      <c r="AA11" s="206">
        <v>0</v>
      </c>
      <c r="AB11" s="207">
        <v>0</v>
      </c>
      <c r="AC11" s="206">
        <v>0</v>
      </c>
      <c r="AD11" s="206">
        <v>0</v>
      </c>
      <c r="AE11" s="206">
        <v>0</v>
      </c>
      <c r="AF11" s="207">
        <v>0</v>
      </c>
      <c r="AG11" s="206">
        <v>0</v>
      </c>
      <c r="AH11" s="206">
        <v>0</v>
      </c>
      <c r="AI11" s="206">
        <v>0</v>
      </c>
      <c r="AJ11" s="207">
        <v>0</v>
      </c>
      <c r="AK11" s="206">
        <v>1</v>
      </c>
      <c r="AL11" s="206">
        <v>1</v>
      </c>
      <c r="AM11" s="206">
        <v>0</v>
      </c>
      <c r="AN11" s="207">
        <v>0</v>
      </c>
    </row>
    <row r="12" spans="1:46" ht="14.95" customHeight="1" thickBot="1" x14ac:dyDescent="0.3">
      <c r="A12" s="579">
        <v>43741</v>
      </c>
      <c r="B12" s="513" t="s">
        <v>158</v>
      </c>
      <c r="C12" s="513" t="s">
        <v>31</v>
      </c>
      <c r="D12" s="513" t="s">
        <v>872</v>
      </c>
      <c r="E12" s="580" t="s">
        <v>3</v>
      </c>
      <c r="F12" s="580">
        <v>10</v>
      </c>
      <c r="G12" s="190">
        <v>45</v>
      </c>
      <c r="H12" s="190">
        <v>0</v>
      </c>
      <c r="I12" s="190">
        <v>0</v>
      </c>
      <c r="J12" s="190">
        <v>1</v>
      </c>
      <c r="K12" s="190">
        <v>1</v>
      </c>
      <c r="L12" s="190">
        <v>0</v>
      </c>
      <c r="M12" s="190">
        <v>1</v>
      </c>
      <c r="N12" s="190">
        <v>0</v>
      </c>
      <c r="O12" s="190">
        <v>0</v>
      </c>
      <c r="P12" s="190">
        <v>1</v>
      </c>
      <c r="Q12" s="190">
        <v>0</v>
      </c>
      <c r="R12" s="190">
        <v>7</v>
      </c>
      <c r="S12" s="191">
        <v>21069</v>
      </c>
      <c r="T12" s="926" t="s">
        <v>928</v>
      </c>
      <c r="U12" s="191" t="s">
        <v>927</v>
      </c>
      <c r="V12" s="191" t="s">
        <v>232</v>
      </c>
      <c r="W12" s="191" t="s">
        <v>229</v>
      </c>
      <c r="X12" s="191" t="s">
        <v>295</v>
      </c>
      <c r="Y12" s="206">
        <v>1</v>
      </c>
      <c r="Z12" s="206">
        <v>0</v>
      </c>
      <c r="AA12" s="206">
        <v>0</v>
      </c>
      <c r="AB12" s="207">
        <v>1</v>
      </c>
      <c r="AC12" s="206">
        <v>0</v>
      </c>
      <c r="AD12" s="206">
        <v>0</v>
      </c>
      <c r="AE12" s="206">
        <v>0</v>
      </c>
      <c r="AF12" s="207">
        <v>0</v>
      </c>
      <c r="AG12" s="206">
        <v>0</v>
      </c>
      <c r="AH12" s="206">
        <v>0</v>
      </c>
      <c r="AI12" s="206">
        <v>0</v>
      </c>
      <c r="AJ12" s="207">
        <v>0</v>
      </c>
      <c r="AK12" s="206">
        <v>1</v>
      </c>
      <c r="AL12" s="206">
        <v>0</v>
      </c>
      <c r="AM12" s="206">
        <v>0</v>
      </c>
      <c r="AN12" s="207">
        <v>1</v>
      </c>
    </row>
    <row r="13" spans="1:46" ht="14.95" customHeight="1" thickBot="1" x14ac:dyDescent="0.3">
      <c r="A13" s="188">
        <v>43749</v>
      </c>
      <c r="B13" s="483" t="s">
        <v>158</v>
      </c>
      <c r="C13" s="189" t="s">
        <v>29</v>
      </c>
      <c r="D13" s="483" t="s">
        <v>172</v>
      </c>
      <c r="E13" s="190" t="s">
        <v>3</v>
      </c>
      <c r="F13" s="190">
        <v>8</v>
      </c>
      <c r="G13" s="190">
        <v>27</v>
      </c>
      <c r="H13" s="190">
        <v>0</v>
      </c>
      <c r="I13" s="190">
        <v>0</v>
      </c>
      <c r="J13" s="190">
        <v>1</v>
      </c>
      <c r="K13" s="190">
        <v>0</v>
      </c>
      <c r="L13" s="190">
        <v>0</v>
      </c>
      <c r="M13" s="190">
        <v>1</v>
      </c>
      <c r="N13" s="190">
        <v>0</v>
      </c>
      <c r="O13" s="190">
        <v>0</v>
      </c>
      <c r="P13" s="190">
        <v>1</v>
      </c>
      <c r="Q13" s="190">
        <v>0</v>
      </c>
      <c r="R13" s="190">
        <v>4</v>
      </c>
      <c r="S13" s="191">
        <v>39802</v>
      </c>
      <c r="T13" s="926" t="s">
        <v>228</v>
      </c>
      <c r="U13" s="191" t="s">
        <v>211</v>
      </c>
      <c r="V13" s="191" t="s">
        <v>270</v>
      </c>
      <c r="W13" s="191" t="s">
        <v>138</v>
      </c>
      <c r="X13" s="191" t="s">
        <v>149</v>
      </c>
      <c r="Y13" s="206">
        <v>1</v>
      </c>
      <c r="Z13" s="206">
        <v>0</v>
      </c>
      <c r="AA13" s="206">
        <v>0</v>
      </c>
      <c r="AB13" s="207">
        <v>1</v>
      </c>
      <c r="AC13" s="206">
        <v>0</v>
      </c>
      <c r="AD13" s="206">
        <v>0</v>
      </c>
      <c r="AE13" s="206">
        <v>0</v>
      </c>
      <c r="AF13" s="207">
        <v>0</v>
      </c>
      <c r="AG13" s="206">
        <v>0</v>
      </c>
      <c r="AH13" s="206">
        <v>0</v>
      </c>
      <c r="AI13" s="206">
        <v>0</v>
      </c>
      <c r="AJ13" s="207">
        <v>0</v>
      </c>
      <c r="AK13" s="206">
        <v>1</v>
      </c>
      <c r="AL13" s="206">
        <v>0</v>
      </c>
      <c r="AM13" s="206">
        <v>0</v>
      </c>
      <c r="AN13" s="207">
        <v>1</v>
      </c>
    </row>
    <row r="14" spans="1:46" ht="14.95" customHeight="1" thickBot="1" x14ac:dyDescent="0.3">
      <c r="A14" s="438"/>
      <c r="B14" s="439"/>
      <c r="C14" s="1069" t="s">
        <v>117</v>
      </c>
      <c r="D14" s="1070"/>
      <c r="E14" s="1071"/>
      <c r="F14" s="433">
        <f t="shared" ref="F14:R14" si="0">SUM(F3:F7)</f>
        <v>162</v>
      </c>
      <c r="G14" s="433">
        <f t="shared" si="0"/>
        <v>34</v>
      </c>
      <c r="H14" s="433">
        <f t="shared" si="0"/>
        <v>3</v>
      </c>
      <c r="I14" s="433">
        <f t="shared" si="0"/>
        <v>0</v>
      </c>
      <c r="J14" s="433">
        <f t="shared" si="0"/>
        <v>25</v>
      </c>
      <c r="K14" s="433">
        <f t="shared" si="0"/>
        <v>12</v>
      </c>
      <c r="L14" s="433">
        <f t="shared" si="0"/>
        <v>0</v>
      </c>
      <c r="M14" s="433">
        <f t="shared" si="0"/>
        <v>3</v>
      </c>
      <c r="N14" s="433">
        <f t="shared" si="0"/>
        <v>1</v>
      </c>
      <c r="O14" s="433">
        <f t="shared" si="0"/>
        <v>0</v>
      </c>
      <c r="P14" s="433">
        <f t="shared" si="0"/>
        <v>0</v>
      </c>
      <c r="Q14" s="433">
        <f t="shared" si="0"/>
        <v>0</v>
      </c>
      <c r="R14" s="433">
        <f t="shared" si="0"/>
        <v>2</v>
      </c>
      <c r="W14" s="434"/>
      <c r="X14" s="459" t="s">
        <v>117</v>
      </c>
      <c r="Y14" s="433">
        <f t="shared" ref="Y14:AN14" si="1">SUM(Y3:Y7)</f>
        <v>5</v>
      </c>
      <c r="Z14" s="433">
        <f t="shared" si="1"/>
        <v>5</v>
      </c>
      <c r="AA14" s="433">
        <f t="shared" si="1"/>
        <v>0</v>
      </c>
      <c r="AB14" s="433">
        <f t="shared" si="1"/>
        <v>0</v>
      </c>
      <c r="AC14" s="435">
        <f t="shared" si="1"/>
        <v>2</v>
      </c>
      <c r="AD14" s="435">
        <f t="shared" si="1"/>
        <v>2</v>
      </c>
      <c r="AE14" s="435">
        <f t="shared" si="1"/>
        <v>0</v>
      </c>
      <c r="AF14" s="435">
        <f t="shared" si="1"/>
        <v>0</v>
      </c>
      <c r="AG14" s="436">
        <f t="shared" si="1"/>
        <v>3</v>
      </c>
      <c r="AH14" s="436">
        <f t="shared" si="1"/>
        <v>3</v>
      </c>
      <c r="AI14" s="436">
        <f t="shared" si="1"/>
        <v>0</v>
      </c>
      <c r="AJ14" s="436">
        <f t="shared" si="1"/>
        <v>0</v>
      </c>
      <c r="AK14" s="437">
        <f t="shared" si="1"/>
        <v>0</v>
      </c>
      <c r="AL14" s="437">
        <f t="shared" si="1"/>
        <v>0</v>
      </c>
      <c r="AM14" s="437">
        <f t="shared" si="1"/>
        <v>0</v>
      </c>
      <c r="AN14" s="437">
        <f t="shared" si="1"/>
        <v>0</v>
      </c>
    </row>
    <row r="15" spans="1:46" ht="14.95" customHeight="1" thickBot="1" x14ac:dyDescent="0.3">
      <c r="A15" s="438"/>
      <c r="B15" s="439"/>
      <c r="C15" s="1037" t="s">
        <v>163</v>
      </c>
      <c r="D15" s="1038"/>
      <c r="E15" s="1039"/>
      <c r="F15" s="446">
        <f>SUM(F8:F9)</f>
        <v>19</v>
      </c>
      <c r="G15" s="446">
        <f>SUM(G8:G9)</f>
        <v>80</v>
      </c>
      <c r="H15" s="446" t="s">
        <v>108</v>
      </c>
      <c r="I15" s="446" t="s">
        <v>108</v>
      </c>
      <c r="J15" s="446">
        <f t="shared" ref="J15:O15" si="2">SUM(J8:J9)</f>
        <v>1</v>
      </c>
      <c r="K15" s="446">
        <f t="shared" si="2"/>
        <v>1</v>
      </c>
      <c r="L15" s="446">
        <f t="shared" si="2"/>
        <v>0</v>
      </c>
      <c r="M15" s="446">
        <f t="shared" si="2"/>
        <v>4</v>
      </c>
      <c r="N15" s="446">
        <f t="shared" si="2"/>
        <v>2</v>
      </c>
      <c r="O15" s="446">
        <f t="shared" si="2"/>
        <v>0</v>
      </c>
      <c r="P15" s="446" t="s">
        <v>108</v>
      </c>
      <c r="Q15" s="446" t="s">
        <v>108</v>
      </c>
      <c r="R15" s="446">
        <f>SUM(R8:R9)</f>
        <v>11</v>
      </c>
      <c r="S15" s="447"/>
      <c r="T15" s="447"/>
      <c r="U15" s="447"/>
      <c r="V15" s="447"/>
      <c r="W15" s="448"/>
      <c r="X15" s="623" t="s">
        <v>163</v>
      </c>
      <c r="Y15" s="638">
        <f t="shared" ref="Y15:AN15" si="3">SUM(Y8:Y9)</f>
        <v>2</v>
      </c>
      <c r="Z15" s="639">
        <f t="shared" si="3"/>
        <v>0</v>
      </c>
      <c r="AA15" s="446">
        <f t="shared" si="3"/>
        <v>0</v>
      </c>
      <c r="AB15" s="446">
        <f t="shared" si="3"/>
        <v>2</v>
      </c>
      <c r="AC15" s="450">
        <f t="shared" si="3"/>
        <v>1</v>
      </c>
      <c r="AD15" s="450">
        <f t="shared" si="3"/>
        <v>0</v>
      </c>
      <c r="AE15" s="450">
        <f t="shared" si="3"/>
        <v>0</v>
      </c>
      <c r="AF15" s="450">
        <f t="shared" si="3"/>
        <v>1</v>
      </c>
      <c r="AG15" s="451">
        <f t="shared" si="3"/>
        <v>1</v>
      </c>
      <c r="AH15" s="451">
        <f t="shared" si="3"/>
        <v>0</v>
      </c>
      <c r="AI15" s="451">
        <f t="shared" si="3"/>
        <v>0</v>
      </c>
      <c r="AJ15" s="451">
        <f t="shared" si="3"/>
        <v>1</v>
      </c>
      <c r="AK15" s="452">
        <f t="shared" si="3"/>
        <v>0</v>
      </c>
      <c r="AL15" s="452">
        <f t="shared" si="3"/>
        <v>0</v>
      </c>
      <c r="AM15" s="452">
        <f t="shared" si="3"/>
        <v>0</v>
      </c>
      <c r="AN15" s="452">
        <f t="shared" si="3"/>
        <v>0</v>
      </c>
    </row>
    <row r="16" spans="1:46" ht="14.95" customHeight="1" thickBot="1" x14ac:dyDescent="0.3">
      <c r="A16" s="438"/>
      <c r="B16" s="439"/>
      <c r="C16" s="1040" t="s">
        <v>611</v>
      </c>
      <c r="D16" s="1041"/>
      <c r="E16" s="1042"/>
      <c r="F16" s="685">
        <f t="shared" ref="F16:R16" si="4">SUM(F10:F13)</f>
        <v>65</v>
      </c>
      <c r="G16" s="685">
        <f t="shared" si="4"/>
        <v>122</v>
      </c>
      <c r="H16" s="685">
        <f t="shared" si="4"/>
        <v>1</v>
      </c>
      <c r="I16" s="685">
        <f t="shared" si="4"/>
        <v>0</v>
      </c>
      <c r="J16" s="685">
        <f t="shared" si="4"/>
        <v>9</v>
      </c>
      <c r="K16" s="685">
        <f t="shared" si="4"/>
        <v>7</v>
      </c>
      <c r="L16" s="685">
        <f t="shared" si="4"/>
        <v>0</v>
      </c>
      <c r="M16" s="685">
        <f t="shared" si="4"/>
        <v>2</v>
      </c>
      <c r="N16" s="685">
        <f t="shared" si="4"/>
        <v>1</v>
      </c>
      <c r="O16" s="685">
        <f t="shared" si="4"/>
        <v>0</v>
      </c>
      <c r="P16" s="685">
        <f t="shared" si="4"/>
        <v>3</v>
      </c>
      <c r="Q16" s="685">
        <f t="shared" si="4"/>
        <v>0</v>
      </c>
      <c r="R16" s="685">
        <f t="shared" si="4"/>
        <v>18</v>
      </c>
      <c r="S16" s="686"/>
      <c r="T16" s="686"/>
      <c r="U16" s="686"/>
      <c r="V16" s="686"/>
      <c r="W16" s="687"/>
      <c r="X16" s="688" t="s">
        <v>611</v>
      </c>
      <c r="Y16" s="689">
        <f t="shared" ref="Y16:AN16" si="5">SUM(Y10:Y13)</f>
        <v>4</v>
      </c>
      <c r="Z16" s="690">
        <f t="shared" si="5"/>
        <v>1</v>
      </c>
      <c r="AA16" s="685">
        <f t="shared" si="5"/>
        <v>0</v>
      </c>
      <c r="AB16" s="685">
        <f t="shared" si="5"/>
        <v>3</v>
      </c>
      <c r="AC16" s="691">
        <f t="shared" si="5"/>
        <v>0</v>
      </c>
      <c r="AD16" s="691">
        <f t="shared" si="5"/>
        <v>0</v>
      </c>
      <c r="AE16" s="691">
        <f t="shared" si="5"/>
        <v>0</v>
      </c>
      <c r="AF16" s="691">
        <f t="shared" si="5"/>
        <v>0</v>
      </c>
      <c r="AG16" s="692">
        <f t="shared" si="5"/>
        <v>0</v>
      </c>
      <c r="AH16" s="692">
        <f t="shared" si="5"/>
        <v>0</v>
      </c>
      <c r="AI16" s="692">
        <f t="shared" si="5"/>
        <v>0</v>
      </c>
      <c r="AJ16" s="692">
        <f t="shared" si="5"/>
        <v>0</v>
      </c>
      <c r="AK16" s="693">
        <f t="shared" si="5"/>
        <v>4</v>
      </c>
      <c r="AL16" s="693">
        <f t="shared" si="5"/>
        <v>1</v>
      </c>
      <c r="AM16" s="693">
        <f t="shared" si="5"/>
        <v>0</v>
      </c>
      <c r="AN16" s="693">
        <f t="shared" si="5"/>
        <v>3</v>
      </c>
    </row>
    <row r="17" spans="1:40" ht="14.95" customHeight="1" thickBot="1" x14ac:dyDescent="0.3">
      <c r="A17" s="438"/>
      <c r="B17" s="439"/>
      <c r="C17" s="1040" t="s">
        <v>612</v>
      </c>
      <c r="D17" s="1041"/>
      <c r="E17" s="1042"/>
      <c r="F17" s="694" t="s">
        <v>108</v>
      </c>
      <c r="G17" s="685" t="s">
        <v>108</v>
      </c>
      <c r="H17" s="685" t="s">
        <v>108</v>
      </c>
      <c r="I17" s="685" t="s">
        <v>108</v>
      </c>
      <c r="J17" s="685" t="s">
        <v>108</v>
      </c>
      <c r="K17" s="685" t="s">
        <v>108</v>
      </c>
      <c r="L17" s="685" t="s">
        <v>108</v>
      </c>
      <c r="M17" s="685" t="s">
        <v>108</v>
      </c>
      <c r="N17" s="685" t="s">
        <v>108</v>
      </c>
      <c r="O17" s="685" t="s">
        <v>108</v>
      </c>
      <c r="P17" s="685" t="s">
        <v>108</v>
      </c>
      <c r="Q17" s="685" t="s">
        <v>108</v>
      </c>
      <c r="R17" s="685" t="s">
        <v>108</v>
      </c>
      <c r="S17" s="686"/>
      <c r="T17" s="686"/>
      <c r="U17" s="686"/>
      <c r="V17" s="686"/>
      <c r="W17" s="687"/>
      <c r="X17" s="688" t="s">
        <v>612</v>
      </c>
      <c r="Y17" s="689" t="s">
        <v>108</v>
      </c>
      <c r="Z17" s="690" t="s">
        <v>108</v>
      </c>
      <c r="AA17" s="685" t="s">
        <v>108</v>
      </c>
      <c r="AB17" s="685" t="s">
        <v>108</v>
      </c>
      <c r="AC17" s="691" t="s">
        <v>108</v>
      </c>
      <c r="AD17" s="691" t="s">
        <v>108</v>
      </c>
      <c r="AE17" s="691" t="s">
        <v>108</v>
      </c>
      <c r="AF17" s="691" t="s">
        <v>108</v>
      </c>
      <c r="AG17" s="692" t="s">
        <v>108</v>
      </c>
      <c r="AH17" s="692" t="s">
        <v>108</v>
      </c>
      <c r="AI17" s="692" t="s">
        <v>108</v>
      </c>
      <c r="AJ17" s="692" t="s">
        <v>108</v>
      </c>
      <c r="AK17" s="693" t="s">
        <v>108</v>
      </c>
      <c r="AL17" s="693" t="s">
        <v>108</v>
      </c>
      <c r="AM17" s="693" t="s">
        <v>108</v>
      </c>
      <c r="AN17" s="693" t="s">
        <v>108</v>
      </c>
    </row>
    <row r="18" spans="1:40" ht="14.95" customHeight="1" thickBot="1" x14ac:dyDescent="0.3">
      <c r="A18" s="438"/>
      <c r="B18" s="439"/>
      <c r="C18" s="1040" t="s">
        <v>613</v>
      </c>
      <c r="D18" s="1041"/>
      <c r="E18" s="1042"/>
      <c r="F18" s="685">
        <f>SUM(F16:F17)</f>
        <v>65</v>
      </c>
      <c r="G18" s="685">
        <f t="shared" ref="G18:R18" si="6">SUM(G16:G17)</f>
        <v>122</v>
      </c>
      <c r="H18" s="685">
        <f t="shared" si="6"/>
        <v>1</v>
      </c>
      <c r="I18" s="685">
        <f t="shared" si="6"/>
        <v>0</v>
      </c>
      <c r="J18" s="685">
        <f t="shared" si="6"/>
        <v>9</v>
      </c>
      <c r="K18" s="685">
        <f t="shared" si="6"/>
        <v>7</v>
      </c>
      <c r="L18" s="685">
        <f t="shared" si="6"/>
        <v>0</v>
      </c>
      <c r="M18" s="685">
        <f t="shared" si="6"/>
        <v>2</v>
      </c>
      <c r="N18" s="685">
        <f t="shared" si="6"/>
        <v>1</v>
      </c>
      <c r="O18" s="685">
        <f t="shared" si="6"/>
        <v>0</v>
      </c>
      <c r="P18" s="685">
        <f t="shared" si="6"/>
        <v>3</v>
      </c>
      <c r="Q18" s="685">
        <f t="shared" si="6"/>
        <v>0</v>
      </c>
      <c r="R18" s="685">
        <f t="shared" si="6"/>
        <v>18</v>
      </c>
      <c r="S18" s="686"/>
      <c r="T18" s="686"/>
      <c r="U18" s="686"/>
      <c r="V18" s="686"/>
      <c r="W18" s="687"/>
      <c r="X18" s="688" t="s">
        <v>613</v>
      </c>
      <c r="Y18" s="689">
        <f t="shared" ref="Y18:AN18" si="7">SUM(Y16:Y17)</f>
        <v>4</v>
      </c>
      <c r="Z18" s="690">
        <f t="shared" si="7"/>
        <v>1</v>
      </c>
      <c r="AA18" s="685">
        <f t="shared" si="7"/>
        <v>0</v>
      </c>
      <c r="AB18" s="685">
        <f t="shared" si="7"/>
        <v>3</v>
      </c>
      <c r="AC18" s="691">
        <f t="shared" si="7"/>
        <v>0</v>
      </c>
      <c r="AD18" s="691">
        <f t="shared" si="7"/>
        <v>0</v>
      </c>
      <c r="AE18" s="691">
        <f t="shared" si="7"/>
        <v>0</v>
      </c>
      <c r="AF18" s="691">
        <f t="shared" si="7"/>
        <v>0</v>
      </c>
      <c r="AG18" s="692">
        <f t="shared" si="7"/>
        <v>0</v>
      </c>
      <c r="AH18" s="692">
        <f t="shared" si="7"/>
        <v>0</v>
      </c>
      <c r="AI18" s="692">
        <f t="shared" si="7"/>
        <v>0</v>
      </c>
      <c r="AJ18" s="692">
        <f t="shared" si="7"/>
        <v>0</v>
      </c>
      <c r="AK18" s="693">
        <f t="shared" si="7"/>
        <v>4</v>
      </c>
      <c r="AL18" s="693">
        <f t="shared" si="7"/>
        <v>1</v>
      </c>
      <c r="AM18" s="693">
        <f t="shared" si="7"/>
        <v>0</v>
      </c>
      <c r="AN18" s="693">
        <f t="shared" si="7"/>
        <v>3</v>
      </c>
    </row>
    <row r="19" spans="1:40" ht="14.95" customHeight="1" thickBot="1" x14ac:dyDescent="0.3">
      <c r="A19" s="438"/>
      <c r="B19" s="439"/>
      <c r="C19" s="1034" t="s">
        <v>112</v>
      </c>
      <c r="D19" s="1035"/>
      <c r="E19" s="1036"/>
      <c r="F19" s="453">
        <f t="shared" ref="F19:R19" si="8">SUM(F3:F13)</f>
        <v>246</v>
      </c>
      <c r="G19" s="453">
        <f t="shared" si="8"/>
        <v>236</v>
      </c>
      <c r="H19" s="453">
        <f t="shared" si="8"/>
        <v>4</v>
      </c>
      <c r="I19" s="453">
        <f t="shared" si="8"/>
        <v>0</v>
      </c>
      <c r="J19" s="453">
        <f t="shared" si="8"/>
        <v>35</v>
      </c>
      <c r="K19" s="453">
        <f t="shared" si="8"/>
        <v>20</v>
      </c>
      <c r="L19" s="453">
        <f t="shared" si="8"/>
        <v>0</v>
      </c>
      <c r="M19" s="453">
        <f t="shared" si="8"/>
        <v>9</v>
      </c>
      <c r="N19" s="453">
        <f t="shared" si="8"/>
        <v>4</v>
      </c>
      <c r="O19" s="453">
        <f t="shared" si="8"/>
        <v>0</v>
      </c>
      <c r="P19" s="453">
        <f t="shared" si="8"/>
        <v>3</v>
      </c>
      <c r="Q19" s="453">
        <f t="shared" si="8"/>
        <v>0</v>
      </c>
      <c r="R19" s="453">
        <f t="shared" si="8"/>
        <v>31</v>
      </c>
      <c r="S19" s="454"/>
      <c r="T19" s="454"/>
      <c r="U19" s="454"/>
      <c r="V19" s="454"/>
      <c r="W19" s="455"/>
      <c r="X19" s="462" t="s">
        <v>112</v>
      </c>
      <c r="Y19" s="453">
        <f t="shared" ref="Y19:AN19" si="9">SUM(Y3:Y13)</f>
        <v>11</v>
      </c>
      <c r="Z19" s="453">
        <f t="shared" si="9"/>
        <v>6</v>
      </c>
      <c r="AA19" s="453">
        <f t="shared" si="9"/>
        <v>0</v>
      </c>
      <c r="AB19" s="453">
        <f t="shared" si="9"/>
        <v>5</v>
      </c>
      <c r="AC19" s="456">
        <f t="shared" si="9"/>
        <v>3</v>
      </c>
      <c r="AD19" s="456">
        <f t="shared" si="9"/>
        <v>2</v>
      </c>
      <c r="AE19" s="456">
        <f t="shared" si="9"/>
        <v>0</v>
      </c>
      <c r="AF19" s="456">
        <f t="shared" si="9"/>
        <v>1</v>
      </c>
      <c r="AG19" s="457">
        <f t="shared" si="9"/>
        <v>4</v>
      </c>
      <c r="AH19" s="457">
        <f t="shared" si="9"/>
        <v>3</v>
      </c>
      <c r="AI19" s="457">
        <f t="shared" si="9"/>
        <v>0</v>
      </c>
      <c r="AJ19" s="457">
        <f t="shared" si="9"/>
        <v>1</v>
      </c>
      <c r="AK19" s="458">
        <f t="shared" si="9"/>
        <v>4</v>
      </c>
      <c r="AL19" s="458">
        <f t="shared" si="9"/>
        <v>1</v>
      </c>
      <c r="AM19" s="458">
        <f t="shared" si="9"/>
        <v>0</v>
      </c>
      <c r="AN19" s="458">
        <f t="shared" si="9"/>
        <v>3</v>
      </c>
    </row>
    <row r="20" spans="1:40" ht="14.95" customHeight="1" x14ac:dyDescent="0.25">
      <c r="A20" t="s">
        <v>361</v>
      </c>
      <c r="F20" s="14"/>
      <c r="G20" s="14"/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40" ht="14.95" customHeight="1" x14ac:dyDescent="0.25">
      <c r="A21" t="s">
        <v>597</v>
      </c>
      <c r="F21" s="14"/>
      <c r="G21" s="14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40" ht="14.95" customHeight="1" x14ac:dyDescent="0.25">
      <c r="A22" t="s">
        <v>602</v>
      </c>
      <c r="F22" s="14"/>
      <c r="G22" s="14"/>
      <c r="H22" s="13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40" ht="14.95" customHeight="1" x14ac:dyDescent="0.25">
      <c r="A23" t="s">
        <v>670</v>
      </c>
      <c r="F23" s="14"/>
      <c r="G23" s="14"/>
      <c r="H23" s="13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40" ht="14.95" customHeight="1" x14ac:dyDescent="0.25">
      <c r="A24" t="s">
        <v>868</v>
      </c>
      <c r="F24" s="14"/>
      <c r="G24" s="14"/>
      <c r="H24" s="13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40" ht="14.95" customHeight="1" x14ac:dyDescent="0.25">
      <c r="A25" t="s">
        <v>671</v>
      </c>
      <c r="F25" s="14"/>
      <c r="G25" s="14"/>
      <c r="H25" s="13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40" ht="14.95" customHeight="1" x14ac:dyDescent="0.25">
      <c r="A26" t="s">
        <v>681</v>
      </c>
      <c r="F26" s="14"/>
      <c r="G26" s="14"/>
      <c r="H26" s="13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40" ht="14.95" customHeight="1" x14ac:dyDescent="0.25">
      <c r="A27" t="s">
        <v>410</v>
      </c>
      <c r="F27" s="14"/>
      <c r="G27" s="14"/>
      <c r="H27" s="13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40" ht="14.95" customHeight="1" x14ac:dyDescent="0.25">
      <c r="A28" s="159"/>
      <c r="B28" t="s">
        <v>44</v>
      </c>
    </row>
    <row r="29" spans="1:40" ht="14.95" customHeight="1" x14ac:dyDescent="0.25">
      <c r="A29" s="157"/>
      <c r="B29" t="s">
        <v>42</v>
      </c>
    </row>
    <row r="30" spans="1:40" ht="14.95" customHeight="1" x14ac:dyDescent="0.25">
      <c r="A30" s="158"/>
      <c r="B30" t="s">
        <v>43</v>
      </c>
    </row>
    <row r="31" spans="1:40" ht="14.95" customHeight="1" x14ac:dyDescent="0.25">
      <c r="A31" s="15" t="s">
        <v>28</v>
      </c>
    </row>
  </sheetData>
  <mergeCells count="16">
    <mergeCell ref="Y1:AB1"/>
    <mergeCell ref="AC1:AF1"/>
    <mergeCell ref="AG1:AJ1"/>
    <mergeCell ref="AK1:AN1"/>
    <mergeCell ref="C19:E19"/>
    <mergeCell ref="N1:O1"/>
    <mergeCell ref="P1:R1"/>
    <mergeCell ref="A1:C1"/>
    <mergeCell ref="E1:G1"/>
    <mergeCell ref="H1:I1"/>
    <mergeCell ref="J1:M1"/>
    <mergeCell ref="C14:E14"/>
    <mergeCell ref="C15:E15"/>
    <mergeCell ref="C16:E16"/>
    <mergeCell ref="C17:E17"/>
    <mergeCell ref="C18:E1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T32"/>
  <sheetViews>
    <sheetView workbookViewId="0">
      <pane ySplit="2" topLeftCell="A3" activePane="bottomLeft" state="frozen"/>
      <selection pane="bottomLeft" activeCell="U16" sqref="U16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20" width="6.25" customWidth="1"/>
    <col min="21" max="21" width="30.5" customWidth="1"/>
    <col min="22" max="22" width="22.5" customWidth="1"/>
    <col min="23" max="23" width="21.75" customWidth="1"/>
    <col min="24" max="24" width="30.5" customWidth="1"/>
    <col min="25" max="40" width="3.7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1128" t="s">
        <v>170</v>
      </c>
      <c r="B1" s="1129"/>
      <c r="C1" s="1129"/>
      <c r="D1" s="156"/>
      <c r="E1" s="1130" t="s">
        <v>24</v>
      </c>
      <c r="F1" s="1131"/>
      <c r="G1" s="1132"/>
      <c r="H1" s="1130" t="s">
        <v>23</v>
      </c>
      <c r="I1" s="1132"/>
      <c r="J1" s="1133" t="s">
        <v>6</v>
      </c>
      <c r="K1" s="1134"/>
      <c r="L1" s="1134"/>
      <c r="M1" s="1135"/>
      <c r="N1" s="1133" t="s">
        <v>7</v>
      </c>
      <c r="O1" s="1135"/>
      <c r="P1" s="1133" t="s">
        <v>25</v>
      </c>
      <c r="Q1" s="1134"/>
      <c r="R1" s="1135"/>
      <c r="S1" s="917" t="s">
        <v>8</v>
      </c>
      <c r="T1" s="917" t="s">
        <v>9</v>
      </c>
      <c r="U1" s="55" t="s">
        <v>10</v>
      </c>
      <c r="V1" s="54" t="s">
        <v>11</v>
      </c>
      <c r="W1" s="56" t="s">
        <v>26</v>
      </c>
      <c r="X1" s="173" t="s">
        <v>27</v>
      </c>
      <c r="Y1" s="1136" t="s">
        <v>20</v>
      </c>
      <c r="Z1" s="1044"/>
      <c r="AA1" s="1044"/>
      <c r="AB1" s="1045"/>
      <c r="AC1" s="1136" t="s">
        <v>61</v>
      </c>
      <c r="AD1" s="1044"/>
      <c r="AE1" s="1044"/>
      <c r="AF1" s="1045"/>
      <c r="AG1" s="1136" t="s">
        <v>62</v>
      </c>
      <c r="AH1" s="1044"/>
      <c r="AI1" s="1044"/>
      <c r="AJ1" s="1045"/>
      <c r="AK1" s="1136" t="s">
        <v>63</v>
      </c>
      <c r="AL1" s="1044"/>
      <c r="AM1" s="1044"/>
      <c r="AN1" s="1045"/>
      <c r="AP1" s="880" t="s">
        <v>674</v>
      </c>
      <c r="AQ1" s="868"/>
      <c r="AR1" s="868"/>
      <c r="AS1" s="880" t="s">
        <v>674</v>
      </c>
    </row>
    <row r="2" spans="1:46" ht="14.95" customHeight="1" thickBot="1" x14ac:dyDescent="0.3">
      <c r="A2" s="57" t="s">
        <v>19</v>
      </c>
      <c r="B2" s="58" t="s">
        <v>18</v>
      </c>
      <c r="C2" s="59" t="s">
        <v>17</v>
      </c>
      <c r="D2" s="59" t="s">
        <v>41</v>
      </c>
      <c r="E2" s="60" t="s">
        <v>16</v>
      </c>
      <c r="F2" s="60" t="s">
        <v>4</v>
      </c>
      <c r="G2" s="60" t="s">
        <v>5</v>
      </c>
      <c r="H2" s="61" t="s">
        <v>12</v>
      </c>
      <c r="I2" s="61" t="s">
        <v>3</v>
      </c>
      <c r="J2" s="61" t="s">
        <v>12</v>
      </c>
      <c r="K2" s="61" t="s">
        <v>13</v>
      </c>
      <c r="L2" s="61" t="s">
        <v>2</v>
      </c>
      <c r="M2" s="61" t="s">
        <v>14</v>
      </c>
      <c r="N2" s="61" t="s">
        <v>15</v>
      </c>
      <c r="O2" s="61" t="s">
        <v>16</v>
      </c>
      <c r="P2" s="61" t="s">
        <v>21</v>
      </c>
      <c r="Q2" s="61" t="s">
        <v>22</v>
      </c>
      <c r="R2" s="61" t="s">
        <v>12</v>
      </c>
      <c r="S2" s="62"/>
      <c r="T2" s="63"/>
      <c r="U2" s="64"/>
      <c r="V2" s="62"/>
      <c r="W2" s="65"/>
      <c r="X2" s="66"/>
      <c r="Y2" s="515" t="s">
        <v>0</v>
      </c>
      <c r="Z2" s="515" t="s">
        <v>1</v>
      </c>
      <c r="AA2" s="515" t="s">
        <v>2</v>
      </c>
      <c r="AB2" s="515" t="s">
        <v>3</v>
      </c>
      <c r="AC2" s="515" t="s">
        <v>0</v>
      </c>
      <c r="AD2" s="515" t="s">
        <v>1</v>
      </c>
      <c r="AE2" s="515" t="s">
        <v>2</v>
      </c>
      <c r="AF2" s="515" t="s">
        <v>3</v>
      </c>
      <c r="AG2" s="515" t="s">
        <v>0</v>
      </c>
      <c r="AH2" s="515" t="s">
        <v>1</v>
      </c>
      <c r="AI2" s="515" t="s">
        <v>2</v>
      </c>
      <c r="AJ2" s="515" t="s">
        <v>3</v>
      </c>
      <c r="AK2" s="515" t="s">
        <v>0</v>
      </c>
      <c r="AL2" s="515" t="s">
        <v>1</v>
      </c>
      <c r="AM2" s="515" t="s">
        <v>2</v>
      </c>
      <c r="AN2" s="515" t="s">
        <v>3</v>
      </c>
      <c r="AP2" s="592" t="s">
        <v>112</v>
      </c>
      <c r="AQ2" s="253"/>
      <c r="AS2" s="672" t="s">
        <v>610</v>
      </c>
      <c r="AT2" s="253"/>
    </row>
    <row r="3" spans="1:46" ht="14.95" customHeight="1" thickBot="1" x14ac:dyDescent="0.3">
      <c r="A3" s="195">
        <v>43498</v>
      </c>
      <c r="B3" s="214" t="s">
        <v>46</v>
      </c>
      <c r="C3" s="196" t="s">
        <v>30</v>
      </c>
      <c r="D3" s="196" t="s">
        <v>123</v>
      </c>
      <c r="E3" s="197" t="s">
        <v>3</v>
      </c>
      <c r="F3" s="197">
        <v>20</v>
      </c>
      <c r="G3" s="197">
        <v>32</v>
      </c>
      <c r="H3" s="197">
        <v>0</v>
      </c>
      <c r="I3" s="197">
        <v>0</v>
      </c>
      <c r="J3" s="197">
        <v>2</v>
      </c>
      <c r="K3" s="197">
        <v>2</v>
      </c>
      <c r="L3" s="197">
        <v>0</v>
      </c>
      <c r="M3" s="197">
        <v>2</v>
      </c>
      <c r="N3" s="197">
        <v>0</v>
      </c>
      <c r="O3" s="197">
        <v>0</v>
      </c>
      <c r="P3" s="197">
        <v>1</v>
      </c>
      <c r="Q3" s="197">
        <v>0</v>
      </c>
      <c r="R3" s="197">
        <v>4</v>
      </c>
      <c r="S3" s="209">
        <v>51000</v>
      </c>
      <c r="T3" s="222" t="s">
        <v>135</v>
      </c>
      <c r="U3" s="210" t="s">
        <v>138</v>
      </c>
      <c r="V3" s="209" t="s">
        <v>137</v>
      </c>
      <c r="W3" s="198" t="s">
        <v>130</v>
      </c>
      <c r="X3" s="211" t="s">
        <v>134</v>
      </c>
      <c r="Y3" s="212">
        <v>1</v>
      </c>
      <c r="Z3" s="212">
        <v>0</v>
      </c>
      <c r="AA3" s="212">
        <v>0</v>
      </c>
      <c r="AB3" s="213">
        <v>1</v>
      </c>
      <c r="AC3" s="212">
        <v>1</v>
      </c>
      <c r="AD3" s="212">
        <v>0</v>
      </c>
      <c r="AE3" s="212">
        <v>0</v>
      </c>
      <c r="AF3" s="213">
        <v>1</v>
      </c>
      <c r="AG3" s="212">
        <v>0</v>
      </c>
      <c r="AH3" s="212">
        <v>0</v>
      </c>
      <c r="AI3" s="212">
        <v>0</v>
      </c>
      <c r="AJ3" s="213">
        <v>0</v>
      </c>
      <c r="AK3" s="212">
        <v>0</v>
      </c>
      <c r="AL3" s="212">
        <v>0</v>
      </c>
      <c r="AM3" s="212">
        <v>0</v>
      </c>
      <c r="AN3" s="213">
        <v>0</v>
      </c>
      <c r="AP3" s="849" t="s">
        <v>627</v>
      </c>
      <c r="AQ3" s="850">
        <f>Irelandalltestshistplayed</f>
        <v>704</v>
      </c>
      <c r="AS3" s="849" t="s">
        <v>627</v>
      </c>
      <c r="AT3" s="850">
        <f>IrelandRWChistplayed</f>
        <v>40</v>
      </c>
    </row>
    <row r="4" spans="1:46" ht="14.95" customHeight="1" thickBot="1" x14ac:dyDescent="0.35">
      <c r="A4" s="187">
        <v>43505</v>
      </c>
      <c r="B4" s="178" t="s">
        <v>46</v>
      </c>
      <c r="C4" s="178" t="s">
        <v>35</v>
      </c>
      <c r="D4" s="178" t="s">
        <v>125</v>
      </c>
      <c r="E4" s="179" t="s">
        <v>1</v>
      </c>
      <c r="F4" s="179">
        <v>22</v>
      </c>
      <c r="G4" s="179">
        <v>13</v>
      </c>
      <c r="H4" s="179">
        <v>0</v>
      </c>
      <c r="I4" s="179">
        <v>0</v>
      </c>
      <c r="J4" s="179">
        <v>3</v>
      </c>
      <c r="K4" s="179">
        <v>2</v>
      </c>
      <c r="L4" s="179">
        <v>0</v>
      </c>
      <c r="M4" s="179">
        <v>1</v>
      </c>
      <c r="N4" s="179">
        <v>0</v>
      </c>
      <c r="O4" s="179">
        <v>0</v>
      </c>
      <c r="P4" s="179">
        <v>0</v>
      </c>
      <c r="Q4" s="179">
        <v>0</v>
      </c>
      <c r="R4" s="179">
        <v>1</v>
      </c>
      <c r="S4" s="180">
        <v>67500</v>
      </c>
      <c r="T4" s="396" t="s">
        <v>213</v>
      </c>
      <c r="U4" s="181" t="s">
        <v>130</v>
      </c>
      <c r="V4" s="180" t="s">
        <v>131</v>
      </c>
      <c r="W4" s="182" t="s">
        <v>211</v>
      </c>
      <c r="X4" s="183" t="s">
        <v>212</v>
      </c>
      <c r="Y4" s="184">
        <v>1</v>
      </c>
      <c r="Z4" s="184">
        <v>1</v>
      </c>
      <c r="AA4" s="184">
        <v>0</v>
      </c>
      <c r="AB4" s="185">
        <v>0</v>
      </c>
      <c r="AC4" s="184">
        <v>0</v>
      </c>
      <c r="AD4" s="184">
        <v>0</v>
      </c>
      <c r="AE4" s="184">
        <v>0</v>
      </c>
      <c r="AF4" s="185">
        <v>0</v>
      </c>
      <c r="AG4" s="184">
        <v>1</v>
      </c>
      <c r="AH4" s="184">
        <v>1</v>
      </c>
      <c r="AI4" s="184">
        <v>0</v>
      </c>
      <c r="AJ4" s="185">
        <v>0</v>
      </c>
      <c r="AK4" s="184">
        <v>0</v>
      </c>
      <c r="AL4" s="184">
        <v>0</v>
      </c>
      <c r="AM4" s="184">
        <v>0</v>
      </c>
      <c r="AN4" s="185">
        <v>0</v>
      </c>
      <c r="AP4" s="851" t="s">
        <v>628</v>
      </c>
      <c r="AQ4" s="852">
        <f>Irelandalltestshistwon</f>
        <v>318</v>
      </c>
      <c r="AS4" s="851" t="s">
        <v>628</v>
      </c>
      <c r="AT4" s="852">
        <f>IrelandRWChistwon</f>
        <v>24</v>
      </c>
    </row>
    <row r="5" spans="1:46" ht="14.95" customHeight="1" thickBot="1" x14ac:dyDescent="0.3">
      <c r="A5" s="187">
        <v>43520</v>
      </c>
      <c r="B5" s="178" t="s">
        <v>46</v>
      </c>
      <c r="C5" s="178" t="s">
        <v>33</v>
      </c>
      <c r="D5" s="178" t="s">
        <v>122</v>
      </c>
      <c r="E5" s="179" t="s">
        <v>1</v>
      </c>
      <c r="F5" s="179">
        <v>26</v>
      </c>
      <c r="G5" s="179">
        <v>16</v>
      </c>
      <c r="H5" s="179">
        <v>1</v>
      </c>
      <c r="I5" s="179">
        <v>0</v>
      </c>
      <c r="J5" s="179">
        <v>4</v>
      </c>
      <c r="K5" s="179">
        <v>3</v>
      </c>
      <c r="L5" s="179">
        <v>0</v>
      </c>
      <c r="M5" s="179">
        <v>0</v>
      </c>
      <c r="N5" s="179">
        <v>0</v>
      </c>
      <c r="O5" s="179">
        <v>0</v>
      </c>
      <c r="P5" s="179">
        <v>0</v>
      </c>
      <c r="Q5" s="179">
        <v>0</v>
      </c>
      <c r="R5" s="179">
        <v>2</v>
      </c>
      <c r="S5" s="180">
        <v>49720</v>
      </c>
      <c r="T5" s="488" t="s">
        <v>234</v>
      </c>
      <c r="U5" s="181" t="s">
        <v>231</v>
      </c>
      <c r="V5" s="180" t="s">
        <v>232</v>
      </c>
      <c r="W5" s="182" t="s">
        <v>132</v>
      </c>
      <c r="X5" s="183" t="s">
        <v>233</v>
      </c>
      <c r="Y5" s="184">
        <v>1</v>
      </c>
      <c r="Z5" s="184">
        <v>1</v>
      </c>
      <c r="AA5" s="184">
        <v>0</v>
      </c>
      <c r="AB5" s="185">
        <v>0</v>
      </c>
      <c r="AC5" s="184">
        <v>0</v>
      </c>
      <c r="AD5" s="184">
        <v>0</v>
      </c>
      <c r="AE5" s="184">
        <v>0</v>
      </c>
      <c r="AF5" s="185">
        <v>0</v>
      </c>
      <c r="AG5" s="184">
        <v>1</v>
      </c>
      <c r="AH5" s="184">
        <v>1</v>
      </c>
      <c r="AI5" s="184">
        <v>0</v>
      </c>
      <c r="AJ5" s="185">
        <v>0</v>
      </c>
      <c r="AK5" s="184">
        <v>0</v>
      </c>
      <c r="AL5" s="184">
        <v>0</v>
      </c>
      <c r="AM5" s="184">
        <v>0</v>
      </c>
      <c r="AN5" s="185">
        <v>0</v>
      </c>
      <c r="AP5" s="851" t="s">
        <v>634</v>
      </c>
      <c r="AQ5" s="852">
        <f>Irelandalltestshistdrawn</f>
        <v>32</v>
      </c>
      <c r="AS5" s="851" t="s">
        <v>634</v>
      </c>
      <c r="AT5" s="852">
        <f>IrelandRWChistdrawn</f>
        <v>0</v>
      </c>
    </row>
    <row r="6" spans="1:46" ht="14.95" customHeight="1" thickBot="1" x14ac:dyDescent="0.35">
      <c r="A6" s="195">
        <v>43534</v>
      </c>
      <c r="B6" s="196" t="s">
        <v>46</v>
      </c>
      <c r="C6" s="196" t="s">
        <v>34</v>
      </c>
      <c r="D6" s="196" t="s">
        <v>123</v>
      </c>
      <c r="E6" s="197" t="s">
        <v>1</v>
      </c>
      <c r="F6" s="197">
        <v>26</v>
      </c>
      <c r="G6" s="197">
        <v>14</v>
      </c>
      <c r="H6" s="197">
        <v>1</v>
      </c>
      <c r="I6" s="197">
        <v>0</v>
      </c>
      <c r="J6" s="197">
        <v>4</v>
      </c>
      <c r="K6" s="197">
        <v>3</v>
      </c>
      <c r="L6" s="197">
        <v>0</v>
      </c>
      <c r="M6" s="197">
        <v>0</v>
      </c>
      <c r="N6" s="197">
        <v>0</v>
      </c>
      <c r="O6" s="197">
        <v>0</v>
      </c>
      <c r="P6" s="197">
        <v>0</v>
      </c>
      <c r="Q6" s="197">
        <v>0</v>
      </c>
      <c r="R6" s="197">
        <v>2</v>
      </c>
      <c r="S6" s="209">
        <v>51000</v>
      </c>
      <c r="T6" s="346" t="s">
        <v>275</v>
      </c>
      <c r="U6" s="210" t="s">
        <v>276</v>
      </c>
      <c r="V6" s="209" t="s">
        <v>277</v>
      </c>
      <c r="W6" s="198" t="s">
        <v>278</v>
      </c>
      <c r="X6" s="211" t="s">
        <v>233</v>
      </c>
      <c r="Y6" s="212">
        <v>1</v>
      </c>
      <c r="Z6" s="212">
        <v>1</v>
      </c>
      <c r="AA6" s="212">
        <v>0</v>
      </c>
      <c r="AB6" s="213">
        <v>0</v>
      </c>
      <c r="AC6" s="212">
        <v>1</v>
      </c>
      <c r="AD6" s="212">
        <v>1</v>
      </c>
      <c r="AE6" s="212">
        <v>0</v>
      </c>
      <c r="AF6" s="213">
        <v>0</v>
      </c>
      <c r="AG6" s="212">
        <v>0</v>
      </c>
      <c r="AH6" s="212">
        <v>0</v>
      </c>
      <c r="AI6" s="212">
        <v>0</v>
      </c>
      <c r="AJ6" s="212">
        <v>0</v>
      </c>
      <c r="AK6" s="212">
        <v>0</v>
      </c>
      <c r="AL6" s="212">
        <v>0</v>
      </c>
      <c r="AM6" s="212">
        <v>0</v>
      </c>
      <c r="AN6" s="212">
        <v>0</v>
      </c>
      <c r="AP6" s="851" t="s">
        <v>629</v>
      </c>
      <c r="AQ6" s="852">
        <f>Irelandalltestshistlost</f>
        <v>354</v>
      </c>
      <c r="AS6" s="851" t="s">
        <v>629</v>
      </c>
      <c r="AT6" s="852">
        <f>IrelandRWChistlost</f>
        <v>16</v>
      </c>
    </row>
    <row r="7" spans="1:46" ht="14.95" customHeight="1" thickBot="1" x14ac:dyDescent="0.35">
      <c r="A7" s="187">
        <v>43540</v>
      </c>
      <c r="B7" s="178" t="s">
        <v>46</v>
      </c>
      <c r="C7" s="178" t="s">
        <v>32</v>
      </c>
      <c r="D7" s="178" t="s">
        <v>120</v>
      </c>
      <c r="E7" s="179" t="s">
        <v>3</v>
      </c>
      <c r="F7" s="179">
        <v>7</v>
      </c>
      <c r="G7" s="179">
        <v>25</v>
      </c>
      <c r="H7" s="179">
        <v>0</v>
      </c>
      <c r="I7" s="179">
        <v>0</v>
      </c>
      <c r="J7" s="179">
        <v>1</v>
      </c>
      <c r="K7" s="179">
        <v>1</v>
      </c>
      <c r="L7" s="179">
        <v>0</v>
      </c>
      <c r="M7" s="179">
        <v>0</v>
      </c>
      <c r="N7" s="179">
        <v>0</v>
      </c>
      <c r="O7" s="179">
        <v>0</v>
      </c>
      <c r="P7" s="179">
        <v>0</v>
      </c>
      <c r="Q7" s="179">
        <v>0</v>
      </c>
      <c r="R7" s="179">
        <v>1</v>
      </c>
      <c r="S7" s="180">
        <v>74500</v>
      </c>
      <c r="T7" s="396" t="s">
        <v>177</v>
      </c>
      <c r="U7" s="181" t="s">
        <v>278</v>
      </c>
      <c r="V7" s="180" t="s">
        <v>270</v>
      </c>
      <c r="W7" s="182" t="s">
        <v>276</v>
      </c>
      <c r="X7" s="183" t="s">
        <v>233</v>
      </c>
      <c r="Y7" s="184">
        <v>1</v>
      </c>
      <c r="Z7" s="184">
        <v>0</v>
      </c>
      <c r="AA7" s="184">
        <v>0</v>
      </c>
      <c r="AB7" s="185">
        <v>1</v>
      </c>
      <c r="AC7" s="184">
        <v>0</v>
      </c>
      <c r="AD7" s="184">
        <v>0</v>
      </c>
      <c r="AE7" s="184">
        <v>0</v>
      </c>
      <c r="AF7" s="185">
        <v>0</v>
      </c>
      <c r="AG7" s="184">
        <v>1</v>
      </c>
      <c r="AH7" s="184">
        <v>0</v>
      </c>
      <c r="AI7" s="184">
        <v>0</v>
      </c>
      <c r="AJ7" s="184">
        <v>1</v>
      </c>
      <c r="AK7" s="184">
        <v>0</v>
      </c>
      <c r="AL7" s="184">
        <v>0</v>
      </c>
      <c r="AM7" s="184">
        <v>0</v>
      </c>
      <c r="AN7" s="184">
        <v>0</v>
      </c>
      <c r="AP7" s="851" t="s">
        <v>635</v>
      </c>
      <c r="AQ7" s="852">
        <f>Irelandalltestshistptsscored</f>
        <v>10725</v>
      </c>
      <c r="AS7" s="851" t="s">
        <v>635</v>
      </c>
      <c r="AT7" s="852">
        <f>IrelandRWChistptsscored</f>
        <v>1108</v>
      </c>
    </row>
    <row r="8" spans="1:46" ht="14.95" customHeight="1" thickBot="1" x14ac:dyDescent="0.35">
      <c r="A8" s="195">
        <v>43687</v>
      </c>
      <c r="B8" s="196" t="s">
        <v>45</v>
      </c>
      <c r="C8" s="196" t="s">
        <v>33</v>
      </c>
      <c r="D8" s="196" t="s">
        <v>123</v>
      </c>
      <c r="E8" s="197" t="s">
        <v>1</v>
      </c>
      <c r="F8" s="197">
        <v>29</v>
      </c>
      <c r="G8" s="197">
        <v>10</v>
      </c>
      <c r="H8" s="197" t="s">
        <v>108</v>
      </c>
      <c r="I8" s="197" t="s">
        <v>108</v>
      </c>
      <c r="J8" s="197">
        <v>5</v>
      </c>
      <c r="K8" s="197">
        <v>2</v>
      </c>
      <c r="L8" s="197">
        <v>0</v>
      </c>
      <c r="M8" s="197">
        <v>0</v>
      </c>
      <c r="N8" s="197">
        <v>0</v>
      </c>
      <c r="O8" s="197">
        <v>0</v>
      </c>
      <c r="P8" s="197" t="s">
        <v>108</v>
      </c>
      <c r="Q8" s="197" t="s">
        <v>108</v>
      </c>
      <c r="R8" s="197">
        <v>2</v>
      </c>
      <c r="S8" s="209">
        <v>30000</v>
      </c>
      <c r="T8" s="346" t="s">
        <v>768</v>
      </c>
      <c r="U8" s="210" t="s">
        <v>133</v>
      </c>
      <c r="V8" s="209" t="s">
        <v>232</v>
      </c>
      <c r="W8" s="209" t="s">
        <v>407</v>
      </c>
      <c r="X8" s="209" t="s">
        <v>734</v>
      </c>
      <c r="Y8" s="212">
        <v>1</v>
      </c>
      <c r="Z8" s="212">
        <v>1</v>
      </c>
      <c r="AA8" s="212">
        <v>0</v>
      </c>
      <c r="AB8" s="213">
        <v>0</v>
      </c>
      <c r="AC8" s="212">
        <v>1</v>
      </c>
      <c r="AD8" s="212">
        <v>1</v>
      </c>
      <c r="AE8" s="212">
        <v>0</v>
      </c>
      <c r="AF8" s="213">
        <v>0</v>
      </c>
      <c r="AG8" s="212">
        <v>0</v>
      </c>
      <c r="AH8" s="212">
        <v>0</v>
      </c>
      <c r="AI8" s="212">
        <v>0</v>
      </c>
      <c r="AJ8" s="213">
        <v>0</v>
      </c>
      <c r="AK8" s="212">
        <v>0</v>
      </c>
      <c r="AL8" s="212">
        <v>0</v>
      </c>
      <c r="AM8" s="212">
        <v>0</v>
      </c>
      <c r="AN8" s="213">
        <v>0</v>
      </c>
      <c r="AP8" s="851" t="s">
        <v>636</v>
      </c>
      <c r="AQ8" s="852">
        <f>Irelandalltestshistptsagainst</f>
        <v>10003</v>
      </c>
      <c r="AS8" s="851" t="s">
        <v>636</v>
      </c>
      <c r="AT8" s="852">
        <f>IrelandRWChistptsagainst</f>
        <v>735</v>
      </c>
    </row>
    <row r="9" spans="1:46" ht="14.95" customHeight="1" thickBot="1" x14ac:dyDescent="0.3">
      <c r="A9" s="187">
        <v>43701</v>
      </c>
      <c r="B9" s="178" t="s">
        <v>45</v>
      </c>
      <c r="C9" s="178" t="s">
        <v>30</v>
      </c>
      <c r="D9" s="178" t="s">
        <v>124</v>
      </c>
      <c r="E9" s="179" t="s">
        <v>3</v>
      </c>
      <c r="F9" s="179">
        <v>15</v>
      </c>
      <c r="G9" s="179">
        <v>57</v>
      </c>
      <c r="H9" s="179" t="s">
        <v>108</v>
      </c>
      <c r="I9" s="179" t="s">
        <v>108</v>
      </c>
      <c r="J9" s="179">
        <v>2</v>
      </c>
      <c r="K9" s="179">
        <v>1</v>
      </c>
      <c r="L9" s="179">
        <v>0</v>
      </c>
      <c r="M9" s="179">
        <v>1</v>
      </c>
      <c r="N9" s="179">
        <v>0</v>
      </c>
      <c r="O9" s="179">
        <v>0</v>
      </c>
      <c r="P9" s="179" t="s">
        <v>108</v>
      </c>
      <c r="Q9" s="179" t="s">
        <v>108</v>
      </c>
      <c r="R9" s="179">
        <v>8</v>
      </c>
      <c r="S9" s="180">
        <v>80000</v>
      </c>
      <c r="T9" s="223" t="s">
        <v>805</v>
      </c>
      <c r="U9" s="181" t="s">
        <v>219</v>
      </c>
      <c r="V9" s="180" t="s">
        <v>804</v>
      </c>
      <c r="W9" s="180" t="s">
        <v>138</v>
      </c>
      <c r="X9" s="200" t="s">
        <v>212</v>
      </c>
      <c r="Y9" s="184">
        <v>1</v>
      </c>
      <c r="Z9" s="184">
        <v>0</v>
      </c>
      <c r="AA9" s="184">
        <v>0</v>
      </c>
      <c r="AB9" s="185">
        <v>1</v>
      </c>
      <c r="AC9" s="184">
        <v>0</v>
      </c>
      <c r="AD9" s="184">
        <v>0</v>
      </c>
      <c r="AE9" s="184">
        <v>0</v>
      </c>
      <c r="AF9" s="185">
        <v>0</v>
      </c>
      <c r="AG9" s="184">
        <v>1</v>
      </c>
      <c r="AH9" s="184">
        <v>0</v>
      </c>
      <c r="AI9" s="184">
        <v>0</v>
      </c>
      <c r="AJ9" s="185">
        <v>1</v>
      </c>
      <c r="AK9" s="184">
        <v>0</v>
      </c>
      <c r="AL9" s="184">
        <v>0</v>
      </c>
      <c r="AM9" s="184">
        <v>0</v>
      </c>
      <c r="AN9" s="185">
        <v>0</v>
      </c>
      <c r="AP9" s="851" t="s">
        <v>623</v>
      </c>
      <c r="AQ9" s="852">
        <f>Irelandalltestshisttriesscored</f>
        <v>1331</v>
      </c>
      <c r="AS9" s="851" t="s">
        <v>623</v>
      </c>
      <c r="AT9" s="852">
        <f>IrelandRWChisttriesscored</f>
        <v>134</v>
      </c>
    </row>
    <row r="10" spans="1:46" ht="14.95" customHeight="1" thickBot="1" x14ac:dyDescent="0.35">
      <c r="A10" s="187">
        <v>43708</v>
      </c>
      <c r="B10" s="178" t="s">
        <v>45</v>
      </c>
      <c r="C10" s="178" t="s">
        <v>32</v>
      </c>
      <c r="D10" s="178" t="s">
        <v>120</v>
      </c>
      <c r="E10" s="179" t="s">
        <v>1</v>
      </c>
      <c r="F10" s="179">
        <v>22</v>
      </c>
      <c r="G10" s="179">
        <v>17</v>
      </c>
      <c r="H10" s="179" t="s">
        <v>108</v>
      </c>
      <c r="I10" s="179" t="s">
        <v>108</v>
      </c>
      <c r="J10" s="179">
        <v>3</v>
      </c>
      <c r="K10" s="179">
        <v>1</v>
      </c>
      <c r="L10" s="179">
        <v>0</v>
      </c>
      <c r="M10" s="179">
        <v>1</v>
      </c>
      <c r="N10" s="179">
        <v>0</v>
      </c>
      <c r="O10" s="179">
        <v>0</v>
      </c>
      <c r="P10" s="179" t="s">
        <v>108</v>
      </c>
      <c r="Q10" s="179" t="s">
        <v>108</v>
      </c>
      <c r="R10" s="179">
        <v>2</v>
      </c>
      <c r="S10" s="180">
        <v>62905</v>
      </c>
      <c r="T10" s="396" t="s">
        <v>814</v>
      </c>
      <c r="U10" s="181" t="s">
        <v>130</v>
      </c>
      <c r="V10" s="180" t="s">
        <v>131</v>
      </c>
      <c r="W10" s="181" t="s">
        <v>138</v>
      </c>
      <c r="X10" s="180" t="s">
        <v>233</v>
      </c>
      <c r="Y10" s="184">
        <v>1</v>
      </c>
      <c r="Z10" s="184">
        <v>1</v>
      </c>
      <c r="AA10" s="184">
        <v>0</v>
      </c>
      <c r="AB10" s="185">
        <v>0</v>
      </c>
      <c r="AC10" s="184">
        <v>0</v>
      </c>
      <c r="AD10" s="184">
        <v>0</v>
      </c>
      <c r="AE10" s="184">
        <v>0</v>
      </c>
      <c r="AF10" s="185">
        <v>0</v>
      </c>
      <c r="AG10" s="184">
        <v>1</v>
      </c>
      <c r="AH10" s="184">
        <v>1</v>
      </c>
      <c r="AI10" s="184">
        <v>0</v>
      </c>
      <c r="AJ10" s="185">
        <v>0</v>
      </c>
      <c r="AK10" s="184">
        <v>0</v>
      </c>
      <c r="AL10" s="184">
        <v>0</v>
      </c>
      <c r="AM10" s="184">
        <v>0</v>
      </c>
      <c r="AN10" s="185">
        <v>0</v>
      </c>
    </row>
    <row r="11" spans="1:46" ht="14.95" customHeight="1" thickBot="1" x14ac:dyDescent="0.3">
      <c r="A11" s="195">
        <v>43715</v>
      </c>
      <c r="B11" s="196" t="s">
        <v>45</v>
      </c>
      <c r="C11" s="196" t="s">
        <v>32</v>
      </c>
      <c r="D11" s="196" t="s">
        <v>123</v>
      </c>
      <c r="E11" s="197" t="s">
        <v>1</v>
      </c>
      <c r="F11" s="197">
        <v>19</v>
      </c>
      <c r="G11" s="197">
        <v>10</v>
      </c>
      <c r="H11" s="197" t="s">
        <v>108</v>
      </c>
      <c r="I11" s="197" t="s">
        <v>108</v>
      </c>
      <c r="J11" s="197">
        <v>3</v>
      </c>
      <c r="K11" s="197">
        <v>2</v>
      </c>
      <c r="L11" s="197">
        <v>0</v>
      </c>
      <c r="M11" s="197">
        <v>0</v>
      </c>
      <c r="N11" s="197">
        <v>0</v>
      </c>
      <c r="O11" s="197">
        <v>0</v>
      </c>
      <c r="P11" s="197" t="s">
        <v>108</v>
      </c>
      <c r="Q11" s="197" t="s">
        <v>108</v>
      </c>
      <c r="R11" s="197">
        <v>1</v>
      </c>
      <c r="S11" s="209">
        <v>46000</v>
      </c>
      <c r="T11" s="481" t="s">
        <v>745</v>
      </c>
      <c r="U11" s="210" t="s">
        <v>136</v>
      </c>
      <c r="V11" s="209" t="s">
        <v>232</v>
      </c>
      <c r="W11" s="198" t="s">
        <v>132</v>
      </c>
      <c r="X11" s="211" t="s">
        <v>133</v>
      </c>
      <c r="Y11" s="212">
        <v>1</v>
      </c>
      <c r="Z11" s="212">
        <v>1</v>
      </c>
      <c r="AA11" s="212">
        <v>0</v>
      </c>
      <c r="AB11" s="213">
        <v>0</v>
      </c>
      <c r="AC11" s="212">
        <v>1</v>
      </c>
      <c r="AD11" s="212">
        <v>1</v>
      </c>
      <c r="AE11" s="212">
        <v>0</v>
      </c>
      <c r="AF11" s="213">
        <v>0</v>
      </c>
      <c r="AG11" s="212">
        <v>0</v>
      </c>
      <c r="AH11" s="212">
        <v>0</v>
      </c>
      <c r="AI11" s="212">
        <v>0</v>
      </c>
      <c r="AJ11" s="213">
        <v>0</v>
      </c>
      <c r="AK11" s="212">
        <v>0</v>
      </c>
      <c r="AL11" s="212">
        <v>0</v>
      </c>
      <c r="AM11" s="212">
        <v>0</v>
      </c>
      <c r="AN11" s="213">
        <v>0</v>
      </c>
    </row>
    <row r="12" spans="1:46" ht="14.95" customHeight="1" thickBot="1" x14ac:dyDescent="0.35">
      <c r="A12" s="188">
        <v>43730</v>
      </c>
      <c r="B12" s="189" t="s">
        <v>158</v>
      </c>
      <c r="C12" s="189" t="s">
        <v>35</v>
      </c>
      <c r="D12" s="189" t="s">
        <v>141</v>
      </c>
      <c r="E12" s="190" t="s">
        <v>1</v>
      </c>
      <c r="F12" s="190">
        <v>27</v>
      </c>
      <c r="G12" s="190">
        <v>3</v>
      </c>
      <c r="H12" s="190">
        <v>1</v>
      </c>
      <c r="I12" s="190">
        <v>0</v>
      </c>
      <c r="J12" s="190">
        <v>4</v>
      </c>
      <c r="K12" s="190">
        <v>2</v>
      </c>
      <c r="L12" s="190">
        <v>0</v>
      </c>
      <c r="M12" s="190">
        <v>1</v>
      </c>
      <c r="N12" s="190">
        <v>1</v>
      </c>
      <c r="O12" s="190">
        <v>0</v>
      </c>
      <c r="P12" s="190">
        <v>0</v>
      </c>
      <c r="Q12" s="190">
        <v>0</v>
      </c>
      <c r="R12" s="190">
        <v>0</v>
      </c>
      <c r="S12" s="203">
        <v>63731</v>
      </c>
      <c r="T12" s="411" t="s">
        <v>876</v>
      </c>
      <c r="U12" s="204" t="s">
        <v>132</v>
      </c>
      <c r="V12" s="203" t="s">
        <v>232</v>
      </c>
      <c r="W12" s="191" t="s">
        <v>211</v>
      </c>
      <c r="X12" s="205" t="s">
        <v>212</v>
      </c>
      <c r="Y12" s="206">
        <v>1</v>
      </c>
      <c r="Z12" s="206">
        <v>1</v>
      </c>
      <c r="AA12" s="206">
        <v>0</v>
      </c>
      <c r="AB12" s="207">
        <v>0</v>
      </c>
      <c r="AC12" s="206">
        <v>0</v>
      </c>
      <c r="AD12" s="206">
        <v>0</v>
      </c>
      <c r="AE12" s="206">
        <v>0</v>
      </c>
      <c r="AF12" s="207">
        <v>0</v>
      </c>
      <c r="AG12" s="206">
        <v>0</v>
      </c>
      <c r="AH12" s="206">
        <v>0</v>
      </c>
      <c r="AI12" s="206">
        <v>0</v>
      </c>
      <c r="AJ12" s="207">
        <v>0</v>
      </c>
      <c r="AK12" s="206">
        <v>1</v>
      </c>
      <c r="AL12" s="206">
        <v>1</v>
      </c>
      <c r="AM12" s="206">
        <v>0</v>
      </c>
      <c r="AN12" s="207">
        <v>0</v>
      </c>
    </row>
    <row r="13" spans="1:46" ht="14.95" customHeight="1" thickBot="1" x14ac:dyDescent="0.35">
      <c r="A13" s="187">
        <v>43736</v>
      </c>
      <c r="B13" s="192" t="s">
        <v>158</v>
      </c>
      <c r="C13" s="178" t="s">
        <v>36</v>
      </c>
      <c r="D13" s="178" t="s">
        <v>172</v>
      </c>
      <c r="E13" s="179" t="s">
        <v>3</v>
      </c>
      <c r="F13" s="179">
        <v>12</v>
      </c>
      <c r="G13" s="193">
        <v>19</v>
      </c>
      <c r="H13" s="193">
        <v>0</v>
      </c>
      <c r="I13" s="179">
        <v>1</v>
      </c>
      <c r="J13" s="179">
        <v>2</v>
      </c>
      <c r="K13" s="179">
        <v>1</v>
      </c>
      <c r="L13" s="179">
        <v>0</v>
      </c>
      <c r="M13" s="179">
        <v>0</v>
      </c>
      <c r="N13" s="179">
        <v>0</v>
      </c>
      <c r="O13" s="179">
        <v>0</v>
      </c>
      <c r="P13" s="179">
        <v>0</v>
      </c>
      <c r="Q13" s="179">
        <v>0</v>
      </c>
      <c r="R13" s="179">
        <v>1</v>
      </c>
      <c r="S13" s="180">
        <v>47813</v>
      </c>
      <c r="T13" s="464" t="s">
        <v>908</v>
      </c>
      <c r="U13" s="181" t="s">
        <v>278</v>
      </c>
      <c r="V13" s="180" t="s">
        <v>277</v>
      </c>
      <c r="W13" s="182" t="s">
        <v>907</v>
      </c>
      <c r="X13" s="183" t="s">
        <v>295</v>
      </c>
      <c r="Y13" s="184">
        <v>1</v>
      </c>
      <c r="Z13" s="184">
        <v>0</v>
      </c>
      <c r="AA13" s="184">
        <v>0</v>
      </c>
      <c r="AB13" s="185">
        <v>1</v>
      </c>
      <c r="AC13" s="184">
        <v>0</v>
      </c>
      <c r="AD13" s="184">
        <v>0</v>
      </c>
      <c r="AE13" s="184">
        <v>0</v>
      </c>
      <c r="AF13" s="185">
        <v>0</v>
      </c>
      <c r="AG13" s="184">
        <v>1</v>
      </c>
      <c r="AH13" s="184">
        <v>0</v>
      </c>
      <c r="AI13" s="184">
        <v>0</v>
      </c>
      <c r="AJ13" s="185">
        <v>1</v>
      </c>
      <c r="AK13" s="184">
        <v>0</v>
      </c>
      <c r="AL13" s="184">
        <v>0</v>
      </c>
      <c r="AM13" s="184">
        <v>0</v>
      </c>
      <c r="AN13" s="185">
        <v>0</v>
      </c>
    </row>
    <row r="14" spans="1:46" ht="14.95" customHeight="1" thickBot="1" x14ac:dyDescent="0.35">
      <c r="A14" s="188">
        <v>43741</v>
      </c>
      <c r="B14" s="483" t="s">
        <v>158</v>
      </c>
      <c r="C14" s="189" t="s">
        <v>105</v>
      </c>
      <c r="D14" s="189" t="s">
        <v>127</v>
      </c>
      <c r="E14" s="190" t="s">
        <v>1</v>
      </c>
      <c r="F14" s="190">
        <v>35</v>
      </c>
      <c r="G14" s="484">
        <v>0</v>
      </c>
      <c r="H14" s="484">
        <v>1</v>
      </c>
      <c r="I14" s="190">
        <v>0</v>
      </c>
      <c r="J14" s="190">
        <v>5</v>
      </c>
      <c r="K14" s="190">
        <v>5</v>
      </c>
      <c r="L14" s="190">
        <v>0</v>
      </c>
      <c r="M14" s="190">
        <v>0</v>
      </c>
      <c r="N14" s="190">
        <v>0</v>
      </c>
      <c r="O14" s="190">
        <v>0</v>
      </c>
      <c r="P14" s="190">
        <v>0</v>
      </c>
      <c r="Q14" s="190">
        <v>0</v>
      </c>
      <c r="R14" s="190">
        <v>0</v>
      </c>
      <c r="S14" s="203">
        <v>26856</v>
      </c>
      <c r="T14" s="411" t="s">
        <v>749</v>
      </c>
      <c r="U14" s="204" t="s">
        <v>138</v>
      </c>
      <c r="V14" s="203" t="s">
        <v>277</v>
      </c>
      <c r="W14" s="191" t="s">
        <v>136</v>
      </c>
      <c r="X14" s="205" t="s">
        <v>146</v>
      </c>
      <c r="Y14" s="206">
        <v>1</v>
      </c>
      <c r="Z14" s="206">
        <v>1</v>
      </c>
      <c r="AA14" s="206">
        <v>0</v>
      </c>
      <c r="AB14" s="207">
        <v>0</v>
      </c>
      <c r="AC14" s="206">
        <v>0</v>
      </c>
      <c r="AD14" s="206">
        <v>0</v>
      </c>
      <c r="AE14" s="206">
        <v>0</v>
      </c>
      <c r="AF14" s="207">
        <v>0</v>
      </c>
      <c r="AG14" s="206">
        <v>0</v>
      </c>
      <c r="AH14" s="206">
        <v>0</v>
      </c>
      <c r="AI14" s="206">
        <v>0</v>
      </c>
      <c r="AJ14" s="207">
        <v>0</v>
      </c>
      <c r="AK14" s="206">
        <v>1</v>
      </c>
      <c r="AL14" s="206">
        <v>1</v>
      </c>
      <c r="AM14" s="206">
        <v>0</v>
      </c>
      <c r="AN14" s="207">
        <v>0</v>
      </c>
    </row>
    <row r="15" spans="1:46" ht="17" thickBot="1" x14ac:dyDescent="0.35">
      <c r="A15" s="188">
        <v>43750</v>
      </c>
      <c r="B15" s="483" t="s">
        <v>158</v>
      </c>
      <c r="C15" s="189" t="s">
        <v>148</v>
      </c>
      <c r="D15" s="189" t="s">
        <v>168</v>
      </c>
      <c r="E15" s="190" t="s">
        <v>1</v>
      </c>
      <c r="F15" s="190">
        <v>47</v>
      </c>
      <c r="G15" s="484">
        <v>5</v>
      </c>
      <c r="H15" s="484">
        <v>1</v>
      </c>
      <c r="I15" s="190">
        <v>0</v>
      </c>
      <c r="J15" s="190">
        <v>7</v>
      </c>
      <c r="K15" s="190">
        <v>6</v>
      </c>
      <c r="L15" s="190">
        <v>0</v>
      </c>
      <c r="M15" s="190">
        <v>0</v>
      </c>
      <c r="N15" s="190">
        <v>0</v>
      </c>
      <c r="O15" s="190">
        <v>1</v>
      </c>
      <c r="P15" s="190">
        <v>0</v>
      </c>
      <c r="Q15" s="190">
        <v>0</v>
      </c>
      <c r="R15" s="190">
        <v>1</v>
      </c>
      <c r="S15" s="203">
        <v>17967</v>
      </c>
      <c r="T15" s="411" t="s">
        <v>962</v>
      </c>
      <c r="U15" s="204" t="s">
        <v>227</v>
      </c>
      <c r="V15" s="203" t="s">
        <v>131</v>
      </c>
      <c r="W15" s="191" t="s">
        <v>130</v>
      </c>
      <c r="X15" s="205" t="s">
        <v>146</v>
      </c>
      <c r="Y15" s="206">
        <v>1</v>
      </c>
      <c r="Z15" s="206">
        <v>1</v>
      </c>
      <c r="AA15" s="206">
        <v>0</v>
      </c>
      <c r="AB15" s="207">
        <v>0</v>
      </c>
      <c r="AC15" s="206">
        <v>0</v>
      </c>
      <c r="AD15" s="206">
        <v>0</v>
      </c>
      <c r="AE15" s="206">
        <v>0</v>
      </c>
      <c r="AF15" s="207">
        <v>0</v>
      </c>
      <c r="AG15" s="206">
        <v>0</v>
      </c>
      <c r="AH15" s="206">
        <v>0</v>
      </c>
      <c r="AI15" s="206">
        <v>0</v>
      </c>
      <c r="AJ15" s="207">
        <v>0</v>
      </c>
      <c r="AK15" s="206">
        <v>1</v>
      </c>
      <c r="AL15" s="206">
        <v>1</v>
      </c>
      <c r="AM15" s="206">
        <v>0</v>
      </c>
      <c r="AN15" s="207">
        <v>0</v>
      </c>
    </row>
    <row r="16" spans="1:46" ht="14.95" thickBot="1" x14ac:dyDescent="0.3">
      <c r="A16" s="188">
        <v>43757</v>
      </c>
      <c r="B16" s="483" t="s">
        <v>110</v>
      </c>
      <c r="C16" s="189" t="s">
        <v>126</v>
      </c>
      <c r="D16" s="189" t="s">
        <v>160</v>
      </c>
      <c r="E16" s="190" t="s">
        <v>3</v>
      </c>
      <c r="F16" s="190">
        <v>14</v>
      </c>
      <c r="G16" s="484">
        <v>46</v>
      </c>
      <c r="H16" s="484" t="s">
        <v>108</v>
      </c>
      <c r="I16" s="190" t="s">
        <v>108</v>
      </c>
      <c r="J16" s="190">
        <v>2</v>
      </c>
      <c r="K16" s="190">
        <v>1</v>
      </c>
      <c r="L16" s="190">
        <v>0</v>
      </c>
      <c r="M16" s="190">
        <v>0</v>
      </c>
      <c r="N16" s="190">
        <v>0</v>
      </c>
      <c r="O16" s="190">
        <v>0</v>
      </c>
      <c r="P16" s="190" t="s">
        <v>108</v>
      </c>
      <c r="Q16" s="190" t="s">
        <v>108</v>
      </c>
      <c r="R16" s="190">
        <v>7</v>
      </c>
      <c r="S16" s="191">
        <v>46686</v>
      </c>
      <c r="T16" s="926" t="s">
        <v>834</v>
      </c>
      <c r="U16" s="485" t="s">
        <v>219</v>
      </c>
      <c r="V16" s="191" t="s">
        <v>232</v>
      </c>
      <c r="W16" s="191" t="s">
        <v>211</v>
      </c>
      <c r="X16" s="487" t="s">
        <v>278</v>
      </c>
      <c r="Y16" s="206">
        <v>1</v>
      </c>
      <c r="Z16" s="206">
        <v>0</v>
      </c>
      <c r="AA16" s="206">
        <v>0</v>
      </c>
      <c r="AB16" s="207">
        <v>1</v>
      </c>
      <c r="AC16" s="206">
        <v>0</v>
      </c>
      <c r="AD16" s="206">
        <v>0</v>
      </c>
      <c r="AE16" s="206">
        <v>0</v>
      </c>
      <c r="AF16" s="207">
        <v>0</v>
      </c>
      <c r="AG16" s="206">
        <v>0</v>
      </c>
      <c r="AH16" s="206">
        <v>0</v>
      </c>
      <c r="AI16" s="206">
        <v>0</v>
      </c>
      <c r="AJ16" s="207">
        <v>0</v>
      </c>
      <c r="AK16" s="206">
        <v>1</v>
      </c>
      <c r="AL16" s="206">
        <v>0</v>
      </c>
      <c r="AM16" s="206">
        <v>0</v>
      </c>
      <c r="AN16" s="207">
        <v>1</v>
      </c>
    </row>
    <row r="17" spans="1:40" ht="14.95" thickBot="1" x14ac:dyDescent="0.3">
      <c r="A17" s="438"/>
      <c r="B17" s="439"/>
      <c r="C17" s="1069" t="s">
        <v>116</v>
      </c>
      <c r="D17" s="1070"/>
      <c r="E17" s="1071"/>
      <c r="F17" s="433">
        <f>SUM(F3:F7)</f>
        <v>101</v>
      </c>
      <c r="G17" s="433">
        <f t="shared" ref="G17:R17" si="0">SUM(G3:G7)</f>
        <v>100</v>
      </c>
      <c r="H17" s="433">
        <f t="shared" si="0"/>
        <v>2</v>
      </c>
      <c r="I17" s="433">
        <f t="shared" si="0"/>
        <v>0</v>
      </c>
      <c r="J17" s="433">
        <f t="shared" si="0"/>
        <v>14</v>
      </c>
      <c r="K17" s="433">
        <f t="shared" si="0"/>
        <v>11</v>
      </c>
      <c r="L17" s="433">
        <f t="shared" si="0"/>
        <v>0</v>
      </c>
      <c r="M17" s="433">
        <f t="shared" si="0"/>
        <v>3</v>
      </c>
      <c r="N17" s="433">
        <f t="shared" si="0"/>
        <v>0</v>
      </c>
      <c r="O17" s="433">
        <f t="shared" si="0"/>
        <v>0</v>
      </c>
      <c r="P17" s="433">
        <f t="shared" si="0"/>
        <v>1</v>
      </c>
      <c r="Q17" s="433">
        <f t="shared" si="0"/>
        <v>0</v>
      </c>
      <c r="R17" s="433">
        <f t="shared" si="0"/>
        <v>10</v>
      </c>
      <c r="W17" s="434"/>
      <c r="X17" s="968" t="s">
        <v>116</v>
      </c>
      <c r="Y17" s="433">
        <f t="shared" ref="Y17:AN17" si="1">SUM(Y3:Y7)</f>
        <v>5</v>
      </c>
      <c r="Z17" s="433">
        <f t="shared" si="1"/>
        <v>3</v>
      </c>
      <c r="AA17" s="433">
        <f t="shared" si="1"/>
        <v>0</v>
      </c>
      <c r="AB17" s="433">
        <f t="shared" si="1"/>
        <v>2</v>
      </c>
      <c r="AC17" s="435">
        <f t="shared" si="1"/>
        <v>2</v>
      </c>
      <c r="AD17" s="435">
        <f t="shared" si="1"/>
        <v>1</v>
      </c>
      <c r="AE17" s="435">
        <f t="shared" si="1"/>
        <v>0</v>
      </c>
      <c r="AF17" s="435">
        <f t="shared" si="1"/>
        <v>1</v>
      </c>
      <c r="AG17" s="436">
        <f t="shared" si="1"/>
        <v>3</v>
      </c>
      <c r="AH17" s="436">
        <f t="shared" si="1"/>
        <v>2</v>
      </c>
      <c r="AI17" s="436">
        <f t="shared" si="1"/>
        <v>0</v>
      </c>
      <c r="AJ17" s="436">
        <f t="shared" si="1"/>
        <v>1</v>
      </c>
      <c r="AK17" s="437">
        <f t="shared" si="1"/>
        <v>0</v>
      </c>
      <c r="AL17" s="437">
        <f t="shared" si="1"/>
        <v>0</v>
      </c>
      <c r="AM17" s="437">
        <f t="shared" si="1"/>
        <v>0</v>
      </c>
      <c r="AN17" s="437">
        <f t="shared" si="1"/>
        <v>0</v>
      </c>
    </row>
    <row r="18" spans="1:40" ht="15.8" customHeight="1" thickBot="1" x14ac:dyDescent="0.3">
      <c r="A18" s="438"/>
      <c r="B18" s="439"/>
      <c r="C18" s="1037" t="s">
        <v>163</v>
      </c>
      <c r="D18" s="1091"/>
      <c r="E18" s="1092"/>
      <c r="F18" s="446">
        <f>SUM(F8:F11)</f>
        <v>85</v>
      </c>
      <c r="G18" s="446">
        <f>SUM(G8:G11)</f>
        <v>94</v>
      </c>
      <c r="H18" s="446" t="s">
        <v>108</v>
      </c>
      <c r="I18" s="446" t="s">
        <v>108</v>
      </c>
      <c r="J18" s="446">
        <f t="shared" ref="J18:O18" si="2">SUM(J8:J11)</f>
        <v>13</v>
      </c>
      <c r="K18" s="446">
        <f t="shared" si="2"/>
        <v>6</v>
      </c>
      <c r="L18" s="446">
        <f t="shared" si="2"/>
        <v>0</v>
      </c>
      <c r="M18" s="446">
        <f t="shared" si="2"/>
        <v>2</v>
      </c>
      <c r="N18" s="446">
        <f t="shared" si="2"/>
        <v>0</v>
      </c>
      <c r="O18" s="446">
        <f t="shared" si="2"/>
        <v>0</v>
      </c>
      <c r="P18" s="446" t="s">
        <v>108</v>
      </c>
      <c r="Q18" s="446" t="s">
        <v>108</v>
      </c>
      <c r="R18" s="446">
        <f>SUM(R8:R11)</f>
        <v>13</v>
      </c>
      <c r="S18" s="447"/>
      <c r="T18" s="447"/>
      <c r="U18" s="447"/>
      <c r="V18" s="447"/>
      <c r="W18" s="448"/>
      <c r="X18" s="461" t="s">
        <v>163</v>
      </c>
      <c r="Y18" s="446">
        <f t="shared" ref="Y18:AN18" si="3">SUM(Y8:Y11)</f>
        <v>4</v>
      </c>
      <c r="Z18" s="446">
        <f t="shared" si="3"/>
        <v>3</v>
      </c>
      <c r="AA18" s="446">
        <f t="shared" si="3"/>
        <v>0</v>
      </c>
      <c r="AB18" s="446">
        <f t="shared" si="3"/>
        <v>1</v>
      </c>
      <c r="AC18" s="450">
        <f t="shared" si="3"/>
        <v>2</v>
      </c>
      <c r="AD18" s="450">
        <f t="shared" si="3"/>
        <v>2</v>
      </c>
      <c r="AE18" s="450">
        <f t="shared" si="3"/>
        <v>0</v>
      </c>
      <c r="AF18" s="450">
        <f t="shared" si="3"/>
        <v>0</v>
      </c>
      <c r="AG18" s="451">
        <f t="shared" si="3"/>
        <v>2</v>
      </c>
      <c r="AH18" s="451">
        <f t="shared" si="3"/>
        <v>1</v>
      </c>
      <c r="AI18" s="451">
        <f t="shared" si="3"/>
        <v>0</v>
      </c>
      <c r="AJ18" s="451">
        <f t="shared" si="3"/>
        <v>1</v>
      </c>
      <c r="AK18" s="452">
        <f t="shared" si="3"/>
        <v>0</v>
      </c>
      <c r="AL18" s="452">
        <f t="shared" si="3"/>
        <v>0</v>
      </c>
      <c r="AM18" s="452">
        <f t="shared" si="3"/>
        <v>0</v>
      </c>
      <c r="AN18" s="452">
        <f t="shared" si="3"/>
        <v>0</v>
      </c>
    </row>
    <row r="19" spans="1:40" ht="15.8" customHeight="1" thickBot="1" x14ac:dyDescent="0.3">
      <c r="A19" s="438"/>
      <c r="B19" s="439"/>
      <c r="C19" s="1040" t="s">
        <v>611</v>
      </c>
      <c r="D19" s="1041"/>
      <c r="E19" s="1042"/>
      <c r="F19" s="685">
        <f t="shared" ref="F19:R19" si="4">SUM(F12:F15)</f>
        <v>121</v>
      </c>
      <c r="G19" s="685">
        <f t="shared" si="4"/>
        <v>27</v>
      </c>
      <c r="H19" s="685">
        <f t="shared" si="4"/>
        <v>3</v>
      </c>
      <c r="I19" s="685">
        <f t="shared" si="4"/>
        <v>1</v>
      </c>
      <c r="J19" s="685">
        <f t="shared" si="4"/>
        <v>18</v>
      </c>
      <c r="K19" s="685">
        <f t="shared" si="4"/>
        <v>14</v>
      </c>
      <c r="L19" s="685">
        <f t="shared" si="4"/>
        <v>0</v>
      </c>
      <c r="M19" s="685">
        <f t="shared" si="4"/>
        <v>1</v>
      </c>
      <c r="N19" s="685">
        <f t="shared" si="4"/>
        <v>1</v>
      </c>
      <c r="O19" s="685">
        <f t="shared" si="4"/>
        <v>1</v>
      </c>
      <c r="P19" s="685">
        <f t="shared" si="4"/>
        <v>0</v>
      </c>
      <c r="Q19" s="685">
        <f t="shared" si="4"/>
        <v>0</v>
      </c>
      <c r="R19" s="685">
        <f t="shared" si="4"/>
        <v>2</v>
      </c>
      <c r="S19" s="686"/>
      <c r="T19" s="686"/>
      <c r="U19" s="686"/>
      <c r="V19" s="686"/>
      <c r="W19" s="687"/>
      <c r="X19" s="688" t="s">
        <v>611</v>
      </c>
      <c r="Y19" s="689">
        <f t="shared" ref="Y19:AN19" si="5">SUM(Y12:Y15)</f>
        <v>4</v>
      </c>
      <c r="Z19" s="690">
        <f t="shared" si="5"/>
        <v>3</v>
      </c>
      <c r="AA19" s="685">
        <f t="shared" si="5"/>
        <v>0</v>
      </c>
      <c r="AB19" s="685">
        <f t="shared" si="5"/>
        <v>1</v>
      </c>
      <c r="AC19" s="691">
        <f t="shared" si="5"/>
        <v>0</v>
      </c>
      <c r="AD19" s="691">
        <f t="shared" si="5"/>
        <v>0</v>
      </c>
      <c r="AE19" s="691">
        <f t="shared" si="5"/>
        <v>0</v>
      </c>
      <c r="AF19" s="691">
        <f t="shared" si="5"/>
        <v>0</v>
      </c>
      <c r="AG19" s="692">
        <f t="shared" si="5"/>
        <v>1</v>
      </c>
      <c r="AH19" s="692">
        <f t="shared" si="5"/>
        <v>0</v>
      </c>
      <c r="AI19" s="692">
        <f t="shared" si="5"/>
        <v>0</v>
      </c>
      <c r="AJ19" s="692">
        <f t="shared" si="5"/>
        <v>1</v>
      </c>
      <c r="AK19" s="693">
        <f t="shared" si="5"/>
        <v>3</v>
      </c>
      <c r="AL19" s="693">
        <f t="shared" si="5"/>
        <v>3</v>
      </c>
      <c r="AM19" s="693">
        <f t="shared" si="5"/>
        <v>0</v>
      </c>
      <c r="AN19" s="693">
        <f t="shared" si="5"/>
        <v>0</v>
      </c>
    </row>
    <row r="20" spans="1:40" ht="15.8" customHeight="1" thickBot="1" x14ac:dyDescent="0.3">
      <c r="A20" s="438"/>
      <c r="B20" s="439"/>
      <c r="C20" s="1040" t="s">
        <v>612</v>
      </c>
      <c r="D20" s="1041"/>
      <c r="E20" s="1042"/>
      <c r="F20" s="694">
        <f>SUM(F16:F16)</f>
        <v>14</v>
      </c>
      <c r="G20" s="685">
        <f>SUM(G16:G16)</f>
        <v>46</v>
      </c>
      <c r="H20" s="685" t="s">
        <v>108</v>
      </c>
      <c r="I20" s="685" t="s">
        <v>108</v>
      </c>
      <c r="J20" s="685">
        <f t="shared" ref="J20:O20" si="6">SUM(J16:J16)</f>
        <v>2</v>
      </c>
      <c r="K20" s="685">
        <f t="shared" si="6"/>
        <v>1</v>
      </c>
      <c r="L20" s="685">
        <f t="shared" si="6"/>
        <v>0</v>
      </c>
      <c r="M20" s="685">
        <f t="shared" si="6"/>
        <v>0</v>
      </c>
      <c r="N20" s="685">
        <f t="shared" si="6"/>
        <v>0</v>
      </c>
      <c r="O20" s="685">
        <f t="shared" si="6"/>
        <v>0</v>
      </c>
      <c r="P20" s="685" t="s">
        <v>108</v>
      </c>
      <c r="Q20" s="685" t="s">
        <v>108</v>
      </c>
      <c r="R20" s="685">
        <f>SUM(R16:R16)</f>
        <v>7</v>
      </c>
      <c r="S20" s="686"/>
      <c r="T20" s="686"/>
      <c r="U20" s="686"/>
      <c r="V20" s="686"/>
      <c r="W20" s="687"/>
      <c r="X20" s="688" t="s">
        <v>612</v>
      </c>
      <c r="Y20" s="689">
        <f t="shared" ref="Y20:AN20" si="7">SUM(Y16:Y16)</f>
        <v>1</v>
      </c>
      <c r="Z20" s="690">
        <f t="shared" si="7"/>
        <v>0</v>
      </c>
      <c r="AA20" s="685">
        <f t="shared" si="7"/>
        <v>0</v>
      </c>
      <c r="AB20" s="685">
        <f t="shared" si="7"/>
        <v>1</v>
      </c>
      <c r="AC20" s="691">
        <f t="shared" si="7"/>
        <v>0</v>
      </c>
      <c r="AD20" s="691">
        <f t="shared" si="7"/>
        <v>0</v>
      </c>
      <c r="AE20" s="691">
        <f t="shared" si="7"/>
        <v>0</v>
      </c>
      <c r="AF20" s="691">
        <f t="shared" si="7"/>
        <v>0</v>
      </c>
      <c r="AG20" s="692">
        <f t="shared" si="7"/>
        <v>0</v>
      </c>
      <c r="AH20" s="692">
        <f t="shared" si="7"/>
        <v>0</v>
      </c>
      <c r="AI20" s="692">
        <f t="shared" si="7"/>
        <v>0</v>
      </c>
      <c r="AJ20" s="692">
        <f t="shared" si="7"/>
        <v>0</v>
      </c>
      <c r="AK20" s="693">
        <f t="shared" si="7"/>
        <v>1</v>
      </c>
      <c r="AL20" s="693">
        <f t="shared" si="7"/>
        <v>0</v>
      </c>
      <c r="AM20" s="693">
        <f t="shared" si="7"/>
        <v>0</v>
      </c>
      <c r="AN20" s="693">
        <f t="shared" si="7"/>
        <v>1</v>
      </c>
    </row>
    <row r="21" spans="1:40" ht="15.8" customHeight="1" thickBot="1" x14ac:dyDescent="0.3">
      <c r="A21" s="438"/>
      <c r="B21" s="439"/>
      <c r="C21" s="1040" t="s">
        <v>613</v>
      </c>
      <c r="D21" s="1041"/>
      <c r="E21" s="1042"/>
      <c r="F21" s="685">
        <f>SUM(F19:F20)</f>
        <v>135</v>
      </c>
      <c r="G21" s="685">
        <f t="shared" ref="G21:R21" si="8">SUM(G19:G20)</f>
        <v>73</v>
      </c>
      <c r="H21" s="685">
        <f t="shared" si="8"/>
        <v>3</v>
      </c>
      <c r="I21" s="685">
        <f t="shared" si="8"/>
        <v>1</v>
      </c>
      <c r="J21" s="685">
        <f t="shared" si="8"/>
        <v>20</v>
      </c>
      <c r="K21" s="685">
        <f t="shared" si="8"/>
        <v>15</v>
      </c>
      <c r="L21" s="685">
        <f t="shared" si="8"/>
        <v>0</v>
      </c>
      <c r="M21" s="685">
        <f t="shared" si="8"/>
        <v>1</v>
      </c>
      <c r="N21" s="685">
        <f t="shared" si="8"/>
        <v>1</v>
      </c>
      <c r="O21" s="685">
        <f t="shared" si="8"/>
        <v>1</v>
      </c>
      <c r="P21" s="685">
        <f t="shared" si="8"/>
        <v>0</v>
      </c>
      <c r="Q21" s="685">
        <f t="shared" si="8"/>
        <v>0</v>
      </c>
      <c r="R21" s="685">
        <f t="shared" si="8"/>
        <v>9</v>
      </c>
      <c r="S21" s="686"/>
      <c r="T21" s="686"/>
      <c r="U21" s="686"/>
      <c r="V21" s="686"/>
      <c r="W21" s="687"/>
      <c r="X21" s="688" t="s">
        <v>613</v>
      </c>
      <c r="Y21" s="689">
        <f t="shared" ref="Y21:AN21" si="9">SUM(Y19:Y20)</f>
        <v>5</v>
      </c>
      <c r="Z21" s="690">
        <f t="shared" si="9"/>
        <v>3</v>
      </c>
      <c r="AA21" s="685">
        <f t="shared" si="9"/>
        <v>0</v>
      </c>
      <c r="AB21" s="685">
        <f t="shared" si="9"/>
        <v>2</v>
      </c>
      <c r="AC21" s="691">
        <f t="shared" si="9"/>
        <v>0</v>
      </c>
      <c r="AD21" s="691">
        <f t="shared" si="9"/>
        <v>0</v>
      </c>
      <c r="AE21" s="691">
        <f t="shared" si="9"/>
        <v>0</v>
      </c>
      <c r="AF21" s="691">
        <f t="shared" si="9"/>
        <v>0</v>
      </c>
      <c r="AG21" s="692">
        <f t="shared" si="9"/>
        <v>1</v>
      </c>
      <c r="AH21" s="692">
        <f t="shared" si="9"/>
        <v>0</v>
      </c>
      <c r="AI21" s="692">
        <f t="shared" si="9"/>
        <v>0</v>
      </c>
      <c r="AJ21" s="692">
        <f t="shared" si="9"/>
        <v>1</v>
      </c>
      <c r="AK21" s="693">
        <f t="shared" si="9"/>
        <v>4</v>
      </c>
      <c r="AL21" s="693">
        <f t="shared" si="9"/>
        <v>3</v>
      </c>
      <c r="AM21" s="693">
        <f t="shared" si="9"/>
        <v>0</v>
      </c>
      <c r="AN21" s="693">
        <f t="shared" si="9"/>
        <v>1</v>
      </c>
    </row>
    <row r="22" spans="1:40" ht="15.8" customHeight="1" thickBot="1" x14ac:dyDescent="0.3">
      <c r="A22" s="438"/>
      <c r="B22" s="439"/>
      <c r="C22" s="1034" t="s">
        <v>112</v>
      </c>
      <c r="D22" s="1035"/>
      <c r="E22" s="1036"/>
      <c r="F22" s="453">
        <f t="shared" ref="F22:R22" si="10">SUM(F3:F16)</f>
        <v>321</v>
      </c>
      <c r="G22" s="453">
        <f t="shared" si="10"/>
        <v>267</v>
      </c>
      <c r="H22" s="453">
        <f t="shared" si="10"/>
        <v>5</v>
      </c>
      <c r="I22" s="453">
        <f t="shared" si="10"/>
        <v>1</v>
      </c>
      <c r="J22" s="453">
        <f t="shared" si="10"/>
        <v>47</v>
      </c>
      <c r="K22" s="453">
        <f t="shared" si="10"/>
        <v>32</v>
      </c>
      <c r="L22" s="453">
        <f t="shared" si="10"/>
        <v>0</v>
      </c>
      <c r="M22" s="453">
        <f t="shared" si="10"/>
        <v>6</v>
      </c>
      <c r="N22" s="453">
        <f t="shared" si="10"/>
        <v>1</v>
      </c>
      <c r="O22" s="453">
        <f t="shared" si="10"/>
        <v>1</v>
      </c>
      <c r="P22" s="453">
        <f t="shared" si="10"/>
        <v>1</v>
      </c>
      <c r="Q22" s="453">
        <f t="shared" si="10"/>
        <v>0</v>
      </c>
      <c r="R22" s="453">
        <f t="shared" si="10"/>
        <v>32</v>
      </c>
      <c r="S22" s="454"/>
      <c r="T22" s="454"/>
      <c r="U22" s="454"/>
      <c r="V22" s="454"/>
      <c r="W22" s="455"/>
      <c r="X22" s="462" t="s">
        <v>112</v>
      </c>
      <c r="Y22" s="453">
        <f t="shared" ref="Y22:AN22" si="11">SUM(Y3:Y16)</f>
        <v>14</v>
      </c>
      <c r="Z22" s="453">
        <f t="shared" si="11"/>
        <v>9</v>
      </c>
      <c r="AA22" s="453">
        <f t="shared" si="11"/>
        <v>0</v>
      </c>
      <c r="AB22" s="453">
        <f t="shared" si="11"/>
        <v>5</v>
      </c>
      <c r="AC22" s="456">
        <f t="shared" si="11"/>
        <v>4</v>
      </c>
      <c r="AD22" s="456">
        <f t="shared" si="11"/>
        <v>3</v>
      </c>
      <c r="AE22" s="456">
        <f t="shared" si="11"/>
        <v>0</v>
      </c>
      <c r="AF22" s="456">
        <f t="shared" si="11"/>
        <v>1</v>
      </c>
      <c r="AG22" s="457">
        <f t="shared" si="11"/>
        <v>6</v>
      </c>
      <c r="AH22" s="457">
        <f t="shared" si="11"/>
        <v>3</v>
      </c>
      <c r="AI22" s="457">
        <f t="shared" si="11"/>
        <v>0</v>
      </c>
      <c r="AJ22" s="457">
        <f t="shared" si="11"/>
        <v>3</v>
      </c>
      <c r="AK22" s="458">
        <f t="shared" si="11"/>
        <v>4</v>
      </c>
      <c r="AL22" s="458">
        <f t="shared" si="11"/>
        <v>3</v>
      </c>
      <c r="AM22" s="458">
        <f t="shared" si="11"/>
        <v>0</v>
      </c>
      <c r="AN22" s="458">
        <f t="shared" si="11"/>
        <v>1</v>
      </c>
    </row>
    <row r="23" spans="1:40" ht="15.8" customHeight="1" x14ac:dyDescent="0.25">
      <c r="A23" s="1107" t="s">
        <v>975</v>
      </c>
      <c r="B23" s="1108"/>
      <c r="C23" s="1108"/>
      <c r="D23" s="1108"/>
      <c r="E23" s="1108"/>
      <c r="F23" s="1108"/>
      <c r="G23" s="1108"/>
      <c r="H23" s="1108"/>
      <c r="I23" s="1108"/>
      <c r="J23" s="1108"/>
      <c r="K23" s="1108"/>
      <c r="L23" s="1108"/>
      <c r="M23" s="1108"/>
      <c r="N23" s="1108"/>
      <c r="O23" s="1108"/>
      <c r="P23" s="1108"/>
      <c r="Q23" s="1108"/>
      <c r="R23" s="1108"/>
      <c r="S23" s="1108"/>
      <c r="T23" s="1108"/>
      <c r="U23" s="1108"/>
      <c r="V23" s="1108"/>
      <c r="W23" s="1108"/>
      <c r="X23" s="1108"/>
      <c r="Y23" s="1108"/>
      <c r="Z23" s="1108"/>
      <c r="AA23" s="1108"/>
      <c r="AB23" s="1108"/>
      <c r="AC23" s="1108"/>
      <c r="AD23" s="1108"/>
      <c r="AE23" s="1108"/>
      <c r="AF23" s="1108"/>
      <c r="AG23" s="1108"/>
      <c r="AH23" s="1108"/>
      <c r="AI23" s="1108"/>
      <c r="AJ23" s="1108"/>
      <c r="AK23" s="1108"/>
      <c r="AL23" s="1108"/>
      <c r="AM23" s="1108"/>
      <c r="AN23" s="1108"/>
    </row>
    <row r="24" spans="1:40" x14ac:dyDescent="0.25">
      <c r="A24" t="s">
        <v>171</v>
      </c>
      <c r="F24" s="14"/>
      <c r="G24" s="14"/>
      <c r="H24" s="13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40" x14ac:dyDescent="0.25">
      <c r="A25" t="s">
        <v>111</v>
      </c>
      <c r="F25" s="14"/>
      <c r="G25" s="14"/>
      <c r="H25" s="13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40" x14ac:dyDescent="0.25">
      <c r="A26" t="s">
        <v>173</v>
      </c>
      <c r="F26" s="14"/>
      <c r="G26" s="14"/>
      <c r="H26" s="13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40" x14ac:dyDescent="0.25">
      <c r="A27" t="s">
        <v>174</v>
      </c>
      <c r="F27" s="14"/>
      <c r="G27" s="14"/>
      <c r="H27" s="13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40" x14ac:dyDescent="0.25">
      <c r="A28" t="s">
        <v>208</v>
      </c>
      <c r="F28" s="14"/>
      <c r="G28" s="14"/>
      <c r="H28" s="13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40" x14ac:dyDescent="0.25">
      <c r="A29" s="159"/>
      <c r="B29" t="s">
        <v>44</v>
      </c>
    </row>
    <row r="30" spans="1:40" x14ac:dyDescent="0.25">
      <c r="A30" s="157"/>
      <c r="B30" t="s">
        <v>42</v>
      </c>
    </row>
    <row r="31" spans="1:40" x14ac:dyDescent="0.25">
      <c r="A31" s="158"/>
      <c r="B31" t="s">
        <v>43</v>
      </c>
    </row>
    <row r="32" spans="1:40" x14ac:dyDescent="0.25">
      <c r="A32" s="15" t="s">
        <v>28</v>
      </c>
    </row>
  </sheetData>
  <mergeCells count="17">
    <mergeCell ref="Y1:AB1"/>
    <mergeCell ref="AC1:AF1"/>
    <mergeCell ref="AG1:AJ1"/>
    <mergeCell ref="AK1:AN1"/>
    <mergeCell ref="P1:R1"/>
    <mergeCell ref="A1:C1"/>
    <mergeCell ref="E1:G1"/>
    <mergeCell ref="H1:I1"/>
    <mergeCell ref="J1:M1"/>
    <mergeCell ref="N1:O1"/>
    <mergeCell ref="C17:E17"/>
    <mergeCell ref="A23:AN23"/>
    <mergeCell ref="C18:E18"/>
    <mergeCell ref="C19:E19"/>
    <mergeCell ref="C22:E22"/>
    <mergeCell ref="C20:E20"/>
    <mergeCell ref="C21:E2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T34"/>
  <sheetViews>
    <sheetView zoomScaleNormal="100" workbookViewId="0">
      <pane ySplit="2" topLeftCell="A3" activePane="bottomLeft" state="frozen"/>
      <selection pane="bottomLeft" activeCell="E11" sqref="E11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25" customWidth="1"/>
    <col min="5" max="18" width="3.75" customWidth="1"/>
    <col min="19" max="20" width="6.25" customWidth="1"/>
    <col min="21" max="21" width="20.25" bestFit="1" customWidth="1"/>
    <col min="22" max="22" width="24.125" bestFit="1" customWidth="1"/>
    <col min="23" max="23" width="21.125" bestFit="1" customWidth="1"/>
    <col min="24" max="24" width="30.5" customWidth="1"/>
    <col min="25" max="40" width="3.7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1141" t="s">
        <v>190</v>
      </c>
      <c r="B1" s="1142"/>
      <c r="C1" s="1142"/>
      <c r="D1" s="370"/>
      <c r="E1" s="1143" t="s">
        <v>24</v>
      </c>
      <c r="F1" s="1144"/>
      <c r="G1" s="1145"/>
      <c r="H1" s="1143" t="s">
        <v>23</v>
      </c>
      <c r="I1" s="1145"/>
      <c r="J1" s="1138" t="s">
        <v>6</v>
      </c>
      <c r="K1" s="1139"/>
      <c r="L1" s="1139"/>
      <c r="M1" s="1140"/>
      <c r="N1" s="1138" t="s">
        <v>7</v>
      </c>
      <c r="O1" s="1140"/>
      <c r="P1" s="1138" t="s">
        <v>25</v>
      </c>
      <c r="Q1" s="1139"/>
      <c r="R1" s="1140"/>
      <c r="S1" s="913" t="s">
        <v>8</v>
      </c>
      <c r="T1" s="913" t="s">
        <v>9</v>
      </c>
      <c r="U1" s="372" t="s">
        <v>10</v>
      </c>
      <c r="V1" s="371" t="s">
        <v>11</v>
      </c>
      <c r="W1" s="373" t="s">
        <v>26</v>
      </c>
      <c r="X1" s="374" t="s">
        <v>27</v>
      </c>
      <c r="Y1" s="1137" t="s">
        <v>20</v>
      </c>
      <c r="Z1" s="1044"/>
      <c r="AA1" s="1044"/>
      <c r="AB1" s="1045"/>
      <c r="AC1" s="1137" t="s">
        <v>61</v>
      </c>
      <c r="AD1" s="1044"/>
      <c r="AE1" s="1044"/>
      <c r="AF1" s="1045"/>
      <c r="AG1" s="1137" t="s">
        <v>62</v>
      </c>
      <c r="AH1" s="1044"/>
      <c r="AI1" s="1044"/>
      <c r="AJ1" s="1045"/>
      <c r="AK1" s="1137" t="s">
        <v>63</v>
      </c>
      <c r="AL1" s="1044"/>
      <c r="AM1" s="1044"/>
      <c r="AN1" s="1045"/>
      <c r="AP1" s="881" t="s">
        <v>675</v>
      </c>
      <c r="AQ1" s="868"/>
      <c r="AR1" s="868"/>
      <c r="AS1" s="881" t="s">
        <v>675</v>
      </c>
    </row>
    <row r="2" spans="1:46" ht="14.95" customHeight="1" thickBot="1" x14ac:dyDescent="0.3">
      <c r="A2" s="375" t="s">
        <v>19</v>
      </c>
      <c r="B2" s="376" t="s">
        <v>18</v>
      </c>
      <c r="C2" s="377" t="s">
        <v>17</v>
      </c>
      <c r="D2" s="377" t="s">
        <v>41</v>
      </c>
      <c r="E2" s="378" t="s">
        <v>16</v>
      </c>
      <c r="F2" s="378" t="s">
        <v>4</v>
      </c>
      <c r="G2" s="378" t="s">
        <v>5</v>
      </c>
      <c r="H2" s="379" t="s">
        <v>12</v>
      </c>
      <c r="I2" s="379" t="s">
        <v>3</v>
      </c>
      <c r="J2" s="379" t="s">
        <v>12</v>
      </c>
      <c r="K2" s="379" t="s">
        <v>13</v>
      </c>
      <c r="L2" s="379" t="s">
        <v>2</v>
      </c>
      <c r="M2" s="379" t="s">
        <v>14</v>
      </c>
      <c r="N2" s="379" t="s">
        <v>15</v>
      </c>
      <c r="O2" s="379" t="s">
        <v>16</v>
      </c>
      <c r="P2" s="379" t="s">
        <v>21</v>
      </c>
      <c r="Q2" s="379" t="s">
        <v>22</v>
      </c>
      <c r="R2" s="379" t="s">
        <v>12</v>
      </c>
      <c r="S2" s="380"/>
      <c r="T2" s="381"/>
      <c r="U2" s="382"/>
      <c r="V2" s="380"/>
      <c r="W2" s="383"/>
      <c r="X2" s="384"/>
      <c r="Y2" s="510" t="s">
        <v>0</v>
      </c>
      <c r="Z2" s="510" t="s">
        <v>1</v>
      </c>
      <c r="AA2" s="510" t="s">
        <v>2</v>
      </c>
      <c r="AB2" s="510" t="s">
        <v>3</v>
      </c>
      <c r="AC2" s="510" t="s">
        <v>0</v>
      </c>
      <c r="AD2" s="510" t="s">
        <v>1</v>
      </c>
      <c r="AE2" s="510" t="s">
        <v>2</v>
      </c>
      <c r="AF2" s="510" t="s">
        <v>3</v>
      </c>
      <c r="AG2" s="510" t="s">
        <v>0</v>
      </c>
      <c r="AH2" s="510" t="s">
        <v>1</v>
      </c>
      <c r="AI2" s="510" t="s">
        <v>2</v>
      </c>
      <c r="AJ2" s="510" t="s">
        <v>3</v>
      </c>
      <c r="AK2" s="510" t="s">
        <v>0</v>
      </c>
      <c r="AL2" s="510" t="s">
        <v>1</v>
      </c>
      <c r="AM2" s="510" t="s">
        <v>2</v>
      </c>
      <c r="AN2" s="510" t="s">
        <v>3</v>
      </c>
      <c r="AP2" s="592" t="s">
        <v>112</v>
      </c>
      <c r="AQ2" s="253" t="s">
        <v>987</v>
      </c>
      <c r="AS2" s="672" t="s">
        <v>610</v>
      </c>
      <c r="AT2" s="253" t="s">
        <v>987</v>
      </c>
    </row>
    <row r="3" spans="1:46" ht="14.95" customHeight="1" thickBot="1" x14ac:dyDescent="0.3">
      <c r="A3" s="187">
        <v>43498</v>
      </c>
      <c r="B3" s="208" t="s">
        <v>46</v>
      </c>
      <c r="C3" s="178" t="s">
        <v>35</v>
      </c>
      <c r="D3" s="178" t="s">
        <v>125</v>
      </c>
      <c r="E3" s="179" t="s">
        <v>3</v>
      </c>
      <c r="F3" s="179">
        <v>20</v>
      </c>
      <c r="G3" s="179">
        <v>33</v>
      </c>
      <c r="H3" s="179">
        <v>0</v>
      </c>
      <c r="I3" s="179">
        <v>0</v>
      </c>
      <c r="J3" s="179">
        <v>3</v>
      </c>
      <c r="K3" s="179">
        <v>1</v>
      </c>
      <c r="L3" s="179">
        <v>0</v>
      </c>
      <c r="M3" s="179">
        <v>1</v>
      </c>
      <c r="N3" s="179">
        <v>0</v>
      </c>
      <c r="O3" s="179">
        <v>0</v>
      </c>
      <c r="P3" s="179">
        <v>1</v>
      </c>
      <c r="Q3" s="179">
        <v>0</v>
      </c>
      <c r="R3" s="179">
        <v>5</v>
      </c>
      <c r="S3" s="180">
        <v>67144</v>
      </c>
      <c r="T3" s="223" t="s">
        <v>143</v>
      </c>
      <c r="U3" s="181" t="s">
        <v>133</v>
      </c>
      <c r="V3" s="180" t="s">
        <v>144</v>
      </c>
      <c r="W3" s="182" t="s">
        <v>136</v>
      </c>
      <c r="X3" s="183" t="s">
        <v>149</v>
      </c>
      <c r="Y3" s="184">
        <v>1</v>
      </c>
      <c r="Z3" s="184">
        <v>0</v>
      </c>
      <c r="AA3" s="184">
        <v>0</v>
      </c>
      <c r="AB3" s="185">
        <v>1</v>
      </c>
      <c r="AC3" s="184">
        <v>0</v>
      </c>
      <c r="AD3" s="184">
        <v>0</v>
      </c>
      <c r="AE3" s="184">
        <v>0</v>
      </c>
      <c r="AF3" s="185">
        <v>0</v>
      </c>
      <c r="AG3" s="184">
        <v>1</v>
      </c>
      <c r="AH3" s="184">
        <v>0</v>
      </c>
      <c r="AI3" s="184">
        <v>0</v>
      </c>
      <c r="AJ3" s="185">
        <v>1</v>
      </c>
      <c r="AK3" s="184">
        <v>0</v>
      </c>
      <c r="AL3" s="184">
        <v>0</v>
      </c>
      <c r="AM3" s="184">
        <v>0</v>
      </c>
      <c r="AN3" s="185">
        <v>0</v>
      </c>
      <c r="AP3" s="849" t="s">
        <v>627</v>
      </c>
      <c r="AQ3" s="850">
        <f>Italyalltestshistplayed</f>
        <v>507</v>
      </c>
      <c r="AS3" s="849" t="s">
        <v>627</v>
      </c>
      <c r="AT3" s="850">
        <f>ItalyRWChistplayed</f>
        <v>32</v>
      </c>
    </row>
    <row r="4" spans="1:46" ht="14.95" customHeight="1" thickBot="1" x14ac:dyDescent="0.3">
      <c r="A4" s="524">
        <v>43505</v>
      </c>
      <c r="B4" s="525" t="s">
        <v>46</v>
      </c>
      <c r="C4" s="525" t="s">
        <v>32</v>
      </c>
      <c r="D4" s="525" t="s">
        <v>122</v>
      </c>
      <c r="E4" s="526" t="s">
        <v>3</v>
      </c>
      <c r="F4" s="526">
        <v>15</v>
      </c>
      <c r="G4" s="526">
        <v>26</v>
      </c>
      <c r="H4" s="526">
        <v>0</v>
      </c>
      <c r="I4" s="526">
        <v>0</v>
      </c>
      <c r="J4" s="526">
        <v>2</v>
      </c>
      <c r="K4" s="526">
        <v>1</v>
      </c>
      <c r="L4" s="526">
        <v>0</v>
      </c>
      <c r="M4" s="526">
        <v>1</v>
      </c>
      <c r="N4" s="526">
        <v>0</v>
      </c>
      <c r="O4" s="526">
        <v>0</v>
      </c>
      <c r="P4" s="526">
        <v>0</v>
      </c>
      <c r="Q4" s="526">
        <v>0</v>
      </c>
      <c r="R4" s="526">
        <v>2</v>
      </c>
      <c r="S4" s="527">
        <v>38700</v>
      </c>
      <c r="T4" s="528" t="s">
        <v>214</v>
      </c>
      <c r="U4" s="529" t="s">
        <v>136</v>
      </c>
      <c r="V4" s="527" t="s">
        <v>215</v>
      </c>
      <c r="W4" s="533" t="s">
        <v>132</v>
      </c>
      <c r="X4" s="534" t="s">
        <v>149</v>
      </c>
      <c r="Y4" s="531">
        <v>1</v>
      </c>
      <c r="Z4" s="531">
        <v>0</v>
      </c>
      <c r="AA4" s="531">
        <v>0</v>
      </c>
      <c r="AB4" s="532">
        <v>1</v>
      </c>
      <c r="AC4" s="531">
        <v>1</v>
      </c>
      <c r="AD4" s="531">
        <v>0</v>
      </c>
      <c r="AE4" s="531">
        <v>0</v>
      </c>
      <c r="AF4" s="532">
        <v>1</v>
      </c>
      <c r="AG4" s="531">
        <v>0</v>
      </c>
      <c r="AH4" s="531">
        <v>0</v>
      </c>
      <c r="AI4" s="531">
        <v>0</v>
      </c>
      <c r="AJ4" s="532">
        <v>0</v>
      </c>
      <c r="AK4" s="531">
        <v>0</v>
      </c>
      <c r="AL4" s="531">
        <v>0</v>
      </c>
      <c r="AM4" s="531">
        <v>0</v>
      </c>
      <c r="AN4" s="532">
        <v>0</v>
      </c>
      <c r="AP4" s="851" t="s">
        <v>628</v>
      </c>
      <c r="AQ4" s="852">
        <f>Italyalltestshistwon</f>
        <v>187</v>
      </c>
      <c r="AS4" s="851" t="s">
        <v>628</v>
      </c>
      <c r="AT4" s="852">
        <f>ItalyRWChistwon</f>
        <v>13</v>
      </c>
    </row>
    <row r="5" spans="1:46" ht="14.95" customHeight="1" thickBot="1" x14ac:dyDescent="0.35">
      <c r="A5" s="524">
        <v>43520</v>
      </c>
      <c r="B5" s="525" t="s">
        <v>46</v>
      </c>
      <c r="C5" s="525" t="s">
        <v>39</v>
      </c>
      <c r="D5" s="525" t="s">
        <v>122</v>
      </c>
      <c r="E5" s="526" t="s">
        <v>3</v>
      </c>
      <c r="F5" s="526">
        <v>16</v>
      </c>
      <c r="G5" s="526">
        <v>26</v>
      </c>
      <c r="H5" s="526">
        <v>0</v>
      </c>
      <c r="I5" s="526">
        <v>0</v>
      </c>
      <c r="J5" s="526">
        <v>2</v>
      </c>
      <c r="K5" s="526">
        <v>0</v>
      </c>
      <c r="L5" s="526">
        <v>0</v>
      </c>
      <c r="M5" s="526">
        <v>2</v>
      </c>
      <c r="N5" s="526">
        <v>0</v>
      </c>
      <c r="O5" s="526">
        <v>0</v>
      </c>
      <c r="P5" s="526">
        <v>1</v>
      </c>
      <c r="Q5" s="526">
        <v>0</v>
      </c>
      <c r="R5" s="526">
        <v>4</v>
      </c>
      <c r="S5" s="527">
        <v>49720</v>
      </c>
      <c r="T5" s="548" t="s">
        <v>230</v>
      </c>
      <c r="U5" s="529" t="s">
        <v>231</v>
      </c>
      <c r="V5" s="527" t="s">
        <v>232</v>
      </c>
      <c r="W5" s="533" t="s">
        <v>132</v>
      </c>
      <c r="X5" s="534" t="s">
        <v>233</v>
      </c>
      <c r="Y5" s="531">
        <v>1</v>
      </c>
      <c r="Z5" s="531">
        <v>0</v>
      </c>
      <c r="AA5" s="531">
        <v>0</v>
      </c>
      <c r="AB5" s="532">
        <v>1</v>
      </c>
      <c r="AC5" s="531">
        <v>1</v>
      </c>
      <c r="AD5" s="531">
        <v>0</v>
      </c>
      <c r="AE5" s="531">
        <v>0</v>
      </c>
      <c r="AF5" s="532">
        <v>1</v>
      </c>
      <c r="AG5" s="531">
        <v>0</v>
      </c>
      <c r="AH5" s="531">
        <v>0</v>
      </c>
      <c r="AI5" s="531">
        <v>0</v>
      </c>
      <c r="AJ5" s="532">
        <v>0</v>
      </c>
      <c r="AK5" s="531">
        <v>0</v>
      </c>
      <c r="AL5" s="531">
        <v>0</v>
      </c>
      <c r="AM5" s="531">
        <v>0</v>
      </c>
      <c r="AN5" s="532">
        <v>0</v>
      </c>
      <c r="AP5" s="851" t="s">
        <v>634</v>
      </c>
      <c r="AQ5" s="852">
        <f>Italyalltestshistdrawn</f>
        <v>15</v>
      </c>
      <c r="AS5" s="851" t="s">
        <v>634</v>
      </c>
      <c r="AT5" s="852">
        <f>ItalyRWChistdrawn</f>
        <v>1</v>
      </c>
    </row>
    <row r="6" spans="1:46" ht="14.95" customHeight="1" thickBot="1" x14ac:dyDescent="0.3">
      <c r="A6" s="187">
        <v>43533</v>
      </c>
      <c r="B6" s="178" t="s">
        <v>46</v>
      </c>
      <c r="C6" s="178" t="s">
        <v>30</v>
      </c>
      <c r="D6" s="178" t="s">
        <v>124</v>
      </c>
      <c r="E6" s="179" t="s">
        <v>3</v>
      </c>
      <c r="F6" s="179">
        <v>14</v>
      </c>
      <c r="G6" s="179">
        <v>57</v>
      </c>
      <c r="H6" s="179">
        <v>0</v>
      </c>
      <c r="I6" s="179">
        <v>0</v>
      </c>
      <c r="J6" s="179">
        <v>2</v>
      </c>
      <c r="K6" s="179">
        <v>2</v>
      </c>
      <c r="L6" s="179">
        <v>0</v>
      </c>
      <c r="M6" s="179">
        <v>0</v>
      </c>
      <c r="N6" s="179">
        <v>0</v>
      </c>
      <c r="O6" s="179">
        <v>0</v>
      </c>
      <c r="P6" s="179">
        <v>1</v>
      </c>
      <c r="Q6" s="179">
        <v>0</v>
      </c>
      <c r="R6" s="179">
        <v>8</v>
      </c>
      <c r="S6" s="180">
        <v>82022</v>
      </c>
      <c r="T6" s="223" t="s">
        <v>274</v>
      </c>
      <c r="U6" s="181" t="s">
        <v>227</v>
      </c>
      <c r="V6" s="180" t="s">
        <v>144</v>
      </c>
      <c r="W6" s="182" t="s">
        <v>273</v>
      </c>
      <c r="X6" s="183" t="s">
        <v>129</v>
      </c>
      <c r="Y6" s="184">
        <v>1</v>
      </c>
      <c r="Z6" s="184">
        <v>0</v>
      </c>
      <c r="AA6" s="184">
        <v>0</v>
      </c>
      <c r="AB6" s="185">
        <v>1</v>
      </c>
      <c r="AC6" s="184">
        <v>0</v>
      </c>
      <c r="AD6" s="184">
        <v>0</v>
      </c>
      <c r="AE6" s="184">
        <v>0</v>
      </c>
      <c r="AF6" s="185">
        <v>0</v>
      </c>
      <c r="AG6" s="184">
        <v>1</v>
      </c>
      <c r="AH6" s="184">
        <v>0</v>
      </c>
      <c r="AI6" s="184">
        <v>0</v>
      </c>
      <c r="AJ6" s="185">
        <v>1</v>
      </c>
      <c r="AK6" s="184">
        <v>0</v>
      </c>
      <c r="AL6" s="184">
        <v>0</v>
      </c>
      <c r="AM6" s="184">
        <v>0</v>
      </c>
      <c r="AN6" s="185">
        <v>0</v>
      </c>
      <c r="AP6" s="851" t="s">
        <v>629</v>
      </c>
      <c r="AQ6" s="852">
        <f>Italyalltestshistlost</f>
        <v>305</v>
      </c>
      <c r="AS6" s="851" t="s">
        <v>629</v>
      </c>
      <c r="AT6" s="852">
        <f>ItalyRWChistlost</f>
        <v>18</v>
      </c>
    </row>
    <row r="7" spans="1:46" ht="14.95" customHeight="1" thickBot="1" x14ac:dyDescent="0.3">
      <c r="A7" s="195">
        <v>43540</v>
      </c>
      <c r="B7" s="196" t="s">
        <v>46</v>
      </c>
      <c r="C7" s="196" t="s">
        <v>34</v>
      </c>
      <c r="D7" s="196" t="s">
        <v>122</v>
      </c>
      <c r="E7" s="197" t="s">
        <v>3</v>
      </c>
      <c r="F7" s="197">
        <v>14</v>
      </c>
      <c r="G7" s="197">
        <v>25</v>
      </c>
      <c r="H7" s="197">
        <v>0</v>
      </c>
      <c r="I7" s="197">
        <v>0</v>
      </c>
      <c r="J7" s="197">
        <v>1</v>
      </c>
      <c r="K7" s="197">
        <v>0</v>
      </c>
      <c r="L7" s="197">
        <v>0</v>
      </c>
      <c r="M7" s="197">
        <v>3</v>
      </c>
      <c r="N7" s="197">
        <v>0</v>
      </c>
      <c r="O7" s="197">
        <v>0</v>
      </c>
      <c r="P7" s="197">
        <v>0</v>
      </c>
      <c r="Q7" s="197">
        <v>0</v>
      </c>
      <c r="R7" s="197">
        <v>3</v>
      </c>
      <c r="S7" s="209">
        <v>48820</v>
      </c>
      <c r="T7" s="222" t="s">
        <v>294</v>
      </c>
      <c r="U7" s="210" t="s">
        <v>295</v>
      </c>
      <c r="V7" s="209" t="s">
        <v>232</v>
      </c>
      <c r="W7" s="198" t="s">
        <v>219</v>
      </c>
      <c r="X7" s="211" t="s">
        <v>129</v>
      </c>
      <c r="Y7" s="212">
        <v>1</v>
      </c>
      <c r="Z7" s="212">
        <v>0</v>
      </c>
      <c r="AA7" s="212">
        <v>0</v>
      </c>
      <c r="AB7" s="213">
        <v>1</v>
      </c>
      <c r="AC7" s="212">
        <v>1</v>
      </c>
      <c r="AD7" s="212">
        <v>0</v>
      </c>
      <c r="AE7" s="212">
        <v>0</v>
      </c>
      <c r="AF7" s="213">
        <v>1</v>
      </c>
      <c r="AG7" s="212">
        <v>0</v>
      </c>
      <c r="AH7" s="212">
        <v>0</v>
      </c>
      <c r="AI7" s="212">
        <v>0</v>
      </c>
      <c r="AJ7" s="213">
        <v>0</v>
      </c>
      <c r="AK7" s="212">
        <v>0</v>
      </c>
      <c r="AL7" s="212">
        <v>0</v>
      </c>
      <c r="AM7" s="212">
        <v>0</v>
      </c>
      <c r="AN7" s="213">
        <v>0</v>
      </c>
      <c r="AP7" s="851" t="s">
        <v>635</v>
      </c>
      <c r="AQ7" s="852">
        <f>Italyalltestshistptsscored</f>
        <v>8733</v>
      </c>
      <c r="AS7" s="851" t="s">
        <v>635</v>
      </c>
      <c r="AT7" s="852">
        <f>ItalyRWChistptsscored</f>
        <v>627</v>
      </c>
    </row>
    <row r="8" spans="1:46" ht="14.95" customHeight="1" thickBot="1" x14ac:dyDescent="0.3">
      <c r="A8" s="187">
        <v>43687</v>
      </c>
      <c r="B8" s="178" t="s">
        <v>45</v>
      </c>
      <c r="C8" s="178" t="s">
        <v>39</v>
      </c>
      <c r="D8" s="178" t="s">
        <v>123</v>
      </c>
      <c r="E8" s="179" t="s">
        <v>3</v>
      </c>
      <c r="F8" s="179">
        <v>10</v>
      </c>
      <c r="G8" s="179">
        <v>29</v>
      </c>
      <c r="H8" s="179" t="s">
        <v>108</v>
      </c>
      <c r="I8" s="179" t="s">
        <v>108</v>
      </c>
      <c r="J8" s="179">
        <v>2</v>
      </c>
      <c r="K8" s="179">
        <v>0</v>
      </c>
      <c r="L8" s="179">
        <v>0</v>
      </c>
      <c r="M8" s="179">
        <v>0</v>
      </c>
      <c r="N8" s="179">
        <v>0</v>
      </c>
      <c r="O8" s="179">
        <v>0</v>
      </c>
      <c r="P8" s="179" t="s">
        <v>108</v>
      </c>
      <c r="Q8" s="179" t="s">
        <v>108</v>
      </c>
      <c r="R8" s="179">
        <v>5</v>
      </c>
      <c r="S8" s="180">
        <v>30000</v>
      </c>
      <c r="T8" s="223" t="s">
        <v>769</v>
      </c>
      <c r="U8" s="181" t="s">
        <v>133</v>
      </c>
      <c r="V8" s="180" t="s">
        <v>232</v>
      </c>
      <c r="W8" s="180" t="s">
        <v>407</v>
      </c>
      <c r="X8" s="180" t="s">
        <v>734</v>
      </c>
      <c r="Y8" s="184">
        <v>1</v>
      </c>
      <c r="Z8" s="184">
        <v>0</v>
      </c>
      <c r="AA8" s="184">
        <v>0</v>
      </c>
      <c r="AB8" s="185">
        <v>1</v>
      </c>
      <c r="AC8" s="184">
        <v>0</v>
      </c>
      <c r="AD8" s="184">
        <v>0</v>
      </c>
      <c r="AE8" s="184">
        <v>0</v>
      </c>
      <c r="AF8" s="185">
        <v>0</v>
      </c>
      <c r="AG8" s="184">
        <v>1</v>
      </c>
      <c r="AH8" s="184">
        <v>0</v>
      </c>
      <c r="AI8" s="184">
        <v>0</v>
      </c>
      <c r="AJ8" s="185">
        <v>1</v>
      </c>
      <c r="AK8" s="184">
        <v>0</v>
      </c>
      <c r="AL8" s="184">
        <v>0</v>
      </c>
      <c r="AM8" s="184">
        <v>0</v>
      </c>
      <c r="AN8" s="185">
        <v>0</v>
      </c>
      <c r="AP8" s="851" t="s">
        <v>636</v>
      </c>
      <c r="AQ8" s="852">
        <f>Italyalltestshistptsagainst</f>
        <v>11711</v>
      </c>
      <c r="AS8" s="851" t="s">
        <v>636</v>
      </c>
      <c r="AT8" s="852">
        <f>ItalyRWChistptsagainst</f>
        <v>977</v>
      </c>
    </row>
    <row r="9" spans="1:46" ht="14.95" customHeight="1" thickBot="1" x14ac:dyDescent="0.35">
      <c r="A9" s="195">
        <v>43694</v>
      </c>
      <c r="B9" s="196" t="s">
        <v>45</v>
      </c>
      <c r="C9" s="196" t="s">
        <v>105</v>
      </c>
      <c r="D9" s="196" t="s">
        <v>751</v>
      </c>
      <c r="E9" s="197" t="s">
        <v>1</v>
      </c>
      <c r="F9" s="197">
        <v>85</v>
      </c>
      <c r="G9" s="197">
        <v>15</v>
      </c>
      <c r="H9" s="197" t="s">
        <v>108</v>
      </c>
      <c r="I9" s="197" t="s">
        <v>108</v>
      </c>
      <c r="J9" s="197">
        <v>13</v>
      </c>
      <c r="K9" s="197">
        <v>10</v>
      </c>
      <c r="L9" s="197">
        <v>0</v>
      </c>
      <c r="M9" s="197">
        <v>0</v>
      </c>
      <c r="N9" s="197">
        <v>0</v>
      </c>
      <c r="O9" s="197">
        <v>0</v>
      </c>
      <c r="P9" s="197" t="s">
        <v>108</v>
      </c>
      <c r="Q9" s="197" t="s">
        <v>108</v>
      </c>
      <c r="R9" s="197">
        <v>2</v>
      </c>
      <c r="S9" s="209">
        <v>10853</v>
      </c>
      <c r="T9" s="346" t="s">
        <v>798</v>
      </c>
      <c r="U9" s="210" t="s">
        <v>233</v>
      </c>
      <c r="V9" s="209" t="s">
        <v>314</v>
      </c>
      <c r="W9" s="210" t="s">
        <v>427</v>
      </c>
      <c r="X9" s="209" t="s">
        <v>799</v>
      </c>
      <c r="Y9" s="212">
        <v>1</v>
      </c>
      <c r="Z9" s="212">
        <v>1</v>
      </c>
      <c r="AA9" s="212">
        <v>0</v>
      </c>
      <c r="AB9" s="213">
        <v>0</v>
      </c>
      <c r="AC9" s="212">
        <v>1</v>
      </c>
      <c r="AD9" s="212">
        <v>1</v>
      </c>
      <c r="AE9" s="212">
        <v>0</v>
      </c>
      <c r="AF9" s="213">
        <v>0</v>
      </c>
      <c r="AG9" s="212">
        <v>0</v>
      </c>
      <c r="AH9" s="212">
        <v>0</v>
      </c>
      <c r="AI9" s="212">
        <v>0</v>
      </c>
      <c r="AJ9" s="213">
        <v>0</v>
      </c>
      <c r="AK9" s="212">
        <v>0</v>
      </c>
      <c r="AL9" s="212">
        <v>0</v>
      </c>
      <c r="AM9" s="212">
        <v>0</v>
      </c>
      <c r="AN9" s="213">
        <v>0</v>
      </c>
      <c r="AP9" s="851" t="s">
        <v>623</v>
      </c>
      <c r="AQ9" s="852">
        <f>Italyalltestshisttriesscored</f>
        <v>973</v>
      </c>
      <c r="AS9" s="851" t="s">
        <v>623</v>
      </c>
      <c r="AT9" s="852">
        <f>ItalyRWChisttriesscored</f>
        <v>68</v>
      </c>
    </row>
    <row r="10" spans="1:46" ht="14.95" customHeight="1" thickBot="1" x14ac:dyDescent="0.3">
      <c r="A10" s="187">
        <v>43707</v>
      </c>
      <c r="B10" s="178" t="s">
        <v>45</v>
      </c>
      <c r="C10" s="178" t="s">
        <v>34</v>
      </c>
      <c r="D10" s="178" t="s">
        <v>121</v>
      </c>
      <c r="E10" s="179" t="s">
        <v>3</v>
      </c>
      <c r="F10" s="179">
        <v>19</v>
      </c>
      <c r="G10" s="179">
        <v>47</v>
      </c>
      <c r="H10" s="179" t="s">
        <v>108</v>
      </c>
      <c r="I10" s="179" t="s">
        <v>108</v>
      </c>
      <c r="J10" s="179">
        <v>3</v>
      </c>
      <c r="K10" s="179">
        <v>2</v>
      </c>
      <c r="L10" s="179">
        <v>0</v>
      </c>
      <c r="M10" s="179">
        <v>0</v>
      </c>
      <c r="N10" s="179">
        <v>1</v>
      </c>
      <c r="O10" s="179">
        <v>0</v>
      </c>
      <c r="P10" s="179" t="s">
        <v>108</v>
      </c>
      <c r="Q10" s="179" t="s">
        <v>108</v>
      </c>
      <c r="R10" s="179">
        <v>7</v>
      </c>
      <c r="S10" s="180">
        <v>25000</v>
      </c>
      <c r="T10" s="223" t="s">
        <v>817</v>
      </c>
      <c r="U10" s="181" t="s">
        <v>295</v>
      </c>
      <c r="V10" s="180" t="s">
        <v>232</v>
      </c>
      <c r="W10" s="181" t="s">
        <v>133</v>
      </c>
      <c r="X10" s="180" t="s">
        <v>134</v>
      </c>
      <c r="Y10" s="184">
        <v>1</v>
      </c>
      <c r="Z10" s="184">
        <v>0</v>
      </c>
      <c r="AA10" s="184">
        <v>0</v>
      </c>
      <c r="AB10" s="185">
        <v>1</v>
      </c>
      <c r="AC10" s="184">
        <v>0</v>
      </c>
      <c r="AD10" s="184">
        <v>0</v>
      </c>
      <c r="AE10" s="184">
        <v>0</v>
      </c>
      <c r="AF10" s="185">
        <v>0</v>
      </c>
      <c r="AG10" s="184">
        <v>1</v>
      </c>
      <c r="AH10" s="184">
        <v>0</v>
      </c>
      <c r="AI10" s="184">
        <v>0</v>
      </c>
      <c r="AJ10" s="185">
        <v>1</v>
      </c>
      <c r="AK10" s="184">
        <v>0</v>
      </c>
      <c r="AL10" s="184">
        <v>0</v>
      </c>
      <c r="AM10" s="184">
        <v>0</v>
      </c>
      <c r="AN10" s="185">
        <v>0</v>
      </c>
    </row>
    <row r="11" spans="1:46" ht="14.95" customHeight="1" thickBot="1" x14ac:dyDescent="0.3">
      <c r="A11" s="187">
        <v>43714</v>
      </c>
      <c r="B11" s="178" t="s">
        <v>45</v>
      </c>
      <c r="C11" s="178" t="s">
        <v>30</v>
      </c>
      <c r="D11" s="178" t="s">
        <v>157</v>
      </c>
      <c r="E11" s="179" t="s">
        <v>3</v>
      </c>
      <c r="F11" s="179">
        <v>0</v>
      </c>
      <c r="G11" s="179">
        <v>37</v>
      </c>
      <c r="H11" s="179" t="s">
        <v>108</v>
      </c>
      <c r="I11" s="179" t="s">
        <v>108</v>
      </c>
      <c r="J11" s="179">
        <v>0</v>
      </c>
      <c r="K11" s="179">
        <v>0</v>
      </c>
      <c r="L11" s="179">
        <v>0</v>
      </c>
      <c r="M11" s="179">
        <v>0</v>
      </c>
      <c r="N11" s="179">
        <v>0</v>
      </c>
      <c r="O11" s="179">
        <v>0</v>
      </c>
      <c r="P11" s="179" t="s">
        <v>108</v>
      </c>
      <c r="Q11" s="179" t="s">
        <v>108</v>
      </c>
      <c r="R11" s="179">
        <v>4</v>
      </c>
      <c r="S11" s="180">
        <v>50157</v>
      </c>
      <c r="T11" s="223" t="s">
        <v>839</v>
      </c>
      <c r="U11" s="181" t="s">
        <v>276</v>
      </c>
      <c r="V11" s="180" t="s">
        <v>771</v>
      </c>
      <c r="W11" s="182" t="s">
        <v>138</v>
      </c>
      <c r="X11" s="183" t="s">
        <v>327</v>
      </c>
      <c r="Y11" s="184">
        <v>1</v>
      </c>
      <c r="Z11" s="184">
        <v>0</v>
      </c>
      <c r="AA11" s="184">
        <v>0</v>
      </c>
      <c r="AB11" s="185">
        <v>1</v>
      </c>
      <c r="AC11" s="184">
        <v>0</v>
      </c>
      <c r="AD11" s="184">
        <v>0</v>
      </c>
      <c r="AE11" s="184">
        <v>0</v>
      </c>
      <c r="AF11" s="185">
        <v>0</v>
      </c>
      <c r="AG11" s="184">
        <v>1</v>
      </c>
      <c r="AH11" s="184">
        <v>0</v>
      </c>
      <c r="AI11" s="184">
        <v>0</v>
      </c>
      <c r="AJ11" s="185">
        <v>1</v>
      </c>
      <c r="AK11" s="184">
        <v>0</v>
      </c>
      <c r="AL11" s="184">
        <v>0</v>
      </c>
      <c r="AM11" s="184">
        <v>0</v>
      </c>
      <c r="AN11" s="185">
        <v>0</v>
      </c>
    </row>
    <row r="12" spans="1:46" ht="14.95" customHeight="1" thickBot="1" x14ac:dyDescent="0.35">
      <c r="A12" s="188">
        <v>43730</v>
      </c>
      <c r="B12" s="189" t="s">
        <v>158</v>
      </c>
      <c r="C12" s="189" t="s">
        <v>193</v>
      </c>
      <c r="D12" s="189" t="s">
        <v>872</v>
      </c>
      <c r="E12" s="190" t="s">
        <v>1</v>
      </c>
      <c r="F12" s="190">
        <v>47</v>
      </c>
      <c r="G12" s="190">
        <v>22</v>
      </c>
      <c r="H12" s="190">
        <v>1</v>
      </c>
      <c r="I12" s="190">
        <v>0</v>
      </c>
      <c r="J12" s="190">
        <v>7</v>
      </c>
      <c r="K12" s="190">
        <v>5</v>
      </c>
      <c r="L12" s="190">
        <v>0</v>
      </c>
      <c r="M12" s="190">
        <v>0</v>
      </c>
      <c r="N12" s="190">
        <v>0</v>
      </c>
      <c r="O12" s="190">
        <v>0</v>
      </c>
      <c r="P12" s="190">
        <v>0</v>
      </c>
      <c r="Q12" s="190">
        <v>0</v>
      </c>
      <c r="R12" s="190">
        <v>3</v>
      </c>
      <c r="S12" s="203">
        <v>20354</v>
      </c>
      <c r="T12" s="411" t="s">
        <v>770</v>
      </c>
      <c r="U12" s="204" t="s">
        <v>227</v>
      </c>
      <c r="V12" s="203" t="s">
        <v>270</v>
      </c>
      <c r="W12" s="191" t="s">
        <v>219</v>
      </c>
      <c r="X12" s="205" t="s">
        <v>134</v>
      </c>
      <c r="Y12" s="206">
        <v>1</v>
      </c>
      <c r="Z12" s="206">
        <v>1</v>
      </c>
      <c r="AA12" s="206">
        <v>0</v>
      </c>
      <c r="AB12" s="207">
        <v>0</v>
      </c>
      <c r="AC12" s="206">
        <v>0</v>
      </c>
      <c r="AD12" s="206">
        <v>0</v>
      </c>
      <c r="AE12" s="206">
        <v>0</v>
      </c>
      <c r="AF12" s="207">
        <v>0</v>
      </c>
      <c r="AG12" s="206">
        <v>0</v>
      </c>
      <c r="AH12" s="206">
        <v>0</v>
      </c>
      <c r="AI12" s="206">
        <v>0</v>
      </c>
      <c r="AJ12" s="207">
        <v>0</v>
      </c>
      <c r="AK12" s="206">
        <v>1</v>
      </c>
      <c r="AL12" s="206">
        <v>1</v>
      </c>
      <c r="AM12" s="206">
        <v>0</v>
      </c>
      <c r="AN12" s="207">
        <v>0</v>
      </c>
    </row>
    <row r="13" spans="1:46" ht="14.95" customHeight="1" thickBot="1" x14ac:dyDescent="0.3">
      <c r="A13" s="188">
        <v>43734</v>
      </c>
      <c r="B13" s="483" t="s">
        <v>158</v>
      </c>
      <c r="C13" s="189" t="s">
        <v>40</v>
      </c>
      <c r="D13" s="189" t="s">
        <v>168</v>
      </c>
      <c r="E13" s="190" t="s">
        <v>1</v>
      </c>
      <c r="F13" s="190">
        <v>48</v>
      </c>
      <c r="G13" s="484">
        <v>7</v>
      </c>
      <c r="H13" s="484">
        <v>1</v>
      </c>
      <c r="I13" s="190">
        <v>0</v>
      </c>
      <c r="J13" s="190">
        <v>7</v>
      </c>
      <c r="K13" s="190">
        <v>4</v>
      </c>
      <c r="L13" s="190">
        <v>0</v>
      </c>
      <c r="M13" s="190">
        <v>1</v>
      </c>
      <c r="N13" s="190">
        <v>0</v>
      </c>
      <c r="O13" s="190">
        <v>0</v>
      </c>
      <c r="P13" s="190">
        <v>0</v>
      </c>
      <c r="Q13" s="190">
        <v>0</v>
      </c>
      <c r="R13" s="190">
        <v>1</v>
      </c>
      <c r="S13" s="203">
        <v>16984</v>
      </c>
      <c r="T13" s="406" t="s">
        <v>794</v>
      </c>
      <c r="U13" s="204" t="s">
        <v>219</v>
      </c>
      <c r="V13" s="203" t="s">
        <v>131</v>
      </c>
      <c r="W13" s="191" t="s">
        <v>132</v>
      </c>
      <c r="X13" s="205" t="s">
        <v>233</v>
      </c>
      <c r="Y13" s="206">
        <v>1</v>
      </c>
      <c r="Z13" s="206">
        <v>1</v>
      </c>
      <c r="AA13" s="206">
        <v>0</v>
      </c>
      <c r="AB13" s="207">
        <v>0</v>
      </c>
      <c r="AC13" s="206">
        <v>0</v>
      </c>
      <c r="AD13" s="206">
        <v>0</v>
      </c>
      <c r="AE13" s="206">
        <v>0</v>
      </c>
      <c r="AF13" s="207">
        <v>0</v>
      </c>
      <c r="AG13" s="206">
        <v>0</v>
      </c>
      <c r="AH13" s="206">
        <v>0</v>
      </c>
      <c r="AI13" s="206">
        <v>0</v>
      </c>
      <c r="AJ13" s="207">
        <v>0</v>
      </c>
      <c r="AK13" s="206">
        <v>1</v>
      </c>
      <c r="AL13" s="206">
        <v>1</v>
      </c>
      <c r="AM13" s="206">
        <v>0</v>
      </c>
      <c r="AN13" s="207">
        <v>0</v>
      </c>
    </row>
    <row r="14" spans="1:46" ht="14.95" thickBot="1" x14ac:dyDescent="0.3">
      <c r="A14" s="188">
        <v>43742</v>
      </c>
      <c r="B14" s="483" t="s">
        <v>158</v>
      </c>
      <c r="C14" s="189" t="s">
        <v>679</v>
      </c>
      <c r="D14" s="189" t="s">
        <v>172</v>
      </c>
      <c r="E14" s="190" t="s">
        <v>3</v>
      </c>
      <c r="F14" s="190">
        <v>3</v>
      </c>
      <c r="G14" s="484">
        <v>49</v>
      </c>
      <c r="H14" s="484">
        <v>0</v>
      </c>
      <c r="I14" s="190">
        <v>0</v>
      </c>
      <c r="J14" s="190">
        <v>0</v>
      </c>
      <c r="K14" s="190">
        <v>0</v>
      </c>
      <c r="L14" s="190">
        <v>0</v>
      </c>
      <c r="M14" s="190">
        <v>1</v>
      </c>
      <c r="N14" s="190">
        <v>0</v>
      </c>
      <c r="O14" s="190">
        <v>1</v>
      </c>
      <c r="P14" s="190">
        <v>1</v>
      </c>
      <c r="Q14" s="190">
        <v>0</v>
      </c>
      <c r="R14" s="190">
        <v>7</v>
      </c>
      <c r="S14" s="203">
        <v>44148</v>
      </c>
      <c r="T14" s="406" t="s">
        <v>864</v>
      </c>
      <c r="U14" s="204" t="s">
        <v>132</v>
      </c>
      <c r="V14" s="203" t="s">
        <v>131</v>
      </c>
      <c r="W14" s="191" t="s">
        <v>130</v>
      </c>
      <c r="X14" s="205" t="s">
        <v>212</v>
      </c>
      <c r="Y14" s="206">
        <v>1</v>
      </c>
      <c r="Z14" s="206">
        <v>0</v>
      </c>
      <c r="AA14" s="206">
        <v>0</v>
      </c>
      <c r="AB14" s="207">
        <v>1</v>
      </c>
      <c r="AC14" s="206">
        <v>0</v>
      </c>
      <c r="AD14" s="206">
        <v>0</v>
      </c>
      <c r="AE14" s="206">
        <v>0</v>
      </c>
      <c r="AF14" s="207">
        <v>0</v>
      </c>
      <c r="AG14" s="206">
        <v>0</v>
      </c>
      <c r="AH14" s="206">
        <v>0</v>
      </c>
      <c r="AI14" s="206">
        <v>0</v>
      </c>
      <c r="AJ14" s="207">
        <v>0</v>
      </c>
      <c r="AK14" s="206">
        <v>1</v>
      </c>
      <c r="AL14" s="206">
        <v>0</v>
      </c>
      <c r="AM14" s="206">
        <v>0</v>
      </c>
      <c r="AN14" s="207">
        <v>1</v>
      </c>
    </row>
    <row r="15" spans="1:46" ht="14.95" thickBot="1" x14ac:dyDescent="0.3">
      <c r="A15" s="188">
        <v>43750</v>
      </c>
      <c r="B15" s="483" t="s">
        <v>158</v>
      </c>
      <c r="C15" s="189" t="s">
        <v>126</v>
      </c>
      <c r="D15" s="189" t="s">
        <v>128</v>
      </c>
      <c r="E15" s="190" t="s">
        <v>13</v>
      </c>
      <c r="F15" s="190" t="s">
        <v>108</v>
      </c>
      <c r="G15" s="484" t="s">
        <v>108</v>
      </c>
      <c r="H15" s="484" t="s">
        <v>108</v>
      </c>
      <c r="I15" s="190" t="s">
        <v>108</v>
      </c>
      <c r="J15" s="190" t="s">
        <v>108</v>
      </c>
      <c r="K15" s="190" t="s">
        <v>108</v>
      </c>
      <c r="L15" s="190" t="s">
        <v>108</v>
      </c>
      <c r="M15" s="190" t="s">
        <v>108</v>
      </c>
      <c r="N15" s="190" t="s">
        <v>108</v>
      </c>
      <c r="O15" s="190" t="s">
        <v>108</v>
      </c>
      <c r="P15" s="190" t="s">
        <v>108</v>
      </c>
      <c r="Q15" s="190" t="s">
        <v>108</v>
      </c>
      <c r="R15" s="190" t="s">
        <v>108</v>
      </c>
      <c r="S15" s="203" t="s">
        <v>108</v>
      </c>
      <c r="T15" s="406" t="s">
        <v>108</v>
      </c>
      <c r="U15" s="204" t="s">
        <v>108</v>
      </c>
      <c r="V15" s="203" t="s">
        <v>108</v>
      </c>
      <c r="W15" s="191" t="s">
        <v>108</v>
      </c>
      <c r="X15" s="205" t="s">
        <v>108</v>
      </c>
      <c r="Y15" s="206">
        <v>1</v>
      </c>
      <c r="Z15" s="206">
        <v>0</v>
      </c>
      <c r="AA15" s="206">
        <v>1</v>
      </c>
      <c r="AB15" s="207">
        <v>0</v>
      </c>
      <c r="AC15" s="206">
        <v>0</v>
      </c>
      <c r="AD15" s="206">
        <v>0</v>
      </c>
      <c r="AE15" s="206">
        <v>0</v>
      </c>
      <c r="AF15" s="207">
        <v>0</v>
      </c>
      <c r="AG15" s="206">
        <v>0</v>
      </c>
      <c r="AH15" s="206">
        <v>0</v>
      </c>
      <c r="AI15" s="206">
        <v>0</v>
      </c>
      <c r="AJ15" s="207">
        <v>0</v>
      </c>
      <c r="AK15" s="206">
        <v>1</v>
      </c>
      <c r="AL15" s="206">
        <v>0</v>
      </c>
      <c r="AM15" s="206">
        <v>1</v>
      </c>
      <c r="AN15" s="207">
        <v>0</v>
      </c>
    </row>
    <row r="16" spans="1:46" ht="15.8" customHeight="1" thickBot="1" x14ac:dyDescent="0.3">
      <c r="A16" s="438"/>
      <c r="B16" s="439"/>
      <c r="C16" s="1069" t="s">
        <v>116</v>
      </c>
      <c r="D16" s="1070"/>
      <c r="E16" s="1071"/>
      <c r="F16" s="433">
        <f t="shared" ref="F16:R16" si="0">SUM(F3:F7)</f>
        <v>79</v>
      </c>
      <c r="G16" s="433">
        <f t="shared" si="0"/>
        <v>167</v>
      </c>
      <c r="H16" s="433">
        <f t="shared" si="0"/>
        <v>0</v>
      </c>
      <c r="I16" s="433">
        <f t="shared" si="0"/>
        <v>0</v>
      </c>
      <c r="J16" s="433">
        <f t="shared" si="0"/>
        <v>10</v>
      </c>
      <c r="K16" s="433">
        <f t="shared" si="0"/>
        <v>4</v>
      </c>
      <c r="L16" s="433">
        <f t="shared" si="0"/>
        <v>0</v>
      </c>
      <c r="M16" s="433">
        <f t="shared" si="0"/>
        <v>7</v>
      </c>
      <c r="N16" s="433">
        <f t="shared" si="0"/>
        <v>0</v>
      </c>
      <c r="O16" s="433">
        <f t="shared" si="0"/>
        <v>0</v>
      </c>
      <c r="P16" s="433">
        <f t="shared" si="0"/>
        <v>3</v>
      </c>
      <c r="Q16" s="433">
        <f t="shared" si="0"/>
        <v>0</v>
      </c>
      <c r="R16" s="433">
        <f t="shared" si="0"/>
        <v>22</v>
      </c>
      <c r="W16" s="434"/>
      <c r="X16" s="459" t="s">
        <v>116</v>
      </c>
      <c r="Y16" s="433">
        <f t="shared" ref="Y16:AN16" si="1">SUM(Y3:Y7)</f>
        <v>5</v>
      </c>
      <c r="Z16" s="433">
        <f t="shared" si="1"/>
        <v>0</v>
      </c>
      <c r="AA16" s="433">
        <f t="shared" si="1"/>
        <v>0</v>
      </c>
      <c r="AB16" s="433">
        <f t="shared" si="1"/>
        <v>5</v>
      </c>
      <c r="AC16" s="435">
        <f t="shared" si="1"/>
        <v>3</v>
      </c>
      <c r="AD16" s="435">
        <f t="shared" si="1"/>
        <v>0</v>
      </c>
      <c r="AE16" s="435">
        <f t="shared" si="1"/>
        <v>0</v>
      </c>
      <c r="AF16" s="435">
        <f t="shared" si="1"/>
        <v>3</v>
      </c>
      <c r="AG16" s="436">
        <f t="shared" si="1"/>
        <v>2</v>
      </c>
      <c r="AH16" s="436">
        <f t="shared" si="1"/>
        <v>0</v>
      </c>
      <c r="AI16" s="436">
        <f t="shared" si="1"/>
        <v>0</v>
      </c>
      <c r="AJ16" s="436">
        <f t="shared" si="1"/>
        <v>2</v>
      </c>
      <c r="AK16" s="437">
        <f t="shared" si="1"/>
        <v>0</v>
      </c>
      <c r="AL16" s="437">
        <f t="shared" si="1"/>
        <v>0</v>
      </c>
      <c r="AM16" s="437">
        <f t="shared" si="1"/>
        <v>0</v>
      </c>
      <c r="AN16" s="437">
        <f t="shared" si="1"/>
        <v>0</v>
      </c>
    </row>
    <row r="17" spans="1:40" ht="15.8" customHeight="1" thickBot="1" x14ac:dyDescent="0.3">
      <c r="A17" s="438"/>
      <c r="B17" s="439"/>
      <c r="C17" s="1037" t="s">
        <v>163</v>
      </c>
      <c r="D17" s="1091"/>
      <c r="E17" s="1092"/>
      <c r="F17" s="446">
        <f>SUM(F8:F11)</f>
        <v>114</v>
      </c>
      <c r="G17" s="446">
        <f>SUM(G8:G11)</f>
        <v>128</v>
      </c>
      <c r="H17" s="446" t="s">
        <v>108</v>
      </c>
      <c r="I17" s="446" t="s">
        <v>108</v>
      </c>
      <c r="J17" s="446">
        <f t="shared" ref="J17:O17" si="2">SUM(J8:J11)</f>
        <v>18</v>
      </c>
      <c r="K17" s="446">
        <f t="shared" si="2"/>
        <v>12</v>
      </c>
      <c r="L17" s="446">
        <f t="shared" si="2"/>
        <v>0</v>
      </c>
      <c r="M17" s="446">
        <f t="shared" si="2"/>
        <v>0</v>
      </c>
      <c r="N17" s="446">
        <f t="shared" si="2"/>
        <v>1</v>
      </c>
      <c r="O17" s="446">
        <f t="shared" si="2"/>
        <v>0</v>
      </c>
      <c r="P17" s="446" t="s">
        <v>108</v>
      </c>
      <c r="Q17" s="446" t="s">
        <v>108</v>
      </c>
      <c r="R17" s="446">
        <f>SUM(R8:R11)</f>
        <v>18</v>
      </c>
      <c r="S17" s="447"/>
      <c r="T17" s="447"/>
      <c r="U17" s="447"/>
      <c r="V17" s="447"/>
      <c r="W17" s="448"/>
      <c r="X17" s="461" t="s">
        <v>163</v>
      </c>
      <c r="Y17" s="446">
        <f t="shared" ref="Y17:AN17" si="3">SUM(Y8:Y11)</f>
        <v>4</v>
      </c>
      <c r="Z17" s="446">
        <f t="shared" si="3"/>
        <v>1</v>
      </c>
      <c r="AA17" s="446">
        <f t="shared" si="3"/>
        <v>0</v>
      </c>
      <c r="AB17" s="446">
        <f t="shared" si="3"/>
        <v>3</v>
      </c>
      <c r="AC17" s="450">
        <f t="shared" si="3"/>
        <v>1</v>
      </c>
      <c r="AD17" s="450">
        <f t="shared" si="3"/>
        <v>1</v>
      </c>
      <c r="AE17" s="450">
        <f t="shared" si="3"/>
        <v>0</v>
      </c>
      <c r="AF17" s="450">
        <f t="shared" si="3"/>
        <v>0</v>
      </c>
      <c r="AG17" s="451">
        <f t="shared" si="3"/>
        <v>3</v>
      </c>
      <c r="AH17" s="451">
        <f t="shared" si="3"/>
        <v>0</v>
      </c>
      <c r="AI17" s="451">
        <f t="shared" si="3"/>
        <v>0</v>
      </c>
      <c r="AJ17" s="451">
        <f t="shared" si="3"/>
        <v>3</v>
      </c>
      <c r="AK17" s="452">
        <f t="shared" si="3"/>
        <v>0</v>
      </c>
      <c r="AL17" s="452">
        <f t="shared" si="3"/>
        <v>0</v>
      </c>
      <c r="AM17" s="452">
        <f t="shared" si="3"/>
        <v>0</v>
      </c>
      <c r="AN17" s="452">
        <f t="shared" si="3"/>
        <v>0</v>
      </c>
    </row>
    <row r="18" spans="1:40" ht="15.8" customHeight="1" thickBot="1" x14ac:dyDescent="0.3">
      <c r="A18" s="438"/>
      <c r="B18" s="439"/>
      <c r="C18" s="1040" t="s">
        <v>611</v>
      </c>
      <c r="D18" s="1041"/>
      <c r="E18" s="1042"/>
      <c r="F18" s="685">
        <f t="shared" ref="F18:R18" si="4">SUM(F12:F15)</f>
        <v>98</v>
      </c>
      <c r="G18" s="685">
        <f t="shared" si="4"/>
        <v>78</v>
      </c>
      <c r="H18" s="685">
        <f t="shared" si="4"/>
        <v>2</v>
      </c>
      <c r="I18" s="685">
        <f t="shared" si="4"/>
        <v>0</v>
      </c>
      <c r="J18" s="685">
        <f t="shared" si="4"/>
        <v>14</v>
      </c>
      <c r="K18" s="685">
        <f t="shared" si="4"/>
        <v>9</v>
      </c>
      <c r="L18" s="685">
        <f t="shared" si="4"/>
        <v>0</v>
      </c>
      <c r="M18" s="685">
        <f t="shared" si="4"/>
        <v>2</v>
      </c>
      <c r="N18" s="685">
        <f t="shared" si="4"/>
        <v>0</v>
      </c>
      <c r="O18" s="685">
        <f t="shared" si="4"/>
        <v>1</v>
      </c>
      <c r="P18" s="685">
        <f t="shared" si="4"/>
        <v>1</v>
      </c>
      <c r="Q18" s="685">
        <f t="shared" si="4"/>
        <v>0</v>
      </c>
      <c r="R18" s="685">
        <f t="shared" si="4"/>
        <v>11</v>
      </c>
      <c r="S18" s="686"/>
      <c r="T18" s="686"/>
      <c r="U18" s="686"/>
      <c r="V18" s="686"/>
      <c r="W18" s="687"/>
      <c r="X18" s="688" t="s">
        <v>611</v>
      </c>
      <c r="Y18" s="689">
        <f t="shared" ref="Y18:AN18" si="5">SUM(Y12:Y15)</f>
        <v>4</v>
      </c>
      <c r="Z18" s="690">
        <f t="shared" si="5"/>
        <v>2</v>
      </c>
      <c r="AA18" s="685">
        <f t="shared" si="5"/>
        <v>1</v>
      </c>
      <c r="AB18" s="685">
        <f t="shared" si="5"/>
        <v>1</v>
      </c>
      <c r="AC18" s="691">
        <f t="shared" si="5"/>
        <v>0</v>
      </c>
      <c r="AD18" s="691">
        <f t="shared" si="5"/>
        <v>0</v>
      </c>
      <c r="AE18" s="691">
        <f t="shared" si="5"/>
        <v>0</v>
      </c>
      <c r="AF18" s="691">
        <f t="shared" si="5"/>
        <v>0</v>
      </c>
      <c r="AG18" s="692">
        <f t="shared" si="5"/>
        <v>0</v>
      </c>
      <c r="AH18" s="692">
        <f t="shared" si="5"/>
        <v>0</v>
      </c>
      <c r="AI18" s="692">
        <f t="shared" si="5"/>
        <v>0</v>
      </c>
      <c r="AJ18" s="692">
        <f t="shared" si="5"/>
        <v>0</v>
      </c>
      <c r="AK18" s="693">
        <f t="shared" si="5"/>
        <v>4</v>
      </c>
      <c r="AL18" s="693">
        <f t="shared" si="5"/>
        <v>2</v>
      </c>
      <c r="AM18" s="693">
        <f t="shared" si="5"/>
        <v>1</v>
      </c>
      <c r="AN18" s="693">
        <f t="shared" si="5"/>
        <v>1</v>
      </c>
    </row>
    <row r="19" spans="1:40" ht="15.8" customHeight="1" thickBot="1" x14ac:dyDescent="0.3">
      <c r="A19" s="438"/>
      <c r="B19" s="439"/>
      <c r="C19" s="1040" t="s">
        <v>612</v>
      </c>
      <c r="D19" s="1041"/>
      <c r="E19" s="1042"/>
      <c r="F19" s="694" t="s">
        <v>108</v>
      </c>
      <c r="G19" s="685" t="s">
        <v>108</v>
      </c>
      <c r="H19" s="685" t="s">
        <v>108</v>
      </c>
      <c r="I19" s="685" t="s">
        <v>108</v>
      </c>
      <c r="J19" s="685" t="s">
        <v>108</v>
      </c>
      <c r="K19" s="685" t="s">
        <v>108</v>
      </c>
      <c r="L19" s="685" t="s">
        <v>108</v>
      </c>
      <c r="M19" s="685" t="s">
        <v>108</v>
      </c>
      <c r="N19" s="685" t="s">
        <v>108</v>
      </c>
      <c r="O19" s="685" t="s">
        <v>108</v>
      </c>
      <c r="P19" s="685" t="s">
        <v>108</v>
      </c>
      <c r="Q19" s="685" t="s">
        <v>108</v>
      </c>
      <c r="R19" s="685" t="s">
        <v>108</v>
      </c>
      <c r="S19" s="686"/>
      <c r="T19" s="686"/>
      <c r="U19" s="686"/>
      <c r="V19" s="686"/>
      <c r="W19" s="687"/>
      <c r="X19" s="688" t="s">
        <v>612</v>
      </c>
      <c r="Y19" s="689" t="s">
        <v>108</v>
      </c>
      <c r="Z19" s="690" t="s">
        <v>108</v>
      </c>
      <c r="AA19" s="685" t="s">
        <v>108</v>
      </c>
      <c r="AB19" s="685" t="s">
        <v>108</v>
      </c>
      <c r="AC19" s="691" t="s">
        <v>108</v>
      </c>
      <c r="AD19" s="691" t="s">
        <v>108</v>
      </c>
      <c r="AE19" s="691" t="s">
        <v>108</v>
      </c>
      <c r="AF19" s="691" t="s">
        <v>108</v>
      </c>
      <c r="AG19" s="692" t="s">
        <v>108</v>
      </c>
      <c r="AH19" s="692" t="s">
        <v>108</v>
      </c>
      <c r="AI19" s="692" t="s">
        <v>108</v>
      </c>
      <c r="AJ19" s="692" t="s">
        <v>108</v>
      </c>
      <c r="AK19" s="693" t="s">
        <v>108</v>
      </c>
      <c r="AL19" s="693" t="s">
        <v>108</v>
      </c>
      <c r="AM19" s="693" t="s">
        <v>108</v>
      </c>
      <c r="AN19" s="693" t="s">
        <v>108</v>
      </c>
    </row>
    <row r="20" spans="1:40" ht="14.95" thickBot="1" x14ac:dyDescent="0.3">
      <c r="A20" s="438"/>
      <c r="B20" s="439"/>
      <c r="C20" s="1040" t="s">
        <v>613</v>
      </c>
      <c r="D20" s="1041"/>
      <c r="E20" s="1042"/>
      <c r="F20" s="685">
        <f>SUM(F18:F19)</f>
        <v>98</v>
      </c>
      <c r="G20" s="685">
        <f t="shared" ref="G20:R20" si="6">SUM(G18:G19)</f>
        <v>78</v>
      </c>
      <c r="H20" s="685">
        <f t="shared" si="6"/>
        <v>2</v>
      </c>
      <c r="I20" s="685">
        <f t="shared" si="6"/>
        <v>0</v>
      </c>
      <c r="J20" s="685">
        <f t="shared" si="6"/>
        <v>14</v>
      </c>
      <c r="K20" s="685">
        <f t="shared" si="6"/>
        <v>9</v>
      </c>
      <c r="L20" s="685">
        <f t="shared" si="6"/>
        <v>0</v>
      </c>
      <c r="M20" s="685">
        <f t="shared" si="6"/>
        <v>2</v>
      </c>
      <c r="N20" s="685">
        <f t="shared" si="6"/>
        <v>0</v>
      </c>
      <c r="O20" s="685">
        <f t="shared" si="6"/>
        <v>1</v>
      </c>
      <c r="P20" s="685">
        <f t="shared" si="6"/>
        <v>1</v>
      </c>
      <c r="Q20" s="685">
        <f t="shared" si="6"/>
        <v>0</v>
      </c>
      <c r="R20" s="685">
        <f t="shared" si="6"/>
        <v>11</v>
      </c>
      <c r="S20" s="686"/>
      <c r="T20" s="686"/>
      <c r="U20" s="686"/>
      <c r="V20" s="686"/>
      <c r="W20" s="687"/>
      <c r="X20" s="688" t="s">
        <v>613</v>
      </c>
      <c r="Y20" s="689">
        <f t="shared" ref="Y20:AN20" si="7">SUM(Y18:Y19)</f>
        <v>4</v>
      </c>
      <c r="Z20" s="690">
        <f t="shared" si="7"/>
        <v>2</v>
      </c>
      <c r="AA20" s="685">
        <f t="shared" si="7"/>
        <v>1</v>
      </c>
      <c r="AB20" s="685">
        <f t="shared" si="7"/>
        <v>1</v>
      </c>
      <c r="AC20" s="691">
        <f t="shared" si="7"/>
        <v>0</v>
      </c>
      <c r="AD20" s="691">
        <f t="shared" si="7"/>
        <v>0</v>
      </c>
      <c r="AE20" s="691">
        <f t="shared" si="7"/>
        <v>0</v>
      </c>
      <c r="AF20" s="691">
        <f t="shared" si="7"/>
        <v>0</v>
      </c>
      <c r="AG20" s="692">
        <f t="shared" si="7"/>
        <v>0</v>
      </c>
      <c r="AH20" s="692">
        <f t="shared" si="7"/>
        <v>0</v>
      </c>
      <c r="AI20" s="692">
        <f t="shared" si="7"/>
        <v>0</v>
      </c>
      <c r="AJ20" s="692">
        <f t="shared" si="7"/>
        <v>0</v>
      </c>
      <c r="AK20" s="693">
        <f t="shared" si="7"/>
        <v>4</v>
      </c>
      <c r="AL20" s="693">
        <f t="shared" si="7"/>
        <v>2</v>
      </c>
      <c r="AM20" s="693">
        <f t="shared" si="7"/>
        <v>1</v>
      </c>
      <c r="AN20" s="693">
        <f t="shared" si="7"/>
        <v>1</v>
      </c>
    </row>
    <row r="21" spans="1:40" ht="14.95" thickBot="1" x14ac:dyDescent="0.3">
      <c r="A21" s="438"/>
      <c r="B21" s="439"/>
      <c r="C21" s="1034" t="s">
        <v>112</v>
      </c>
      <c r="D21" s="1035"/>
      <c r="E21" s="1036"/>
      <c r="F21" s="453">
        <f t="shared" ref="F21:R21" si="8">SUM(F3:F15)</f>
        <v>291</v>
      </c>
      <c r="G21" s="453">
        <f t="shared" si="8"/>
        <v>373</v>
      </c>
      <c r="H21" s="453">
        <f t="shared" si="8"/>
        <v>2</v>
      </c>
      <c r="I21" s="453">
        <f t="shared" si="8"/>
        <v>0</v>
      </c>
      <c r="J21" s="453">
        <f t="shared" si="8"/>
        <v>42</v>
      </c>
      <c r="K21" s="453">
        <f t="shared" si="8"/>
        <v>25</v>
      </c>
      <c r="L21" s="453">
        <f t="shared" si="8"/>
        <v>0</v>
      </c>
      <c r="M21" s="453">
        <f t="shared" si="8"/>
        <v>9</v>
      </c>
      <c r="N21" s="453">
        <f t="shared" si="8"/>
        <v>1</v>
      </c>
      <c r="O21" s="453">
        <f t="shared" si="8"/>
        <v>1</v>
      </c>
      <c r="P21" s="453">
        <f t="shared" si="8"/>
        <v>4</v>
      </c>
      <c r="Q21" s="453">
        <f t="shared" si="8"/>
        <v>0</v>
      </c>
      <c r="R21" s="453">
        <f t="shared" si="8"/>
        <v>51</v>
      </c>
      <c r="S21" s="454"/>
      <c r="T21" s="454"/>
      <c r="U21" s="454"/>
      <c r="V21" s="454"/>
      <c r="W21" s="455"/>
      <c r="X21" s="462" t="s">
        <v>112</v>
      </c>
      <c r="Y21" s="453">
        <f t="shared" ref="Y21:AN21" si="9">SUM(Y3:Y15)</f>
        <v>13</v>
      </c>
      <c r="Z21" s="453">
        <f t="shared" si="9"/>
        <v>3</v>
      </c>
      <c r="AA21" s="453">
        <f t="shared" si="9"/>
        <v>1</v>
      </c>
      <c r="AB21" s="453">
        <f t="shared" si="9"/>
        <v>9</v>
      </c>
      <c r="AC21" s="456">
        <f t="shared" si="9"/>
        <v>4</v>
      </c>
      <c r="AD21" s="456">
        <f t="shared" si="9"/>
        <v>1</v>
      </c>
      <c r="AE21" s="456">
        <f t="shared" si="9"/>
        <v>0</v>
      </c>
      <c r="AF21" s="456">
        <f t="shared" si="9"/>
        <v>3</v>
      </c>
      <c r="AG21" s="457">
        <f t="shared" si="9"/>
        <v>5</v>
      </c>
      <c r="AH21" s="457">
        <f t="shared" si="9"/>
        <v>0</v>
      </c>
      <c r="AI21" s="457">
        <f t="shared" si="9"/>
        <v>0</v>
      </c>
      <c r="AJ21" s="457">
        <f t="shared" si="9"/>
        <v>5</v>
      </c>
      <c r="AK21" s="458">
        <f t="shared" si="9"/>
        <v>4</v>
      </c>
      <c r="AL21" s="458">
        <f t="shared" si="9"/>
        <v>2</v>
      </c>
      <c r="AM21" s="458">
        <f t="shared" si="9"/>
        <v>1</v>
      </c>
      <c r="AN21" s="458">
        <f t="shared" si="9"/>
        <v>1</v>
      </c>
    </row>
    <row r="22" spans="1:40" x14ac:dyDescent="0.25">
      <c r="A22" s="1067" t="s">
        <v>951</v>
      </c>
      <c r="B22" s="988"/>
      <c r="C22" s="988"/>
      <c r="D22" s="988"/>
      <c r="E22" s="988"/>
      <c r="F22" s="988"/>
      <c r="G22" s="988"/>
      <c r="H22" s="988"/>
      <c r="I22" s="988"/>
      <c r="J22" s="988"/>
      <c r="K22" s="988"/>
      <c r="L22" s="988"/>
      <c r="M22" s="988"/>
      <c r="N22" s="988"/>
      <c r="O22" s="988"/>
      <c r="P22" s="988"/>
      <c r="Q22" s="988"/>
      <c r="R22" s="988"/>
      <c r="S22" s="988"/>
      <c r="T22" s="988"/>
      <c r="U22" s="988"/>
      <c r="V22" s="988"/>
      <c r="W22" s="988"/>
      <c r="X22" s="988"/>
      <c r="Y22" s="988"/>
      <c r="Z22" s="988"/>
      <c r="AA22" s="988"/>
      <c r="AB22" s="988"/>
      <c r="AC22" s="988"/>
      <c r="AD22" s="988"/>
      <c r="AE22" s="988"/>
      <c r="AF22" s="988"/>
      <c r="AG22" s="988"/>
      <c r="AH22" s="988"/>
      <c r="AI22" s="988"/>
      <c r="AJ22" s="988"/>
      <c r="AK22" s="988"/>
      <c r="AL22" s="988"/>
      <c r="AM22" s="988"/>
      <c r="AN22" s="988"/>
    </row>
    <row r="23" spans="1:40" x14ac:dyDescent="0.25">
      <c r="A23" t="s">
        <v>191</v>
      </c>
      <c r="F23" s="14"/>
      <c r="G23" s="14"/>
      <c r="H23" s="13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40" x14ac:dyDescent="0.25">
      <c r="A24" t="s">
        <v>179</v>
      </c>
      <c r="F24" s="14"/>
      <c r="G24" s="14"/>
      <c r="H24" s="13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40" x14ac:dyDescent="0.25">
      <c r="A25" t="s">
        <v>752</v>
      </c>
      <c r="F25" s="14"/>
      <c r="G25" s="14"/>
      <c r="H25" s="13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40" x14ac:dyDescent="0.25">
      <c r="A26" t="s">
        <v>869</v>
      </c>
      <c r="F26" s="14"/>
      <c r="G26" s="14"/>
      <c r="H26" s="13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40" x14ac:dyDescent="0.25">
      <c r="A27" t="s">
        <v>194</v>
      </c>
      <c r="F27" s="14"/>
      <c r="G27" s="14"/>
      <c r="H27" s="13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40" x14ac:dyDescent="0.25">
      <c r="A28" t="s">
        <v>195</v>
      </c>
      <c r="F28" s="14"/>
      <c r="G28" s="14"/>
      <c r="H28" s="13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40" x14ac:dyDescent="0.25">
      <c r="A29" t="s">
        <v>181</v>
      </c>
      <c r="F29" s="14"/>
      <c r="G29" s="14"/>
      <c r="H29" s="13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1:40" x14ac:dyDescent="0.25">
      <c r="A30" t="s">
        <v>893</v>
      </c>
      <c r="F30" s="14"/>
      <c r="G30" s="14"/>
      <c r="H30" s="13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40" x14ac:dyDescent="0.25">
      <c r="A31" s="159"/>
      <c r="B31" t="s">
        <v>44</v>
      </c>
    </row>
    <row r="32" spans="1:40" x14ac:dyDescent="0.25">
      <c r="A32" s="157"/>
      <c r="B32" t="s">
        <v>42</v>
      </c>
    </row>
    <row r="33" spans="1:2" x14ac:dyDescent="0.25">
      <c r="A33" s="158"/>
      <c r="B33" t="s">
        <v>43</v>
      </c>
    </row>
    <row r="34" spans="1:2" x14ac:dyDescent="0.25">
      <c r="A34" s="15" t="s">
        <v>28</v>
      </c>
    </row>
  </sheetData>
  <mergeCells count="17">
    <mergeCell ref="C19:E19"/>
    <mergeCell ref="C20:E20"/>
    <mergeCell ref="A22:AN22"/>
    <mergeCell ref="Y1:AB1"/>
    <mergeCell ref="AC1:AF1"/>
    <mergeCell ref="AG1:AJ1"/>
    <mergeCell ref="AK1:AN1"/>
    <mergeCell ref="C16:E16"/>
    <mergeCell ref="C17:E17"/>
    <mergeCell ref="C18:E18"/>
    <mergeCell ref="C21:E21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T26"/>
  <sheetViews>
    <sheetView zoomScaleNormal="100" workbookViewId="0">
      <pane ySplit="2" topLeftCell="A3" activePane="bottomLeft" state="frozen"/>
      <selection pane="bottomLeft" activeCell="U9" sqref="U9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875" bestFit="1" customWidth="1"/>
    <col min="5" max="18" width="3.75" customWidth="1"/>
    <col min="19" max="20" width="6.25" customWidth="1"/>
    <col min="21" max="21" width="30.5" customWidth="1"/>
    <col min="22" max="22" width="23.5" bestFit="1" customWidth="1"/>
    <col min="23" max="24" width="23.75" customWidth="1"/>
    <col min="25" max="40" width="3.7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1149" t="s">
        <v>199</v>
      </c>
      <c r="B1" s="1150"/>
      <c r="C1" s="1150"/>
      <c r="D1" s="258"/>
      <c r="E1" s="1151" t="s">
        <v>24</v>
      </c>
      <c r="F1" s="1152"/>
      <c r="G1" s="1153"/>
      <c r="H1" s="1151" t="s">
        <v>23</v>
      </c>
      <c r="I1" s="1153"/>
      <c r="J1" s="1146" t="s">
        <v>6</v>
      </c>
      <c r="K1" s="1147"/>
      <c r="L1" s="1147"/>
      <c r="M1" s="1148"/>
      <c r="N1" s="1146" t="s">
        <v>7</v>
      </c>
      <c r="O1" s="1148"/>
      <c r="P1" s="1146" t="s">
        <v>25</v>
      </c>
      <c r="Q1" s="1147"/>
      <c r="R1" s="1148"/>
      <c r="S1" s="921" t="s">
        <v>8</v>
      </c>
      <c r="T1" s="921" t="s">
        <v>9</v>
      </c>
      <c r="U1" s="260" t="s">
        <v>10</v>
      </c>
      <c r="V1" s="259" t="s">
        <v>11</v>
      </c>
      <c r="W1" s="261" t="s">
        <v>26</v>
      </c>
      <c r="X1" s="262" t="s">
        <v>27</v>
      </c>
      <c r="Y1" s="1154" t="s">
        <v>20</v>
      </c>
      <c r="Z1" s="1044"/>
      <c r="AA1" s="1044"/>
      <c r="AB1" s="1045"/>
      <c r="AC1" s="1154" t="s">
        <v>61</v>
      </c>
      <c r="AD1" s="1044"/>
      <c r="AE1" s="1044"/>
      <c r="AF1" s="1045"/>
      <c r="AG1" s="1154" t="s">
        <v>62</v>
      </c>
      <c r="AH1" s="1044"/>
      <c r="AI1" s="1044"/>
      <c r="AJ1" s="1045"/>
      <c r="AK1" s="1154" t="s">
        <v>63</v>
      </c>
      <c r="AL1" s="1044"/>
      <c r="AM1" s="1044"/>
      <c r="AN1" s="1045"/>
      <c r="AP1" s="883" t="s">
        <v>678</v>
      </c>
      <c r="AQ1" s="868"/>
      <c r="AR1" s="868"/>
      <c r="AS1" s="883" t="s">
        <v>678</v>
      </c>
    </row>
    <row r="2" spans="1:46" ht="14.95" customHeight="1" thickBot="1" x14ac:dyDescent="0.35">
      <c r="A2" s="263" t="s">
        <v>19</v>
      </c>
      <c r="B2" s="264" t="s">
        <v>18</v>
      </c>
      <c r="C2" s="265" t="s">
        <v>17</v>
      </c>
      <c r="D2" s="265" t="s">
        <v>41</v>
      </c>
      <c r="E2" s="266" t="s">
        <v>16</v>
      </c>
      <c r="F2" s="266" t="s">
        <v>4</v>
      </c>
      <c r="G2" s="266" t="s">
        <v>5</v>
      </c>
      <c r="H2" s="267" t="s">
        <v>12</v>
      </c>
      <c r="I2" s="267" t="s">
        <v>3</v>
      </c>
      <c r="J2" s="267" t="s">
        <v>12</v>
      </c>
      <c r="K2" s="267" t="s">
        <v>13</v>
      </c>
      <c r="L2" s="267" t="s">
        <v>2</v>
      </c>
      <c r="M2" s="267" t="s">
        <v>14</v>
      </c>
      <c r="N2" s="267" t="s">
        <v>15</v>
      </c>
      <c r="O2" s="267" t="s">
        <v>16</v>
      </c>
      <c r="P2" s="267" t="s">
        <v>21</v>
      </c>
      <c r="Q2" s="267" t="s">
        <v>22</v>
      </c>
      <c r="R2" s="267" t="s">
        <v>12</v>
      </c>
      <c r="S2" s="268"/>
      <c r="T2" s="269"/>
      <c r="U2" s="479"/>
      <c r="V2" s="268"/>
      <c r="W2" s="270"/>
      <c r="X2" s="271"/>
      <c r="Y2" s="909" t="s">
        <v>0</v>
      </c>
      <c r="Z2" s="909" t="s">
        <v>1</v>
      </c>
      <c r="AA2" s="909" t="s">
        <v>2</v>
      </c>
      <c r="AB2" s="909" t="s">
        <v>3</v>
      </c>
      <c r="AC2" s="909" t="s">
        <v>0</v>
      </c>
      <c r="AD2" s="909" t="s">
        <v>1</v>
      </c>
      <c r="AE2" s="909" t="s">
        <v>2</v>
      </c>
      <c r="AF2" s="909" t="s">
        <v>3</v>
      </c>
      <c r="AG2" s="909" t="s">
        <v>0</v>
      </c>
      <c r="AH2" s="909" t="s">
        <v>1</v>
      </c>
      <c r="AI2" s="909" t="s">
        <v>2</v>
      </c>
      <c r="AJ2" s="909" t="s">
        <v>3</v>
      </c>
      <c r="AK2" s="909" t="s">
        <v>0</v>
      </c>
      <c r="AL2" s="909" t="s">
        <v>1</v>
      </c>
      <c r="AM2" s="909" t="s">
        <v>2</v>
      </c>
      <c r="AN2" s="909" t="s">
        <v>3</v>
      </c>
      <c r="AP2" s="592" t="s">
        <v>112</v>
      </c>
      <c r="AQ2" s="253"/>
      <c r="AS2" s="672" t="s">
        <v>610</v>
      </c>
      <c r="AT2" s="253"/>
    </row>
    <row r="3" spans="1:46" ht="14.95" customHeight="1" thickBot="1" x14ac:dyDescent="0.35">
      <c r="A3" s="195">
        <v>43673</v>
      </c>
      <c r="B3" s="216" t="s">
        <v>147</v>
      </c>
      <c r="C3" s="196" t="s">
        <v>31</v>
      </c>
      <c r="D3" s="196" t="s">
        <v>582</v>
      </c>
      <c r="E3" s="197" t="s">
        <v>1</v>
      </c>
      <c r="F3" s="197">
        <v>34</v>
      </c>
      <c r="G3" s="197">
        <v>21</v>
      </c>
      <c r="H3" s="197">
        <v>1</v>
      </c>
      <c r="I3" s="197">
        <v>0</v>
      </c>
      <c r="J3" s="197">
        <v>5</v>
      </c>
      <c r="K3" s="197">
        <v>3</v>
      </c>
      <c r="L3" s="197">
        <v>0</v>
      </c>
      <c r="M3" s="197">
        <v>1</v>
      </c>
      <c r="N3" s="197">
        <v>0</v>
      </c>
      <c r="O3" s="197">
        <v>0</v>
      </c>
      <c r="P3" s="197">
        <v>0</v>
      </c>
      <c r="Q3" s="197">
        <v>0</v>
      </c>
      <c r="R3" s="197">
        <v>3</v>
      </c>
      <c r="S3" s="209">
        <v>13135</v>
      </c>
      <c r="T3" s="346" t="s">
        <v>733</v>
      </c>
      <c r="U3" s="210" t="s">
        <v>133</v>
      </c>
      <c r="V3" s="209" t="s">
        <v>137</v>
      </c>
      <c r="W3" s="198" t="s">
        <v>734</v>
      </c>
      <c r="X3" s="211" t="s">
        <v>735</v>
      </c>
      <c r="Y3" s="212">
        <v>1</v>
      </c>
      <c r="Z3" s="212">
        <v>1</v>
      </c>
      <c r="AA3" s="212">
        <v>0</v>
      </c>
      <c r="AB3" s="213">
        <v>0</v>
      </c>
      <c r="AC3" s="212">
        <v>1</v>
      </c>
      <c r="AD3" s="212">
        <v>1</v>
      </c>
      <c r="AE3" s="212">
        <v>0</v>
      </c>
      <c r="AF3" s="212">
        <v>0</v>
      </c>
      <c r="AG3" s="212">
        <v>0</v>
      </c>
      <c r="AH3" s="212">
        <v>0</v>
      </c>
      <c r="AI3" s="212">
        <v>0</v>
      </c>
      <c r="AJ3" s="212">
        <v>0</v>
      </c>
      <c r="AK3" s="212">
        <v>0</v>
      </c>
      <c r="AL3" s="212">
        <v>0</v>
      </c>
      <c r="AM3" s="212">
        <v>0</v>
      </c>
      <c r="AN3" s="212">
        <v>0</v>
      </c>
      <c r="AP3" s="849" t="s">
        <v>627</v>
      </c>
      <c r="AQ3" s="850">
        <f>Japanalltestshistplayed</f>
        <v>356</v>
      </c>
      <c r="AS3" s="849" t="s">
        <v>627</v>
      </c>
      <c r="AT3" s="850">
        <f>JapanRWChistplayed</f>
        <v>33</v>
      </c>
    </row>
    <row r="4" spans="1:46" ht="14.95" customHeight="1" thickBot="1" x14ac:dyDescent="0.35">
      <c r="A4" s="195">
        <v>43680</v>
      </c>
      <c r="B4" s="216" t="s">
        <v>147</v>
      </c>
      <c r="C4" s="196" t="s">
        <v>145</v>
      </c>
      <c r="D4" s="196" t="s">
        <v>872</v>
      </c>
      <c r="E4" s="197" t="s">
        <v>1</v>
      </c>
      <c r="F4" s="197">
        <v>41</v>
      </c>
      <c r="G4" s="197">
        <v>7</v>
      </c>
      <c r="H4" s="197">
        <v>1</v>
      </c>
      <c r="I4" s="197">
        <v>0</v>
      </c>
      <c r="J4" s="197">
        <v>5</v>
      </c>
      <c r="K4" s="197">
        <v>5</v>
      </c>
      <c r="L4" s="197">
        <v>0</v>
      </c>
      <c r="M4" s="197">
        <v>2</v>
      </c>
      <c r="N4" s="197">
        <v>1</v>
      </c>
      <c r="O4" s="197">
        <v>0</v>
      </c>
      <c r="P4" s="197">
        <v>0</v>
      </c>
      <c r="Q4" s="197">
        <v>0</v>
      </c>
      <c r="R4" s="197">
        <v>1</v>
      </c>
      <c r="S4" s="209">
        <v>20940</v>
      </c>
      <c r="T4" s="346" t="s">
        <v>749</v>
      </c>
      <c r="U4" s="210" t="s">
        <v>138</v>
      </c>
      <c r="V4" s="209" t="s">
        <v>137</v>
      </c>
      <c r="W4" s="198" t="s">
        <v>133</v>
      </c>
      <c r="X4" s="211" t="s">
        <v>146</v>
      </c>
      <c r="Y4" s="212">
        <v>1</v>
      </c>
      <c r="Z4" s="212">
        <v>1</v>
      </c>
      <c r="AA4" s="212">
        <v>0</v>
      </c>
      <c r="AB4" s="213">
        <v>0</v>
      </c>
      <c r="AC4" s="212">
        <v>1</v>
      </c>
      <c r="AD4" s="212">
        <v>1</v>
      </c>
      <c r="AE4" s="212">
        <v>0</v>
      </c>
      <c r="AF4" s="213">
        <v>0</v>
      </c>
      <c r="AG4" s="212">
        <v>0</v>
      </c>
      <c r="AH4" s="212">
        <v>0</v>
      </c>
      <c r="AI4" s="212">
        <v>0</v>
      </c>
      <c r="AJ4" s="213">
        <v>0</v>
      </c>
      <c r="AK4" s="212">
        <v>0</v>
      </c>
      <c r="AL4" s="212">
        <v>0</v>
      </c>
      <c r="AM4" s="212">
        <v>0</v>
      </c>
      <c r="AN4" s="213">
        <v>0</v>
      </c>
      <c r="AP4" s="851" t="s">
        <v>628</v>
      </c>
      <c r="AQ4" s="852">
        <f>Japanalltestshistwon</f>
        <v>157</v>
      </c>
      <c r="AS4" s="851" t="s">
        <v>628</v>
      </c>
      <c r="AT4" s="852">
        <f>JapanRWChistwon</f>
        <v>8</v>
      </c>
    </row>
    <row r="5" spans="1:46" ht="14.95" customHeight="1" thickBot="1" x14ac:dyDescent="0.35">
      <c r="A5" s="188">
        <v>43687</v>
      </c>
      <c r="B5" s="495" t="s">
        <v>147</v>
      </c>
      <c r="C5" s="189" t="s">
        <v>60</v>
      </c>
      <c r="D5" s="189" t="s">
        <v>586</v>
      </c>
      <c r="E5" s="190" t="s">
        <v>1</v>
      </c>
      <c r="F5" s="190">
        <v>34</v>
      </c>
      <c r="G5" s="190">
        <v>20</v>
      </c>
      <c r="H5" s="190">
        <v>1</v>
      </c>
      <c r="I5" s="190">
        <v>0</v>
      </c>
      <c r="J5" s="190">
        <v>4</v>
      </c>
      <c r="K5" s="190">
        <v>4</v>
      </c>
      <c r="L5" s="190">
        <v>0</v>
      </c>
      <c r="M5" s="190">
        <v>2</v>
      </c>
      <c r="N5" s="190">
        <v>0</v>
      </c>
      <c r="O5" s="190">
        <v>0</v>
      </c>
      <c r="P5" s="190">
        <v>0</v>
      </c>
      <c r="Q5" s="190">
        <v>0</v>
      </c>
      <c r="R5" s="190">
        <v>2</v>
      </c>
      <c r="S5" s="203">
        <v>6500</v>
      </c>
      <c r="T5" s="411" t="s">
        <v>761</v>
      </c>
      <c r="U5" s="204" t="s">
        <v>231</v>
      </c>
      <c r="V5" s="203" t="s">
        <v>314</v>
      </c>
      <c r="W5" s="191" t="s">
        <v>276</v>
      </c>
      <c r="X5" s="205" t="s">
        <v>759</v>
      </c>
      <c r="Y5" s="206">
        <v>1</v>
      </c>
      <c r="Z5" s="206">
        <v>1</v>
      </c>
      <c r="AA5" s="206">
        <v>0</v>
      </c>
      <c r="AB5" s="207">
        <v>0</v>
      </c>
      <c r="AC5" s="206">
        <v>0</v>
      </c>
      <c r="AD5" s="206">
        <v>0</v>
      </c>
      <c r="AE5" s="206">
        <v>0</v>
      </c>
      <c r="AF5" s="207">
        <v>0</v>
      </c>
      <c r="AG5" s="206">
        <v>0</v>
      </c>
      <c r="AH5" s="206">
        <v>0</v>
      </c>
      <c r="AI5" s="206">
        <v>0</v>
      </c>
      <c r="AJ5" s="207">
        <v>0</v>
      </c>
      <c r="AK5" s="206">
        <v>1</v>
      </c>
      <c r="AL5" s="206">
        <v>1</v>
      </c>
      <c r="AM5" s="206">
        <v>0</v>
      </c>
      <c r="AN5" s="207">
        <v>0</v>
      </c>
      <c r="AP5" s="851" t="s">
        <v>634</v>
      </c>
      <c r="AQ5" s="852">
        <f>Japanalltestshistdrawn</f>
        <v>10</v>
      </c>
      <c r="AS5" s="851" t="s">
        <v>634</v>
      </c>
      <c r="AT5" s="852">
        <f>JapanRWChistdrawn</f>
        <v>2</v>
      </c>
    </row>
    <row r="6" spans="1:46" ht="14.95" customHeight="1" thickBot="1" x14ac:dyDescent="0.3">
      <c r="A6" s="195">
        <v>43714</v>
      </c>
      <c r="B6" s="196" t="s">
        <v>45</v>
      </c>
      <c r="C6" s="196" t="s">
        <v>679</v>
      </c>
      <c r="D6" s="196" t="s">
        <v>603</v>
      </c>
      <c r="E6" s="197" t="s">
        <v>3</v>
      </c>
      <c r="F6" s="197">
        <v>7</v>
      </c>
      <c r="G6" s="197">
        <v>41</v>
      </c>
      <c r="H6" s="197" t="s">
        <v>108</v>
      </c>
      <c r="I6" s="197" t="s">
        <v>108</v>
      </c>
      <c r="J6" s="197">
        <v>1</v>
      </c>
      <c r="K6" s="197">
        <v>1</v>
      </c>
      <c r="L6" s="197">
        <v>0</v>
      </c>
      <c r="M6" s="197">
        <v>0</v>
      </c>
      <c r="N6" s="197">
        <v>0</v>
      </c>
      <c r="O6" s="197">
        <v>0</v>
      </c>
      <c r="P6" s="197" t="s">
        <v>108</v>
      </c>
      <c r="Q6" s="197" t="s">
        <v>108</v>
      </c>
      <c r="R6" s="197">
        <v>6</v>
      </c>
      <c r="S6" s="209">
        <v>22258</v>
      </c>
      <c r="T6" s="222" t="s">
        <v>834</v>
      </c>
      <c r="U6" s="210" t="s">
        <v>227</v>
      </c>
      <c r="V6" s="209" t="s">
        <v>835</v>
      </c>
      <c r="W6" s="198" t="s">
        <v>730</v>
      </c>
      <c r="X6" s="211" t="s">
        <v>731</v>
      </c>
      <c r="Y6" s="212">
        <v>1</v>
      </c>
      <c r="Z6" s="212">
        <v>0</v>
      </c>
      <c r="AA6" s="212">
        <v>0</v>
      </c>
      <c r="AB6" s="213">
        <v>1</v>
      </c>
      <c r="AC6" s="212">
        <v>1</v>
      </c>
      <c r="AD6" s="212">
        <v>0</v>
      </c>
      <c r="AE6" s="212">
        <v>0</v>
      </c>
      <c r="AF6" s="213">
        <v>1</v>
      </c>
      <c r="AG6" s="212">
        <v>0</v>
      </c>
      <c r="AH6" s="212">
        <v>0</v>
      </c>
      <c r="AI6" s="212">
        <v>0</v>
      </c>
      <c r="AJ6" s="213">
        <v>0</v>
      </c>
      <c r="AK6" s="212">
        <v>0</v>
      </c>
      <c r="AL6" s="212">
        <v>0</v>
      </c>
      <c r="AM6" s="212">
        <v>0</v>
      </c>
      <c r="AN6" s="213">
        <v>0</v>
      </c>
      <c r="AP6" s="851" t="s">
        <v>629</v>
      </c>
      <c r="AQ6" s="852">
        <f>Japanalltestshistlost</f>
        <v>189</v>
      </c>
      <c r="AS6" s="851" t="s">
        <v>629</v>
      </c>
      <c r="AT6" s="852">
        <f>JapanRWChistlost</f>
        <v>23</v>
      </c>
    </row>
    <row r="7" spans="1:46" ht="14.95" customHeight="1" thickBot="1" x14ac:dyDescent="0.35">
      <c r="A7" s="195">
        <v>43728</v>
      </c>
      <c r="B7" s="196" t="s">
        <v>158</v>
      </c>
      <c r="C7" s="196" t="s">
        <v>105</v>
      </c>
      <c r="D7" s="196" t="s">
        <v>160</v>
      </c>
      <c r="E7" s="197" t="s">
        <v>1</v>
      </c>
      <c r="F7" s="197">
        <v>30</v>
      </c>
      <c r="G7" s="197">
        <v>10</v>
      </c>
      <c r="H7" s="197">
        <v>1</v>
      </c>
      <c r="I7" s="197">
        <v>0</v>
      </c>
      <c r="J7" s="197">
        <v>4</v>
      </c>
      <c r="K7" s="197">
        <v>2</v>
      </c>
      <c r="L7" s="197">
        <v>0</v>
      </c>
      <c r="M7" s="197">
        <v>2</v>
      </c>
      <c r="N7" s="197">
        <v>0</v>
      </c>
      <c r="O7" s="197">
        <v>0</v>
      </c>
      <c r="P7" s="197">
        <v>0</v>
      </c>
      <c r="Q7" s="197">
        <v>0</v>
      </c>
      <c r="R7" s="197">
        <v>1</v>
      </c>
      <c r="S7" s="209">
        <v>45745</v>
      </c>
      <c r="T7" s="346" t="s">
        <v>216</v>
      </c>
      <c r="U7" s="210" t="s">
        <v>219</v>
      </c>
      <c r="V7" s="209" t="s">
        <v>277</v>
      </c>
      <c r="W7" s="198" t="s">
        <v>227</v>
      </c>
      <c r="X7" s="211" t="s">
        <v>295</v>
      </c>
      <c r="Y7" s="212">
        <v>1</v>
      </c>
      <c r="Z7" s="212">
        <v>1</v>
      </c>
      <c r="AA7" s="212">
        <v>0</v>
      </c>
      <c r="AB7" s="213">
        <v>0</v>
      </c>
      <c r="AC7" s="212">
        <v>1</v>
      </c>
      <c r="AD7" s="212">
        <v>1</v>
      </c>
      <c r="AE7" s="212">
        <v>0</v>
      </c>
      <c r="AF7" s="213">
        <v>0</v>
      </c>
      <c r="AG7" s="212">
        <v>0</v>
      </c>
      <c r="AH7" s="212">
        <v>0</v>
      </c>
      <c r="AI7" s="212">
        <v>0</v>
      </c>
      <c r="AJ7" s="213">
        <v>0</v>
      </c>
      <c r="AK7" s="212">
        <v>0</v>
      </c>
      <c r="AL7" s="212">
        <v>0</v>
      </c>
      <c r="AM7" s="212">
        <v>0</v>
      </c>
      <c r="AN7" s="213">
        <v>0</v>
      </c>
      <c r="AP7" s="851" t="s">
        <v>635</v>
      </c>
      <c r="AQ7" s="852">
        <f>Japanalltestshistptsscored</f>
        <v>10034</v>
      </c>
      <c r="AS7" s="851" t="s">
        <v>635</v>
      </c>
      <c r="AT7" s="852">
        <f>JapanRWChistptsscored</f>
        <v>644</v>
      </c>
    </row>
    <row r="8" spans="1:46" ht="14.95" customHeight="1" thickBot="1" x14ac:dyDescent="0.3">
      <c r="A8" s="195">
        <v>43736</v>
      </c>
      <c r="B8" s="230" t="s">
        <v>158</v>
      </c>
      <c r="C8" s="196" t="s">
        <v>39</v>
      </c>
      <c r="D8" s="196" t="s">
        <v>172</v>
      </c>
      <c r="E8" s="197" t="s">
        <v>1</v>
      </c>
      <c r="F8" s="197">
        <v>19</v>
      </c>
      <c r="G8" s="231">
        <v>12</v>
      </c>
      <c r="H8" s="231">
        <v>0</v>
      </c>
      <c r="I8" s="197">
        <v>0</v>
      </c>
      <c r="J8" s="197">
        <v>1</v>
      </c>
      <c r="K8" s="197">
        <v>1</v>
      </c>
      <c r="L8" s="197">
        <v>0</v>
      </c>
      <c r="M8" s="197">
        <v>4</v>
      </c>
      <c r="N8" s="197">
        <v>0</v>
      </c>
      <c r="O8" s="197">
        <v>0</v>
      </c>
      <c r="P8" s="197">
        <v>0</v>
      </c>
      <c r="Q8" s="197">
        <v>1</v>
      </c>
      <c r="R8" s="197">
        <v>2</v>
      </c>
      <c r="S8" s="209">
        <v>47813</v>
      </c>
      <c r="T8" s="222" t="s">
        <v>906</v>
      </c>
      <c r="U8" s="210" t="s">
        <v>278</v>
      </c>
      <c r="V8" s="209" t="s">
        <v>277</v>
      </c>
      <c r="W8" s="198" t="s">
        <v>907</v>
      </c>
      <c r="X8" s="211" t="s">
        <v>295</v>
      </c>
      <c r="Y8" s="212">
        <v>1</v>
      </c>
      <c r="Z8" s="212">
        <v>1</v>
      </c>
      <c r="AA8" s="212">
        <v>0</v>
      </c>
      <c r="AB8" s="213">
        <v>0</v>
      </c>
      <c r="AC8" s="212">
        <v>1</v>
      </c>
      <c r="AD8" s="212">
        <v>1</v>
      </c>
      <c r="AE8" s="212">
        <v>0</v>
      </c>
      <c r="AF8" s="213">
        <v>0</v>
      </c>
      <c r="AG8" s="212">
        <v>0</v>
      </c>
      <c r="AH8" s="212">
        <v>0</v>
      </c>
      <c r="AI8" s="212">
        <v>0</v>
      </c>
      <c r="AJ8" s="213">
        <v>0</v>
      </c>
      <c r="AK8" s="212">
        <v>0</v>
      </c>
      <c r="AL8" s="212">
        <v>0</v>
      </c>
      <c r="AM8" s="212">
        <v>0</v>
      </c>
      <c r="AN8" s="213">
        <v>0</v>
      </c>
      <c r="AP8" s="851" t="s">
        <v>636</v>
      </c>
      <c r="AQ8" s="852">
        <f>Japanalltestshistptscon</f>
        <v>9877</v>
      </c>
      <c r="AS8" s="851" t="s">
        <v>636</v>
      </c>
      <c r="AT8" s="852">
        <f>JapanRWChistptsagainst</f>
        <v>1347</v>
      </c>
    </row>
    <row r="9" spans="1:46" ht="14.95" customHeight="1" thickBot="1" x14ac:dyDescent="0.35">
      <c r="A9" s="195">
        <v>43743</v>
      </c>
      <c r="B9" s="230" t="s">
        <v>158</v>
      </c>
      <c r="C9" s="196" t="s">
        <v>148</v>
      </c>
      <c r="D9" s="196" t="s">
        <v>128</v>
      </c>
      <c r="E9" s="197" t="s">
        <v>1</v>
      </c>
      <c r="F9" s="197">
        <v>38</v>
      </c>
      <c r="G9" s="231">
        <v>19</v>
      </c>
      <c r="H9" s="231">
        <v>1</v>
      </c>
      <c r="I9" s="197">
        <v>0</v>
      </c>
      <c r="J9" s="197">
        <v>4</v>
      </c>
      <c r="K9" s="197">
        <v>3</v>
      </c>
      <c r="L9" s="197">
        <v>0</v>
      </c>
      <c r="M9" s="197">
        <v>4</v>
      </c>
      <c r="N9" s="197">
        <v>0</v>
      </c>
      <c r="O9" s="197">
        <v>0</v>
      </c>
      <c r="P9" s="197">
        <v>0</v>
      </c>
      <c r="Q9" s="197">
        <v>0</v>
      </c>
      <c r="R9" s="197">
        <v>1</v>
      </c>
      <c r="S9" s="209">
        <v>39695</v>
      </c>
      <c r="T9" s="346" t="s">
        <v>932</v>
      </c>
      <c r="U9" s="210" t="s">
        <v>229</v>
      </c>
      <c r="V9" s="209" t="s">
        <v>232</v>
      </c>
      <c r="W9" s="198" t="s">
        <v>278</v>
      </c>
      <c r="X9" s="211" t="s">
        <v>134</v>
      </c>
      <c r="Y9" s="212">
        <v>1</v>
      </c>
      <c r="Z9" s="212">
        <v>1</v>
      </c>
      <c r="AA9" s="212">
        <v>0</v>
      </c>
      <c r="AB9" s="213">
        <v>0</v>
      </c>
      <c r="AC9" s="212">
        <v>1</v>
      </c>
      <c r="AD9" s="212">
        <v>1</v>
      </c>
      <c r="AE9" s="212">
        <v>0</v>
      </c>
      <c r="AF9" s="213">
        <v>0</v>
      </c>
      <c r="AG9" s="212">
        <v>0</v>
      </c>
      <c r="AH9" s="212">
        <v>0</v>
      </c>
      <c r="AI9" s="212">
        <v>0</v>
      </c>
      <c r="AJ9" s="213">
        <v>0</v>
      </c>
      <c r="AK9" s="212">
        <v>0</v>
      </c>
      <c r="AL9" s="212">
        <v>0</v>
      </c>
      <c r="AM9" s="212">
        <v>0</v>
      </c>
      <c r="AN9" s="213">
        <v>0</v>
      </c>
      <c r="AP9" s="851" t="s">
        <v>623</v>
      </c>
      <c r="AQ9" s="852">
        <f>Japanalltestshisttriesscoredcorrect</f>
        <v>1371</v>
      </c>
      <c r="AS9" s="851" t="s">
        <v>623</v>
      </c>
      <c r="AT9" s="852">
        <f>JapanRWChisttriesscored</f>
        <v>73</v>
      </c>
    </row>
    <row r="10" spans="1:46" ht="14.95" customHeight="1" thickBot="1" x14ac:dyDescent="0.3">
      <c r="A10" s="195">
        <v>43751</v>
      </c>
      <c r="B10" s="230" t="s">
        <v>158</v>
      </c>
      <c r="C10" s="196" t="s">
        <v>35</v>
      </c>
      <c r="D10" s="196" t="s">
        <v>141</v>
      </c>
      <c r="E10" s="197" t="s">
        <v>1</v>
      </c>
      <c r="F10" s="197">
        <v>28</v>
      </c>
      <c r="G10" s="231">
        <v>21</v>
      </c>
      <c r="H10" s="231">
        <v>1</v>
      </c>
      <c r="I10" s="197">
        <v>0</v>
      </c>
      <c r="J10" s="197">
        <v>4</v>
      </c>
      <c r="K10" s="197">
        <v>4</v>
      </c>
      <c r="L10" s="197">
        <v>0</v>
      </c>
      <c r="M10" s="197">
        <v>0</v>
      </c>
      <c r="N10" s="197">
        <v>0</v>
      </c>
      <c r="O10" s="197">
        <v>0</v>
      </c>
      <c r="P10" s="197">
        <v>0</v>
      </c>
      <c r="Q10" s="197">
        <v>1</v>
      </c>
      <c r="R10" s="197">
        <v>3</v>
      </c>
      <c r="S10" s="209">
        <v>67666</v>
      </c>
      <c r="T10" s="481" t="s">
        <v>770</v>
      </c>
      <c r="U10" s="210" t="s">
        <v>276</v>
      </c>
      <c r="V10" s="209" t="s">
        <v>270</v>
      </c>
      <c r="W10" s="198" t="s">
        <v>136</v>
      </c>
      <c r="X10" s="211" t="s">
        <v>295</v>
      </c>
      <c r="Y10" s="212">
        <v>1</v>
      </c>
      <c r="Z10" s="212">
        <v>1</v>
      </c>
      <c r="AA10" s="212">
        <v>0</v>
      </c>
      <c r="AB10" s="213">
        <v>0</v>
      </c>
      <c r="AC10" s="212">
        <v>1</v>
      </c>
      <c r="AD10" s="212">
        <v>1</v>
      </c>
      <c r="AE10" s="212">
        <v>0</v>
      </c>
      <c r="AF10" s="213">
        <v>0</v>
      </c>
      <c r="AG10" s="212">
        <v>0</v>
      </c>
      <c r="AH10" s="212">
        <v>0</v>
      </c>
      <c r="AI10" s="212">
        <v>0</v>
      </c>
      <c r="AJ10" s="213">
        <v>0</v>
      </c>
      <c r="AK10" s="212">
        <v>0</v>
      </c>
      <c r="AL10" s="212">
        <v>0</v>
      </c>
      <c r="AM10" s="212">
        <v>0</v>
      </c>
      <c r="AN10" s="213">
        <v>0</v>
      </c>
    </row>
    <row r="11" spans="1:46" ht="14.95" customHeight="1" thickBot="1" x14ac:dyDescent="0.3">
      <c r="A11" s="195">
        <v>43758</v>
      </c>
      <c r="B11" s="230" t="s">
        <v>110</v>
      </c>
      <c r="C11" s="196" t="s">
        <v>679</v>
      </c>
      <c r="D11" s="196" t="s">
        <v>160</v>
      </c>
      <c r="E11" s="197" t="s">
        <v>3</v>
      </c>
      <c r="F11" s="197">
        <v>3</v>
      </c>
      <c r="G11" s="231">
        <v>26</v>
      </c>
      <c r="H11" s="231" t="s">
        <v>108</v>
      </c>
      <c r="I11" s="197" t="s">
        <v>108</v>
      </c>
      <c r="J11" s="197">
        <v>0</v>
      </c>
      <c r="K11" s="197">
        <v>0</v>
      </c>
      <c r="L11" s="197">
        <v>0</v>
      </c>
      <c r="M11" s="197">
        <v>1</v>
      </c>
      <c r="N11" s="197">
        <v>0</v>
      </c>
      <c r="O11" s="197">
        <v>0</v>
      </c>
      <c r="P11" s="197" t="s">
        <v>108</v>
      </c>
      <c r="Q11" s="197" t="s">
        <v>108</v>
      </c>
      <c r="R11" s="197">
        <v>3</v>
      </c>
      <c r="S11" s="209">
        <v>48831</v>
      </c>
      <c r="T11" s="222" t="s">
        <v>979</v>
      </c>
      <c r="U11" s="210" t="s">
        <v>132</v>
      </c>
      <c r="V11" s="209" t="s">
        <v>131</v>
      </c>
      <c r="W11" s="198" t="s">
        <v>276</v>
      </c>
      <c r="X11" s="211" t="s">
        <v>133</v>
      </c>
      <c r="Y11" s="212">
        <v>1</v>
      </c>
      <c r="Z11" s="212">
        <v>0</v>
      </c>
      <c r="AA11" s="212">
        <v>0</v>
      </c>
      <c r="AB11" s="213">
        <v>1</v>
      </c>
      <c r="AC11" s="212">
        <v>1</v>
      </c>
      <c r="AD11" s="212">
        <v>0</v>
      </c>
      <c r="AE11" s="212">
        <v>0</v>
      </c>
      <c r="AF11" s="213">
        <v>1</v>
      </c>
      <c r="AG11" s="212">
        <v>0</v>
      </c>
      <c r="AH11" s="212">
        <v>0</v>
      </c>
      <c r="AI11" s="212">
        <v>0</v>
      </c>
      <c r="AJ11" s="213">
        <v>0</v>
      </c>
      <c r="AK11" s="212">
        <v>0</v>
      </c>
      <c r="AL11" s="212">
        <v>0</v>
      </c>
      <c r="AM11" s="212">
        <v>0</v>
      </c>
      <c r="AN11" s="213">
        <v>0</v>
      </c>
    </row>
    <row r="12" spans="1:46" ht="14.95" thickBot="1" x14ac:dyDescent="0.3">
      <c r="A12" s="438"/>
      <c r="B12" s="439"/>
      <c r="C12" s="1072" t="s">
        <v>642</v>
      </c>
      <c r="D12" s="1073"/>
      <c r="E12" s="1074"/>
      <c r="F12" s="440">
        <f>SUM(F3:F5)</f>
        <v>109</v>
      </c>
      <c r="G12" s="440">
        <f>SUM(G3:G5)</f>
        <v>48</v>
      </c>
      <c r="H12" s="440" t="s">
        <v>108</v>
      </c>
      <c r="I12" s="440" t="s">
        <v>108</v>
      </c>
      <c r="J12" s="440">
        <f t="shared" ref="J12:O12" si="0">SUM(J3:J5)</f>
        <v>14</v>
      </c>
      <c r="K12" s="440">
        <f t="shared" si="0"/>
        <v>12</v>
      </c>
      <c r="L12" s="440">
        <f t="shared" si="0"/>
        <v>0</v>
      </c>
      <c r="M12" s="440">
        <f t="shared" si="0"/>
        <v>5</v>
      </c>
      <c r="N12" s="440">
        <f t="shared" si="0"/>
        <v>1</v>
      </c>
      <c r="O12" s="440">
        <f t="shared" si="0"/>
        <v>0</v>
      </c>
      <c r="P12" s="440" t="s">
        <v>108</v>
      </c>
      <c r="Q12" s="440" t="s">
        <v>108</v>
      </c>
      <c r="R12" s="440">
        <f>SUM(R3:R5)</f>
        <v>6</v>
      </c>
      <c r="S12" s="441"/>
      <c r="T12" s="441"/>
      <c r="U12" s="441"/>
      <c r="V12" s="441"/>
      <c r="W12" s="442"/>
      <c r="X12" s="460" t="s">
        <v>642</v>
      </c>
      <c r="Y12" s="440">
        <f t="shared" ref="Y12:AN12" si="1">SUM(Y3:Y5)</f>
        <v>3</v>
      </c>
      <c r="Z12" s="440">
        <f t="shared" si="1"/>
        <v>3</v>
      </c>
      <c r="AA12" s="440">
        <f t="shared" si="1"/>
        <v>0</v>
      </c>
      <c r="AB12" s="440">
        <f t="shared" si="1"/>
        <v>0</v>
      </c>
      <c r="AC12" s="443">
        <f t="shared" si="1"/>
        <v>2</v>
      </c>
      <c r="AD12" s="443">
        <f t="shared" si="1"/>
        <v>2</v>
      </c>
      <c r="AE12" s="443">
        <f t="shared" si="1"/>
        <v>0</v>
      </c>
      <c r="AF12" s="443">
        <f t="shared" si="1"/>
        <v>0</v>
      </c>
      <c r="AG12" s="444">
        <f t="shared" si="1"/>
        <v>0</v>
      </c>
      <c r="AH12" s="444">
        <f t="shared" si="1"/>
        <v>0</v>
      </c>
      <c r="AI12" s="444">
        <f t="shared" si="1"/>
        <v>0</v>
      </c>
      <c r="AJ12" s="444">
        <f t="shared" si="1"/>
        <v>0</v>
      </c>
      <c r="AK12" s="445">
        <f t="shared" si="1"/>
        <v>1</v>
      </c>
      <c r="AL12" s="445">
        <f t="shared" si="1"/>
        <v>1</v>
      </c>
      <c r="AM12" s="445">
        <f t="shared" si="1"/>
        <v>0</v>
      </c>
      <c r="AN12" s="445">
        <f t="shared" si="1"/>
        <v>0</v>
      </c>
    </row>
    <row r="13" spans="1:46" ht="14.95" thickBot="1" x14ac:dyDescent="0.3">
      <c r="A13" s="438"/>
      <c r="B13" s="439"/>
      <c r="C13" s="1037" t="s">
        <v>163</v>
      </c>
      <c r="D13" s="1038"/>
      <c r="E13" s="1039"/>
      <c r="F13" s="446">
        <f>SUM(F6)</f>
        <v>7</v>
      </c>
      <c r="G13" s="446">
        <f>SUM(G6)</f>
        <v>41</v>
      </c>
      <c r="H13" s="446" t="s">
        <v>108</v>
      </c>
      <c r="I13" s="446" t="s">
        <v>108</v>
      </c>
      <c r="J13" s="446">
        <f t="shared" ref="J13:O13" si="2">SUM(J6)</f>
        <v>1</v>
      </c>
      <c r="K13" s="446">
        <f t="shared" si="2"/>
        <v>1</v>
      </c>
      <c r="L13" s="446">
        <f t="shared" si="2"/>
        <v>0</v>
      </c>
      <c r="M13" s="446">
        <f t="shared" si="2"/>
        <v>0</v>
      </c>
      <c r="N13" s="446">
        <f t="shared" si="2"/>
        <v>0</v>
      </c>
      <c r="O13" s="446">
        <f t="shared" si="2"/>
        <v>0</v>
      </c>
      <c r="P13" s="446" t="s">
        <v>108</v>
      </c>
      <c r="Q13" s="446" t="s">
        <v>108</v>
      </c>
      <c r="R13" s="446">
        <f>SUM(R6)</f>
        <v>6</v>
      </c>
      <c r="S13" s="447"/>
      <c r="T13" s="447"/>
      <c r="U13" s="447"/>
      <c r="V13" s="447"/>
      <c r="W13" s="448"/>
      <c r="X13" s="461" t="s">
        <v>163</v>
      </c>
      <c r="Y13" s="446">
        <f t="shared" ref="Y13:AN13" si="3">SUM(Y6)</f>
        <v>1</v>
      </c>
      <c r="Z13" s="446">
        <f t="shared" si="3"/>
        <v>0</v>
      </c>
      <c r="AA13" s="446">
        <f t="shared" si="3"/>
        <v>0</v>
      </c>
      <c r="AB13" s="446">
        <f t="shared" si="3"/>
        <v>1</v>
      </c>
      <c r="AC13" s="450">
        <f t="shared" si="3"/>
        <v>1</v>
      </c>
      <c r="AD13" s="450">
        <f t="shared" si="3"/>
        <v>0</v>
      </c>
      <c r="AE13" s="450">
        <f t="shared" si="3"/>
        <v>0</v>
      </c>
      <c r="AF13" s="450">
        <f t="shared" si="3"/>
        <v>1</v>
      </c>
      <c r="AG13" s="451">
        <f t="shared" si="3"/>
        <v>0</v>
      </c>
      <c r="AH13" s="451">
        <f t="shared" si="3"/>
        <v>0</v>
      </c>
      <c r="AI13" s="451">
        <f t="shared" si="3"/>
        <v>0</v>
      </c>
      <c r="AJ13" s="451">
        <f t="shared" si="3"/>
        <v>0</v>
      </c>
      <c r="AK13" s="452">
        <f t="shared" si="3"/>
        <v>0</v>
      </c>
      <c r="AL13" s="452">
        <f t="shared" si="3"/>
        <v>0</v>
      </c>
      <c r="AM13" s="452">
        <f t="shared" si="3"/>
        <v>0</v>
      </c>
      <c r="AN13" s="452">
        <f t="shared" si="3"/>
        <v>0</v>
      </c>
    </row>
    <row r="14" spans="1:46" ht="14.95" thickBot="1" x14ac:dyDescent="0.3">
      <c r="A14" s="438"/>
      <c r="B14" s="439"/>
      <c r="C14" s="1040" t="s">
        <v>611</v>
      </c>
      <c r="D14" s="1041"/>
      <c r="E14" s="1042"/>
      <c r="F14" s="685">
        <f t="shared" ref="F14:R14" si="4">SUM(F7:F10)</f>
        <v>115</v>
      </c>
      <c r="G14" s="685">
        <f t="shared" si="4"/>
        <v>62</v>
      </c>
      <c r="H14" s="685">
        <f t="shared" si="4"/>
        <v>3</v>
      </c>
      <c r="I14" s="685">
        <f t="shared" si="4"/>
        <v>0</v>
      </c>
      <c r="J14" s="685">
        <f t="shared" si="4"/>
        <v>13</v>
      </c>
      <c r="K14" s="685">
        <f t="shared" si="4"/>
        <v>10</v>
      </c>
      <c r="L14" s="685">
        <f t="shared" si="4"/>
        <v>0</v>
      </c>
      <c r="M14" s="685">
        <f t="shared" si="4"/>
        <v>10</v>
      </c>
      <c r="N14" s="685">
        <f t="shared" si="4"/>
        <v>0</v>
      </c>
      <c r="O14" s="685">
        <f t="shared" si="4"/>
        <v>0</v>
      </c>
      <c r="P14" s="685">
        <f t="shared" si="4"/>
        <v>0</v>
      </c>
      <c r="Q14" s="685">
        <f t="shared" si="4"/>
        <v>2</v>
      </c>
      <c r="R14" s="685">
        <f t="shared" si="4"/>
        <v>7</v>
      </c>
      <c r="S14" s="686"/>
      <c r="T14" s="686"/>
      <c r="U14" s="686"/>
      <c r="V14" s="686"/>
      <c r="W14" s="687"/>
      <c r="X14" s="688" t="s">
        <v>611</v>
      </c>
      <c r="Y14" s="689">
        <f t="shared" ref="Y14:AN14" si="5">SUM(Y7:Y10)</f>
        <v>4</v>
      </c>
      <c r="Z14" s="690">
        <f t="shared" si="5"/>
        <v>4</v>
      </c>
      <c r="AA14" s="685">
        <f t="shared" si="5"/>
        <v>0</v>
      </c>
      <c r="AB14" s="685">
        <f t="shared" si="5"/>
        <v>0</v>
      </c>
      <c r="AC14" s="691">
        <f t="shared" si="5"/>
        <v>4</v>
      </c>
      <c r="AD14" s="691">
        <f t="shared" si="5"/>
        <v>4</v>
      </c>
      <c r="AE14" s="691">
        <f t="shared" si="5"/>
        <v>0</v>
      </c>
      <c r="AF14" s="691">
        <f t="shared" si="5"/>
        <v>0</v>
      </c>
      <c r="AG14" s="692">
        <f t="shared" si="5"/>
        <v>0</v>
      </c>
      <c r="AH14" s="692">
        <f t="shared" si="5"/>
        <v>0</v>
      </c>
      <c r="AI14" s="692">
        <f t="shared" si="5"/>
        <v>0</v>
      </c>
      <c r="AJ14" s="692">
        <f t="shared" si="5"/>
        <v>0</v>
      </c>
      <c r="AK14" s="693">
        <f t="shared" si="5"/>
        <v>0</v>
      </c>
      <c r="AL14" s="693">
        <f t="shared" si="5"/>
        <v>0</v>
      </c>
      <c r="AM14" s="693">
        <f t="shared" si="5"/>
        <v>0</v>
      </c>
      <c r="AN14" s="693">
        <f t="shared" si="5"/>
        <v>0</v>
      </c>
    </row>
    <row r="15" spans="1:46" ht="14.95" thickBot="1" x14ac:dyDescent="0.3">
      <c r="A15" s="438"/>
      <c r="B15" s="439"/>
      <c r="C15" s="1040" t="s">
        <v>612</v>
      </c>
      <c r="D15" s="1041"/>
      <c r="E15" s="1042"/>
      <c r="F15" s="694">
        <f>SUM(F11:F11)</f>
        <v>3</v>
      </c>
      <c r="G15" s="685">
        <f>SUM(G11:G11)</f>
        <v>26</v>
      </c>
      <c r="H15" s="685" t="s">
        <v>108</v>
      </c>
      <c r="I15" s="685" t="s">
        <v>108</v>
      </c>
      <c r="J15" s="685">
        <f t="shared" ref="J15:O15" si="6">SUM(J11:J11)</f>
        <v>0</v>
      </c>
      <c r="K15" s="685">
        <f t="shared" si="6"/>
        <v>0</v>
      </c>
      <c r="L15" s="685">
        <f t="shared" si="6"/>
        <v>0</v>
      </c>
      <c r="M15" s="685">
        <f t="shared" si="6"/>
        <v>1</v>
      </c>
      <c r="N15" s="685">
        <f t="shared" si="6"/>
        <v>0</v>
      </c>
      <c r="O15" s="685">
        <f t="shared" si="6"/>
        <v>0</v>
      </c>
      <c r="P15" s="685" t="s">
        <v>108</v>
      </c>
      <c r="Q15" s="685" t="s">
        <v>108</v>
      </c>
      <c r="R15" s="685">
        <f>SUM(R11:R11)</f>
        <v>3</v>
      </c>
      <c r="S15" s="686"/>
      <c r="T15" s="686"/>
      <c r="U15" s="686"/>
      <c r="V15" s="686"/>
      <c r="W15" s="687"/>
      <c r="X15" s="688" t="s">
        <v>612</v>
      </c>
      <c r="Y15" s="689">
        <f t="shared" ref="Y15:AN15" si="7">SUM(Y11:Y11)</f>
        <v>1</v>
      </c>
      <c r="Z15" s="690">
        <f t="shared" si="7"/>
        <v>0</v>
      </c>
      <c r="AA15" s="685">
        <f t="shared" si="7"/>
        <v>0</v>
      </c>
      <c r="AB15" s="685">
        <f t="shared" si="7"/>
        <v>1</v>
      </c>
      <c r="AC15" s="691">
        <f t="shared" si="7"/>
        <v>1</v>
      </c>
      <c r="AD15" s="691">
        <f t="shared" si="7"/>
        <v>0</v>
      </c>
      <c r="AE15" s="691">
        <f t="shared" si="7"/>
        <v>0</v>
      </c>
      <c r="AF15" s="691">
        <f t="shared" si="7"/>
        <v>1</v>
      </c>
      <c r="AG15" s="692">
        <f t="shared" si="7"/>
        <v>0</v>
      </c>
      <c r="AH15" s="692">
        <f t="shared" si="7"/>
        <v>0</v>
      </c>
      <c r="AI15" s="692">
        <f t="shared" si="7"/>
        <v>0</v>
      </c>
      <c r="AJ15" s="692">
        <f t="shared" si="7"/>
        <v>0</v>
      </c>
      <c r="AK15" s="693">
        <f t="shared" si="7"/>
        <v>0</v>
      </c>
      <c r="AL15" s="693">
        <f t="shared" si="7"/>
        <v>0</v>
      </c>
      <c r="AM15" s="693">
        <f t="shared" si="7"/>
        <v>0</v>
      </c>
      <c r="AN15" s="693">
        <f t="shared" si="7"/>
        <v>0</v>
      </c>
    </row>
    <row r="16" spans="1:46" ht="14.95" thickBot="1" x14ac:dyDescent="0.3">
      <c r="A16" s="438"/>
      <c r="B16" s="439"/>
      <c r="C16" s="1040" t="s">
        <v>613</v>
      </c>
      <c r="D16" s="1041"/>
      <c r="E16" s="1042"/>
      <c r="F16" s="685">
        <f>SUM(F14:F15)</f>
        <v>118</v>
      </c>
      <c r="G16" s="685">
        <f t="shared" ref="G16:R16" si="8">SUM(G14:G15)</f>
        <v>88</v>
      </c>
      <c r="H16" s="685">
        <f t="shared" si="8"/>
        <v>3</v>
      </c>
      <c r="I16" s="685">
        <f t="shared" si="8"/>
        <v>0</v>
      </c>
      <c r="J16" s="685">
        <f t="shared" si="8"/>
        <v>13</v>
      </c>
      <c r="K16" s="685">
        <f t="shared" si="8"/>
        <v>10</v>
      </c>
      <c r="L16" s="685">
        <f t="shared" si="8"/>
        <v>0</v>
      </c>
      <c r="M16" s="685">
        <f t="shared" si="8"/>
        <v>11</v>
      </c>
      <c r="N16" s="685">
        <f t="shared" si="8"/>
        <v>0</v>
      </c>
      <c r="O16" s="685">
        <f t="shared" si="8"/>
        <v>0</v>
      </c>
      <c r="P16" s="685">
        <f t="shared" si="8"/>
        <v>0</v>
      </c>
      <c r="Q16" s="685">
        <f t="shared" si="8"/>
        <v>2</v>
      </c>
      <c r="R16" s="685">
        <f t="shared" si="8"/>
        <v>10</v>
      </c>
      <c r="S16" s="686"/>
      <c r="T16" s="686"/>
      <c r="U16" s="686"/>
      <c r="V16" s="686"/>
      <c r="W16" s="687"/>
      <c r="X16" s="688" t="s">
        <v>613</v>
      </c>
      <c r="Y16" s="689">
        <f t="shared" ref="Y16:AN16" si="9">SUM(Y14:Y15)</f>
        <v>5</v>
      </c>
      <c r="Z16" s="690">
        <f t="shared" si="9"/>
        <v>4</v>
      </c>
      <c r="AA16" s="685">
        <f t="shared" si="9"/>
        <v>0</v>
      </c>
      <c r="AB16" s="685">
        <f t="shared" si="9"/>
        <v>1</v>
      </c>
      <c r="AC16" s="691">
        <f t="shared" si="9"/>
        <v>5</v>
      </c>
      <c r="AD16" s="691">
        <f t="shared" si="9"/>
        <v>4</v>
      </c>
      <c r="AE16" s="691">
        <f t="shared" si="9"/>
        <v>0</v>
      </c>
      <c r="AF16" s="691">
        <f t="shared" si="9"/>
        <v>1</v>
      </c>
      <c r="AG16" s="692">
        <f t="shared" si="9"/>
        <v>0</v>
      </c>
      <c r="AH16" s="692">
        <f t="shared" si="9"/>
        <v>0</v>
      </c>
      <c r="AI16" s="692">
        <f t="shared" si="9"/>
        <v>0</v>
      </c>
      <c r="AJ16" s="692">
        <f t="shared" si="9"/>
        <v>0</v>
      </c>
      <c r="AK16" s="693">
        <f t="shared" si="9"/>
        <v>0</v>
      </c>
      <c r="AL16" s="693">
        <f t="shared" si="9"/>
        <v>0</v>
      </c>
      <c r="AM16" s="693">
        <f t="shared" si="9"/>
        <v>0</v>
      </c>
      <c r="AN16" s="693">
        <f t="shared" si="9"/>
        <v>0</v>
      </c>
    </row>
    <row r="17" spans="1:40" ht="14.95" thickBot="1" x14ac:dyDescent="0.3">
      <c r="A17" s="438"/>
      <c r="B17" s="439"/>
      <c r="C17" s="1034" t="s">
        <v>112</v>
      </c>
      <c r="D17" s="1035"/>
      <c r="E17" s="1036"/>
      <c r="F17" s="453">
        <f t="shared" ref="F17:R17" si="10">SUM(F3:F11)</f>
        <v>234</v>
      </c>
      <c r="G17" s="453">
        <f t="shared" si="10"/>
        <v>177</v>
      </c>
      <c r="H17" s="453">
        <f t="shared" si="10"/>
        <v>6</v>
      </c>
      <c r="I17" s="453">
        <f t="shared" si="10"/>
        <v>0</v>
      </c>
      <c r="J17" s="453">
        <f t="shared" si="10"/>
        <v>28</v>
      </c>
      <c r="K17" s="453">
        <f t="shared" si="10"/>
        <v>23</v>
      </c>
      <c r="L17" s="453">
        <f t="shared" si="10"/>
        <v>0</v>
      </c>
      <c r="M17" s="453">
        <f t="shared" si="10"/>
        <v>16</v>
      </c>
      <c r="N17" s="453">
        <f t="shared" si="10"/>
        <v>1</v>
      </c>
      <c r="O17" s="453">
        <f t="shared" si="10"/>
        <v>0</v>
      </c>
      <c r="P17" s="453">
        <f t="shared" si="10"/>
        <v>0</v>
      </c>
      <c r="Q17" s="453">
        <f t="shared" si="10"/>
        <v>2</v>
      </c>
      <c r="R17" s="453">
        <f t="shared" si="10"/>
        <v>22</v>
      </c>
      <c r="S17" s="454"/>
      <c r="T17" s="454"/>
      <c r="U17" s="454"/>
      <c r="V17" s="454"/>
      <c r="W17" s="455"/>
      <c r="X17" s="462" t="s">
        <v>112</v>
      </c>
      <c r="Y17" s="453">
        <f t="shared" ref="Y17:AN17" si="11">SUM(Y3:Y11)</f>
        <v>9</v>
      </c>
      <c r="Z17" s="453">
        <f t="shared" si="11"/>
        <v>7</v>
      </c>
      <c r="AA17" s="453">
        <f t="shared" si="11"/>
        <v>0</v>
      </c>
      <c r="AB17" s="453">
        <f t="shared" si="11"/>
        <v>2</v>
      </c>
      <c r="AC17" s="456">
        <f t="shared" si="11"/>
        <v>8</v>
      </c>
      <c r="AD17" s="456">
        <f t="shared" si="11"/>
        <v>6</v>
      </c>
      <c r="AE17" s="456">
        <f t="shared" si="11"/>
        <v>0</v>
      </c>
      <c r="AF17" s="456">
        <f t="shared" si="11"/>
        <v>2</v>
      </c>
      <c r="AG17" s="457">
        <f t="shared" si="11"/>
        <v>0</v>
      </c>
      <c r="AH17" s="457">
        <f t="shared" si="11"/>
        <v>0</v>
      </c>
      <c r="AI17" s="457">
        <f t="shared" si="11"/>
        <v>0</v>
      </c>
      <c r="AJ17" s="457">
        <f t="shared" si="11"/>
        <v>0</v>
      </c>
      <c r="AK17" s="458">
        <f t="shared" si="11"/>
        <v>1</v>
      </c>
      <c r="AL17" s="458">
        <f t="shared" si="11"/>
        <v>1</v>
      </c>
      <c r="AM17" s="458">
        <f t="shared" si="11"/>
        <v>0</v>
      </c>
      <c r="AN17" s="458">
        <f t="shared" si="11"/>
        <v>0</v>
      </c>
    </row>
    <row r="18" spans="1:40" x14ac:dyDescent="0.25">
      <c r="A18" t="s">
        <v>870</v>
      </c>
      <c r="F18" s="14"/>
      <c r="G18" s="14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40" x14ac:dyDescent="0.25">
      <c r="A19" t="s">
        <v>713</v>
      </c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40" x14ac:dyDescent="0.25">
      <c r="A20" s="1030" t="s">
        <v>676</v>
      </c>
      <c r="B20" s="988"/>
      <c r="C20" s="988"/>
      <c r="D20" s="988"/>
      <c r="E20" s="988"/>
      <c r="F20" s="988"/>
      <c r="G20" s="988"/>
      <c r="H20" s="988"/>
      <c r="I20" s="988"/>
      <c r="J20" s="988"/>
      <c r="K20" s="988"/>
      <c r="L20" s="988"/>
      <c r="M20" s="988"/>
      <c r="N20" s="988"/>
      <c r="O20" s="988"/>
      <c r="P20" s="988"/>
      <c r="Q20" s="988"/>
      <c r="R20" s="988"/>
    </row>
    <row r="21" spans="1:40" x14ac:dyDescent="0.25">
      <c r="A21" t="s">
        <v>677</v>
      </c>
      <c r="F21" s="14"/>
      <c r="G21" s="14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40" x14ac:dyDescent="0.25">
      <c r="A22" t="s">
        <v>181</v>
      </c>
      <c r="F22" s="14"/>
      <c r="G22" s="14"/>
      <c r="H22" s="13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40" x14ac:dyDescent="0.25">
      <c r="A23" s="159"/>
      <c r="B23" t="s">
        <v>44</v>
      </c>
    </row>
    <row r="24" spans="1:40" x14ac:dyDescent="0.25">
      <c r="A24" s="157"/>
      <c r="B24" t="s">
        <v>42</v>
      </c>
    </row>
    <row r="25" spans="1:40" x14ac:dyDescent="0.25">
      <c r="A25" s="158"/>
      <c r="B25" t="s">
        <v>43</v>
      </c>
    </row>
    <row r="26" spans="1:40" x14ac:dyDescent="0.25">
      <c r="A26" s="15" t="s">
        <v>28</v>
      </c>
    </row>
  </sheetData>
  <mergeCells count="17">
    <mergeCell ref="Y1:AB1"/>
    <mergeCell ref="AC1:AF1"/>
    <mergeCell ref="AG1:AJ1"/>
    <mergeCell ref="AK1:AN1"/>
    <mergeCell ref="A20:R20"/>
    <mergeCell ref="C14:E14"/>
    <mergeCell ref="P1:R1"/>
    <mergeCell ref="A1:C1"/>
    <mergeCell ref="E1:G1"/>
    <mergeCell ref="H1:I1"/>
    <mergeCell ref="J1:M1"/>
    <mergeCell ref="N1:O1"/>
    <mergeCell ref="C15:E15"/>
    <mergeCell ref="C16:E16"/>
    <mergeCell ref="C12:E12"/>
    <mergeCell ref="C13:E13"/>
    <mergeCell ref="C17:E1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T21"/>
  <sheetViews>
    <sheetView workbookViewId="0">
      <selection activeCell="W5" sqref="W5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75" customWidth="1"/>
    <col min="5" max="18" width="3.75" customWidth="1"/>
    <col min="19" max="20" width="6.25" customWidth="1"/>
    <col min="21" max="24" width="25.875" customWidth="1"/>
    <col min="25" max="40" width="3.75" customWidth="1"/>
    <col min="42" max="42" width="13.125" bestFit="1" customWidth="1"/>
    <col min="45" max="45" width="13.125" bestFit="1" customWidth="1"/>
  </cols>
  <sheetData>
    <row r="1" spans="1:46" ht="14.95" thickBot="1" x14ac:dyDescent="0.3">
      <c r="A1" s="1163" t="s">
        <v>200</v>
      </c>
      <c r="B1" s="1164"/>
      <c r="C1" s="1164"/>
      <c r="D1" s="417"/>
      <c r="E1" s="1165" t="s">
        <v>24</v>
      </c>
      <c r="F1" s="1166"/>
      <c r="G1" s="1167"/>
      <c r="H1" s="1165" t="s">
        <v>23</v>
      </c>
      <c r="I1" s="1167"/>
      <c r="J1" s="1160" t="s">
        <v>6</v>
      </c>
      <c r="K1" s="1161"/>
      <c r="L1" s="1161"/>
      <c r="M1" s="1162"/>
      <c r="N1" s="1160" t="s">
        <v>7</v>
      </c>
      <c r="O1" s="1162"/>
      <c r="P1" s="1160" t="s">
        <v>25</v>
      </c>
      <c r="Q1" s="1161"/>
      <c r="R1" s="1162"/>
      <c r="S1" s="418" t="s">
        <v>8</v>
      </c>
      <c r="T1" s="418" t="s">
        <v>9</v>
      </c>
      <c r="U1" s="419" t="s">
        <v>10</v>
      </c>
      <c r="V1" s="418" t="s">
        <v>11</v>
      </c>
      <c r="W1" s="420" t="s">
        <v>26</v>
      </c>
      <c r="X1" s="421" t="s">
        <v>27</v>
      </c>
      <c r="Y1" s="1156" t="s">
        <v>20</v>
      </c>
      <c r="Z1" s="1044"/>
      <c r="AA1" s="1044"/>
      <c r="AB1" s="1045"/>
      <c r="AC1" s="1156" t="s">
        <v>61</v>
      </c>
      <c r="AD1" s="1044"/>
      <c r="AE1" s="1044"/>
      <c r="AF1" s="1045"/>
      <c r="AG1" s="1156" t="s">
        <v>62</v>
      </c>
      <c r="AH1" s="1044"/>
      <c r="AI1" s="1044"/>
      <c r="AJ1" s="1045"/>
      <c r="AK1" s="1156" t="s">
        <v>63</v>
      </c>
      <c r="AL1" s="1044"/>
      <c r="AM1" s="1044"/>
      <c r="AN1" s="1045"/>
      <c r="AP1" s="886" t="s">
        <v>680</v>
      </c>
      <c r="AQ1" s="868"/>
      <c r="AR1" s="868"/>
      <c r="AS1" s="886" t="s">
        <v>680</v>
      </c>
    </row>
    <row r="2" spans="1:46" ht="14.95" customHeight="1" thickBot="1" x14ac:dyDescent="0.3">
      <c r="A2" s="422" t="s">
        <v>19</v>
      </c>
      <c r="B2" s="423" t="s">
        <v>18</v>
      </c>
      <c r="C2" s="424" t="s">
        <v>17</v>
      </c>
      <c r="D2" s="425" t="s">
        <v>41</v>
      </c>
      <c r="E2" s="425" t="s">
        <v>16</v>
      </c>
      <c r="F2" s="425" t="s">
        <v>4</v>
      </c>
      <c r="G2" s="425" t="s">
        <v>5</v>
      </c>
      <c r="H2" s="426" t="s">
        <v>12</v>
      </c>
      <c r="I2" s="426" t="s">
        <v>3</v>
      </c>
      <c r="J2" s="426" t="s">
        <v>12</v>
      </c>
      <c r="K2" s="426" t="s">
        <v>13</v>
      </c>
      <c r="L2" s="426" t="s">
        <v>2</v>
      </c>
      <c r="M2" s="426" t="s">
        <v>14</v>
      </c>
      <c r="N2" s="426" t="s">
        <v>15</v>
      </c>
      <c r="O2" s="426" t="s">
        <v>16</v>
      </c>
      <c r="P2" s="426" t="s">
        <v>21</v>
      </c>
      <c r="Q2" s="426" t="s">
        <v>22</v>
      </c>
      <c r="R2" s="426" t="s">
        <v>12</v>
      </c>
      <c r="S2" s="427"/>
      <c r="T2" s="428"/>
      <c r="U2" s="429"/>
      <c r="V2" s="427"/>
      <c r="W2" s="430"/>
      <c r="X2" s="431"/>
      <c r="Y2" s="927" t="s">
        <v>0</v>
      </c>
      <c r="Z2" s="927" t="s">
        <v>1</v>
      </c>
      <c r="AA2" s="927" t="s">
        <v>2</v>
      </c>
      <c r="AB2" s="927" t="s">
        <v>3</v>
      </c>
      <c r="AC2" s="927" t="s">
        <v>0</v>
      </c>
      <c r="AD2" s="927" t="s">
        <v>1</v>
      </c>
      <c r="AE2" s="927" t="s">
        <v>2</v>
      </c>
      <c r="AF2" s="927" t="s">
        <v>3</v>
      </c>
      <c r="AG2" s="927" t="s">
        <v>0</v>
      </c>
      <c r="AH2" s="927" t="s">
        <v>1</v>
      </c>
      <c r="AI2" s="927" t="s">
        <v>2</v>
      </c>
      <c r="AJ2" s="927" t="s">
        <v>3</v>
      </c>
      <c r="AK2" s="927" t="s">
        <v>0</v>
      </c>
      <c r="AL2" s="927" t="s">
        <v>1</v>
      </c>
      <c r="AM2" s="927" t="s">
        <v>2</v>
      </c>
      <c r="AN2" s="927" t="s">
        <v>3</v>
      </c>
      <c r="AP2" s="592" t="s">
        <v>112</v>
      </c>
      <c r="AQ2" s="253" t="s">
        <v>987</v>
      </c>
      <c r="AS2" s="672" t="s">
        <v>610</v>
      </c>
      <c r="AT2" s="253" t="s">
        <v>987</v>
      </c>
    </row>
    <row r="3" spans="1:46" ht="14.95" customHeight="1" thickBot="1" x14ac:dyDescent="0.35">
      <c r="A3" s="187">
        <v>43625</v>
      </c>
      <c r="B3" s="178" t="s">
        <v>414</v>
      </c>
      <c r="C3" s="178" t="s">
        <v>107</v>
      </c>
      <c r="D3" s="178" t="s">
        <v>305</v>
      </c>
      <c r="E3" s="179" t="s">
        <v>1</v>
      </c>
      <c r="F3" s="179">
        <v>30</v>
      </c>
      <c r="G3" s="179">
        <v>28</v>
      </c>
      <c r="H3" s="179">
        <v>0</v>
      </c>
      <c r="I3" s="179">
        <v>0</v>
      </c>
      <c r="J3" s="179">
        <v>3</v>
      </c>
      <c r="K3" s="179">
        <v>3</v>
      </c>
      <c r="L3" s="179">
        <v>0</v>
      </c>
      <c r="M3" s="179">
        <v>3</v>
      </c>
      <c r="N3" s="179">
        <v>1</v>
      </c>
      <c r="O3" s="179">
        <v>0</v>
      </c>
      <c r="P3" s="179">
        <v>1</v>
      </c>
      <c r="Q3" s="179">
        <v>1</v>
      </c>
      <c r="R3" s="179">
        <v>4</v>
      </c>
      <c r="S3" s="180">
        <v>2000</v>
      </c>
      <c r="T3" s="396" t="s">
        <v>428</v>
      </c>
      <c r="U3" s="181" t="s">
        <v>427</v>
      </c>
      <c r="V3" s="317" t="s">
        <v>314</v>
      </c>
      <c r="W3" s="319" t="s">
        <v>327</v>
      </c>
      <c r="X3" s="320" t="s">
        <v>417</v>
      </c>
      <c r="Y3" s="184">
        <v>1</v>
      </c>
      <c r="Z3" s="184">
        <v>1</v>
      </c>
      <c r="AA3" s="184">
        <v>0</v>
      </c>
      <c r="AB3" s="185">
        <v>0</v>
      </c>
      <c r="AC3" s="184">
        <v>0</v>
      </c>
      <c r="AD3" s="184">
        <v>0</v>
      </c>
      <c r="AE3" s="184">
        <v>0</v>
      </c>
      <c r="AF3" s="185">
        <v>0</v>
      </c>
      <c r="AG3" s="184">
        <v>1</v>
      </c>
      <c r="AH3" s="184">
        <v>1</v>
      </c>
      <c r="AI3" s="184">
        <v>0</v>
      </c>
      <c r="AJ3" s="185">
        <v>0</v>
      </c>
      <c r="AK3" s="184">
        <v>0</v>
      </c>
      <c r="AL3" s="184">
        <v>0</v>
      </c>
      <c r="AM3" s="184">
        <v>0</v>
      </c>
      <c r="AN3" s="185">
        <v>0</v>
      </c>
      <c r="AP3" s="849" t="s">
        <v>627</v>
      </c>
      <c r="AQ3" s="850">
        <f>Namibiaalltestshistplayed</f>
        <v>158</v>
      </c>
      <c r="AS3" s="849" t="s">
        <v>627</v>
      </c>
      <c r="AT3" s="850">
        <f>NamibiaRWChistplayed</f>
        <v>23</v>
      </c>
    </row>
    <row r="4" spans="1:46" ht="14.95" thickBot="1" x14ac:dyDescent="0.3">
      <c r="A4" s="188">
        <v>43631</v>
      </c>
      <c r="B4" s="189" t="s">
        <v>414</v>
      </c>
      <c r="C4" s="189" t="s">
        <v>105</v>
      </c>
      <c r="D4" s="189" t="s">
        <v>305</v>
      </c>
      <c r="E4" s="190" t="s">
        <v>3</v>
      </c>
      <c r="F4" s="190">
        <v>0</v>
      </c>
      <c r="G4" s="190">
        <v>20</v>
      </c>
      <c r="H4" s="190">
        <v>0</v>
      </c>
      <c r="I4" s="190">
        <v>0</v>
      </c>
      <c r="J4" s="190">
        <v>0</v>
      </c>
      <c r="K4" s="190">
        <v>0</v>
      </c>
      <c r="L4" s="190">
        <v>0</v>
      </c>
      <c r="M4" s="190">
        <v>0</v>
      </c>
      <c r="N4" s="190">
        <v>3</v>
      </c>
      <c r="O4" s="190">
        <v>0</v>
      </c>
      <c r="P4" s="190">
        <v>0</v>
      </c>
      <c r="Q4" s="190">
        <v>0</v>
      </c>
      <c r="R4" s="190">
        <v>2</v>
      </c>
      <c r="S4" s="203">
        <v>1200</v>
      </c>
      <c r="T4" s="406" t="s">
        <v>429</v>
      </c>
      <c r="U4" s="204" t="s">
        <v>308</v>
      </c>
      <c r="V4" s="203" t="s">
        <v>314</v>
      </c>
      <c r="W4" s="191" t="s">
        <v>427</v>
      </c>
      <c r="X4" s="205" t="s">
        <v>417</v>
      </c>
      <c r="Y4" s="206">
        <v>1</v>
      </c>
      <c r="Z4" s="206">
        <v>0</v>
      </c>
      <c r="AA4" s="206">
        <v>0</v>
      </c>
      <c r="AB4" s="207">
        <v>1</v>
      </c>
      <c r="AC4" s="206">
        <v>0</v>
      </c>
      <c r="AD4" s="206">
        <v>0</v>
      </c>
      <c r="AE4" s="206">
        <v>0</v>
      </c>
      <c r="AF4" s="207">
        <v>0</v>
      </c>
      <c r="AG4" s="206">
        <v>0</v>
      </c>
      <c r="AH4" s="206">
        <v>0</v>
      </c>
      <c r="AI4" s="206">
        <v>0</v>
      </c>
      <c r="AJ4" s="207">
        <v>0</v>
      </c>
      <c r="AK4" s="206">
        <v>1</v>
      </c>
      <c r="AL4" s="206">
        <v>0</v>
      </c>
      <c r="AM4" s="206">
        <v>0</v>
      </c>
      <c r="AN4" s="207">
        <v>1</v>
      </c>
      <c r="AP4" s="851" t="s">
        <v>628</v>
      </c>
      <c r="AQ4" s="852">
        <f>Namibiaalltestshistwon</f>
        <v>89</v>
      </c>
      <c r="AS4" s="851" t="s">
        <v>628</v>
      </c>
      <c r="AT4" s="852">
        <f>NamibiaRWChistwon</f>
        <v>0</v>
      </c>
    </row>
    <row r="5" spans="1:46" ht="14.95" thickBot="1" x14ac:dyDescent="0.3">
      <c r="A5" s="188">
        <v>43730</v>
      </c>
      <c r="B5" s="189" t="s">
        <v>158</v>
      </c>
      <c r="C5" s="189" t="s">
        <v>33</v>
      </c>
      <c r="D5" s="189" t="s">
        <v>872</v>
      </c>
      <c r="E5" s="190" t="s">
        <v>3</v>
      </c>
      <c r="F5" s="190">
        <v>22</v>
      </c>
      <c r="G5" s="190">
        <v>47</v>
      </c>
      <c r="H5" s="190">
        <v>0</v>
      </c>
      <c r="I5" s="190">
        <v>0</v>
      </c>
      <c r="J5" s="190">
        <v>3</v>
      </c>
      <c r="K5" s="190">
        <v>3</v>
      </c>
      <c r="L5" s="190">
        <v>0</v>
      </c>
      <c r="M5" s="190">
        <v>1</v>
      </c>
      <c r="N5" s="190">
        <v>0</v>
      </c>
      <c r="O5" s="190">
        <v>0</v>
      </c>
      <c r="P5" s="190">
        <v>1</v>
      </c>
      <c r="Q5" s="190">
        <v>0</v>
      </c>
      <c r="R5" s="190">
        <v>7</v>
      </c>
      <c r="S5" s="203">
        <v>20354</v>
      </c>
      <c r="T5" s="406" t="s">
        <v>772</v>
      </c>
      <c r="U5" s="204" t="s">
        <v>227</v>
      </c>
      <c r="V5" s="203" t="s">
        <v>270</v>
      </c>
      <c r="W5" s="204" t="s">
        <v>219</v>
      </c>
      <c r="X5" s="191" t="s">
        <v>134</v>
      </c>
      <c r="Y5" s="206">
        <v>1</v>
      </c>
      <c r="Z5" s="206">
        <v>0</v>
      </c>
      <c r="AA5" s="206">
        <v>0</v>
      </c>
      <c r="AB5" s="207">
        <v>1</v>
      </c>
      <c r="AC5" s="206">
        <v>0</v>
      </c>
      <c r="AD5" s="206">
        <v>0</v>
      </c>
      <c r="AE5" s="206">
        <v>0</v>
      </c>
      <c r="AF5" s="207">
        <v>0</v>
      </c>
      <c r="AG5" s="206">
        <v>0</v>
      </c>
      <c r="AH5" s="206">
        <v>0</v>
      </c>
      <c r="AI5" s="206">
        <v>0</v>
      </c>
      <c r="AJ5" s="207">
        <v>0</v>
      </c>
      <c r="AK5" s="206">
        <v>1</v>
      </c>
      <c r="AL5" s="206">
        <v>0</v>
      </c>
      <c r="AM5" s="206">
        <v>0</v>
      </c>
      <c r="AN5" s="207">
        <v>1</v>
      </c>
      <c r="AP5" s="851" t="s">
        <v>634</v>
      </c>
      <c r="AQ5" s="852">
        <f>Namibiaalltestshistdrawn</f>
        <v>3</v>
      </c>
      <c r="AS5" s="851" t="s">
        <v>634</v>
      </c>
      <c r="AT5" s="852">
        <f>NamibiaRWChistdrawn</f>
        <v>1</v>
      </c>
    </row>
    <row r="6" spans="1:46" ht="14.95" thickBot="1" x14ac:dyDescent="0.3">
      <c r="A6" s="579">
        <v>43736</v>
      </c>
      <c r="B6" s="513" t="s">
        <v>158</v>
      </c>
      <c r="C6" s="513" t="s">
        <v>679</v>
      </c>
      <c r="D6" s="513" t="s">
        <v>128</v>
      </c>
      <c r="E6" s="190" t="s">
        <v>3</v>
      </c>
      <c r="F6" s="190">
        <v>3</v>
      </c>
      <c r="G6" s="190">
        <v>57</v>
      </c>
      <c r="H6" s="190">
        <v>0</v>
      </c>
      <c r="I6" s="190">
        <v>0</v>
      </c>
      <c r="J6" s="190">
        <v>0</v>
      </c>
      <c r="K6" s="190">
        <v>0</v>
      </c>
      <c r="L6" s="190">
        <v>0</v>
      </c>
      <c r="M6" s="190">
        <v>1</v>
      </c>
      <c r="N6" s="190">
        <v>2</v>
      </c>
      <c r="O6" s="190">
        <v>0</v>
      </c>
      <c r="P6" s="190">
        <v>1</v>
      </c>
      <c r="Q6" s="190">
        <v>0</v>
      </c>
      <c r="R6" s="190">
        <v>9</v>
      </c>
      <c r="S6" s="203">
        <v>36449</v>
      </c>
      <c r="T6" s="406" t="s">
        <v>912</v>
      </c>
      <c r="U6" s="204" t="s">
        <v>136</v>
      </c>
      <c r="V6" s="203" t="s">
        <v>232</v>
      </c>
      <c r="W6" s="191" t="s">
        <v>227</v>
      </c>
      <c r="X6" s="205" t="s">
        <v>129</v>
      </c>
      <c r="Y6" s="206">
        <v>1</v>
      </c>
      <c r="Z6" s="206">
        <v>0</v>
      </c>
      <c r="AA6" s="206">
        <v>0</v>
      </c>
      <c r="AB6" s="207">
        <v>1</v>
      </c>
      <c r="AC6" s="206">
        <v>0</v>
      </c>
      <c r="AD6" s="206">
        <v>0</v>
      </c>
      <c r="AE6" s="206">
        <v>0</v>
      </c>
      <c r="AF6" s="207">
        <v>0</v>
      </c>
      <c r="AG6" s="206">
        <v>0</v>
      </c>
      <c r="AH6" s="206">
        <v>0</v>
      </c>
      <c r="AI6" s="206">
        <v>0</v>
      </c>
      <c r="AJ6" s="207">
        <v>0</v>
      </c>
      <c r="AK6" s="206">
        <v>1</v>
      </c>
      <c r="AL6" s="206">
        <v>0</v>
      </c>
      <c r="AM6" s="206">
        <v>0</v>
      </c>
      <c r="AN6" s="207">
        <v>1</v>
      </c>
      <c r="AP6" s="851" t="s">
        <v>629</v>
      </c>
      <c r="AQ6" s="852">
        <f>Namibiaalltestshistlost</f>
        <v>66</v>
      </c>
      <c r="AS6" s="851" t="s">
        <v>629</v>
      </c>
      <c r="AT6" s="852">
        <f>NamibiaRWChistlost</f>
        <v>22</v>
      </c>
    </row>
    <row r="7" spans="1:46" ht="14.95" customHeight="1" thickBot="1" x14ac:dyDescent="0.3">
      <c r="A7" s="579">
        <v>43744</v>
      </c>
      <c r="B7" s="513" t="s">
        <v>158</v>
      </c>
      <c r="C7" s="513" t="s">
        <v>126</v>
      </c>
      <c r="D7" s="513" t="s">
        <v>160</v>
      </c>
      <c r="E7" s="580" t="s">
        <v>3</v>
      </c>
      <c r="F7" s="580">
        <v>9</v>
      </c>
      <c r="G7" s="190">
        <v>71</v>
      </c>
      <c r="H7" s="190">
        <v>0</v>
      </c>
      <c r="I7" s="190">
        <v>0</v>
      </c>
      <c r="J7" s="190">
        <v>0</v>
      </c>
      <c r="K7" s="190">
        <v>0</v>
      </c>
      <c r="L7" s="190">
        <v>0</v>
      </c>
      <c r="M7" s="190">
        <v>3</v>
      </c>
      <c r="N7" s="190">
        <v>0</v>
      </c>
      <c r="O7" s="190">
        <v>0</v>
      </c>
      <c r="P7" s="190">
        <v>1</v>
      </c>
      <c r="Q7" s="190">
        <v>0</v>
      </c>
      <c r="R7" s="190">
        <v>11</v>
      </c>
      <c r="S7" s="191">
        <v>48354</v>
      </c>
      <c r="T7" s="926" t="s">
        <v>936</v>
      </c>
      <c r="U7" s="191" t="s">
        <v>211</v>
      </c>
      <c r="V7" s="191" t="s">
        <v>131</v>
      </c>
      <c r="W7" s="191" t="s">
        <v>133</v>
      </c>
      <c r="X7" s="191" t="s">
        <v>149</v>
      </c>
      <c r="Y7" s="206">
        <v>1</v>
      </c>
      <c r="Z7" s="206">
        <v>0</v>
      </c>
      <c r="AA7" s="206">
        <v>0</v>
      </c>
      <c r="AB7" s="207">
        <v>1</v>
      </c>
      <c r="AC7" s="206">
        <v>0</v>
      </c>
      <c r="AD7" s="206">
        <v>0</v>
      </c>
      <c r="AE7" s="206">
        <v>0</v>
      </c>
      <c r="AF7" s="207">
        <v>0</v>
      </c>
      <c r="AG7" s="206">
        <v>0</v>
      </c>
      <c r="AH7" s="206">
        <v>0</v>
      </c>
      <c r="AI7" s="206">
        <v>0</v>
      </c>
      <c r="AJ7" s="207">
        <v>0</v>
      </c>
      <c r="AK7" s="206">
        <v>1</v>
      </c>
      <c r="AL7" s="206">
        <v>0</v>
      </c>
      <c r="AM7" s="206">
        <v>0</v>
      </c>
      <c r="AN7" s="207">
        <v>1</v>
      </c>
      <c r="AP7" s="851" t="s">
        <v>635</v>
      </c>
      <c r="AQ7" s="852">
        <f>Namibiaalltestshistptsscored</f>
        <v>4853</v>
      </c>
      <c r="AS7" s="851" t="s">
        <v>635</v>
      </c>
      <c r="AT7" s="852">
        <f>NamibiaRWChistptsscored</f>
        <v>248</v>
      </c>
    </row>
    <row r="8" spans="1:46" ht="14.95" customHeight="1" thickBot="1" x14ac:dyDescent="0.35">
      <c r="A8" s="188">
        <v>43751</v>
      </c>
      <c r="B8" s="189" t="s">
        <v>158</v>
      </c>
      <c r="C8" s="189" t="s">
        <v>40</v>
      </c>
      <c r="D8" s="189" t="s">
        <v>582</v>
      </c>
      <c r="E8" s="190" t="s">
        <v>13</v>
      </c>
      <c r="F8" s="190" t="s">
        <v>108</v>
      </c>
      <c r="G8" s="190" t="s">
        <v>108</v>
      </c>
      <c r="H8" s="190" t="s">
        <v>108</v>
      </c>
      <c r="I8" s="190" t="s">
        <v>108</v>
      </c>
      <c r="J8" s="190" t="s">
        <v>108</v>
      </c>
      <c r="K8" s="190" t="s">
        <v>108</v>
      </c>
      <c r="L8" s="190" t="s">
        <v>108</v>
      </c>
      <c r="M8" s="190" t="s">
        <v>108</v>
      </c>
      <c r="N8" s="190" t="s">
        <v>108</v>
      </c>
      <c r="O8" s="190" t="s">
        <v>108</v>
      </c>
      <c r="P8" s="190" t="s">
        <v>108</v>
      </c>
      <c r="Q8" s="190" t="s">
        <v>108</v>
      </c>
      <c r="R8" s="190" t="s">
        <v>108</v>
      </c>
      <c r="S8" s="191" t="s">
        <v>108</v>
      </c>
      <c r="T8" s="962" t="s">
        <v>108</v>
      </c>
      <c r="U8" s="191" t="s">
        <v>108</v>
      </c>
      <c r="V8" s="191" t="s">
        <v>108</v>
      </c>
      <c r="W8" s="191" t="s">
        <v>108</v>
      </c>
      <c r="X8" s="191" t="s">
        <v>108</v>
      </c>
      <c r="Y8" s="206">
        <v>1</v>
      </c>
      <c r="Z8" s="206">
        <v>0</v>
      </c>
      <c r="AA8" s="206">
        <v>1</v>
      </c>
      <c r="AB8" s="207">
        <v>0</v>
      </c>
      <c r="AC8" s="206">
        <v>0</v>
      </c>
      <c r="AD8" s="206">
        <v>0</v>
      </c>
      <c r="AE8" s="206">
        <v>0</v>
      </c>
      <c r="AF8" s="207">
        <v>0</v>
      </c>
      <c r="AG8" s="206">
        <v>0</v>
      </c>
      <c r="AH8" s="206">
        <v>0</v>
      </c>
      <c r="AI8" s="206">
        <v>0</v>
      </c>
      <c r="AJ8" s="207">
        <v>0</v>
      </c>
      <c r="AK8" s="206">
        <v>1</v>
      </c>
      <c r="AL8" s="206">
        <v>0</v>
      </c>
      <c r="AM8" s="206">
        <v>1</v>
      </c>
      <c r="AN8" s="207">
        <v>0</v>
      </c>
      <c r="AP8" s="851" t="s">
        <v>636</v>
      </c>
      <c r="AQ8" s="852">
        <f>Namibiaalltestshistptscon</f>
        <v>4126</v>
      </c>
      <c r="AS8" s="851" t="s">
        <v>636</v>
      </c>
      <c r="AT8" s="852">
        <f>NamibiaRWChistptsagainst</f>
        <v>1323</v>
      </c>
    </row>
    <row r="9" spans="1:46" ht="14.95" customHeight="1" thickBot="1" x14ac:dyDescent="0.3">
      <c r="A9" s="438"/>
      <c r="B9" s="439"/>
      <c r="C9" s="1157" t="s">
        <v>415</v>
      </c>
      <c r="D9" s="1158"/>
      <c r="E9" s="1159"/>
      <c r="F9" s="575">
        <f>SUM(F3:F4)</f>
        <v>30</v>
      </c>
      <c r="G9" s="575">
        <f t="shared" ref="G9:R9" si="0">SUM(G3:G4)</f>
        <v>48</v>
      </c>
      <c r="H9" s="575">
        <f t="shared" si="0"/>
        <v>0</v>
      </c>
      <c r="I9" s="575">
        <f t="shared" si="0"/>
        <v>0</v>
      </c>
      <c r="J9" s="575">
        <f t="shared" si="0"/>
        <v>3</v>
      </c>
      <c r="K9" s="575">
        <f t="shared" si="0"/>
        <v>3</v>
      </c>
      <c r="L9" s="575">
        <f t="shared" si="0"/>
        <v>0</v>
      </c>
      <c r="M9" s="575">
        <f t="shared" si="0"/>
        <v>3</v>
      </c>
      <c r="N9" s="575">
        <f t="shared" si="0"/>
        <v>4</v>
      </c>
      <c r="O9" s="575">
        <f t="shared" si="0"/>
        <v>0</v>
      </c>
      <c r="P9" s="575">
        <f t="shared" si="0"/>
        <v>1</v>
      </c>
      <c r="Q9" s="575">
        <f t="shared" si="0"/>
        <v>1</v>
      </c>
      <c r="R9" s="575">
        <f t="shared" si="0"/>
        <v>6</v>
      </c>
      <c r="S9" s="569"/>
      <c r="T9" s="569"/>
      <c r="U9" s="569"/>
      <c r="V9" s="569"/>
      <c r="W9" s="570"/>
      <c r="X9" s="571" t="s">
        <v>415</v>
      </c>
      <c r="Y9" s="575">
        <f t="shared" ref="Y9:AN9" si="1">SUM(Y3:Y4)</f>
        <v>2</v>
      </c>
      <c r="Z9" s="575">
        <f t="shared" si="1"/>
        <v>1</v>
      </c>
      <c r="AA9" s="575">
        <f t="shared" si="1"/>
        <v>0</v>
      </c>
      <c r="AB9" s="575">
        <f t="shared" si="1"/>
        <v>1</v>
      </c>
      <c r="AC9" s="576">
        <f t="shared" si="1"/>
        <v>0</v>
      </c>
      <c r="AD9" s="576">
        <f t="shared" si="1"/>
        <v>0</v>
      </c>
      <c r="AE9" s="576">
        <f t="shared" si="1"/>
        <v>0</v>
      </c>
      <c r="AF9" s="576">
        <f t="shared" si="1"/>
        <v>0</v>
      </c>
      <c r="AG9" s="577">
        <f t="shared" si="1"/>
        <v>1</v>
      </c>
      <c r="AH9" s="577">
        <f t="shared" si="1"/>
        <v>1</v>
      </c>
      <c r="AI9" s="577">
        <f t="shared" si="1"/>
        <v>0</v>
      </c>
      <c r="AJ9" s="577">
        <f t="shared" si="1"/>
        <v>0</v>
      </c>
      <c r="AK9" s="578">
        <f t="shared" si="1"/>
        <v>1</v>
      </c>
      <c r="AL9" s="578">
        <f t="shared" si="1"/>
        <v>0</v>
      </c>
      <c r="AM9" s="578">
        <f t="shared" si="1"/>
        <v>0</v>
      </c>
      <c r="AN9" s="578">
        <f t="shared" si="1"/>
        <v>1</v>
      </c>
      <c r="AP9" s="851" t="s">
        <v>623</v>
      </c>
      <c r="AQ9" s="852">
        <f>Namibiaalltestshisttriesscored</f>
        <v>648</v>
      </c>
      <c r="AS9" s="851" t="s">
        <v>623</v>
      </c>
      <c r="AT9" s="852">
        <f>NamibiaRWChisttriesscored</f>
        <v>27</v>
      </c>
    </row>
    <row r="10" spans="1:46" ht="14.95" thickBot="1" x14ac:dyDescent="0.3">
      <c r="A10" s="438"/>
      <c r="B10" s="439"/>
      <c r="C10" s="1040" t="s">
        <v>611</v>
      </c>
      <c r="D10" s="1041"/>
      <c r="E10" s="1042"/>
      <c r="F10" s="685">
        <f t="shared" ref="F10:R10" si="2">SUM(F5:F8)</f>
        <v>34</v>
      </c>
      <c r="G10" s="685">
        <f t="shared" si="2"/>
        <v>175</v>
      </c>
      <c r="H10" s="685">
        <f t="shared" si="2"/>
        <v>0</v>
      </c>
      <c r="I10" s="685">
        <f t="shared" si="2"/>
        <v>0</v>
      </c>
      <c r="J10" s="685">
        <f t="shared" si="2"/>
        <v>3</v>
      </c>
      <c r="K10" s="685">
        <f t="shared" si="2"/>
        <v>3</v>
      </c>
      <c r="L10" s="685">
        <f t="shared" si="2"/>
        <v>0</v>
      </c>
      <c r="M10" s="685">
        <f t="shared" si="2"/>
        <v>5</v>
      </c>
      <c r="N10" s="685">
        <f t="shared" si="2"/>
        <v>2</v>
      </c>
      <c r="O10" s="685">
        <f t="shared" si="2"/>
        <v>0</v>
      </c>
      <c r="P10" s="685">
        <f t="shared" si="2"/>
        <v>3</v>
      </c>
      <c r="Q10" s="685">
        <f t="shared" si="2"/>
        <v>0</v>
      </c>
      <c r="R10" s="685">
        <f t="shared" si="2"/>
        <v>27</v>
      </c>
      <c r="S10" s="686"/>
      <c r="T10" s="686"/>
      <c r="U10" s="686"/>
      <c r="V10" s="686"/>
      <c r="W10" s="687"/>
      <c r="X10" s="688" t="s">
        <v>611</v>
      </c>
      <c r="Y10" s="689">
        <f t="shared" ref="Y10:AN10" si="3">SUM(Y5:Y8)</f>
        <v>4</v>
      </c>
      <c r="Z10" s="690">
        <f t="shared" si="3"/>
        <v>0</v>
      </c>
      <c r="AA10" s="685">
        <f t="shared" si="3"/>
        <v>1</v>
      </c>
      <c r="AB10" s="685">
        <f t="shared" si="3"/>
        <v>3</v>
      </c>
      <c r="AC10" s="691">
        <f t="shared" si="3"/>
        <v>0</v>
      </c>
      <c r="AD10" s="691">
        <f t="shared" si="3"/>
        <v>0</v>
      </c>
      <c r="AE10" s="691">
        <f t="shared" si="3"/>
        <v>0</v>
      </c>
      <c r="AF10" s="691">
        <f t="shared" si="3"/>
        <v>0</v>
      </c>
      <c r="AG10" s="692">
        <f t="shared" si="3"/>
        <v>0</v>
      </c>
      <c r="AH10" s="692">
        <f t="shared" si="3"/>
        <v>0</v>
      </c>
      <c r="AI10" s="692">
        <f t="shared" si="3"/>
        <v>0</v>
      </c>
      <c r="AJ10" s="692">
        <f t="shared" si="3"/>
        <v>0</v>
      </c>
      <c r="AK10" s="693">
        <f t="shared" si="3"/>
        <v>4</v>
      </c>
      <c r="AL10" s="693">
        <f t="shared" si="3"/>
        <v>0</v>
      </c>
      <c r="AM10" s="693">
        <f t="shared" si="3"/>
        <v>1</v>
      </c>
      <c r="AN10" s="693">
        <f t="shared" si="3"/>
        <v>3</v>
      </c>
    </row>
    <row r="11" spans="1:46" ht="14.95" thickBot="1" x14ac:dyDescent="0.3">
      <c r="A11" s="438"/>
      <c r="B11" s="439"/>
      <c r="C11" s="1040" t="s">
        <v>612</v>
      </c>
      <c r="D11" s="1041"/>
      <c r="E11" s="1042"/>
      <c r="F11" s="694" t="s">
        <v>108</v>
      </c>
      <c r="G11" s="685" t="s">
        <v>108</v>
      </c>
      <c r="H11" s="685" t="s">
        <v>108</v>
      </c>
      <c r="I11" s="685" t="s">
        <v>108</v>
      </c>
      <c r="J11" s="685" t="s">
        <v>108</v>
      </c>
      <c r="K11" s="685" t="s">
        <v>108</v>
      </c>
      <c r="L11" s="685" t="s">
        <v>108</v>
      </c>
      <c r="M11" s="685" t="s">
        <v>108</v>
      </c>
      <c r="N11" s="685" t="s">
        <v>108</v>
      </c>
      <c r="O11" s="685" t="s">
        <v>108</v>
      </c>
      <c r="P11" s="685" t="s">
        <v>108</v>
      </c>
      <c r="Q11" s="685" t="s">
        <v>108</v>
      </c>
      <c r="R11" s="685" t="s">
        <v>108</v>
      </c>
      <c r="S11" s="686"/>
      <c r="T11" s="686"/>
      <c r="U11" s="686"/>
      <c r="V11" s="686"/>
      <c r="W11" s="687"/>
      <c r="X11" s="688" t="s">
        <v>612</v>
      </c>
      <c r="Y11" s="689" t="s">
        <v>108</v>
      </c>
      <c r="Z11" s="690" t="s">
        <v>108</v>
      </c>
      <c r="AA11" s="685" t="s">
        <v>108</v>
      </c>
      <c r="AB11" s="685" t="s">
        <v>108</v>
      </c>
      <c r="AC11" s="691" t="s">
        <v>108</v>
      </c>
      <c r="AD11" s="691" t="s">
        <v>108</v>
      </c>
      <c r="AE11" s="691" t="s">
        <v>108</v>
      </c>
      <c r="AF11" s="691" t="s">
        <v>108</v>
      </c>
      <c r="AG11" s="692" t="s">
        <v>108</v>
      </c>
      <c r="AH11" s="692" t="s">
        <v>108</v>
      </c>
      <c r="AI11" s="692" t="s">
        <v>108</v>
      </c>
      <c r="AJ11" s="692" t="s">
        <v>108</v>
      </c>
      <c r="AK11" s="693" t="s">
        <v>108</v>
      </c>
      <c r="AL11" s="693" t="s">
        <v>108</v>
      </c>
      <c r="AM11" s="693" t="s">
        <v>108</v>
      </c>
      <c r="AN11" s="693" t="s">
        <v>108</v>
      </c>
    </row>
    <row r="12" spans="1:46" ht="14.95" thickBot="1" x14ac:dyDescent="0.3">
      <c r="A12" s="438"/>
      <c r="B12" s="439"/>
      <c r="C12" s="1040" t="s">
        <v>613</v>
      </c>
      <c r="D12" s="1041"/>
      <c r="E12" s="1042"/>
      <c r="F12" s="685">
        <f>SUM(F10:F11)</f>
        <v>34</v>
      </c>
      <c r="G12" s="685">
        <f t="shared" ref="G12:R12" si="4">SUM(G10:G11)</f>
        <v>175</v>
      </c>
      <c r="H12" s="685">
        <f t="shared" si="4"/>
        <v>0</v>
      </c>
      <c r="I12" s="685">
        <f t="shared" si="4"/>
        <v>0</v>
      </c>
      <c r="J12" s="685">
        <f t="shared" si="4"/>
        <v>3</v>
      </c>
      <c r="K12" s="685">
        <f t="shared" si="4"/>
        <v>3</v>
      </c>
      <c r="L12" s="685">
        <f t="shared" si="4"/>
        <v>0</v>
      </c>
      <c r="M12" s="685">
        <f t="shared" si="4"/>
        <v>5</v>
      </c>
      <c r="N12" s="685">
        <f t="shared" si="4"/>
        <v>2</v>
      </c>
      <c r="O12" s="685">
        <f t="shared" si="4"/>
        <v>0</v>
      </c>
      <c r="P12" s="685">
        <f t="shared" si="4"/>
        <v>3</v>
      </c>
      <c r="Q12" s="685">
        <f t="shared" si="4"/>
        <v>0</v>
      </c>
      <c r="R12" s="685">
        <f t="shared" si="4"/>
        <v>27</v>
      </c>
      <c r="S12" s="686"/>
      <c r="T12" s="686"/>
      <c r="U12" s="686"/>
      <c r="V12" s="686"/>
      <c r="W12" s="687"/>
      <c r="X12" s="688" t="s">
        <v>613</v>
      </c>
      <c r="Y12" s="689">
        <f t="shared" ref="Y12:AN12" si="5">SUM(Y10:Y11)</f>
        <v>4</v>
      </c>
      <c r="Z12" s="690">
        <f t="shared" si="5"/>
        <v>0</v>
      </c>
      <c r="AA12" s="685">
        <f t="shared" si="5"/>
        <v>1</v>
      </c>
      <c r="AB12" s="685">
        <f t="shared" si="5"/>
        <v>3</v>
      </c>
      <c r="AC12" s="691">
        <f t="shared" si="5"/>
        <v>0</v>
      </c>
      <c r="AD12" s="691">
        <f t="shared" si="5"/>
        <v>0</v>
      </c>
      <c r="AE12" s="691">
        <f t="shared" si="5"/>
        <v>0</v>
      </c>
      <c r="AF12" s="691">
        <f t="shared" si="5"/>
        <v>0</v>
      </c>
      <c r="AG12" s="692">
        <f t="shared" si="5"/>
        <v>0</v>
      </c>
      <c r="AH12" s="692">
        <f t="shared" si="5"/>
        <v>0</v>
      </c>
      <c r="AI12" s="692">
        <f t="shared" si="5"/>
        <v>0</v>
      </c>
      <c r="AJ12" s="692">
        <f t="shared" si="5"/>
        <v>0</v>
      </c>
      <c r="AK12" s="693">
        <f t="shared" si="5"/>
        <v>4</v>
      </c>
      <c r="AL12" s="693">
        <f t="shared" si="5"/>
        <v>0</v>
      </c>
      <c r="AM12" s="693">
        <f t="shared" si="5"/>
        <v>1</v>
      </c>
      <c r="AN12" s="693">
        <f t="shared" si="5"/>
        <v>3</v>
      </c>
    </row>
    <row r="13" spans="1:46" ht="15.8" customHeight="1" thickBot="1" x14ac:dyDescent="0.3">
      <c r="A13" s="438"/>
      <c r="B13" s="439"/>
      <c r="C13" s="1034" t="s">
        <v>112</v>
      </c>
      <c r="D13" s="1035"/>
      <c r="E13" s="1036"/>
      <c r="F13" s="453">
        <f t="shared" ref="F13:R13" si="6">SUM(F3:F8)</f>
        <v>64</v>
      </c>
      <c r="G13" s="453">
        <f t="shared" si="6"/>
        <v>223</v>
      </c>
      <c r="H13" s="453">
        <f t="shared" si="6"/>
        <v>0</v>
      </c>
      <c r="I13" s="453">
        <f t="shared" si="6"/>
        <v>0</v>
      </c>
      <c r="J13" s="453">
        <f t="shared" si="6"/>
        <v>6</v>
      </c>
      <c r="K13" s="453">
        <f t="shared" si="6"/>
        <v>6</v>
      </c>
      <c r="L13" s="453">
        <f t="shared" si="6"/>
        <v>0</v>
      </c>
      <c r="M13" s="453">
        <f t="shared" si="6"/>
        <v>8</v>
      </c>
      <c r="N13" s="453">
        <f t="shared" si="6"/>
        <v>6</v>
      </c>
      <c r="O13" s="453">
        <f t="shared" si="6"/>
        <v>0</v>
      </c>
      <c r="P13" s="453">
        <f t="shared" si="6"/>
        <v>4</v>
      </c>
      <c r="Q13" s="453">
        <f t="shared" si="6"/>
        <v>1</v>
      </c>
      <c r="R13" s="453">
        <f t="shared" si="6"/>
        <v>33</v>
      </c>
      <c r="S13" s="454"/>
      <c r="T13" s="454"/>
      <c r="U13" s="454"/>
      <c r="V13" s="454"/>
      <c r="W13" s="455"/>
      <c r="X13" s="462" t="s">
        <v>112</v>
      </c>
      <c r="Y13" s="453">
        <f t="shared" ref="Y13:AN13" si="7">SUM(Y3:Y8)</f>
        <v>6</v>
      </c>
      <c r="Z13" s="453">
        <f t="shared" si="7"/>
        <v>1</v>
      </c>
      <c r="AA13" s="453">
        <f t="shared" si="7"/>
        <v>1</v>
      </c>
      <c r="AB13" s="453">
        <f t="shared" si="7"/>
        <v>4</v>
      </c>
      <c r="AC13" s="456">
        <f t="shared" si="7"/>
        <v>0</v>
      </c>
      <c r="AD13" s="456">
        <f t="shared" si="7"/>
        <v>0</v>
      </c>
      <c r="AE13" s="456">
        <f t="shared" si="7"/>
        <v>0</v>
      </c>
      <c r="AF13" s="456">
        <f t="shared" si="7"/>
        <v>0</v>
      </c>
      <c r="AG13" s="457">
        <f t="shared" si="7"/>
        <v>1</v>
      </c>
      <c r="AH13" s="457">
        <f t="shared" si="7"/>
        <v>1</v>
      </c>
      <c r="AI13" s="457">
        <f t="shared" si="7"/>
        <v>0</v>
      </c>
      <c r="AJ13" s="457">
        <f t="shared" si="7"/>
        <v>0</v>
      </c>
      <c r="AK13" s="458">
        <f t="shared" si="7"/>
        <v>5</v>
      </c>
      <c r="AL13" s="458">
        <f t="shared" si="7"/>
        <v>0</v>
      </c>
      <c r="AM13" s="458">
        <f t="shared" si="7"/>
        <v>1</v>
      </c>
      <c r="AN13" s="458">
        <f t="shared" si="7"/>
        <v>4</v>
      </c>
    </row>
    <row r="14" spans="1:46" x14ac:dyDescent="0.25">
      <c r="A14" s="931" t="s">
        <v>874</v>
      </c>
      <c r="E14" s="885"/>
      <c r="F14" s="885"/>
      <c r="G14" s="885"/>
      <c r="H14" s="885"/>
      <c r="I14" s="885"/>
      <c r="J14" s="885"/>
      <c r="K14" s="885"/>
      <c r="L14" s="885"/>
      <c r="M14" s="885"/>
      <c r="N14" s="885"/>
      <c r="O14" s="885"/>
      <c r="P14" s="885"/>
      <c r="Q14" s="885"/>
      <c r="R14" s="885"/>
    </row>
    <row r="15" spans="1:46" x14ac:dyDescent="0.25">
      <c r="A15" s="894" t="s">
        <v>195</v>
      </c>
      <c r="F15" s="14"/>
      <c r="G15" s="14"/>
      <c r="H15" s="13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46" x14ac:dyDescent="0.25">
      <c r="A16" s="1155" t="s">
        <v>683</v>
      </c>
      <c r="B16" s="988"/>
      <c r="C16" s="988"/>
      <c r="D16" s="988"/>
      <c r="E16" s="988"/>
      <c r="F16" s="988"/>
      <c r="G16" s="988"/>
      <c r="H16" s="988"/>
      <c r="I16" s="988"/>
      <c r="J16" s="988"/>
      <c r="K16" s="988"/>
      <c r="L16" s="988"/>
      <c r="M16" s="988"/>
      <c r="N16" s="988"/>
      <c r="O16" s="988"/>
      <c r="P16" s="988"/>
      <c r="Q16" s="988"/>
      <c r="R16" s="988"/>
      <c r="S16" s="885"/>
      <c r="T16" s="885"/>
    </row>
    <row r="17" spans="1:18" x14ac:dyDescent="0.25">
      <c r="A17" s="567" t="s">
        <v>420</v>
      </c>
      <c r="F17" s="14"/>
      <c r="G17" s="14"/>
      <c r="H17" s="13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x14ac:dyDescent="0.25">
      <c r="A18" s="159"/>
      <c r="B18" t="s">
        <v>44</v>
      </c>
    </row>
    <row r="19" spans="1:18" x14ac:dyDescent="0.25">
      <c r="A19" s="157"/>
      <c r="B19" t="s">
        <v>42</v>
      </c>
    </row>
    <row r="20" spans="1:18" x14ac:dyDescent="0.25">
      <c r="A20" s="158"/>
      <c r="B20" t="s">
        <v>43</v>
      </c>
    </row>
    <row r="21" spans="1:18" x14ac:dyDescent="0.25">
      <c r="A21" s="15" t="s">
        <v>28</v>
      </c>
    </row>
  </sheetData>
  <mergeCells count="16">
    <mergeCell ref="A16:R16"/>
    <mergeCell ref="AK1:AN1"/>
    <mergeCell ref="C10:E10"/>
    <mergeCell ref="C13:E13"/>
    <mergeCell ref="C9:E9"/>
    <mergeCell ref="P1:R1"/>
    <mergeCell ref="A1:C1"/>
    <mergeCell ref="E1:G1"/>
    <mergeCell ref="H1:I1"/>
    <mergeCell ref="J1:M1"/>
    <mergeCell ref="N1:O1"/>
    <mergeCell ref="C11:E11"/>
    <mergeCell ref="C12:E12"/>
    <mergeCell ref="Y1:AB1"/>
    <mergeCell ref="AC1:AF1"/>
    <mergeCell ref="AG1:A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2"/>
  <sheetViews>
    <sheetView topLeftCell="A199" workbookViewId="0">
      <selection activeCell="I215" sqref="I215"/>
    </sheetView>
  </sheetViews>
  <sheetFormatPr defaultRowHeight="14.3" x14ac:dyDescent="0.25"/>
  <cols>
    <col min="1" max="1" width="12.875" bestFit="1" customWidth="1"/>
    <col min="2" max="2" width="4.75" customWidth="1"/>
    <col min="3" max="3" width="4" bestFit="1" customWidth="1"/>
    <col min="4" max="4" width="12.875" bestFit="1" customWidth="1"/>
    <col min="5" max="6" width="3" bestFit="1" customWidth="1"/>
    <col min="7" max="7" width="2" bestFit="1" customWidth="1"/>
    <col min="8" max="8" width="46.75" bestFit="1" customWidth="1"/>
    <col min="9" max="9" width="35.75" bestFit="1" customWidth="1"/>
    <col min="10" max="11" width="10.125" bestFit="1" customWidth="1"/>
  </cols>
  <sheetData>
    <row r="1" spans="1:11" x14ac:dyDescent="0.25">
      <c r="E1" s="984" t="s">
        <v>9</v>
      </c>
      <c r="F1" s="984"/>
      <c r="G1" s="984"/>
      <c r="H1" s="549"/>
    </row>
    <row r="2" spans="1:11" x14ac:dyDescent="0.25">
      <c r="A2" s="416" t="s">
        <v>34</v>
      </c>
      <c r="B2" s="489">
        <v>19</v>
      </c>
      <c r="C2" s="517">
        <v>24</v>
      </c>
      <c r="D2" s="516" t="s">
        <v>32</v>
      </c>
      <c r="E2" s="490">
        <v>16</v>
      </c>
      <c r="F2" s="490">
        <v>0</v>
      </c>
      <c r="G2" s="517"/>
      <c r="H2" s="516" t="s">
        <v>196</v>
      </c>
      <c r="I2" t="s">
        <v>291</v>
      </c>
      <c r="J2" s="416">
        <v>43497</v>
      </c>
      <c r="K2" s="416"/>
    </row>
    <row r="3" spans="1:11" x14ac:dyDescent="0.25">
      <c r="A3" s="416" t="s">
        <v>35</v>
      </c>
      <c r="B3" s="489">
        <v>33</v>
      </c>
      <c r="C3" s="517">
        <v>20</v>
      </c>
      <c r="D3" s="516" t="s">
        <v>33</v>
      </c>
      <c r="E3" s="490">
        <v>12</v>
      </c>
      <c r="F3" s="490">
        <v>3</v>
      </c>
      <c r="G3" s="517"/>
      <c r="H3" s="516" t="s">
        <v>196</v>
      </c>
      <c r="I3" t="s">
        <v>292</v>
      </c>
      <c r="J3" s="416">
        <v>43498</v>
      </c>
      <c r="K3" s="416"/>
    </row>
    <row r="4" spans="1:11" x14ac:dyDescent="0.25">
      <c r="A4" s="416" t="s">
        <v>39</v>
      </c>
      <c r="B4" s="489">
        <v>20</v>
      </c>
      <c r="C4" s="517">
        <v>32</v>
      </c>
      <c r="D4" s="516" t="s">
        <v>30</v>
      </c>
      <c r="E4" s="490">
        <v>10</v>
      </c>
      <c r="F4" s="490">
        <v>17</v>
      </c>
      <c r="G4" s="517"/>
      <c r="H4" s="516" t="s">
        <v>197</v>
      </c>
      <c r="I4" s="416" t="s">
        <v>290</v>
      </c>
      <c r="J4" s="416">
        <v>43498</v>
      </c>
      <c r="K4" s="416"/>
    </row>
    <row r="5" spans="1:11" x14ac:dyDescent="0.25">
      <c r="A5" s="416" t="s">
        <v>237</v>
      </c>
      <c r="B5" s="489">
        <v>8</v>
      </c>
      <c r="C5" s="517">
        <v>71</v>
      </c>
      <c r="D5" s="516" t="s">
        <v>60</v>
      </c>
      <c r="E5" s="490">
        <v>3</v>
      </c>
      <c r="F5" s="490">
        <v>38</v>
      </c>
      <c r="G5" s="517"/>
      <c r="H5" s="516" t="s">
        <v>238</v>
      </c>
      <c r="I5" s="416" t="s">
        <v>239</v>
      </c>
      <c r="J5" s="416">
        <v>43498</v>
      </c>
      <c r="K5" s="416"/>
    </row>
    <row r="6" spans="1:11" x14ac:dyDescent="0.25">
      <c r="A6" s="416" t="s">
        <v>107</v>
      </c>
      <c r="B6" s="489">
        <v>20</v>
      </c>
      <c r="C6" s="517">
        <v>17</v>
      </c>
      <c r="D6" s="516" t="s">
        <v>40</v>
      </c>
      <c r="E6" s="490">
        <v>8</v>
      </c>
      <c r="F6" s="490">
        <v>5</v>
      </c>
      <c r="G6" s="517"/>
      <c r="H6" s="516" t="s">
        <v>238</v>
      </c>
      <c r="I6" s="416" t="s">
        <v>240</v>
      </c>
      <c r="J6" s="416">
        <v>43498</v>
      </c>
      <c r="K6" s="416"/>
    </row>
    <row r="7" spans="1:11" x14ac:dyDescent="0.25">
      <c r="A7" s="416" t="s">
        <v>107</v>
      </c>
      <c r="B7" s="489">
        <v>20</v>
      </c>
      <c r="C7" s="517">
        <v>5</v>
      </c>
      <c r="D7" s="516" t="s">
        <v>237</v>
      </c>
      <c r="E7" s="490">
        <v>10</v>
      </c>
      <c r="F7" s="490">
        <v>0</v>
      </c>
      <c r="G7" s="517"/>
      <c r="H7" s="516" t="s">
        <v>238</v>
      </c>
      <c r="I7" s="416" t="s">
        <v>240</v>
      </c>
      <c r="J7" s="416">
        <v>43504</v>
      </c>
      <c r="K7" s="416"/>
    </row>
    <row r="8" spans="1:11" x14ac:dyDescent="0.25">
      <c r="A8" s="416" t="s">
        <v>241</v>
      </c>
      <c r="B8" s="489">
        <v>29</v>
      </c>
      <c r="C8" s="517">
        <v>22</v>
      </c>
      <c r="D8" s="516" t="s">
        <v>242</v>
      </c>
      <c r="E8" s="490">
        <v>12</v>
      </c>
      <c r="F8" s="490">
        <v>7</v>
      </c>
      <c r="G8" s="517"/>
      <c r="H8" s="516" t="s">
        <v>243</v>
      </c>
      <c r="I8" s="416"/>
      <c r="J8" s="416">
        <v>43505</v>
      </c>
      <c r="K8" s="416"/>
    </row>
    <row r="9" spans="1:11" x14ac:dyDescent="0.25">
      <c r="A9" t="s">
        <v>244</v>
      </c>
      <c r="B9" s="489">
        <v>9</v>
      </c>
      <c r="C9" s="517">
        <v>18</v>
      </c>
      <c r="D9" s="516" t="s">
        <v>38</v>
      </c>
      <c r="E9" s="490">
        <v>6</v>
      </c>
      <c r="F9" s="490">
        <v>3</v>
      </c>
      <c r="G9" s="517"/>
      <c r="H9" s="516" t="s">
        <v>243</v>
      </c>
      <c r="I9" t="s">
        <v>245</v>
      </c>
      <c r="J9" s="416">
        <v>43505</v>
      </c>
      <c r="K9" s="416"/>
    </row>
    <row r="10" spans="1:11" x14ac:dyDescent="0.25">
      <c r="A10" t="s">
        <v>35</v>
      </c>
      <c r="B10" s="489">
        <v>13</v>
      </c>
      <c r="C10" s="517">
        <v>22</v>
      </c>
      <c r="D10" s="516" t="s">
        <v>39</v>
      </c>
      <c r="E10" s="490">
        <v>10</v>
      </c>
      <c r="F10" s="490">
        <v>12</v>
      </c>
      <c r="G10" s="517"/>
      <c r="H10" s="516" t="s">
        <v>246</v>
      </c>
      <c r="I10" t="s">
        <v>292</v>
      </c>
      <c r="J10" s="416">
        <v>43505</v>
      </c>
      <c r="K10" s="416"/>
    </row>
    <row r="11" spans="1:11" x14ac:dyDescent="0.25">
      <c r="A11" t="s">
        <v>33</v>
      </c>
      <c r="B11" s="489">
        <v>15</v>
      </c>
      <c r="C11" s="517">
        <v>26</v>
      </c>
      <c r="D11" s="516" t="s">
        <v>32</v>
      </c>
      <c r="E11" s="490">
        <v>7</v>
      </c>
      <c r="F11" s="490">
        <v>12</v>
      </c>
      <c r="G11" s="517"/>
      <c r="H11" s="516" t="s">
        <v>196</v>
      </c>
      <c r="I11" t="s">
        <v>288</v>
      </c>
      <c r="J11" s="416">
        <v>43505</v>
      </c>
      <c r="K11" s="416"/>
    </row>
    <row r="12" spans="1:11" x14ac:dyDescent="0.25">
      <c r="A12" t="s">
        <v>247</v>
      </c>
      <c r="B12" s="489">
        <v>58</v>
      </c>
      <c r="C12" s="517">
        <v>14</v>
      </c>
      <c r="D12" s="516" t="s">
        <v>248</v>
      </c>
      <c r="E12" s="490">
        <v>29</v>
      </c>
      <c r="F12" s="490">
        <v>0</v>
      </c>
      <c r="G12" s="517"/>
      <c r="H12" s="516" t="s">
        <v>249</v>
      </c>
      <c r="I12" t="s">
        <v>250</v>
      </c>
      <c r="J12" s="416">
        <v>43505</v>
      </c>
      <c r="K12" s="416"/>
    </row>
    <row r="13" spans="1:11" x14ac:dyDescent="0.25">
      <c r="A13" t="s">
        <v>251</v>
      </c>
      <c r="B13" s="489">
        <v>18</v>
      </c>
      <c r="C13" s="517">
        <v>10</v>
      </c>
      <c r="D13" s="516" t="s">
        <v>40</v>
      </c>
      <c r="E13" s="490">
        <v>9</v>
      </c>
      <c r="F13" s="490">
        <v>10</v>
      </c>
      <c r="G13" s="517"/>
      <c r="H13" s="516" t="s">
        <v>238</v>
      </c>
      <c r="I13" t="s">
        <v>252</v>
      </c>
      <c r="J13" s="416">
        <v>43505</v>
      </c>
      <c r="K13" s="416"/>
    </row>
    <row r="14" spans="1:11" x14ac:dyDescent="0.25">
      <c r="A14" t="s">
        <v>253</v>
      </c>
      <c r="B14" s="489">
        <v>16</v>
      </c>
      <c r="C14" s="517">
        <v>14</v>
      </c>
      <c r="D14" s="516" t="s">
        <v>105</v>
      </c>
      <c r="E14" s="490">
        <v>7</v>
      </c>
      <c r="F14" s="490">
        <v>14</v>
      </c>
      <c r="G14" s="517"/>
      <c r="H14" s="516" t="s">
        <v>243</v>
      </c>
      <c r="I14" t="s">
        <v>254</v>
      </c>
      <c r="J14" s="416">
        <v>43506</v>
      </c>
      <c r="K14" s="416"/>
    </row>
    <row r="15" spans="1:11" x14ac:dyDescent="0.25">
      <c r="A15" t="s">
        <v>30</v>
      </c>
      <c r="B15" s="489">
        <v>44</v>
      </c>
      <c r="C15" s="517">
        <v>8</v>
      </c>
      <c r="D15" s="516" t="s">
        <v>34</v>
      </c>
      <c r="E15" s="490">
        <v>30</v>
      </c>
      <c r="F15" s="490">
        <v>8</v>
      </c>
      <c r="G15" s="517"/>
      <c r="H15" s="516" t="s">
        <v>196</v>
      </c>
      <c r="I15" t="s">
        <v>293</v>
      </c>
      <c r="J15" s="416">
        <v>43506</v>
      </c>
      <c r="K15" s="416"/>
    </row>
    <row r="16" spans="1:11" x14ac:dyDescent="0.25">
      <c r="A16" t="s">
        <v>244</v>
      </c>
      <c r="B16" s="489">
        <v>38</v>
      </c>
      <c r="C16" s="517">
        <v>10</v>
      </c>
      <c r="D16" s="516" t="s">
        <v>242</v>
      </c>
      <c r="E16" s="490">
        <v>17</v>
      </c>
      <c r="F16" s="490">
        <v>3</v>
      </c>
      <c r="G16" s="517"/>
      <c r="H16" s="516" t="s">
        <v>243</v>
      </c>
      <c r="I16" t="s">
        <v>255</v>
      </c>
      <c r="J16" s="416">
        <v>43512</v>
      </c>
      <c r="K16" s="416"/>
    </row>
    <row r="17" spans="1:11" x14ac:dyDescent="0.25">
      <c r="A17" t="s">
        <v>105</v>
      </c>
      <c r="B17" s="489">
        <v>64</v>
      </c>
      <c r="C17" s="517">
        <v>7</v>
      </c>
      <c r="D17" s="516" t="s">
        <v>241</v>
      </c>
      <c r="E17" s="490">
        <v>33</v>
      </c>
      <c r="F17" s="490">
        <v>7</v>
      </c>
      <c r="G17" s="517"/>
      <c r="H17" s="516" t="s">
        <v>243</v>
      </c>
      <c r="I17" t="s">
        <v>256</v>
      </c>
      <c r="J17" s="416">
        <v>43512</v>
      </c>
      <c r="K17" s="416"/>
    </row>
    <row r="18" spans="1:11" x14ac:dyDescent="0.25">
      <c r="A18" t="s">
        <v>257</v>
      </c>
      <c r="B18" s="489">
        <v>65</v>
      </c>
      <c r="C18" s="517">
        <v>5</v>
      </c>
      <c r="D18" s="516" t="s">
        <v>258</v>
      </c>
      <c r="E18" s="490" t="s">
        <v>259</v>
      </c>
      <c r="F18" s="490" t="s">
        <v>259</v>
      </c>
      <c r="G18" s="517"/>
      <c r="H18" s="516" t="s">
        <v>260</v>
      </c>
      <c r="I18" t="s">
        <v>261</v>
      </c>
      <c r="J18" s="416">
        <v>43512</v>
      </c>
      <c r="K18" s="416"/>
    </row>
    <row r="19" spans="1:11" x14ac:dyDescent="0.25">
      <c r="A19" t="s">
        <v>38</v>
      </c>
      <c r="B19" s="489">
        <v>24</v>
      </c>
      <c r="C19" s="517">
        <v>10</v>
      </c>
      <c r="D19" s="516" t="s">
        <v>253</v>
      </c>
      <c r="E19" s="490">
        <v>12</v>
      </c>
      <c r="F19" s="490">
        <v>5</v>
      </c>
      <c r="G19" s="517"/>
      <c r="H19" s="516" t="s">
        <v>243</v>
      </c>
      <c r="I19" t="s">
        <v>262</v>
      </c>
      <c r="J19" s="416">
        <v>43513</v>
      </c>
      <c r="K19" s="416"/>
    </row>
    <row r="20" spans="1:11" x14ac:dyDescent="0.25">
      <c r="A20" t="s">
        <v>40</v>
      </c>
      <c r="B20" s="489">
        <v>56</v>
      </c>
      <c r="C20" s="517">
        <v>0</v>
      </c>
      <c r="D20" s="516" t="s">
        <v>237</v>
      </c>
      <c r="E20" s="490">
        <v>31</v>
      </c>
      <c r="F20" s="490">
        <v>0</v>
      </c>
      <c r="G20" s="517"/>
      <c r="H20" s="516" t="s">
        <v>238</v>
      </c>
      <c r="I20" t="s">
        <v>263</v>
      </c>
      <c r="J20" s="416">
        <v>43518</v>
      </c>
      <c r="K20" s="416"/>
    </row>
    <row r="21" spans="1:11" x14ac:dyDescent="0.25">
      <c r="A21" t="s">
        <v>34</v>
      </c>
      <c r="B21" s="489">
        <v>27</v>
      </c>
      <c r="C21" s="517">
        <v>10</v>
      </c>
      <c r="D21" s="516" t="s">
        <v>35</v>
      </c>
      <c r="E21" s="490">
        <v>10</v>
      </c>
      <c r="F21" s="490">
        <v>3</v>
      </c>
      <c r="G21" s="517"/>
      <c r="H21" s="516" t="s">
        <v>264</v>
      </c>
      <c r="I21" t="s">
        <v>291</v>
      </c>
      <c r="J21" s="416">
        <v>43519</v>
      </c>
      <c r="K21" s="416"/>
    </row>
    <row r="22" spans="1:11" x14ac:dyDescent="0.25">
      <c r="A22" t="s">
        <v>32</v>
      </c>
      <c r="B22" s="489">
        <v>21</v>
      </c>
      <c r="C22" s="517">
        <v>13</v>
      </c>
      <c r="D22" s="516" t="s">
        <v>30</v>
      </c>
      <c r="E22" s="490">
        <v>3</v>
      </c>
      <c r="F22" s="490">
        <v>10</v>
      </c>
      <c r="G22" s="517"/>
      <c r="H22" s="516" t="s">
        <v>196</v>
      </c>
      <c r="I22" t="s">
        <v>289</v>
      </c>
      <c r="J22" s="416">
        <v>43519</v>
      </c>
      <c r="K22" s="416"/>
    </row>
    <row r="23" spans="1:11" x14ac:dyDescent="0.25">
      <c r="A23" t="s">
        <v>60</v>
      </c>
      <c r="B23" s="489">
        <v>33</v>
      </c>
      <c r="C23" s="517">
        <v>28</v>
      </c>
      <c r="D23" s="516" t="s">
        <v>251</v>
      </c>
      <c r="E23" s="490">
        <v>25</v>
      </c>
      <c r="F23" s="490">
        <v>13</v>
      </c>
      <c r="G23" s="517"/>
      <c r="H23" s="516" t="s">
        <v>238</v>
      </c>
      <c r="I23" t="s">
        <v>847</v>
      </c>
      <c r="J23" s="416">
        <v>43519</v>
      </c>
      <c r="K23" s="416"/>
    </row>
    <row r="24" spans="1:11" x14ac:dyDescent="0.25">
      <c r="A24" t="s">
        <v>33</v>
      </c>
      <c r="B24" s="489">
        <v>16</v>
      </c>
      <c r="C24" s="517">
        <v>26</v>
      </c>
      <c r="D24" s="516" t="s">
        <v>39</v>
      </c>
      <c r="E24" s="490">
        <v>16</v>
      </c>
      <c r="F24" s="490">
        <v>12</v>
      </c>
      <c r="G24" s="517"/>
      <c r="H24" s="516" t="s">
        <v>196</v>
      </c>
      <c r="I24" t="s">
        <v>288</v>
      </c>
      <c r="J24" s="416">
        <v>43520</v>
      </c>
      <c r="K24" s="416"/>
    </row>
    <row r="25" spans="1:11" x14ac:dyDescent="0.25">
      <c r="A25" t="s">
        <v>242</v>
      </c>
      <c r="B25" s="489">
        <v>18</v>
      </c>
      <c r="C25" s="517">
        <v>26</v>
      </c>
      <c r="D25" s="516" t="s">
        <v>105</v>
      </c>
      <c r="E25" s="490">
        <v>6</v>
      </c>
      <c r="F25" s="490">
        <v>12</v>
      </c>
      <c r="G25" s="517"/>
      <c r="H25" s="516" t="s">
        <v>243</v>
      </c>
      <c r="I25" t="s">
        <v>265</v>
      </c>
      <c r="J25" s="416">
        <v>43526</v>
      </c>
      <c r="K25" s="416"/>
    </row>
    <row r="26" spans="1:11" x14ac:dyDescent="0.25">
      <c r="A26" t="s">
        <v>241</v>
      </c>
      <c r="B26" s="489">
        <v>6</v>
      </c>
      <c r="C26" s="517">
        <v>46</v>
      </c>
      <c r="D26" s="516" t="s">
        <v>38</v>
      </c>
      <c r="E26" s="490">
        <v>3</v>
      </c>
      <c r="F26" s="490">
        <v>22</v>
      </c>
      <c r="G26" s="517"/>
      <c r="H26" s="516" t="s">
        <v>243</v>
      </c>
      <c r="I26" t="s">
        <v>266</v>
      </c>
      <c r="J26" s="416">
        <v>43526</v>
      </c>
      <c r="K26" s="416"/>
    </row>
    <row r="27" spans="1:11" x14ac:dyDescent="0.25">
      <c r="A27" t="s">
        <v>251</v>
      </c>
      <c r="B27" s="489">
        <v>15</v>
      </c>
      <c r="C27" s="517">
        <v>10</v>
      </c>
      <c r="D27" s="516" t="s">
        <v>237</v>
      </c>
      <c r="E27" s="490">
        <v>9</v>
      </c>
      <c r="F27" s="490">
        <v>3</v>
      </c>
      <c r="G27" s="517"/>
      <c r="H27" s="516" t="s">
        <v>238</v>
      </c>
      <c r="I27" t="s">
        <v>267</v>
      </c>
      <c r="J27" s="416">
        <v>43526</v>
      </c>
      <c r="K27" s="416"/>
    </row>
    <row r="28" spans="1:11" x14ac:dyDescent="0.25">
      <c r="A28" t="s">
        <v>60</v>
      </c>
      <c r="B28" s="489">
        <v>25</v>
      </c>
      <c r="C28" s="517">
        <v>32</v>
      </c>
      <c r="D28" s="516" t="s">
        <v>107</v>
      </c>
      <c r="E28" s="490">
        <v>13</v>
      </c>
      <c r="F28" s="490">
        <v>19</v>
      </c>
      <c r="G28" s="517"/>
      <c r="H28" s="516" t="s">
        <v>238</v>
      </c>
      <c r="I28" t="s">
        <v>268</v>
      </c>
      <c r="J28" s="416">
        <v>43526</v>
      </c>
      <c r="K28" s="416"/>
    </row>
    <row r="29" spans="1:11" x14ac:dyDescent="0.25">
      <c r="A29" t="s">
        <v>253</v>
      </c>
      <c r="B29" s="489">
        <v>21</v>
      </c>
      <c r="C29" s="517">
        <v>18</v>
      </c>
      <c r="D29" s="516" t="s">
        <v>244</v>
      </c>
      <c r="E29" s="490">
        <v>14</v>
      </c>
      <c r="F29" s="490">
        <v>13</v>
      </c>
      <c r="G29" s="517"/>
      <c r="H29" s="516" t="s">
        <v>243</v>
      </c>
      <c r="I29" t="s">
        <v>254</v>
      </c>
      <c r="J29" s="416">
        <v>43527</v>
      </c>
      <c r="K29" s="416"/>
    </row>
    <row r="30" spans="1:11" x14ac:dyDescent="0.25">
      <c r="A30" t="s">
        <v>60</v>
      </c>
      <c r="B30" s="489">
        <v>30</v>
      </c>
      <c r="C30" s="517">
        <v>25</v>
      </c>
      <c r="D30" s="516" t="s">
        <v>40</v>
      </c>
      <c r="E30" s="490">
        <v>15</v>
      </c>
      <c r="F30" s="490">
        <v>12</v>
      </c>
      <c r="G30" s="517"/>
      <c r="H30" s="516" t="s">
        <v>238</v>
      </c>
      <c r="I30" t="s">
        <v>268</v>
      </c>
      <c r="J30" s="416">
        <v>43532</v>
      </c>
      <c r="K30" s="416"/>
    </row>
    <row r="31" spans="1:11" x14ac:dyDescent="0.25">
      <c r="A31" t="s">
        <v>244</v>
      </c>
      <c r="B31" s="489">
        <v>22</v>
      </c>
      <c r="C31" s="517">
        <v>20</v>
      </c>
      <c r="D31" s="516" t="s">
        <v>105</v>
      </c>
      <c r="E31" s="490">
        <v>16</v>
      </c>
      <c r="F31" s="490">
        <v>5</v>
      </c>
      <c r="G31" s="517"/>
      <c r="H31" s="516" t="s">
        <v>243</v>
      </c>
      <c r="I31" t="s">
        <v>255</v>
      </c>
      <c r="J31" s="416">
        <v>43533</v>
      </c>
      <c r="K31" s="416"/>
    </row>
    <row r="32" spans="1:11" x14ac:dyDescent="0.25">
      <c r="A32" t="s">
        <v>282</v>
      </c>
      <c r="B32" s="489">
        <v>5</v>
      </c>
      <c r="C32" s="517">
        <v>18</v>
      </c>
      <c r="D32" s="516" t="s">
        <v>257</v>
      </c>
      <c r="E32" s="490">
        <v>0</v>
      </c>
      <c r="F32" s="490">
        <v>6</v>
      </c>
      <c r="G32" s="517"/>
      <c r="H32" s="516" t="s">
        <v>260</v>
      </c>
      <c r="I32" t="s">
        <v>283</v>
      </c>
      <c r="J32" s="416">
        <v>43533</v>
      </c>
      <c r="K32" s="416"/>
    </row>
    <row r="33" spans="1:11" x14ac:dyDescent="0.25">
      <c r="A33" t="s">
        <v>35</v>
      </c>
      <c r="B33" s="489">
        <v>11</v>
      </c>
      <c r="C33" s="517">
        <v>18</v>
      </c>
      <c r="D33" s="516" t="s">
        <v>32</v>
      </c>
      <c r="E33" s="490">
        <v>6</v>
      </c>
      <c r="F33" s="490">
        <v>15</v>
      </c>
      <c r="G33" s="517"/>
      <c r="H33" s="516" t="s">
        <v>196</v>
      </c>
      <c r="I33" t="s">
        <v>292</v>
      </c>
      <c r="J33" s="416">
        <v>43533</v>
      </c>
      <c r="K33" s="416"/>
    </row>
    <row r="34" spans="1:11" x14ac:dyDescent="0.25">
      <c r="A34" t="s">
        <v>30</v>
      </c>
      <c r="B34" s="489">
        <v>57</v>
      </c>
      <c r="C34" s="517">
        <v>14</v>
      </c>
      <c r="D34" s="516" t="s">
        <v>33</v>
      </c>
      <c r="E34" s="490">
        <v>31</v>
      </c>
      <c r="F34" s="490">
        <v>7</v>
      </c>
      <c r="G34" s="517"/>
      <c r="H34" s="516" t="s">
        <v>196</v>
      </c>
      <c r="I34" t="s">
        <v>293</v>
      </c>
      <c r="J34" s="416">
        <v>43533</v>
      </c>
      <c r="K34" s="416"/>
    </row>
    <row r="35" spans="1:11" x14ac:dyDescent="0.25">
      <c r="A35" t="s">
        <v>284</v>
      </c>
      <c r="B35" s="489">
        <v>43</v>
      </c>
      <c r="C35" s="517">
        <v>14</v>
      </c>
      <c r="D35" s="516" t="s">
        <v>285</v>
      </c>
      <c r="E35" s="490" t="s">
        <v>259</v>
      </c>
      <c r="F35" s="490" t="s">
        <v>259</v>
      </c>
      <c r="G35" s="517"/>
      <c r="H35" s="516" t="s">
        <v>249</v>
      </c>
      <c r="I35" t="s">
        <v>286</v>
      </c>
      <c r="J35" s="416">
        <v>43533</v>
      </c>
      <c r="K35" s="416"/>
    </row>
    <row r="36" spans="1:11" x14ac:dyDescent="0.25">
      <c r="A36" t="s">
        <v>107</v>
      </c>
      <c r="B36">
        <v>42</v>
      </c>
      <c r="C36" s="517">
        <v>20</v>
      </c>
      <c r="D36" s="516" t="s">
        <v>251</v>
      </c>
      <c r="E36" s="490">
        <v>11</v>
      </c>
      <c r="F36" s="490">
        <v>15</v>
      </c>
      <c r="G36" s="517"/>
      <c r="H36" s="516" t="s">
        <v>238</v>
      </c>
      <c r="I36" t="s">
        <v>240</v>
      </c>
      <c r="J36" s="416">
        <v>43533</v>
      </c>
      <c r="K36" s="416"/>
    </row>
    <row r="37" spans="1:11" x14ac:dyDescent="0.25">
      <c r="A37" t="s">
        <v>38</v>
      </c>
      <c r="B37">
        <v>52</v>
      </c>
      <c r="C37" s="517">
        <v>3</v>
      </c>
      <c r="D37" s="516" t="s">
        <v>242</v>
      </c>
      <c r="E37" s="490">
        <v>21</v>
      </c>
      <c r="F37" s="490">
        <v>3</v>
      </c>
      <c r="G37" s="517"/>
      <c r="H37" s="516" t="s">
        <v>243</v>
      </c>
      <c r="I37" t="s">
        <v>287</v>
      </c>
      <c r="J37" s="416">
        <v>43534</v>
      </c>
      <c r="K37" s="416"/>
    </row>
    <row r="38" spans="1:11" x14ac:dyDescent="0.25">
      <c r="A38" t="s">
        <v>253</v>
      </c>
      <c r="B38">
        <v>47</v>
      </c>
      <c r="C38" s="517">
        <v>9</v>
      </c>
      <c r="D38" s="516" t="s">
        <v>241</v>
      </c>
      <c r="E38" s="490">
        <v>26</v>
      </c>
      <c r="F38" s="490">
        <v>9</v>
      </c>
      <c r="G38" s="517"/>
      <c r="H38" s="516" t="s">
        <v>243</v>
      </c>
      <c r="I38" t="s">
        <v>254</v>
      </c>
      <c r="J38" s="416">
        <v>43534</v>
      </c>
      <c r="K38" s="416"/>
    </row>
    <row r="39" spans="1:11" x14ac:dyDescent="0.25">
      <c r="A39" t="s">
        <v>39</v>
      </c>
      <c r="B39">
        <v>26</v>
      </c>
      <c r="C39" s="517">
        <v>14</v>
      </c>
      <c r="D39" s="516" t="s">
        <v>34</v>
      </c>
      <c r="E39" s="490">
        <v>19</v>
      </c>
      <c r="F39" s="490">
        <v>0</v>
      </c>
      <c r="G39" s="517"/>
      <c r="H39" s="516" t="s">
        <v>196</v>
      </c>
      <c r="I39" t="s">
        <v>290</v>
      </c>
      <c r="J39" s="416">
        <v>43534</v>
      </c>
      <c r="K39" s="416"/>
    </row>
    <row r="40" spans="1:11" x14ac:dyDescent="0.25">
      <c r="A40" t="s">
        <v>436</v>
      </c>
      <c r="B40">
        <v>40</v>
      </c>
      <c r="C40" s="517">
        <v>0</v>
      </c>
      <c r="D40" s="516" t="s">
        <v>437</v>
      </c>
      <c r="E40" s="490">
        <v>14</v>
      </c>
      <c r="F40" s="490">
        <v>0</v>
      </c>
      <c r="G40" s="517"/>
      <c r="H40" s="516" t="s">
        <v>438</v>
      </c>
      <c r="I40" t="s">
        <v>439</v>
      </c>
      <c r="J40" s="416">
        <v>43540</v>
      </c>
      <c r="K40" s="416"/>
    </row>
    <row r="41" spans="1:11" x14ac:dyDescent="0.25">
      <c r="A41" t="s">
        <v>33</v>
      </c>
      <c r="B41">
        <v>14</v>
      </c>
      <c r="C41" s="517">
        <v>25</v>
      </c>
      <c r="D41" s="516" t="s">
        <v>34</v>
      </c>
      <c r="E41" s="490">
        <v>6</v>
      </c>
      <c r="F41" s="490">
        <v>10</v>
      </c>
      <c r="G41" s="517"/>
      <c r="H41" s="516" t="s">
        <v>440</v>
      </c>
      <c r="I41" t="s">
        <v>441</v>
      </c>
      <c r="J41" s="416">
        <v>43540</v>
      </c>
      <c r="K41" s="416"/>
    </row>
    <row r="42" spans="1:11" x14ac:dyDescent="0.25">
      <c r="A42" t="s">
        <v>442</v>
      </c>
      <c r="B42">
        <v>22</v>
      </c>
      <c r="C42" s="517">
        <v>24</v>
      </c>
      <c r="D42" s="516" t="s">
        <v>282</v>
      </c>
      <c r="E42" s="490">
        <v>8</v>
      </c>
      <c r="F42" s="490">
        <v>17</v>
      </c>
      <c r="G42" s="517"/>
      <c r="H42" s="516" t="s">
        <v>260</v>
      </c>
      <c r="I42" t="s">
        <v>443</v>
      </c>
      <c r="J42" s="416">
        <v>43540</v>
      </c>
      <c r="K42" s="416"/>
    </row>
    <row r="43" spans="1:11" x14ac:dyDescent="0.25">
      <c r="A43" t="s">
        <v>444</v>
      </c>
      <c r="B43">
        <v>14</v>
      </c>
      <c r="C43" s="517">
        <v>48</v>
      </c>
      <c r="D43" s="516" t="s">
        <v>257</v>
      </c>
      <c r="E43" s="490">
        <v>6</v>
      </c>
      <c r="F43" s="490">
        <v>27</v>
      </c>
      <c r="G43" s="517"/>
      <c r="H43" s="516" t="s">
        <v>260</v>
      </c>
      <c r="I43" t="s">
        <v>445</v>
      </c>
      <c r="J43" s="416">
        <v>43540</v>
      </c>
      <c r="K43" s="416"/>
    </row>
    <row r="44" spans="1:11" x14ac:dyDescent="0.25">
      <c r="A44" t="s">
        <v>32</v>
      </c>
      <c r="B44" s="489">
        <v>25</v>
      </c>
      <c r="C44" s="517">
        <v>7</v>
      </c>
      <c r="D44" s="516" t="s">
        <v>39</v>
      </c>
      <c r="E44" s="490">
        <v>16</v>
      </c>
      <c r="F44" s="490">
        <v>0</v>
      </c>
      <c r="G44" s="517"/>
      <c r="H44" s="516" t="s">
        <v>196</v>
      </c>
      <c r="I44" t="s">
        <v>289</v>
      </c>
      <c r="J44" s="416">
        <v>43540</v>
      </c>
      <c r="K44" s="416"/>
    </row>
    <row r="45" spans="1:11" x14ac:dyDescent="0.25">
      <c r="A45" t="s">
        <v>30</v>
      </c>
      <c r="B45" s="489">
        <v>38</v>
      </c>
      <c r="C45" s="517">
        <v>38</v>
      </c>
      <c r="D45" s="516" t="s">
        <v>35</v>
      </c>
      <c r="E45" s="490">
        <v>31</v>
      </c>
      <c r="F45" s="490">
        <v>7</v>
      </c>
      <c r="G45" s="517"/>
      <c r="H45" s="516" t="s">
        <v>446</v>
      </c>
      <c r="I45" t="s">
        <v>67</v>
      </c>
      <c r="J45" s="416">
        <v>43540</v>
      </c>
      <c r="K45" s="416"/>
    </row>
    <row r="46" spans="1:11" x14ac:dyDescent="0.25">
      <c r="A46" t="s">
        <v>447</v>
      </c>
      <c r="B46" s="489">
        <v>43</v>
      </c>
      <c r="C46" s="517">
        <v>13</v>
      </c>
      <c r="D46" s="516" t="s">
        <v>448</v>
      </c>
      <c r="E46" s="490" t="s">
        <v>259</v>
      </c>
      <c r="F46" s="490" t="s">
        <v>259</v>
      </c>
      <c r="G46" s="517"/>
      <c r="H46" s="516" t="s">
        <v>449</v>
      </c>
      <c r="I46" t="s">
        <v>450</v>
      </c>
      <c r="J46" s="416">
        <v>43540</v>
      </c>
      <c r="K46" s="416"/>
    </row>
    <row r="47" spans="1:11" x14ac:dyDescent="0.25">
      <c r="A47" t="s">
        <v>241</v>
      </c>
      <c r="B47" s="489">
        <v>17</v>
      </c>
      <c r="C47" s="517">
        <v>43</v>
      </c>
      <c r="D47" s="516" t="s">
        <v>244</v>
      </c>
      <c r="E47" s="490">
        <v>10</v>
      </c>
      <c r="F47" s="490">
        <v>26</v>
      </c>
      <c r="G47" s="517"/>
      <c r="H47" s="516" t="s">
        <v>243</v>
      </c>
      <c r="I47" t="s">
        <v>266</v>
      </c>
      <c r="J47" s="416">
        <v>43541</v>
      </c>
      <c r="K47" s="416"/>
    </row>
    <row r="48" spans="1:11" x14ac:dyDescent="0.25">
      <c r="A48" t="s">
        <v>242</v>
      </c>
      <c r="B48" s="489">
        <v>10</v>
      </c>
      <c r="C48" s="517">
        <v>33</v>
      </c>
      <c r="D48" s="516" t="s">
        <v>253</v>
      </c>
      <c r="E48" s="490">
        <v>3</v>
      </c>
      <c r="F48" s="490">
        <v>14</v>
      </c>
      <c r="G48" s="517"/>
      <c r="H48" s="516" t="s">
        <v>243</v>
      </c>
      <c r="I48" t="s">
        <v>451</v>
      </c>
      <c r="J48" s="416">
        <v>43541</v>
      </c>
      <c r="K48" s="416"/>
    </row>
    <row r="49" spans="1:11" x14ac:dyDescent="0.25">
      <c r="A49" t="s">
        <v>105</v>
      </c>
      <c r="B49" s="489">
        <v>6</v>
      </c>
      <c r="C49" s="517">
        <v>22</v>
      </c>
      <c r="D49" s="516" t="s">
        <v>38</v>
      </c>
      <c r="E49" s="490">
        <v>3</v>
      </c>
      <c r="F49" s="490">
        <v>10</v>
      </c>
      <c r="G49" s="517"/>
      <c r="H49" s="516" t="s">
        <v>243</v>
      </c>
      <c r="I49" t="s">
        <v>452</v>
      </c>
      <c r="J49" s="416">
        <v>43541</v>
      </c>
      <c r="K49" s="416"/>
    </row>
    <row r="50" spans="1:11" x14ac:dyDescent="0.25">
      <c r="A50" t="s">
        <v>453</v>
      </c>
      <c r="B50" s="489">
        <v>10</v>
      </c>
      <c r="C50" s="517">
        <v>37</v>
      </c>
      <c r="D50" s="516" t="s">
        <v>454</v>
      </c>
      <c r="E50" s="490">
        <v>0</v>
      </c>
      <c r="F50" s="490">
        <v>22</v>
      </c>
      <c r="G50" s="517"/>
      <c r="H50" s="516" t="s">
        <v>438</v>
      </c>
      <c r="I50" t="s">
        <v>455</v>
      </c>
      <c r="J50" s="416">
        <v>43547</v>
      </c>
      <c r="K50" s="416"/>
    </row>
    <row r="51" spans="1:11" x14ac:dyDescent="0.25">
      <c r="A51" t="s">
        <v>258</v>
      </c>
      <c r="B51" s="489">
        <v>25</v>
      </c>
      <c r="C51" s="517">
        <v>28</v>
      </c>
      <c r="D51" s="516" t="s">
        <v>444</v>
      </c>
      <c r="E51" s="490">
        <v>18</v>
      </c>
      <c r="F51" s="490">
        <v>15</v>
      </c>
      <c r="G51" s="517"/>
      <c r="H51" s="516" t="s">
        <v>260</v>
      </c>
      <c r="I51" t="s">
        <v>456</v>
      </c>
      <c r="J51" s="416">
        <v>43547</v>
      </c>
      <c r="K51" s="416"/>
    </row>
    <row r="52" spans="1:11" x14ac:dyDescent="0.25">
      <c r="A52" t="s">
        <v>257</v>
      </c>
      <c r="B52" s="489">
        <v>93</v>
      </c>
      <c r="C52" s="517">
        <v>0</v>
      </c>
      <c r="D52" s="516" t="s">
        <v>442</v>
      </c>
      <c r="E52" s="490">
        <v>57</v>
      </c>
      <c r="F52" s="490">
        <v>0</v>
      </c>
      <c r="G52" s="517"/>
      <c r="H52" s="516" t="s">
        <v>260</v>
      </c>
      <c r="I52" t="s">
        <v>457</v>
      </c>
      <c r="J52" s="416">
        <v>43547</v>
      </c>
      <c r="K52" s="416"/>
    </row>
    <row r="53" spans="1:11" x14ac:dyDescent="0.25">
      <c r="A53" t="s">
        <v>447</v>
      </c>
      <c r="B53" s="489">
        <v>39</v>
      </c>
      <c r="C53" s="517">
        <v>0</v>
      </c>
      <c r="D53" s="516" t="s">
        <v>458</v>
      </c>
      <c r="E53" s="490" t="s">
        <v>259</v>
      </c>
      <c r="F53" s="490" t="s">
        <v>259</v>
      </c>
      <c r="G53" s="517"/>
      <c r="H53" s="516" t="s">
        <v>449</v>
      </c>
      <c r="I53" t="s">
        <v>450</v>
      </c>
      <c r="J53" s="416">
        <v>43547</v>
      </c>
      <c r="K53" s="416"/>
    </row>
    <row r="54" spans="1:11" x14ac:dyDescent="0.25">
      <c r="A54" t="s">
        <v>459</v>
      </c>
      <c r="B54" s="489">
        <v>77</v>
      </c>
      <c r="C54" s="517">
        <v>0</v>
      </c>
      <c r="D54" s="516" t="s">
        <v>460</v>
      </c>
      <c r="E54" s="490">
        <v>36</v>
      </c>
      <c r="F54" s="490">
        <v>0</v>
      </c>
      <c r="G54" s="517"/>
      <c r="H54" s="516" t="s">
        <v>461</v>
      </c>
      <c r="I54" t="s">
        <v>462</v>
      </c>
      <c r="J54" s="416">
        <v>43554</v>
      </c>
      <c r="K54" s="416"/>
    </row>
    <row r="55" spans="1:11" x14ac:dyDescent="0.25">
      <c r="A55" t="s">
        <v>463</v>
      </c>
      <c r="B55" s="489">
        <v>29</v>
      </c>
      <c r="C55" s="517">
        <v>32</v>
      </c>
      <c r="D55" s="516" t="s">
        <v>464</v>
      </c>
      <c r="E55" s="490">
        <v>10</v>
      </c>
      <c r="F55" s="490">
        <v>24</v>
      </c>
      <c r="G55" s="517"/>
      <c r="H55" s="516" t="s">
        <v>438</v>
      </c>
      <c r="I55" t="s">
        <v>465</v>
      </c>
      <c r="J55" s="416">
        <v>43554</v>
      </c>
      <c r="K55" s="416"/>
    </row>
    <row r="56" spans="1:11" x14ac:dyDescent="0.25">
      <c r="A56" t="s">
        <v>460</v>
      </c>
      <c r="B56" s="489">
        <v>6</v>
      </c>
      <c r="C56" s="517">
        <v>71</v>
      </c>
      <c r="D56" s="516" t="s">
        <v>466</v>
      </c>
      <c r="E56" s="490">
        <v>6</v>
      </c>
      <c r="F56" s="490">
        <v>36</v>
      </c>
      <c r="G56" s="517"/>
      <c r="H56" s="516" t="s">
        <v>461</v>
      </c>
      <c r="I56" t="s">
        <v>462</v>
      </c>
      <c r="J56" s="416">
        <v>43557</v>
      </c>
      <c r="K56" s="416"/>
    </row>
    <row r="57" spans="1:11" x14ac:dyDescent="0.25">
      <c r="A57" t="s">
        <v>466</v>
      </c>
      <c r="B57" s="489">
        <v>10</v>
      </c>
      <c r="C57" s="517">
        <v>13</v>
      </c>
      <c r="D57" s="516" t="s">
        <v>459</v>
      </c>
      <c r="E57" s="490">
        <v>10</v>
      </c>
      <c r="F57" s="490">
        <v>7</v>
      </c>
      <c r="G57" s="517"/>
      <c r="H57" s="516" t="s">
        <v>461</v>
      </c>
      <c r="I57" t="s">
        <v>462</v>
      </c>
      <c r="J57" s="416">
        <v>43560</v>
      </c>
      <c r="K57" s="416"/>
    </row>
    <row r="58" spans="1:11" x14ac:dyDescent="0.25">
      <c r="A58" t="s">
        <v>467</v>
      </c>
      <c r="B58" s="489">
        <v>7</v>
      </c>
      <c r="C58" s="517">
        <v>48</v>
      </c>
      <c r="D58" s="516" t="s">
        <v>257</v>
      </c>
      <c r="E58" s="490">
        <v>7</v>
      </c>
      <c r="F58" s="490">
        <v>21</v>
      </c>
      <c r="G58" s="517"/>
      <c r="H58" s="516" t="s">
        <v>260</v>
      </c>
      <c r="I58" t="s">
        <v>468</v>
      </c>
      <c r="J58" s="416">
        <v>43561</v>
      </c>
      <c r="K58" s="416"/>
    </row>
    <row r="59" spans="1:11" x14ac:dyDescent="0.25">
      <c r="A59" t="s">
        <v>437</v>
      </c>
      <c r="B59" s="489">
        <v>22</v>
      </c>
      <c r="C59" s="517">
        <v>23</v>
      </c>
      <c r="D59" s="516" t="s">
        <v>453</v>
      </c>
      <c r="E59" s="490">
        <v>12</v>
      </c>
      <c r="F59" s="490">
        <v>15</v>
      </c>
      <c r="G59" s="517"/>
      <c r="H59" s="516" t="s">
        <v>438</v>
      </c>
      <c r="I59" t="s">
        <v>469</v>
      </c>
      <c r="J59" s="416">
        <v>43561</v>
      </c>
      <c r="K59" s="416"/>
    </row>
    <row r="60" spans="1:11" x14ac:dyDescent="0.25">
      <c r="A60" t="s">
        <v>448</v>
      </c>
      <c r="B60" s="489">
        <v>55</v>
      </c>
      <c r="C60" s="517">
        <v>7</v>
      </c>
      <c r="D60" s="516" t="s">
        <v>458</v>
      </c>
      <c r="E60" s="490" t="s">
        <v>259</v>
      </c>
      <c r="F60" s="490" t="s">
        <v>259</v>
      </c>
      <c r="G60" s="517"/>
      <c r="H60" s="516" t="s">
        <v>449</v>
      </c>
      <c r="I60" t="s">
        <v>470</v>
      </c>
      <c r="J60" s="416">
        <v>43561</v>
      </c>
      <c r="K60" s="416"/>
    </row>
    <row r="61" spans="1:11" x14ac:dyDescent="0.25">
      <c r="A61" t="s">
        <v>471</v>
      </c>
      <c r="B61" s="489">
        <v>24</v>
      </c>
      <c r="C61" s="517">
        <v>20</v>
      </c>
      <c r="D61" s="516" t="s">
        <v>472</v>
      </c>
      <c r="E61" s="490" t="s">
        <v>259</v>
      </c>
      <c r="F61" s="490" t="s">
        <v>259</v>
      </c>
      <c r="G61" s="517"/>
      <c r="H61" s="516" t="s">
        <v>449</v>
      </c>
      <c r="I61" t="s">
        <v>473</v>
      </c>
      <c r="J61" s="416">
        <v>43568</v>
      </c>
      <c r="K61" s="416"/>
    </row>
    <row r="62" spans="1:11" x14ac:dyDescent="0.25">
      <c r="A62" t="s">
        <v>454</v>
      </c>
      <c r="B62" s="489">
        <v>18</v>
      </c>
      <c r="C62" s="517">
        <v>18</v>
      </c>
      <c r="D62" s="516" t="s">
        <v>474</v>
      </c>
      <c r="E62" s="490">
        <v>8</v>
      </c>
      <c r="F62" s="490">
        <v>10</v>
      </c>
      <c r="G62" s="517"/>
      <c r="H62" s="516" t="s">
        <v>438</v>
      </c>
      <c r="I62" t="s">
        <v>475</v>
      </c>
      <c r="J62" s="416">
        <v>43568</v>
      </c>
      <c r="K62" s="416"/>
    </row>
    <row r="63" spans="1:11" x14ac:dyDescent="0.25">
      <c r="A63" t="s">
        <v>444</v>
      </c>
      <c r="B63" s="489">
        <v>34</v>
      </c>
      <c r="C63" s="517">
        <v>24</v>
      </c>
      <c r="D63" s="516" t="s">
        <v>467</v>
      </c>
      <c r="E63" s="490">
        <v>24</v>
      </c>
      <c r="F63" s="490">
        <v>17</v>
      </c>
      <c r="G63" s="517"/>
      <c r="H63" s="516" t="s">
        <v>260</v>
      </c>
      <c r="I63" t="s">
        <v>476</v>
      </c>
      <c r="J63" s="416">
        <v>43568</v>
      </c>
      <c r="K63" s="416"/>
    </row>
    <row r="64" spans="1:11" x14ac:dyDescent="0.25">
      <c r="A64" t="s">
        <v>477</v>
      </c>
      <c r="B64" s="489">
        <v>23</v>
      </c>
      <c r="C64" s="517">
        <v>10</v>
      </c>
      <c r="D64" s="516" t="s">
        <v>478</v>
      </c>
      <c r="E64" s="490">
        <v>6</v>
      </c>
      <c r="F64" s="490">
        <v>5</v>
      </c>
      <c r="G64" s="517"/>
      <c r="H64" s="516" t="s">
        <v>438</v>
      </c>
      <c r="I64" t="s">
        <v>479</v>
      </c>
      <c r="J64" s="416">
        <v>43568</v>
      </c>
      <c r="K64" s="416"/>
    </row>
    <row r="65" spans="1:11" x14ac:dyDescent="0.25">
      <c r="A65" t="s">
        <v>480</v>
      </c>
      <c r="B65" s="489">
        <v>24</v>
      </c>
      <c r="C65" s="517">
        <v>36</v>
      </c>
      <c r="D65" s="516" t="s">
        <v>481</v>
      </c>
      <c r="E65" s="490">
        <v>17</v>
      </c>
      <c r="F65" s="490">
        <v>16</v>
      </c>
      <c r="G65" s="517"/>
      <c r="H65" s="516" t="s">
        <v>438</v>
      </c>
      <c r="I65" t="s">
        <v>482</v>
      </c>
      <c r="J65" s="416">
        <v>43575</v>
      </c>
      <c r="K65" s="416"/>
    </row>
    <row r="66" spans="1:11" x14ac:dyDescent="0.25">
      <c r="A66" t="s">
        <v>483</v>
      </c>
      <c r="B66" s="489">
        <v>61</v>
      </c>
      <c r="C66" s="517">
        <v>20</v>
      </c>
      <c r="D66" s="516" t="s">
        <v>484</v>
      </c>
      <c r="E66" s="490">
        <v>33</v>
      </c>
      <c r="F66" s="490">
        <v>8</v>
      </c>
      <c r="G66" s="517"/>
      <c r="H66" s="516" t="s">
        <v>485</v>
      </c>
      <c r="I66" t="s">
        <v>486</v>
      </c>
      <c r="J66" s="416">
        <v>43575</v>
      </c>
      <c r="K66" s="416"/>
    </row>
    <row r="67" spans="1:11" x14ac:dyDescent="0.25">
      <c r="A67" t="s">
        <v>478</v>
      </c>
      <c r="B67" s="489">
        <v>17</v>
      </c>
      <c r="C67" s="517">
        <v>13</v>
      </c>
      <c r="D67" s="516" t="s">
        <v>487</v>
      </c>
      <c r="E67" s="490">
        <v>7</v>
      </c>
      <c r="F67" s="490">
        <v>5</v>
      </c>
      <c r="G67" s="517"/>
      <c r="H67" s="516" t="s">
        <v>438</v>
      </c>
      <c r="I67" t="s">
        <v>488</v>
      </c>
      <c r="J67" s="416">
        <v>43575</v>
      </c>
      <c r="K67" s="416"/>
    </row>
    <row r="68" spans="1:11" x14ac:dyDescent="0.25">
      <c r="A68" t="s">
        <v>489</v>
      </c>
      <c r="B68" s="489">
        <v>37</v>
      </c>
      <c r="C68" s="517">
        <v>7</v>
      </c>
      <c r="D68" s="516" t="s">
        <v>463</v>
      </c>
      <c r="E68" s="490">
        <v>20</v>
      </c>
      <c r="F68" s="490">
        <v>0</v>
      </c>
      <c r="G68" s="517"/>
      <c r="H68" s="516" t="s">
        <v>438</v>
      </c>
      <c r="I68" t="s">
        <v>490</v>
      </c>
      <c r="J68" s="416">
        <v>43582</v>
      </c>
      <c r="K68" s="416"/>
    </row>
    <row r="69" spans="1:11" x14ac:dyDescent="0.25">
      <c r="A69" t="s">
        <v>248</v>
      </c>
      <c r="B69" s="489">
        <v>5</v>
      </c>
      <c r="C69" s="517">
        <v>19</v>
      </c>
      <c r="D69" s="516" t="s">
        <v>491</v>
      </c>
      <c r="E69" s="490">
        <v>0</v>
      </c>
      <c r="F69" s="490">
        <v>14</v>
      </c>
      <c r="G69" s="517"/>
      <c r="H69" s="516" t="s">
        <v>249</v>
      </c>
      <c r="I69" t="s">
        <v>492</v>
      </c>
      <c r="J69" s="416">
        <v>43582</v>
      </c>
      <c r="K69" s="416"/>
    </row>
    <row r="70" spans="1:11" x14ac:dyDescent="0.25">
      <c r="A70" t="s">
        <v>493</v>
      </c>
      <c r="B70" s="489">
        <v>44</v>
      </c>
      <c r="C70" s="517">
        <v>13</v>
      </c>
      <c r="D70" s="516" t="s">
        <v>494</v>
      </c>
      <c r="E70" s="490">
        <v>10</v>
      </c>
      <c r="F70" s="490">
        <v>13</v>
      </c>
      <c r="G70" s="517"/>
      <c r="H70" s="516" t="s">
        <v>461</v>
      </c>
      <c r="I70" t="s">
        <v>495</v>
      </c>
      <c r="J70" s="416">
        <v>43583</v>
      </c>
      <c r="K70" s="416"/>
    </row>
    <row r="71" spans="1:11" x14ac:dyDescent="0.25">
      <c r="A71" t="s">
        <v>493</v>
      </c>
      <c r="B71" s="489">
        <v>24</v>
      </c>
      <c r="C71" s="517">
        <v>38</v>
      </c>
      <c r="D71" s="516" t="s">
        <v>494</v>
      </c>
      <c r="E71" s="490">
        <v>7</v>
      </c>
      <c r="F71" s="490">
        <v>31</v>
      </c>
      <c r="G71" s="517"/>
      <c r="H71" s="516" t="s">
        <v>461</v>
      </c>
      <c r="I71" t="s">
        <v>495</v>
      </c>
      <c r="J71" s="416">
        <v>43586</v>
      </c>
      <c r="K71" s="416"/>
    </row>
    <row r="72" spans="1:11" x14ac:dyDescent="0.25">
      <c r="A72" t="s">
        <v>496</v>
      </c>
      <c r="B72" s="489">
        <v>12</v>
      </c>
      <c r="C72" s="517">
        <v>31</v>
      </c>
      <c r="D72" s="516" t="s">
        <v>471</v>
      </c>
      <c r="E72" s="490" t="s">
        <v>259</v>
      </c>
      <c r="F72" s="490" t="s">
        <v>259</v>
      </c>
      <c r="G72" s="517"/>
      <c r="H72" s="516" t="s">
        <v>449</v>
      </c>
      <c r="I72" t="s">
        <v>497</v>
      </c>
      <c r="J72" s="416">
        <v>43589</v>
      </c>
      <c r="K72" s="416"/>
    </row>
    <row r="73" spans="1:11" x14ac:dyDescent="0.25">
      <c r="A73" t="s">
        <v>498</v>
      </c>
      <c r="B73" s="489">
        <v>15</v>
      </c>
      <c r="C73" s="517">
        <v>18</v>
      </c>
      <c r="D73" s="516" t="s">
        <v>477</v>
      </c>
      <c r="E73" s="490">
        <v>12</v>
      </c>
      <c r="F73" s="490">
        <v>3</v>
      </c>
      <c r="G73" s="517"/>
      <c r="H73" s="516" t="s">
        <v>438</v>
      </c>
      <c r="I73" t="s">
        <v>499</v>
      </c>
      <c r="J73" s="416">
        <v>43589</v>
      </c>
      <c r="K73" s="416"/>
    </row>
    <row r="74" spans="1:11" x14ac:dyDescent="0.25">
      <c r="A74" t="s">
        <v>500</v>
      </c>
      <c r="B74" s="489">
        <v>38</v>
      </c>
      <c r="C74" s="517">
        <v>3</v>
      </c>
      <c r="D74" s="516" t="s">
        <v>489</v>
      </c>
      <c r="E74" s="490">
        <v>19</v>
      </c>
      <c r="F74" s="490">
        <v>3</v>
      </c>
      <c r="G74" s="517"/>
      <c r="H74" s="516" t="s">
        <v>438</v>
      </c>
      <c r="I74" t="s">
        <v>501</v>
      </c>
      <c r="J74" s="416">
        <v>43589</v>
      </c>
      <c r="K74" s="416"/>
    </row>
    <row r="75" spans="1:11" x14ac:dyDescent="0.25">
      <c r="A75" t="s">
        <v>481</v>
      </c>
      <c r="B75" s="489">
        <v>41</v>
      </c>
      <c r="C75" s="517">
        <v>20</v>
      </c>
      <c r="D75" s="516" t="s">
        <v>502</v>
      </c>
      <c r="E75" s="490">
        <v>18</v>
      </c>
      <c r="F75" s="490">
        <v>5</v>
      </c>
      <c r="G75" s="517"/>
      <c r="H75" s="516" t="s">
        <v>438</v>
      </c>
      <c r="I75" t="s">
        <v>503</v>
      </c>
      <c r="J75" s="416">
        <v>43596</v>
      </c>
      <c r="K75" s="416"/>
    </row>
    <row r="76" spans="1:11" x14ac:dyDescent="0.25">
      <c r="A76" t="s">
        <v>504</v>
      </c>
      <c r="B76" s="489">
        <v>35</v>
      </c>
      <c r="C76" s="517">
        <v>27</v>
      </c>
      <c r="D76" s="516" t="s">
        <v>505</v>
      </c>
      <c r="E76" s="490">
        <v>15</v>
      </c>
      <c r="F76" s="490">
        <v>10</v>
      </c>
      <c r="G76" s="517"/>
      <c r="H76" s="516" t="s">
        <v>438</v>
      </c>
      <c r="I76" t="s">
        <v>506</v>
      </c>
      <c r="J76" s="416">
        <v>43596</v>
      </c>
      <c r="K76" s="416"/>
    </row>
    <row r="77" spans="1:11" x14ac:dyDescent="0.25">
      <c r="A77" t="s">
        <v>507</v>
      </c>
      <c r="B77" s="489">
        <v>36</v>
      </c>
      <c r="C77" s="517">
        <v>27</v>
      </c>
      <c r="D77" s="516" t="s">
        <v>498</v>
      </c>
      <c r="E77" s="490">
        <v>18</v>
      </c>
      <c r="F77" s="490">
        <v>13</v>
      </c>
      <c r="G77" s="517"/>
      <c r="H77" s="516" t="s">
        <v>438</v>
      </c>
      <c r="I77" t="s">
        <v>508</v>
      </c>
      <c r="J77" s="416">
        <v>43596</v>
      </c>
      <c r="K77" s="416"/>
    </row>
    <row r="78" spans="1:11" x14ac:dyDescent="0.25">
      <c r="A78" t="s">
        <v>509</v>
      </c>
      <c r="B78" s="489">
        <v>10</v>
      </c>
      <c r="C78" s="517">
        <v>66</v>
      </c>
      <c r="D78" s="516" t="s">
        <v>251</v>
      </c>
      <c r="E78" s="490">
        <v>0</v>
      </c>
      <c r="F78" s="490">
        <v>31</v>
      </c>
      <c r="G78" s="517"/>
      <c r="H78" s="516" t="s">
        <v>510</v>
      </c>
      <c r="I78" t="s">
        <v>511</v>
      </c>
      <c r="J78" s="416">
        <v>43596</v>
      </c>
      <c r="K78" s="416"/>
    </row>
    <row r="79" spans="1:11" x14ac:dyDescent="0.25">
      <c r="A79" t="s">
        <v>512</v>
      </c>
      <c r="B79" s="489">
        <v>7</v>
      </c>
      <c r="C79" s="517">
        <v>82</v>
      </c>
      <c r="D79" s="516" t="s">
        <v>513</v>
      </c>
      <c r="E79" s="490">
        <v>7</v>
      </c>
      <c r="F79" s="490">
        <v>19</v>
      </c>
      <c r="G79" s="517"/>
      <c r="H79" s="516" t="s">
        <v>514</v>
      </c>
      <c r="I79" t="s">
        <v>515</v>
      </c>
      <c r="J79" s="416">
        <v>43600</v>
      </c>
      <c r="K79" s="416"/>
    </row>
    <row r="80" spans="1:11" x14ac:dyDescent="0.25">
      <c r="A80" t="s">
        <v>516</v>
      </c>
      <c r="B80" s="489">
        <v>35</v>
      </c>
      <c r="C80" s="517">
        <v>20</v>
      </c>
      <c r="D80" s="516" t="s">
        <v>517</v>
      </c>
      <c r="E80" s="490">
        <v>28</v>
      </c>
      <c r="F80" s="490">
        <v>10</v>
      </c>
      <c r="G80" s="517"/>
      <c r="H80" s="516" t="s">
        <v>514</v>
      </c>
      <c r="I80" t="s">
        <v>515</v>
      </c>
      <c r="J80" s="416">
        <v>43600</v>
      </c>
      <c r="K80" s="416"/>
    </row>
    <row r="81" spans="1:11" x14ac:dyDescent="0.25">
      <c r="A81" t="s">
        <v>518</v>
      </c>
      <c r="B81" s="489">
        <v>52</v>
      </c>
      <c r="C81" s="517">
        <v>14</v>
      </c>
      <c r="D81" s="516" t="s">
        <v>519</v>
      </c>
      <c r="E81" s="490">
        <v>19</v>
      </c>
      <c r="F81" s="490">
        <v>7</v>
      </c>
      <c r="G81" s="517"/>
      <c r="H81" s="516" t="s">
        <v>520</v>
      </c>
      <c r="I81" t="s">
        <v>521</v>
      </c>
      <c r="J81" s="416">
        <v>43603</v>
      </c>
      <c r="K81" s="416"/>
    </row>
    <row r="82" spans="1:11" x14ac:dyDescent="0.25">
      <c r="A82" t="s">
        <v>512</v>
      </c>
      <c r="B82" s="489">
        <v>8</v>
      </c>
      <c r="C82" s="517">
        <v>17</v>
      </c>
      <c r="D82" s="516" t="s">
        <v>517</v>
      </c>
      <c r="E82" s="490">
        <v>0</v>
      </c>
      <c r="F82" s="490">
        <v>10</v>
      </c>
      <c r="G82" s="517"/>
      <c r="H82" s="516" t="s">
        <v>514</v>
      </c>
      <c r="I82" t="s">
        <v>515</v>
      </c>
      <c r="J82" s="416">
        <v>43603</v>
      </c>
      <c r="K82" s="416"/>
    </row>
    <row r="83" spans="1:11" x14ac:dyDescent="0.25">
      <c r="A83" t="s">
        <v>516</v>
      </c>
      <c r="B83" s="489">
        <v>12</v>
      </c>
      <c r="C83" s="517">
        <v>50</v>
      </c>
      <c r="D83" s="516" t="s">
        <v>513</v>
      </c>
      <c r="E83" s="490" t="s">
        <v>259</v>
      </c>
      <c r="F83" s="490" t="s">
        <v>259</v>
      </c>
      <c r="G83" s="517"/>
      <c r="H83" s="516" t="s">
        <v>514</v>
      </c>
      <c r="I83" t="s">
        <v>515</v>
      </c>
      <c r="J83" s="416">
        <v>43603</v>
      </c>
      <c r="K83" s="416"/>
    </row>
    <row r="84" spans="1:11" x14ac:dyDescent="0.25">
      <c r="A84" t="s">
        <v>505</v>
      </c>
      <c r="B84" s="489">
        <v>91</v>
      </c>
      <c r="C84" s="517">
        <v>5</v>
      </c>
      <c r="D84" s="516" t="s">
        <v>480</v>
      </c>
      <c r="E84" s="490">
        <v>44</v>
      </c>
      <c r="F84" s="490">
        <v>5</v>
      </c>
      <c r="G84" s="517"/>
      <c r="H84" s="516" t="s">
        <v>438</v>
      </c>
      <c r="I84" t="s">
        <v>522</v>
      </c>
      <c r="J84" s="416">
        <v>43603</v>
      </c>
      <c r="K84" s="416"/>
    </row>
    <row r="85" spans="1:11" x14ac:dyDescent="0.25">
      <c r="A85" t="s">
        <v>502</v>
      </c>
      <c r="B85" s="489">
        <v>33</v>
      </c>
      <c r="C85" s="517">
        <v>0</v>
      </c>
      <c r="D85" s="516" t="s">
        <v>504</v>
      </c>
      <c r="E85" s="490" t="s">
        <v>259</v>
      </c>
      <c r="F85" s="490" t="s">
        <v>259</v>
      </c>
      <c r="G85" s="517"/>
      <c r="H85" s="516" t="s">
        <v>438</v>
      </c>
      <c r="I85" t="s">
        <v>523</v>
      </c>
      <c r="J85" s="416">
        <v>43603</v>
      </c>
      <c r="K85" s="416"/>
    </row>
    <row r="86" spans="1:11" x14ac:dyDescent="0.25">
      <c r="A86" t="s">
        <v>524</v>
      </c>
      <c r="B86" s="489">
        <v>43</v>
      </c>
      <c r="C86" s="517">
        <v>13</v>
      </c>
      <c r="D86" s="516" t="s">
        <v>509</v>
      </c>
      <c r="E86" s="490">
        <v>12</v>
      </c>
      <c r="F86" s="490">
        <v>6</v>
      </c>
      <c r="G86" s="517"/>
      <c r="H86" s="516" t="s">
        <v>510</v>
      </c>
      <c r="I86" t="s">
        <v>525</v>
      </c>
      <c r="J86" s="416">
        <v>43603</v>
      </c>
      <c r="K86" s="416"/>
    </row>
    <row r="87" spans="1:11" x14ac:dyDescent="0.25">
      <c r="A87" t="s">
        <v>487</v>
      </c>
      <c r="B87" s="489">
        <v>23</v>
      </c>
      <c r="C87" s="517">
        <v>14</v>
      </c>
      <c r="D87" s="516" t="s">
        <v>507</v>
      </c>
      <c r="E87" s="490">
        <v>13</v>
      </c>
      <c r="F87" s="490">
        <v>7</v>
      </c>
      <c r="G87" s="517"/>
      <c r="H87" s="516" t="s">
        <v>438</v>
      </c>
      <c r="I87" t="s">
        <v>526</v>
      </c>
      <c r="J87" s="416">
        <v>43604</v>
      </c>
      <c r="K87" s="416"/>
    </row>
    <row r="88" spans="1:11" x14ac:dyDescent="0.25">
      <c r="A88" t="s">
        <v>484</v>
      </c>
      <c r="B88" s="489">
        <v>19</v>
      </c>
      <c r="C88" s="517">
        <v>43</v>
      </c>
      <c r="D88" s="516" t="s">
        <v>483</v>
      </c>
      <c r="E88" s="490">
        <v>12</v>
      </c>
      <c r="F88" s="490">
        <v>24</v>
      </c>
      <c r="G88" s="517"/>
      <c r="H88" s="516" t="s">
        <v>485</v>
      </c>
      <c r="I88" t="s">
        <v>527</v>
      </c>
      <c r="J88" s="416">
        <v>43610</v>
      </c>
      <c r="K88" s="416"/>
    </row>
    <row r="89" spans="1:11" x14ac:dyDescent="0.25">
      <c r="A89" t="s">
        <v>519</v>
      </c>
      <c r="B89" s="489">
        <v>16</v>
      </c>
      <c r="C89" s="517">
        <v>38</v>
      </c>
      <c r="D89" s="516" t="s">
        <v>518</v>
      </c>
      <c r="E89" s="490">
        <v>13</v>
      </c>
      <c r="F89" s="490">
        <v>24</v>
      </c>
      <c r="G89" s="517"/>
      <c r="H89" s="516" t="s">
        <v>520</v>
      </c>
      <c r="I89" t="s">
        <v>528</v>
      </c>
      <c r="J89" s="416">
        <v>43610</v>
      </c>
      <c r="K89" s="416"/>
    </row>
    <row r="90" spans="1:11" x14ac:dyDescent="0.25">
      <c r="A90" t="s">
        <v>529</v>
      </c>
      <c r="B90" s="489">
        <v>13</v>
      </c>
      <c r="C90" s="517">
        <v>30</v>
      </c>
      <c r="D90" s="516" t="s">
        <v>500</v>
      </c>
      <c r="E90" s="490">
        <v>13</v>
      </c>
      <c r="F90" s="490">
        <v>13</v>
      </c>
      <c r="G90" s="517"/>
      <c r="H90" s="516" t="s">
        <v>438</v>
      </c>
      <c r="I90" t="s">
        <v>530</v>
      </c>
      <c r="J90" s="416">
        <v>43610</v>
      </c>
      <c r="K90" s="416"/>
    </row>
    <row r="91" spans="1:11" x14ac:dyDescent="0.25">
      <c r="A91" t="s">
        <v>509</v>
      </c>
      <c r="B91" s="489">
        <v>10</v>
      </c>
      <c r="C91" s="517">
        <v>53</v>
      </c>
      <c r="D91" s="516" t="s">
        <v>237</v>
      </c>
      <c r="E91" s="490">
        <v>3</v>
      </c>
      <c r="F91" s="490">
        <v>24</v>
      </c>
      <c r="G91" s="517"/>
      <c r="H91" s="516" t="s">
        <v>510</v>
      </c>
      <c r="I91" t="s">
        <v>511</v>
      </c>
      <c r="J91" s="416">
        <v>43610</v>
      </c>
      <c r="K91" s="416"/>
    </row>
    <row r="92" spans="1:11" x14ac:dyDescent="0.25">
      <c r="A92" t="s">
        <v>531</v>
      </c>
      <c r="B92" s="489">
        <v>39</v>
      </c>
      <c r="C92" s="517">
        <v>22</v>
      </c>
      <c r="D92" s="516" t="s">
        <v>532</v>
      </c>
      <c r="E92" s="490">
        <v>15</v>
      </c>
      <c r="F92" s="490">
        <v>10</v>
      </c>
      <c r="G92" s="517"/>
      <c r="H92" s="516" t="s">
        <v>533</v>
      </c>
      <c r="I92" t="s">
        <v>534</v>
      </c>
      <c r="J92" s="416">
        <v>43614</v>
      </c>
      <c r="K92" s="416"/>
    </row>
    <row r="93" spans="1:11" x14ac:dyDescent="0.25">
      <c r="A93" t="s">
        <v>535</v>
      </c>
      <c r="B93" s="489">
        <v>13</v>
      </c>
      <c r="C93" s="517">
        <v>18</v>
      </c>
      <c r="D93" s="516" t="s">
        <v>536</v>
      </c>
      <c r="E93" s="490">
        <v>8</v>
      </c>
      <c r="F93" s="490">
        <v>6</v>
      </c>
      <c r="G93" s="517"/>
      <c r="H93" s="516" t="s">
        <v>533</v>
      </c>
      <c r="I93" t="s">
        <v>534</v>
      </c>
      <c r="J93" s="416">
        <v>43614</v>
      </c>
      <c r="K93" s="416"/>
    </row>
    <row r="94" spans="1:11" x14ac:dyDescent="0.25">
      <c r="A94" t="s">
        <v>535</v>
      </c>
      <c r="B94" s="489">
        <v>17</v>
      </c>
      <c r="C94" s="517">
        <v>72</v>
      </c>
      <c r="D94" s="516" t="s">
        <v>532</v>
      </c>
      <c r="E94" s="490">
        <v>7</v>
      </c>
      <c r="F94" s="490">
        <v>31</v>
      </c>
      <c r="G94" s="517"/>
      <c r="H94" s="516" t="s">
        <v>533</v>
      </c>
      <c r="I94" t="s">
        <v>534</v>
      </c>
      <c r="J94" s="416">
        <v>43617</v>
      </c>
      <c r="K94" s="416"/>
    </row>
    <row r="95" spans="1:11" x14ac:dyDescent="0.25">
      <c r="A95" t="s">
        <v>531</v>
      </c>
      <c r="B95" s="489">
        <v>29</v>
      </c>
      <c r="C95" s="517">
        <v>21</v>
      </c>
      <c r="D95" s="516" t="s">
        <v>536</v>
      </c>
      <c r="E95" s="490">
        <v>17</v>
      </c>
      <c r="F95" s="490">
        <v>12</v>
      </c>
      <c r="G95" s="517"/>
      <c r="H95" s="516" t="s">
        <v>533</v>
      </c>
      <c r="I95" t="s">
        <v>534</v>
      </c>
      <c r="J95" s="416">
        <v>43617</v>
      </c>
      <c r="K95" s="416"/>
    </row>
    <row r="96" spans="1:11" x14ac:dyDescent="0.25">
      <c r="A96" t="s">
        <v>464</v>
      </c>
      <c r="B96" s="489">
        <v>34</v>
      </c>
      <c r="C96" s="517">
        <v>22</v>
      </c>
      <c r="D96" s="516" t="s">
        <v>529</v>
      </c>
      <c r="E96" s="490">
        <v>22</v>
      </c>
      <c r="F96" s="490">
        <v>0</v>
      </c>
      <c r="G96" s="517"/>
      <c r="H96" s="516" t="s">
        <v>438</v>
      </c>
      <c r="I96" t="s">
        <v>537</v>
      </c>
      <c r="J96" s="416">
        <v>43617</v>
      </c>
      <c r="K96" s="416"/>
    </row>
    <row r="97" spans="1:11" x14ac:dyDescent="0.25">
      <c r="A97" t="s">
        <v>107</v>
      </c>
      <c r="B97" s="489">
        <v>48</v>
      </c>
      <c r="C97" s="517">
        <v>26</v>
      </c>
      <c r="D97" s="516" t="s">
        <v>105</v>
      </c>
      <c r="E97" s="490">
        <v>29</v>
      </c>
      <c r="F97" s="490">
        <v>12</v>
      </c>
      <c r="G97" s="517"/>
      <c r="H97" s="516" t="s">
        <v>538</v>
      </c>
      <c r="I97" t="s">
        <v>240</v>
      </c>
      <c r="J97" s="416">
        <v>43620</v>
      </c>
      <c r="K97" s="416"/>
    </row>
    <row r="98" spans="1:11" x14ac:dyDescent="0.25">
      <c r="A98" t="s">
        <v>518</v>
      </c>
      <c r="B98" s="489">
        <v>10</v>
      </c>
      <c r="C98" s="517">
        <v>47</v>
      </c>
      <c r="D98" s="516" t="s">
        <v>539</v>
      </c>
      <c r="E98" s="490">
        <v>10</v>
      </c>
      <c r="F98" s="490">
        <v>14</v>
      </c>
      <c r="G98" s="517"/>
      <c r="H98" s="516" t="s">
        <v>520</v>
      </c>
      <c r="I98" t="s">
        <v>521</v>
      </c>
      <c r="J98" s="416">
        <v>43624</v>
      </c>
      <c r="K98" s="416"/>
    </row>
    <row r="99" spans="1:11" x14ac:dyDescent="0.25">
      <c r="A99" t="s">
        <v>467</v>
      </c>
      <c r="B99" s="489">
        <v>3</v>
      </c>
      <c r="C99" s="517">
        <v>50</v>
      </c>
      <c r="D99" s="516" t="s">
        <v>282</v>
      </c>
      <c r="E99" s="490">
        <v>3</v>
      </c>
      <c r="F99" s="490">
        <v>24</v>
      </c>
      <c r="G99" s="517"/>
      <c r="H99" s="516" t="s">
        <v>260</v>
      </c>
      <c r="I99" t="s">
        <v>540</v>
      </c>
      <c r="J99" s="416">
        <v>43624</v>
      </c>
      <c r="K99" s="416"/>
    </row>
    <row r="100" spans="1:11" x14ac:dyDescent="0.25">
      <c r="A100" t="s">
        <v>237</v>
      </c>
      <c r="B100" s="489">
        <v>11</v>
      </c>
      <c r="C100" s="517">
        <v>27</v>
      </c>
      <c r="D100" s="516" t="s">
        <v>244</v>
      </c>
      <c r="E100" s="490">
        <v>3</v>
      </c>
      <c r="F100" s="490">
        <v>13</v>
      </c>
      <c r="G100" s="517"/>
      <c r="H100" s="516" t="s">
        <v>541</v>
      </c>
      <c r="I100" t="s">
        <v>542</v>
      </c>
      <c r="J100" s="416">
        <v>43624</v>
      </c>
      <c r="K100" s="416"/>
    </row>
    <row r="101" spans="1:11" x14ac:dyDescent="0.25">
      <c r="A101" t="s">
        <v>251</v>
      </c>
      <c r="B101" s="489">
        <v>16</v>
      </c>
      <c r="C101" s="517">
        <v>22</v>
      </c>
      <c r="D101" s="516" t="s">
        <v>253</v>
      </c>
      <c r="E101" s="490">
        <v>13</v>
      </c>
      <c r="F101" s="490">
        <v>22</v>
      </c>
      <c r="G101" s="517"/>
      <c r="H101" s="516" t="s">
        <v>543</v>
      </c>
      <c r="I101" t="s">
        <v>252</v>
      </c>
      <c r="J101" s="416">
        <v>43624</v>
      </c>
      <c r="K101" s="416"/>
    </row>
    <row r="102" spans="1:11" x14ac:dyDescent="0.25">
      <c r="A102" t="s">
        <v>107</v>
      </c>
      <c r="B102" s="489">
        <v>28</v>
      </c>
      <c r="C102" s="517">
        <v>30</v>
      </c>
      <c r="D102" s="516" t="s">
        <v>193</v>
      </c>
      <c r="E102" s="490">
        <v>7</v>
      </c>
      <c r="F102" s="490">
        <v>17</v>
      </c>
      <c r="G102" s="517"/>
      <c r="H102" s="516" t="s">
        <v>538</v>
      </c>
      <c r="I102" t="s">
        <v>240</v>
      </c>
      <c r="J102" s="416">
        <v>43625</v>
      </c>
      <c r="K102" s="416"/>
    </row>
    <row r="103" spans="1:11" x14ac:dyDescent="0.25">
      <c r="A103" t="s">
        <v>539</v>
      </c>
      <c r="B103" s="489">
        <v>30</v>
      </c>
      <c r="C103" s="517">
        <v>24</v>
      </c>
      <c r="D103" s="516" t="s">
        <v>519</v>
      </c>
      <c r="E103" s="490">
        <v>15</v>
      </c>
      <c r="F103" s="490">
        <v>10</v>
      </c>
      <c r="G103" s="517"/>
      <c r="H103" s="516" t="s">
        <v>520</v>
      </c>
      <c r="I103" t="s">
        <v>539</v>
      </c>
      <c r="J103" s="416">
        <v>43631</v>
      </c>
      <c r="K103" s="416"/>
    </row>
    <row r="104" spans="1:11" x14ac:dyDescent="0.25">
      <c r="A104" t="s">
        <v>242</v>
      </c>
      <c r="B104" s="489">
        <v>32</v>
      </c>
      <c r="C104" s="517">
        <v>37</v>
      </c>
      <c r="D104" s="516" t="s">
        <v>257</v>
      </c>
      <c r="E104" s="490">
        <v>6</v>
      </c>
      <c r="F104" s="490">
        <v>20</v>
      </c>
      <c r="G104" s="517"/>
      <c r="H104" s="516" t="s">
        <v>544</v>
      </c>
      <c r="I104" t="s">
        <v>545</v>
      </c>
      <c r="J104" s="416">
        <v>43631</v>
      </c>
      <c r="K104" s="416"/>
    </row>
    <row r="105" spans="1:11" x14ac:dyDescent="0.25">
      <c r="A105" t="s">
        <v>193</v>
      </c>
      <c r="B105" s="489">
        <v>0</v>
      </c>
      <c r="C105" s="517">
        <v>20</v>
      </c>
      <c r="D105" s="516" t="s">
        <v>105</v>
      </c>
      <c r="E105" s="490">
        <v>0</v>
      </c>
      <c r="F105" s="490">
        <v>13</v>
      </c>
      <c r="G105" s="517"/>
      <c r="H105" s="516" t="s">
        <v>538</v>
      </c>
      <c r="I105" t="s">
        <v>240</v>
      </c>
      <c r="J105" s="416">
        <v>43631</v>
      </c>
      <c r="K105" s="416"/>
    </row>
    <row r="106" spans="1:11" x14ac:dyDescent="0.25">
      <c r="A106" t="s">
        <v>237</v>
      </c>
      <c r="B106" s="489">
        <v>22</v>
      </c>
      <c r="C106" s="517">
        <v>29</v>
      </c>
      <c r="D106" s="516" t="s">
        <v>253</v>
      </c>
      <c r="E106" s="490">
        <v>16</v>
      </c>
      <c r="F106" s="490">
        <v>17</v>
      </c>
      <c r="G106" s="517"/>
      <c r="H106" s="516" t="s">
        <v>543</v>
      </c>
      <c r="I106" t="s">
        <v>546</v>
      </c>
      <c r="J106" s="416">
        <v>43631</v>
      </c>
      <c r="K106" s="416"/>
    </row>
    <row r="107" spans="1:11" x14ac:dyDescent="0.25">
      <c r="A107" t="s">
        <v>251</v>
      </c>
      <c r="B107" s="489">
        <v>21</v>
      </c>
      <c r="C107" s="517">
        <v>22</v>
      </c>
      <c r="D107" s="516" t="s">
        <v>244</v>
      </c>
      <c r="E107" s="490">
        <v>13</v>
      </c>
      <c r="F107" s="490">
        <v>7</v>
      </c>
      <c r="G107" s="517"/>
      <c r="H107" s="516" t="s">
        <v>541</v>
      </c>
      <c r="I107" t="s">
        <v>267</v>
      </c>
      <c r="J107" s="416">
        <v>43631</v>
      </c>
      <c r="K107" s="416"/>
    </row>
    <row r="108" spans="1:11" x14ac:dyDescent="0.25">
      <c r="A108" t="s">
        <v>519</v>
      </c>
      <c r="B108" s="489">
        <v>0</v>
      </c>
      <c r="C108" s="517">
        <v>71</v>
      </c>
      <c r="D108" s="516" t="s">
        <v>539</v>
      </c>
      <c r="E108" s="490">
        <v>0</v>
      </c>
      <c r="F108" s="490">
        <v>33</v>
      </c>
      <c r="G108" s="517"/>
      <c r="H108" s="516" t="s">
        <v>520</v>
      </c>
      <c r="I108" t="s">
        <v>528</v>
      </c>
      <c r="J108" s="416">
        <v>43638</v>
      </c>
      <c r="K108" s="416"/>
    </row>
    <row r="109" spans="1:11" x14ac:dyDescent="0.25">
      <c r="A109" t="s">
        <v>547</v>
      </c>
      <c r="B109" s="489">
        <v>13</v>
      </c>
      <c r="C109" s="517">
        <v>16</v>
      </c>
      <c r="D109" s="516" t="s">
        <v>548</v>
      </c>
      <c r="E109" s="490">
        <v>3</v>
      </c>
      <c r="F109" s="490">
        <v>11</v>
      </c>
      <c r="G109" s="517"/>
      <c r="H109" s="516" t="s">
        <v>549</v>
      </c>
      <c r="I109" t="s">
        <v>550</v>
      </c>
      <c r="J109" s="416">
        <v>43638</v>
      </c>
      <c r="K109" s="416"/>
    </row>
    <row r="110" spans="1:11" x14ac:dyDescent="0.25">
      <c r="A110" t="s">
        <v>107</v>
      </c>
      <c r="B110" s="489">
        <v>21</v>
      </c>
      <c r="C110" s="517">
        <v>41</v>
      </c>
      <c r="D110" s="516" t="s">
        <v>253</v>
      </c>
      <c r="E110" s="490">
        <v>7</v>
      </c>
      <c r="F110" s="490">
        <v>26</v>
      </c>
      <c r="G110" s="517"/>
      <c r="H110" s="516" t="s">
        <v>543</v>
      </c>
      <c r="I110" t="s">
        <v>240</v>
      </c>
      <c r="J110" s="416">
        <v>43638</v>
      </c>
      <c r="K110" s="416"/>
    </row>
    <row r="111" spans="1:11" x14ac:dyDescent="0.25">
      <c r="A111" t="s">
        <v>551</v>
      </c>
      <c r="B111" s="489">
        <v>10</v>
      </c>
      <c r="C111" s="517">
        <v>63</v>
      </c>
      <c r="D111" s="516" t="s">
        <v>552</v>
      </c>
      <c r="E111" s="490">
        <v>7</v>
      </c>
      <c r="F111" s="490">
        <v>18</v>
      </c>
      <c r="G111" s="517"/>
      <c r="H111" s="516" t="s">
        <v>461</v>
      </c>
      <c r="I111" t="s">
        <v>553</v>
      </c>
      <c r="J111" s="416">
        <v>43639</v>
      </c>
      <c r="K111" s="416"/>
    </row>
    <row r="112" spans="1:11" x14ac:dyDescent="0.25">
      <c r="A112" t="s">
        <v>552</v>
      </c>
      <c r="B112" s="489">
        <v>74</v>
      </c>
      <c r="C112" s="517">
        <v>17</v>
      </c>
      <c r="D112" s="516" t="s">
        <v>554</v>
      </c>
      <c r="E112" s="490">
        <v>57</v>
      </c>
      <c r="F112" s="490">
        <v>7</v>
      </c>
      <c r="G112" s="517"/>
      <c r="H112" s="516" t="s">
        <v>461</v>
      </c>
      <c r="I112" t="s">
        <v>553</v>
      </c>
      <c r="J112" s="416">
        <v>43642</v>
      </c>
      <c r="K112" s="416"/>
    </row>
    <row r="113" spans="1:11" x14ac:dyDescent="0.25">
      <c r="A113" t="s">
        <v>539</v>
      </c>
      <c r="B113" s="489">
        <v>64</v>
      </c>
      <c r="C113" s="517">
        <v>3</v>
      </c>
      <c r="D113" s="516" t="s">
        <v>518</v>
      </c>
      <c r="E113" s="490">
        <v>31</v>
      </c>
      <c r="F113" s="490">
        <v>3</v>
      </c>
      <c r="G113" s="517"/>
      <c r="H113" s="516" t="s">
        <v>520</v>
      </c>
      <c r="I113" t="s">
        <v>539</v>
      </c>
      <c r="J113" s="416">
        <v>43645</v>
      </c>
      <c r="K113" s="416"/>
    </row>
    <row r="114" spans="1:11" x14ac:dyDescent="0.25">
      <c r="A114" t="s">
        <v>551</v>
      </c>
      <c r="B114" s="489">
        <v>12</v>
      </c>
      <c r="C114" s="517">
        <v>42</v>
      </c>
      <c r="D114" s="516" t="s">
        <v>554</v>
      </c>
      <c r="E114" s="490">
        <v>7</v>
      </c>
      <c r="F114" s="490">
        <v>23</v>
      </c>
      <c r="G114" s="517"/>
      <c r="H114" s="516" t="s">
        <v>461</v>
      </c>
      <c r="I114" t="s">
        <v>553</v>
      </c>
      <c r="J114" s="416">
        <v>43645</v>
      </c>
      <c r="K114" s="416"/>
    </row>
    <row r="115" spans="1:11" x14ac:dyDescent="0.25">
      <c r="A115" t="s">
        <v>548</v>
      </c>
      <c r="B115" s="489">
        <v>5</v>
      </c>
      <c r="C115" s="517">
        <v>16</v>
      </c>
      <c r="D115" s="516" t="s">
        <v>547</v>
      </c>
      <c r="E115" t="s">
        <v>259</v>
      </c>
      <c r="F115" t="s">
        <v>259</v>
      </c>
      <c r="G115" s="517"/>
      <c r="H115" s="516" t="s">
        <v>549</v>
      </c>
      <c r="I115" t="s">
        <v>722</v>
      </c>
      <c r="J115" s="416">
        <v>43659</v>
      </c>
      <c r="K115" s="416"/>
    </row>
    <row r="116" spans="1:11" x14ac:dyDescent="0.25">
      <c r="A116" t="s">
        <v>693</v>
      </c>
      <c r="B116" s="489">
        <v>39</v>
      </c>
      <c r="C116" s="517">
        <v>10</v>
      </c>
      <c r="D116" s="516" t="s">
        <v>723</v>
      </c>
      <c r="E116" t="s">
        <v>259</v>
      </c>
      <c r="F116" t="s">
        <v>259</v>
      </c>
      <c r="G116" s="517"/>
      <c r="H116" s="516" t="s">
        <v>724</v>
      </c>
      <c r="I116" t="s">
        <v>725</v>
      </c>
      <c r="J116" s="416">
        <v>43659</v>
      </c>
      <c r="K116" s="416"/>
    </row>
    <row r="117" spans="1:11" x14ac:dyDescent="0.25">
      <c r="A117" t="s">
        <v>561</v>
      </c>
      <c r="B117" s="489">
        <v>35</v>
      </c>
      <c r="C117" s="517">
        <v>17</v>
      </c>
      <c r="D117" s="516" t="s">
        <v>29</v>
      </c>
      <c r="E117">
        <v>14</v>
      </c>
      <c r="F117">
        <v>10</v>
      </c>
      <c r="G117" s="517"/>
      <c r="H117" s="516" t="s">
        <v>726</v>
      </c>
      <c r="I117" t="s">
        <v>727</v>
      </c>
      <c r="J117" s="416">
        <v>43666</v>
      </c>
      <c r="K117" s="416"/>
    </row>
    <row r="118" spans="1:11" x14ac:dyDescent="0.25">
      <c r="A118" t="s">
        <v>37</v>
      </c>
      <c r="B118" s="489">
        <v>16</v>
      </c>
      <c r="C118" s="517">
        <v>20</v>
      </c>
      <c r="D118" s="516" t="s">
        <v>563</v>
      </c>
      <c r="E118">
        <v>9</v>
      </c>
      <c r="F118">
        <v>20</v>
      </c>
      <c r="G118" s="517"/>
      <c r="H118" s="516" t="s">
        <v>728</v>
      </c>
      <c r="I118" t="s">
        <v>729</v>
      </c>
      <c r="J118" s="416">
        <v>43666</v>
      </c>
      <c r="K118" s="416"/>
    </row>
    <row r="119" spans="1:11" x14ac:dyDescent="0.25">
      <c r="A119" t="s">
        <v>148</v>
      </c>
      <c r="B119" s="489">
        <v>25</v>
      </c>
      <c r="C119" s="517">
        <v>17</v>
      </c>
      <c r="D119" s="516" t="s">
        <v>145</v>
      </c>
      <c r="E119">
        <v>3</v>
      </c>
      <c r="F119">
        <v>10</v>
      </c>
      <c r="G119" s="517"/>
      <c r="H119" s="516" t="s">
        <v>773</v>
      </c>
      <c r="I119" t="s">
        <v>774</v>
      </c>
      <c r="J119" s="416">
        <v>43673</v>
      </c>
      <c r="K119" s="416"/>
    </row>
    <row r="120" spans="1:11" x14ac:dyDescent="0.25">
      <c r="A120" t="s">
        <v>36</v>
      </c>
      <c r="B120" s="489">
        <v>34</v>
      </c>
      <c r="C120" s="517">
        <v>21</v>
      </c>
      <c r="D120" s="516" t="s">
        <v>31</v>
      </c>
      <c r="E120">
        <v>29</v>
      </c>
      <c r="F120">
        <v>14</v>
      </c>
      <c r="G120" s="517"/>
      <c r="H120" s="516" t="s">
        <v>773</v>
      </c>
      <c r="I120" t="s">
        <v>577</v>
      </c>
      <c r="J120" s="416">
        <v>43673</v>
      </c>
      <c r="K120" s="416"/>
    </row>
    <row r="121" spans="1:11" x14ac:dyDescent="0.25">
      <c r="A121" t="s">
        <v>563</v>
      </c>
      <c r="B121" s="489">
        <v>16</v>
      </c>
      <c r="C121" s="517">
        <v>16</v>
      </c>
      <c r="D121" s="516" t="s">
        <v>561</v>
      </c>
      <c r="E121">
        <v>7</v>
      </c>
      <c r="F121">
        <v>6</v>
      </c>
      <c r="G121" s="517"/>
      <c r="H121" s="516" t="s">
        <v>775</v>
      </c>
      <c r="I121" t="s">
        <v>776</v>
      </c>
      <c r="J121" s="416">
        <v>43673</v>
      </c>
      <c r="K121" s="416"/>
    </row>
    <row r="122" spans="1:11" x14ac:dyDescent="0.25">
      <c r="A122" t="s">
        <v>29</v>
      </c>
      <c r="B122" s="489">
        <v>16</v>
      </c>
      <c r="C122" s="517">
        <v>10</v>
      </c>
      <c r="D122" s="516" t="s">
        <v>37</v>
      </c>
      <c r="E122">
        <v>10</v>
      </c>
      <c r="F122">
        <v>3</v>
      </c>
      <c r="G122" s="517"/>
      <c r="H122" s="516" t="s">
        <v>777</v>
      </c>
      <c r="I122" t="s">
        <v>778</v>
      </c>
      <c r="J122" s="416">
        <v>43673</v>
      </c>
      <c r="K122" s="416"/>
    </row>
    <row r="123" spans="1:11" x14ac:dyDescent="0.25">
      <c r="A123" t="s">
        <v>548</v>
      </c>
      <c r="B123" s="489">
        <v>26</v>
      </c>
      <c r="C123" s="517">
        <v>31</v>
      </c>
      <c r="D123" s="516" t="s">
        <v>693</v>
      </c>
      <c r="E123">
        <v>12</v>
      </c>
      <c r="F123">
        <v>19</v>
      </c>
      <c r="G123" s="517"/>
      <c r="H123" s="516" t="s">
        <v>724</v>
      </c>
      <c r="I123" t="s">
        <v>722</v>
      </c>
      <c r="J123" s="416">
        <v>43673</v>
      </c>
      <c r="K123" s="416"/>
    </row>
    <row r="124" spans="1:11" x14ac:dyDescent="0.25">
      <c r="A124" t="s">
        <v>723</v>
      </c>
      <c r="B124" s="489">
        <v>23</v>
      </c>
      <c r="C124" s="517">
        <v>43</v>
      </c>
      <c r="D124" s="516" t="s">
        <v>547</v>
      </c>
      <c r="E124">
        <v>10</v>
      </c>
      <c r="F124">
        <v>23</v>
      </c>
      <c r="G124" s="517"/>
      <c r="H124" s="516" t="s">
        <v>724</v>
      </c>
      <c r="I124" t="s">
        <v>779</v>
      </c>
      <c r="J124" s="416">
        <v>43673</v>
      </c>
      <c r="K124" s="416"/>
    </row>
    <row r="125" spans="1:11" x14ac:dyDescent="0.25">
      <c r="A125" t="s">
        <v>60</v>
      </c>
      <c r="B125" s="489">
        <v>47</v>
      </c>
      <c r="C125" s="517">
        <v>19</v>
      </c>
      <c r="D125" s="516" t="s">
        <v>40</v>
      </c>
      <c r="E125">
        <v>20</v>
      </c>
      <c r="F125">
        <v>0</v>
      </c>
      <c r="G125" s="517"/>
      <c r="H125" s="516" t="s">
        <v>773</v>
      </c>
      <c r="I125" t="s">
        <v>780</v>
      </c>
      <c r="J125" s="416">
        <v>43673</v>
      </c>
      <c r="K125" s="416"/>
    </row>
    <row r="126" spans="1:11" x14ac:dyDescent="0.25">
      <c r="A126" t="s">
        <v>781</v>
      </c>
      <c r="B126" s="489">
        <v>12</v>
      </c>
      <c r="C126" s="517">
        <v>22</v>
      </c>
      <c r="D126" s="516" t="s">
        <v>692</v>
      </c>
      <c r="E126">
        <v>12</v>
      </c>
      <c r="F126">
        <v>12</v>
      </c>
      <c r="G126" s="517"/>
      <c r="H126" s="516" t="s">
        <v>782</v>
      </c>
      <c r="I126" t="s">
        <v>783</v>
      </c>
      <c r="J126" s="416">
        <v>43674</v>
      </c>
      <c r="K126" s="416"/>
    </row>
    <row r="127" spans="1:11" x14ac:dyDescent="0.25">
      <c r="A127" t="s">
        <v>692</v>
      </c>
      <c r="B127" s="489">
        <v>15</v>
      </c>
      <c r="C127" s="517">
        <v>14</v>
      </c>
      <c r="D127" s="516" t="s">
        <v>784</v>
      </c>
      <c r="E127" t="s">
        <v>259</v>
      </c>
      <c r="F127" t="s">
        <v>259</v>
      </c>
      <c r="G127" s="517"/>
      <c r="H127" s="516" t="s">
        <v>782</v>
      </c>
      <c r="I127" t="s">
        <v>783</v>
      </c>
      <c r="J127" s="416">
        <v>43677</v>
      </c>
      <c r="K127" s="416"/>
    </row>
    <row r="128" spans="1:11" x14ac:dyDescent="0.25">
      <c r="A128" t="s">
        <v>148</v>
      </c>
      <c r="B128" s="489">
        <v>10</v>
      </c>
      <c r="C128" s="517">
        <v>13</v>
      </c>
      <c r="D128" s="516" t="s">
        <v>60</v>
      </c>
      <c r="E128">
        <v>7</v>
      </c>
      <c r="F128">
        <v>10</v>
      </c>
      <c r="G128" s="517"/>
      <c r="H128" s="516" t="s">
        <v>773</v>
      </c>
      <c r="I128" t="s">
        <v>785</v>
      </c>
      <c r="J128" s="416">
        <v>43680</v>
      </c>
      <c r="K128" s="416"/>
    </row>
    <row r="129" spans="1:11" x14ac:dyDescent="0.25">
      <c r="A129" t="s">
        <v>31</v>
      </c>
      <c r="B129" s="489">
        <v>38</v>
      </c>
      <c r="C129" s="517">
        <v>13</v>
      </c>
      <c r="D129" s="516" t="s">
        <v>40</v>
      </c>
      <c r="E129">
        <v>19</v>
      </c>
      <c r="F129">
        <v>13</v>
      </c>
      <c r="G129" s="517"/>
      <c r="H129" s="516" t="s">
        <v>773</v>
      </c>
      <c r="I129" t="s">
        <v>785</v>
      </c>
      <c r="J129" s="416">
        <v>43680</v>
      </c>
      <c r="K129" s="416"/>
    </row>
    <row r="130" spans="1:11" x14ac:dyDescent="0.25">
      <c r="A130" t="s">
        <v>36</v>
      </c>
      <c r="B130" s="489">
        <v>41</v>
      </c>
      <c r="C130" s="517">
        <v>7</v>
      </c>
      <c r="D130" s="516" t="s">
        <v>145</v>
      </c>
      <c r="E130">
        <v>21</v>
      </c>
      <c r="F130">
        <v>0</v>
      </c>
      <c r="G130" s="517"/>
      <c r="H130" s="516" t="s">
        <v>773</v>
      </c>
      <c r="I130" t="s">
        <v>786</v>
      </c>
      <c r="J130" s="416">
        <v>43680</v>
      </c>
      <c r="K130" s="416"/>
    </row>
    <row r="131" spans="1:11" x14ac:dyDescent="0.25">
      <c r="A131" t="s">
        <v>781</v>
      </c>
      <c r="B131" s="489">
        <v>12</v>
      </c>
      <c r="C131" s="517">
        <v>14</v>
      </c>
      <c r="D131" s="516" t="s">
        <v>784</v>
      </c>
      <c r="E131" t="s">
        <v>259</v>
      </c>
      <c r="F131" t="s">
        <v>259</v>
      </c>
      <c r="G131" s="517"/>
      <c r="H131" s="516" t="s">
        <v>782</v>
      </c>
      <c r="I131" t="s">
        <v>783</v>
      </c>
      <c r="J131" s="416">
        <v>43680</v>
      </c>
      <c r="K131" s="416"/>
    </row>
    <row r="132" spans="1:11" x14ac:dyDescent="0.25">
      <c r="A132" t="s">
        <v>693</v>
      </c>
      <c r="B132" s="489">
        <v>30</v>
      </c>
      <c r="C132" s="517">
        <v>29</v>
      </c>
      <c r="D132" s="516" t="s">
        <v>547</v>
      </c>
      <c r="E132">
        <v>17</v>
      </c>
      <c r="F132">
        <v>17</v>
      </c>
      <c r="G132" s="517"/>
      <c r="H132" s="516" t="s">
        <v>724</v>
      </c>
      <c r="I132" t="s">
        <v>787</v>
      </c>
      <c r="J132" s="416">
        <v>43680</v>
      </c>
      <c r="K132" s="416"/>
    </row>
    <row r="133" spans="1:11" x14ac:dyDescent="0.25">
      <c r="A133" t="s">
        <v>40</v>
      </c>
      <c r="B133" s="489">
        <v>23</v>
      </c>
      <c r="C133" s="517">
        <v>33</v>
      </c>
      <c r="D133" s="516" t="s">
        <v>145</v>
      </c>
      <c r="E133">
        <v>8</v>
      </c>
      <c r="F133">
        <v>19</v>
      </c>
      <c r="G133" s="517"/>
      <c r="H133" s="516" t="s">
        <v>773</v>
      </c>
      <c r="I133" t="s">
        <v>788</v>
      </c>
      <c r="J133" s="416">
        <v>43686</v>
      </c>
      <c r="K133" s="416"/>
    </row>
    <row r="134" spans="1:11" x14ac:dyDescent="0.25">
      <c r="A134" t="s">
        <v>36</v>
      </c>
      <c r="B134" s="489">
        <v>34</v>
      </c>
      <c r="C134" s="517">
        <v>20</v>
      </c>
      <c r="D134" s="516" t="s">
        <v>60</v>
      </c>
      <c r="E134">
        <v>20</v>
      </c>
      <c r="F134">
        <v>13</v>
      </c>
      <c r="G134" s="517"/>
      <c r="H134" s="516" t="s">
        <v>773</v>
      </c>
      <c r="I134" t="s">
        <v>785</v>
      </c>
      <c r="J134" s="416">
        <v>43687</v>
      </c>
      <c r="K134" s="416"/>
    </row>
    <row r="135" spans="1:11" x14ac:dyDescent="0.25">
      <c r="A135" t="s">
        <v>31</v>
      </c>
      <c r="B135" s="489">
        <v>10</v>
      </c>
      <c r="C135" s="517">
        <v>3</v>
      </c>
      <c r="D135" s="516" t="s">
        <v>148</v>
      </c>
      <c r="E135">
        <v>3</v>
      </c>
      <c r="F135">
        <v>3</v>
      </c>
      <c r="G135" s="517"/>
      <c r="H135" s="516" t="s">
        <v>773</v>
      </c>
      <c r="I135" t="s">
        <v>785</v>
      </c>
      <c r="J135" s="416">
        <v>43687</v>
      </c>
      <c r="K135" s="416"/>
    </row>
    <row r="136" spans="1:11" x14ac:dyDescent="0.25">
      <c r="A136" t="s">
        <v>29</v>
      </c>
      <c r="B136" s="489">
        <v>47</v>
      </c>
      <c r="C136" s="517">
        <v>26</v>
      </c>
      <c r="D136" s="516" t="s">
        <v>563</v>
      </c>
      <c r="E136">
        <v>16</v>
      </c>
      <c r="F136">
        <v>12</v>
      </c>
      <c r="G136" s="517"/>
      <c r="H136" s="516" t="s">
        <v>789</v>
      </c>
      <c r="I136" t="s">
        <v>790</v>
      </c>
      <c r="J136" s="416">
        <v>43687</v>
      </c>
      <c r="K136" s="416"/>
    </row>
    <row r="137" spans="1:11" x14ac:dyDescent="0.25">
      <c r="A137" t="s">
        <v>39</v>
      </c>
      <c r="B137" s="489">
        <v>29</v>
      </c>
      <c r="C137" s="517">
        <v>10</v>
      </c>
      <c r="D137" s="516" t="s">
        <v>33</v>
      </c>
      <c r="E137">
        <v>19</v>
      </c>
      <c r="F137">
        <v>10</v>
      </c>
      <c r="G137" s="517"/>
      <c r="H137" s="516" t="s">
        <v>833</v>
      </c>
      <c r="I137" t="s">
        <v>290</v>
      </c>
      <c r="J137" s="416">
        <v>43687</v>
      </c>
      <c r="K137" s="416"/>
    </row>
    <row r="138" spans="1:11" x14ac:dyDescent="0.25">
      <c r="A138" t="s">
        <v>37</v>
      </c>
      <c r="B138" s="489">
        <v>13</v>
      </c>
      <c r="C138" s="517">
        <v>46</v>
      </c>
      <c r="D138" s="516" t="s">
        <v>561</v>
      </c>
      <c r="E138">
        <v>13</v>
      </c>
      <c r="F138">
        <v>24</v>
      </c>
      <c r="G138" s="517"/>
      <c r="H138" s="516" t="s">
        <v>728</v>
      </c>
      <c r="I138" t="s">
        <v>791</v>
      </c>
      <c r="J138" s="416">
        <v>43687</v>
      </c>
      <c r="K138" s="416"/>
    </row>
    <row r="139" spans="1:11" x14ac:dyDescent="0.25">
      <c r="A139" t="s">
        <v>30</v>
      </c>
      <c r="B139" s="489">
        <v>33</v>
      </c>
      <c r="C139" s="517">
        <v>19</v>
      </c>
      <c r="D139" s="516" t="s">
        <v>32</v>
      </c>
      <c r="E139">
        <v>21</v>
      </c>
      <c r="F139">
        <v>7</v>
      </c>
      <c r="G139" s="517"/>
      <c r="H139" s="516" t="s">
        <v>833</v>
      </c>
      <c r="I139" t="s">
        <v>67</v>
      </c>
      <c r="J139" s="416">
        <v>43688</v>
      </c>
      <c r="K139" s="416"/>
    </row>
    <row r="140" spans="1:11" x14ac:dyDescent="0.25">
      <c r="A140" t="s">
        <v>563</v>
      </c>
      <c r="B140" s="489">
        <v>36</v>
      </c>
      <c r="C140" s="517">
        <v>0</v>
      </c>
      <c r="D140" s="516" t="s">
        <v>29</v>
      </c>
      <c r="E140">
        <v>17</v>
      </c>
      <c r="F140">
        <v>0</v>
      </c>
      <c r="G140" s="517"/>
      <c r="H140" s="516" t="s">
        <v>812</v>
      </c>
      <c r="I140" t="s">
        <v>806</v>
      </c>
      <c r="J140" s="416">
        <v>43694</v>
      </c>
      <c r="K140" s="416"/>
    </row>
    <row r="141" spans="1:11" x14ac:dyDescent="0.25">
      <c r="A141" t="s">
        <v>548</v>
      </c>
      <c r="B141" s="489">
        <v>38</v>
      </c>
      <c r="C141" s="517">
        <v>22</v>
      </c>
      <c r="D141" s="516" t="s">
        <v>723</v>
      </c>
      <c r="E141" t="s">
        <v>259</v>
      </c>
      <c r="F141" t="s">
        <v>259</v>
      </c>
      <c r="G141" s="517"/>
      <c r="H141" s="516" t="s">
        <v>724</v>
      </c>
      <c r="I141" t="s">
        <v>722</v>
      </c>
      <c r="J141" s="416">
        <v>43694</v>
      </c>
      <c r="K141" s="416"/>
    </row>
    <row r="142" spans="1:11" x14ac:dyDescent="0.25">
      <c r="A142" t="s">
        <v>32</v>
      </c>
      <c r="B142" s="489">
        <v>13</v>
      </c>
      <c r="C142" s="517">
        <v>6</v>
      </c>
      <c r="D142" s="516" t="s">
        <v>30</v>
      </c>
      <c r="E142">
        <v>10</v>
      </c>
      <c r="F142">
        <v>0</v>
      </c>
      <c r="G142" s="517"/>
      <c r="H142" s="516" t="s">
        <v>833</v>
      </c>
      <c r="I142" t="s">
        <v>289</v>
      </c>
      <c r="J142" s="416">
        <v>43694</v>
      </c>
      <c r="K142" s="416"/>
    </row>
    <row r="143" spans="1:11" x14ac:dyDescent="0.25">
      <c r="A143" t="s">
        <v>561</v>
      </c>
      <c r="B143" s="489">
        <v>24</v>
      </c>
      <c r="C143" s="517">
        <v>18</v>
      </c>
      <c r="D143" s="516" t="s">
        <v>37</v>
      </c>
      <c r="E143">
        <v>8</v>
      </c>
      <c r="F143">
        <v>3</v>
      </c>
      <c r="G143" s="517"/>
      <c r="H143" s="516" t="s">
        <v>833</v>
      </c>
      <c r="I143" t="s">
        <v>807</v>
      </c>
      <c r="J143" s="416">
        <v>43694</v>
      </c>
      <c r="K143" s="416"/>
    </row>
    <row r="144" spans="1:11" x14ac:dyDescent="0.25">
      <c r="A144" t="s">
        <v>33</v>
      </c>
      <c r="B144" s="489">
        <v>85</v>
      </c>
      <c r="C144" s="517">
        <v>15</v>
      </c>
      <c r="D144" s="516" t="s">
        <v>105</v>
      </c>
      <c r="E144">
        <v>38</v>
      </c>
      <c r="F144">
        <v>8</v>
      </c>
      <c r="G144" s="517"/>
      <c r="H144" s="516" t="s">
        <v>833</v>
      </c>
      <c r="I144" t="s">
        <v>808</v>
      </c>
      <c r="J144" s="416">
        <v>43694</v>
      </c>
      <c r="K144" s="416"/>
    </row>
    <row r="145" spans="1:11" x14ac:dyDescent="0.25">
      <c r="A145" t="s">
        <v>34</v>
      </c>
      <c r="B145" s="489">
        <v>32</v>
      </c>
      <c r="C145" s="517">
        <v>3</v>
      </c>
      <c r="D145" s="516" t="s">
        <v>35</v>
      </c>
      <c r="E145">
        <v>20</v>
      </c>
      <c r="F145">
        <v>3</v>
      </c>
      <c r="G145" s="517"/>
      <c r="H145" s="516" t="s">
        <v>833</v>
      </c>
      <c r="I145" t="s">
        <v>809</v>
      </c>
      <c r="J145" s="416">
        <v>43694</v>
      </c>
      <c r="K145" s="416"/>
    </row>
    <row r="146" spans="1:11" x14ac:dyDescent="0.25">
      <c r="A146" t="s">
        <v>30</v>
      </c>
      <c r="B146" s="489">
        <v>57</v>
      </c>
      <c r="C146" s="517">
        <v>15</v>
      </c>
      <c r="D146" s="516" t="s">
        <v>39</v>
      </c>
      <c r="E146">
        <v>22</v>
      </c>
      <c r="F146">
        <v>10</v>
      </c>
      <c r="G146" s="517"/>
      <c r="H146" s="516" t="s">
        <v>833</v>
      </c>
      <c r="I146" t="s">
        <v>67</v>
      </c>
      <c r="J146" s="416">
        <v>43701</v>
      </c>
      <c r="K146" s="416"/>
    </row>
    <row r="147" spans="1:11" x14ac:dyDescent="0.25">
      <c r="A147" t="s">
        <v>35</v>
      </c>
      <c r="B147" s="489">
        <v>17</v>
      </c>
      <c r="C147" s="517">
        <v>14</v>
      </c>
      <c r="D147" s="516" t="s">
        <v>34</v>
      </c>
      <c r="E147">
        <v>10</v>
      </c>
      <c r="F147">
        <v>14</v>
      </c>
      <c r="G147" s="517"/>
      <c r="H147" s="516" t="s">
        <v>833</v>
      </c>
      <c r="I147" t="s">
        <v>292</v>
      </c>
      <c r="J147" s="416">
        <v>43701</v>
      </c>
      <c r="K147" s="416"/>
    </row>
    <row r="148" spans="1:11" x14ac:dyDescent="0.25">
      <c r="A148" t="s">
        <v>693</v>
      </c>
      <c r="B148" s="489">
        <v>32</v>
      </c>
      <c r="C148" s="517">
        <v>26</v>
      </c>
      <c r="D148" s="516" t="s">
        <v>548</v>
      </c>
      <c r="E148">
        <v>15</v>
      </c>
      <c r="F148">
        <v>12</v>
      </c>
      <c r="G148" s="517"/>
      <c r="H148" s="516" t="s">
        <v>724</v>
      </c>
      <c r="I148" t="s">
        <v>725</v>
      </c>
      <c r="J148" s="416">
        <v>43701</v>
      </c>
      <c r="K148" s="416"/>
    </row>
    <row r="149" spans="1:11" x14ac:dyDescent="0.25">
      <c r="A149" t="s">
        <v>524</v>
      </c>
      <c r="B149" s="489">
        <v>83</v>
      </c>
      <c r="C149" s="517">
        <v>6</v>
      </c>
      <c r="D149" s="516" t="s">
        <v>247</v>
      </c>
      <c r="E149">
        <v>31</v>
      </c>
      <c r="F149">
        <v>6</v>
      </c>
      <c r="G149" s="517"/>
      <c r="H149" s="516" t="s">
        <v>810</v>
      </c>
      <c r="I149" t="s">
        <v>525</v>
      </c>
      <c r="J149" s="416">
        <v>43702</v>
      </c>
      <c r="K149" s="416"/>
    </row>
    <row r="150" spans="1:11" x14ac:dyDescent="0.25">
      <c r="A150" t="s">
        <v>811</v>
      </c>
      <c r="B150" s="489">
        <v>35</v>
      </c>
      <c r="C150" s="517">
        <v>27</v>
      </c>
      <c r="D150" s="516" t="s">
        <v>509</v>
      </c>
      <c r="E150">
        <v>22</v>
      </c>
      <c r="F150">
        <v>14</v>
      </c>
      <c r="G150" s="517"/>
      <c r="H150" s="516" t="s">
        <v>810</v>
      </c>
      <c r="I150" t="s">
        <v>525</v>
      </c>
      <c r="J150" s="416">
        <v>43702</v>
      </c>
      <c r="K150" s="416"/>
    </row>
    <row r="151" spans="1:11" x14ac:dyDescent="0.25">
      <c r="A151" t="s">
        <v>247</v>
      </c>
      <c r="B151" s="489">
        <v>7</v>
      </c>
      <c r="C151" s="517">
        <v>57</v>
      </c>
      <c r="D151" s="516" t="s">
        <v>509</v>
      </c>
      <c r="E151">
        <v>7</v>
      </c>
      <c r="F151">
        <v>31</v>
      </c>
      <c r="G151" s="517"/>
      <c r="H151" s="516" t="s">
        <v>810</v>
      </c>
      <c r="I151" t="s">
        <v>525</v>
      </c>
      <c r="J151" s="416">
        <v>43705</v>
      </c>
      <c r="K151" s="416"/>
    </row>
    <row r="152" spans="1:11" x14ac:dyDescent="0.25">
      <c r="A152" t="s">
        <v>524</v>
      </c>
      <c r="B152" s="489">
        <v>51</v>
      </c>
      <c r="C152" s="517">
        <v>24</v>
      </c>
      <c r="D152" s="516" t="s">
        <v>811</v>
      </c>
      <c r="E152">
        <v>36</v>
      </c>
      <c r="F152">
        <v>5</v>
      </c>
      <c r="G152" s="517"/>
      <c r="H152" s="516" t="s">
        <v>810</v>
      </c>
      <c r="I152" t="s">
        <v>525</v>
      </c>
      <c r="J152" s="416">
        <v>43705</v>
      </c>
      <c r="K152" s="416"/>
    </row>
    <row r="153" spans="1:11" x14ac:dyDescent="0.25">
      <c r="A153" t="s">
        <v>34</v>
      </c>
      <c r="B153" s="489">
        <v>47</v>
      </c>
      <c r="C153" s="517">
        <v>19</v>
      </c>
      <c r="D153" s="516" t="s">
        <v>33</v>
      </c>
      <c r="E153">
        <v>19</v>
      </c>
      <c r="F153">
        <v>7</v>
      </c>
      <c r="G153" s="517"/>
      <c r="H153" s="516" t="s">
        <v>833</v>
      </c>
      <c r="I153" t="s">
        <v>70</v>
      </c>
      <c r="J153" s="416">
        <v>43707</v>
      </c>
      <c r="K153" s="416"/>
    </row>
    <row r="154" spans="1:11" x14ac:dyDescent="0.25">
      <c r="A154" t="s">
        <v>826</v>
      </c>
      <c r="B154" s="489">
        <v>0</v>
      </c>
      <c r="C154" s="517">
        <v>87</v>
      </c>
      <c r="D154" s="516" t="s">
        <v>827</v>
      </c>
      <c r="E154" t="s">
        <v>259</v>
      </c>
      <c r="F154" t="s">
        <v>259</v>
      </c>
      <c r="G154" s="517"/>
      <c r="H154" s="516" t="s">
        <v>828</v>
      </c>
      <c r="I154" t="s">
        <v>829</v>
      </c>
      <c r="J154" s="416">
        <v>43708</v>
      </c>
      <c r="K154" s="416"/>
    </row>
    <row r="155" spans="1:11" x14ac:dyDescent="0.25">
      <c r="A155" t="s">
        <v>31</v>
      </c>
      <c r="B155" s="489">
        <v>29</v>
      </c>
      <c r="C155" s="517">
        <v>19</v>
      </c>
      <c r="D155" s="516" t="s">
        <v>145</v>
      </c>
      <c r="E155">
        <v>17</v>
      </c>
      <c r="F155">
        <v>12</v>
      </c>
      <c r="G155" s="517"/>
      <c r="H155" s="516" t="s">
        <v>833</v>
      </c>
      <c r="I155" t="s">
        <v>806</v>
      </c>
      <c r="J155" s="416">
        <v>43708</v>
      </c>
      <c r="K155" s="416"/>
    </row>
    <row r="156" spans="1:11" x14ac:dyDescent="0.25">
      <c r="A156" t="s">
        <v>830</v>
      </c>
      <c r="B156" s="489">
        <v>15</v>
      </c>
      <c r="C156" s="517">
        <v>13</v>
      </c>
      <c r="D156" s="516" t="s">
        <v>831</v>
      </c>
      <c r="E156" t="s">
        <v>259</v>
      </c>
      <c r="F156" t="s">
        <v>259</v>
      </c>
      <c r="G156" s="517"/>
      <c r="H156" s="516" t="s">
        <v>828</v>
      </c>
      <c r="I156" t="s">
        <v>829</v>
      </c>
      <c r="J156" s="416">
        <v>43708</v>
      </c>
      <c r="K156" s="416"/>
    </row>
    <row r="157" spans="1:11" x14ac:dyDescent="0.25">
      <c r="A157" t="s">
        <v>32</v>
      </c>
      <c r="B157" s="489">
        <v>17</v>
      </c>
      <c r="C157" s="517">
        <v>22</v>
      </c>
      <c r="D157" s="516" t="s">
        <v>39</v>
      </c>
      <c r="E157">
        <v>3</v>
      </c>
      <c r="F157">
        <v>15</v>
      </c>
      <c r="G157" s="517"/>
      <c r="H157" s="516" t="s">
        <v>833</v>
      </c>
      <c r="I157" t="s">
        <v>289</v>
      </c>
      <c r="J157" s="416">
        <v>43708</v>
      </c>
      <c r="K157" s="416"/>
    </row>
    <row r="158" spans="1:11" x14ac:dyDescent="0.25">
      <c r="A158" t="s">
        <v>723</v>
      </c>
      <c r="B158" s="489">
        <v>26</v>
      </c>
      <c r="C158" s="517">
        <v>35</v>
      </c>
      <c r="D158" s="516" t="s">
        <v>548</v>
      </c>
      <c r="E158">
        <v>9</v>
      </c>
      <c r="F158">
        <v>21</v>
      </c>
      <c r="G158" s="517"/>
      <c r="H158" s="516" t="s">
        <v>724</v>
      </c>
      <c r="I158" t="s">
        <v>832</v>
      </c>
      <c r="J158" s="416">
        <v>43708</v>
      </c>
      <c r="K158" s="416"/>
    </row>
    <row r="159" spans="1:11" x14ac:dyDescent="0.25">
      <c r="A159" t="s">
        <v>524</v>
      </c>
      <c r="B159" s="489">
        <v>54</v>
      </c>
      <c r="C159" s="517">
        <v>15</v>
      </c>
      <c r="D159" s="516" t="s">
        <v>509</v>
      </c>
      <c r="E159">
        <v>26</v>
      </c>
      <c r="F159">
        <v>12</v>
      </c>
      <c r="G159" s="517"/>
      <c r="H159" s="516" t="s">
        <v>810</v>
      </c>
      <c r="I159" t="s">
        <v>525</v>
      </c>
      <c r="J159" s="416">
        <v>43708</v>
      </c>
      <c r="K159" s="416"/>
    </row>
    <row r="160" spans="1:11" x14ac:dyDescent="0.25">
      <c r="A160" t="s">
        <v>38</v>
      </c>
      <c r="B160" s="489">
        <v>10</v>
      </c>
      <c r="C160" s="517">
        <v>44</v>
      </c>
      <c r="D160" s="516" t="s">
        <v>35</v>
      </c>
      <c r="E160">
        <v>3</v>
      </c>
      <c r="F160">
        <v>23</v>
      </c>
      <c r="G160" s="517"/>
      <c r="H160" s="516" t="s">
        <v>833</v>
      </c>
      <c r="I160" t="s">
        <v>262</v>
      </c>
      <c r="J160" s="416">
        <v>43708</v>
      </c>
      <c r="K160" s="416"/>
    </row>
    <row r="161" spans="1:12" x14ac:dyDescent="0.25">
      <c r="A161" t="s">
        <v>247</v>
      </c>
      <c r="B161" s="489">
        <v>7</v>
      </c>
      <c r="C161" s="517">
        <v>105</v>
      </c>
      <c r="D161" s="516" t="s">
        <v>811</v>
      </c>
      <c r="E161" t="s">
        <v>259</v>
      </c>
      <c r="F161" t="s">
        <v>259</v>
      </c>
      <c r="G161" s="517"/>
      <c r="H161" s="516" t="s">
        <v>810</v>
      </c>
      <c r="I161" t="s">
        <v>525</v>
      </c>
      <c r="J161" s="416">
        <v>43708</v>
      </c>
      <c r="K161" s="416"/>
    </row>
    <row r="162" spans="1:12" x14ac:dyDescent="0.25">
      <c r="A162" t="s">
        <v>36</v>
      </c>
      <c r="B162" s="489">
        <v>7</v>
      </c>
      <c r="C162" s="517">
        <v>41</v>
      </c>
      <c r="D162" s="516" t="s">
        <v>561</v>
      </c>
      <c r="E162">
        <v>0</v>
      </c>
      <c r="F162">
        <v>22</v>
      </c>
      <c r="G162" s="517"/>
      <c r="H162" s="516" t="s">
        <v>833</v>
      </c>
      <c r="I162" t="s">
        <v>888</v>
      </c>
      <c r="J162" s="416">
        <v>43714</v>
      </c>
      <c r="K162" s="416"/>
    </row>
    <row r="163" spans="1:12" x14ac:dyDescent="0.25">
      <c r="A163" t="s">
        <v>35</v>
      </c>
      <c r="B163" s="489">
        <v>36</v>
      </c>
      <c r="C163" s="517">
        <v>9</v>
      </c>
      <c r="D163" s="516" t="s">
        <v>38</v>
      </c>
      <c r="E163">
        <v>10</v>
      </c>
      <c r="F163">
        <v>9</v>
      </c>
      <c r="G163" s="517"/>
      <c r="H163" s="516" t="s">
        <v>833</v>
      </c>
      <c r="I163" t="s">
        <v>292</v>
      </c>
      <c r="J163" s="416">
        <v>43714</v>
      </c>
      <c r="K163" s="416"/>
    </row>
    <row r="164" spans="1:12" x14ac:dyDescent="0.25">
      <c r="A164" t="s">
        <v>30</v>
      </c>
      <c r="B164" s="489">
        <v>37</v>
      </c>
      <c r="C164" s="517">
        <v>0</v>
      </c>
      <c r="D164" s="516" t="s">
        <v>33</v>
      </c>
      <c r="E164">
        <v>9</v>
      </c>
      <c r="F164">
        <v>0</v>
      </c>
      <c r="G164" s="517"/>
      <c r="H164" s="516" t="s">
        <v>833</v>
      </c>
      <c r="I164" t="s">
        <v>917</v>
      </c>
      <c r="J164" s="416">
        <v>43714</v>
      </c>
      <c r="K164" s="416"/>
      <c r="L164" s="416"/>
    </row>
    <row r="165" spans="1:12" x14ac:dyDescent="0.25">
      <c r="A165" t="s">
        <v>563</v>
      </c>
      <c r="B165" s="489">
        <v>92</v>
      </c>
      <c r="C165" s="517">
        <v>7</v>
      </c>
      <c r="D165" s="516" t="s">
        <v>145</v>
      </c>
      <c r="E165">
        <v>54</v>
      </c>
      <c r="F165">
        <v>0</v>
      </c>
      <c r="G165" s="517"/>
      <c r="H165" s="516" t="s">
        <v>833</v>
      </c>
      <c r="I165" t="s">
        <v>286</v>
      </c>
      <c r="J165" s="416">
        <v>43715</v>
      </c>
      <c r="K165" s="416"/>
      <c r="L165" s="416"/>
    </row>
    <row r="166" spans="1:12" x14ac:dyDescent="0.25">
      <c r="A166" t="s">
        <v>29</v>
      </c>
      <c r="B166" s="489">
        <v>34</v>
      </c>
      <c r="C166" s="517">
        <v>15</v>
      </c>
      <c r="D166" s="516" t="s">
        <v>148</v>
      </c>
      <c r="E166">
        <v>22</v>
      </c>
      <c r="F166">
        <v>3</v>
      </c>
      <c r="G166" s="517"/>
      <c r="H166" s="516" t="s">
        <v>833</v>
      </c>
      <c r="I166" t="s">
        <v>845</v>
      </c>
      <c r="J166" s="416">
        <v>43715</v>
      </c>
      <c r="K166" s="416"/>
    </row>
    <row r="167" spans="1:12" x14ac:dyDescent="0.25">
      <c r="A167" t="s">
        <v>39</v>
      </c>
      <c r="B167" s="489">
        <v>19</v>
      </c>
      <c r="C167" s="517">
        <v>10</v>
      </c>
      <c r="D167" s="516" t="s">
        <v>32</v>
      </c>
      <c r="E167">
        <v>7</v>
      </c>
      <c r="F167">
        <v>10</v>
      </c>
      <c r="G167" s="517"/>
      <c r="H167" s="516" t="s">
        <v>833</v>
      </c>
      <c r="I167" t="s">
        <v>290</v>
      </c>
      <c r="J167" s="416">
        <v>43715</v>
      </c>
      <c r="K167" s="416"/>
    </row>
    <row r="168" spans="1:12" x14ac:dyDescent="0.25">
      <c r="A168" t="s">
        <v>40</v>
      </c>
      <c r="B168" s="489">
        <v>15</v>
      </c>
      <c r="C168" s="517">
        <v>20</v>
      </c>
      <c r="D168" s="516" t="s">
        <v>60</v>
      </c>
      <c r="E168">
        <v>10</v>
      </c>
      <c r="F168">
        <v>12</v>
      </c>
      <c r="G168" s="517"/>
      <c r="H168" s="516" t="s">
        <v>833</v>
      </c>
      <c r="I168" t="s">
        <v>846</v>
      </c>
      <c r="J168" s="416">
        <v>43715</v>
      </c>
      <c r="K168" s="416"/>
    </row>
    <row r="169" spans="1:12" x14ac:dyDescent="0.25">
      <c r="A169" t="s">
        <v>36</v>
      </c>
      <c r="B169" s="489">
        <v>30</v>
      </c>
      <c r="C169" s="517">
        <v>10</v>
      </c>
      <c r="D169" s="516" t="s">
        <v>105</v>
      </c>
      <c r="E169">
        <v>12</v>
      </c>
      <c r="F169">
        <v>7</v>
      </c>
      <c r="G169" s="517"/>
      <c r="H169" s="516" t="s">
        <v>856</v>
      </c>
      <c r="I169" t="s">
        <v>857</v>
      </c>
      <c r="J169" s="416">
        <v>43728</v>
      </c>
      <c r="K169" s="416"/>
    </row>
    <row r="170" spans="1:12" x14ac:dyDescent="0.25">
      <c r="A170" t="s">
        <v>29</v>
      </c>
      <c r="B170" s="489">
        <v>39</v>
      </c>
      <c r="C170" s="517">
        <v>21</v>
      </c>
      <c r="D170" s="516" t="s">
        <v>31</v>
      </c>
      <c r="E170">
        <v>12</v>
      </c>
      <c r="F170">
        <v>14</v>
      </c>
      <c r="G170" s="517"/>
      <c r="H170" s="516" t="s">
        <v>861</v>
      </c>
      <c r="I170" t="s">
        <v>862</v>
      </c>
      <c r="J170" s="416">
        <v>43729</v>
      </c>
      <c r="K170" s="416"/>
    </row>
    <row r="171" spans="1:12" x14ac:dyDescent="0.25">
      <c r="A171" t="s">
        <v>34</v>
      </c>
      <c r="B171" s="489">
        <v>23</v>
      </c>
      <c r="C171" s="517">
        <v>21</v>
      </c>
      <c r="D171" s="516" t="s">
        <v>37</v>
      </c>
      <c r="E171">
        <v>20</v>
      </c>
      <c r="F171">
        <v>3</v>
      </c>
      <c r="G171" s="517"/>
      <c r="H171" s="516" t="s">
        <v>863</v>
      </c>
      <c r="I171" t="s">
        <v>857</v>
      </c>
      <c r="J171" s="416">
        <v>43729</v>
      </c>
      <c r="K171" s="416"/>
    </row>
    <row r="172" spans="1:12" x14ac:dyDescent="0.25">
      <c r="A172" t="s">
        <v>865</v>
      </c>
      <c r="B172" s="489">
        <v>23</v>
      </c>
      <c r="C172" s="517">
        <v>13</v>
      </c>
      <c r="D172" s="516" t="s">
        <v>561</v>
      </c>
      <c r="E172">
        <v>17</v>
      </c>
      <c r="F172">
        <v>3</v>
      </c>
      <c r="G172" s="517"/>
      <c r="H172" s="516" t="s">
        <v>866</v>
      </c>
      <c r="I172" t="s">
        <v>867</v>
      </c>
      <c r="J172" s="416">
        <v>43729</v>
      </c>
      <c r="K172" s="416"/>
    </row>
    <row r="173" spans="1:12" x14ac:dyDescent="0.25">
      <c r="A173" t="s">
        <v>33</v>
      </c>
      <c r="B173" s="489">
        <v>47</v>
      </c>
      <c r="C173" s="517">
        <v>22</v>
      </c>
      <c r="D173" s="516" t="s">
        <v>193</v>
      </c>
      <c r="E173">
        <v>21</v>
      </c>
      <c r="F173">
        <v>7</v>
      </c>
      <c r="G173" s="517"/>
      <c r="H173" s="516" t="s">
        <v>866</v>
      </c>
      <c r="I173" t="s">
        <v>875</v>
      </c>
      <c r="J173" s="416">
        <v>43730</v>
      </c>
      <c r="K173" s="416"/>
    </row>
    <row r="174" spans="1:12" x14ac:dyDescent="0.25">
      <c r="A174" t="s">
        <v>39</v>
      </c>
      <c r="B174" s="489">
        <v>27</v>
      </c>
      <c r="C174" s="517">
        <v>3</v>
      </c>
      <c r="D174" s="516" t="s">
        <v>35</v>
      </c>
      <c r="E174">
        <v>19</v>
      </c>
      <c r="F174">
        <v>3</v>
      </c>
      <c r="G174" s="517"/>
      <c r="H174" s="516" t="s">
        <v>856</v>
      </c>
      <c r="I174" t="s">
        <v>867</v>
      </c>
      <c r="J174" s="416">
        <v>43730</v>
      </c>
      <c r="K174" s="416"/>
    </row>
    <row r="175" spans="1:12" x14ac:dyDescent="0.25">
      <c r="A175" t="s">
        <v>30</v>
      </c>
      <c r="B175" s="489">
        <v>35</v>
      </c>
      <c r="C175" s="517">
        <v>3</v>
      </c>
      <c r="D175" s="516" t="s">
        <v>145</v>
      </c>
      <c r="E175">
        <v>18</v>
      </c>
      <c r="F175">
        <v>3</v>
      </c>
      <c r="G175" s="517"/>
      <c r="H175" s="516" t="s">
        <v>863</v>
      </c>
      <c r="I175" t="s">
        <v>862</v>
      </c>
      <c r="J175" s="416">
        <v>43730</v>
      </c>
      <c r="K175" s="416"/>
    </row>
    <row r="176" spans="1:12" x14ac:dyDescent="0.25">
      <c r="A176" t="s">
        <v>32</v>
      </c>
      <c r="B176" s="489">
        <v>43</v>
      </c>
      <c r="C176" s="517">
        <v>14</v>
      </c>
      <c r="D176" s="516" t="s">
        <v>38</v>
      </c>
      <c r="E176">
        <v>27</v>
      </c>
      <c r="F176">
        <v>0</v>
      </c>
      <c r="G176" s="517"/>
      <c r="H176" s="516" t="s">
        <v>861</v>
      </c>
      <c r="I176" t="s">
        <v>884</v>
      </c>
      <c r="J176" s="416">
        <v>43731</v>
      </c>
      <c r="K176" s="416"/>
    </row>
    <row r="177" spans="1:11" x14ac:dyDescent="0.25">
      <c r="A177" t="s">
        <v>105</v>
      </c>
      <c r="B177" s="489">
        <v>9</v>
      </c>
      <c r="C177" s="517">
        <v>34</v>
      </c>
      <c r="D177" s="516" t="s">
        <v>148</v>
      </c>
      <c r="E177">
        <v>6</v>
      </c>
      <c r="F177">
        <v>5</v>
      </c>
      <c r="G177" s="517"/>
      <c r="H177" s="516" t="s">
        <v>856</v>
      </c>
      <c r="I177" t="s">
        <v>888</v>
      </c>
      <c r="J177" s="416">
        <v>43732</v>
      </c>
      <c r="K177" s="416"/>
    </row>
    <row r="178" spans="1:11" x14ac:dyDescent="0.25">
      <c r="A178" t="s">
        <v>31</v>
      </c>
      <c r="B178" s="489">
        <v>27</v>
      </c>
      <c r="C178" s="517">
        <v>30</v>
      </c>
      <c r="D178" s="516" t="s">
        <v>107</v>
      </c>
      <c r="E178">
        <v>12</v>
      </c>
      <c r="F178">
        <v>24</v>
      </c>
      <c r="G178" s="517"/>
      <c r="H178" s="516" t="s">
        <v>861</v>
      </c>
      <c r="I178" t="s">
        <v>892</v>
      </c>
      <c r="J178" s="416">
        <v>43733</v>
      </c>
      <c r="K178" s="416"/>
    </row>
    <row r="179" spans="1:11" x14ac:dyDescent="0.25">
      <c r="A179" t="s">
        <v>33</v>
      </c>
      <c r="B179" s="489">
        <v>48</v>
      </c>
      <c r="C179" s="517">
        <v>7</v>
      </c>
      <c r="D179" s="516" t="s">
        <v>40</v>
      </c>
      <c r="E179">
        <v>17</v>
      </c>
      <c r="F179">
        <v>0</v>
      </c>
      <c r="G179" s="517"/>
      <c r="H179" s="516" t="s">
        <v>866</v>
      </c>
      <c r="I179" t="s">
        <v>894</v>
      </c>
      <c r="J179" s="416">
        <v>43734</v>
      </c>
      <c r="K179" s="416"/>
    </row>
    <row r="180" spans="1:11" x14ac:dyDescent="0.25">
      <c r="A180" t="s">
        <v>30</v>
      </c>
      <c r="B180" s="489">
        <v>45</v>
      </c>
      <c r="C180" s="517">
        <v>7</v>
      </c>
      <c r="D180" s="516" t="s">
        <v>60</v>
      </c>
      <c r="E180">
        <v>19</v>
      </c>
      <c r="F180">
        <v>0</v>
      </c>
      <c r="G180" s="517"/>
      <c r="H180" s="516" t="s">
        <v>863</v>
      </c>
      <c r="I180" t="s">
        <v>918</v>
      </c>
      <c r="J180" s="416">
        <v>43734</v>
      </c>
      <c r="K180" s="416"/>
    </row>
    <row r="181" spans="1:11" x14ac:dyDescent="0.25">
      <c r="A181" t="s">
        <v>37</v>
      </c>
      <c r="B181" s="489">
        <v>28</v>
      </c>
      <c r="C181" s="517">
        <v>12</v>
      </c>
      <c r="D181" s="516" t="s">
        <v>145</v>
      </c>
      <c r="E181">
        <v>28</v>
      </c>
      <c r="F181">
        <v>7</v>
      </c>
      <c r="G181" s="517"/>
      <c r="H181" s="516" t="s">
        <v>863</v>
      </c>
      <c r="I181" t="s">
        <v>875</v>
      </c>
      <c r="J181" s="416">
        <v>43736</v>
      </c>
      <c r="K181" s="416"/>
    </row>
    <row r="182" spans="1:11" x14ac:dyDescent="0.25">
      <c r="A182" t="s">
        <v>36</v>
      </c>
      <c r="B182" s="489">
        <v>19</v>
      </c>
      <c r="C182" s="517">
        <v>12</v>
      </c>
      <c r="D182" s="516" t="s">
        <v>39</v>
      </c>
      <c r="E182">
        <v>9</v>
      </c>
      <c r="F182">
        <v>12</v>
      </c>
      <c r="G182" s="517"/>
      <c r="H182" s="516" t="s">
        <v>856</v>
      </c>
      <c r="I182" t="s">
        <v>909</v>
      </c>
      <c r="J182" s="416">
        <v>43736</v>
      </c>
      <c r="K182" s="416"/>
    </row>
    <row r="183" spans="1:11" x14ac:dyDescent="0.25">
      <c r="A183" t="s">
        <v>561</v>
      </c>
      <c r="B183" s="489">
        <v>57</v>
      </c>
      <c r="C183" s="517">
        <v>3</v>
      </c>
      <c r="D183" s="516" t="s">
        <v>193</v>
      </c>
      <c r="E183">
        <v>31</v>
      </c>
      <c r="F183">
        <v>3</v>
      </c>
      <c r="G183" s="517"/>
      <c r="H183" s="516" t="s">
        <v>866</v>
      </c>
      <c r="I183" t="s">
        <v>884</v>
      </c>
      <c r="J183" s="416">
        <v>43736</v>
      </c>
      <c r="K183" s="416"/>
    </row>
    <row r="184" spans="1:11" x14ac:dyDescent="0.25">
      <c r="A184" t="s">
        <v>38</v>
      </c>
      <c r="B184" s="489">
        <v>33</v>
      </c>
      <c r="C184" s="517">
        <v>7</v>
      </c>
      <c r="D184" s="516" t="s">
        <v>107</v>
      </c>
      <c r="E184">
        <v>12</v>
      </c>
      <c r="F184">
        <v>7</v>
      </c>
      <c r="G184" s="517"/>
      <c r="H184" s="516" t="s">
        <v>861</v>
      </c>
      <c r="I184" t="s">
        <v>888</v>
      </c>
      <c r="J184" s="416">
        <v>43737</v>
      </c>
      <c r="K184" s="416"/>
    </row>
    <row r="185" spans="1:11" x14ac:dyDescent="0.25">
      <c r="A185" t="s">
        <v>29</v>
      </c>
      <c r="B185" s="489">
        <v>25</v>
      </c>
      <c r="C185" s="517">
        <v>29</v>
      </c>
      <c r="D185" s="516" t="s">
        <v>32</v>
      </c>
      <c r="E185">
        <v>8</v>
      </c>
      <c r="F185">
        <v>23</v>
      </c>
      <c r="G185" s="517"/>
      <c r="H185" s="516" t="s">
        <v>861</v>
      </c>
      <c r="I185" t="s">
        <v>857</v>
      </c>
      <c r="J185" s="416">
        <v>43737</v>
      </c>
      <c r="K185" s="416"/>
    </row>
    <row r="186" spans="1:11" x14ac:dyDescent="0.25">
      <c r="A186" t="s">
        <v>35</v>
      </c>
      <c r="B186" s="489">
        <v>34</v>
      </c>
      <c r="C186" s="517">
        <v>0</v>
      </c>
      <c r="D186" s="516" t="s">
        <v>148</v>
      </c>
      <c r="E186">
        <v>20</v>
      </c>
      <c r="F186">
        <v>0</v>
      </c>
      <c r="G186" s="517"/>
      <c r="H186" s="516" t="s">
        <v>856</v>
      </c>
      <c r="I186" t="s">
        <v>918</v>
      </c>
      <c r="J186" s="416">
        <v>43738</v>
      </c>
      <c r="K186" s="416"/>
    </row>
    <row r="187" spans="1:11" x14ac:dyDescent="0.25">
      <c r="A187" t="s">
        <v>34</v>
      </c>
      <c r="B187" s="489">
        <v>33</v>
      </c>
      <c r="C187" s="517">
        <v>9</v>
      </c>
      <c r="D187" s="516" t="s">
        <v>60</v>
      </c>
      <c r="E187">
        <v>12</v>
      </c>
      <c r="F187">
        <v>6</v>
      </c>
      <c r="G187" s="517"/>
      <c r="H187" s="516" t="s">
        <v>863</v>
      </c>
      <c r="I187" t="s">
        <v>894</v>
      </c>
      <c r="J187" s="416">
        <v>43740</v>
      </c>
      <c r="K187" s="416"/>
    </row>
    <row r="188" spans="1:11" x14ac:dyDescent="0.25">
      <c r="A188" t="s">
        <v>563</v>
      </c>
      <c r="B188" s="489">
        <v>63</v>
      </c>
      <c r="C188" s="517">
        <v>0</v>
      </c>
      <c r="D188" s="516" t="s">
        <v>40</v>
      </c>
      <c r="E188">
        <v>28</v>
      </c>
      <c r="F188">
        <v>0</v>
      </c>
      <c r="G188" s="517"/>
      <c r="H188" s="516" t="s">
        <v>866</v>
      </c>
      <c r="I188" t="s">
        <v>925</v>
      </c>
      <c r="J188" s="416">
        <v>43740</v>
      </c>
      <c r="K188" s="416"/>
    </row>
    <row r="189" spans="1:11" x14ac:dyDescent="0.25">
      <c r="A189" t="s">
        <v>38</v>
      </c>
      <c r="B189" s="489">
        <v>10</v>
      </c>
      <c r="C189" s="517">
        <v>45</v>
      </c>
      <c r="D189" s="516" t="s">
        <v>31</v>
      </c>
      <c r="E189">
        <v>3</v>
      </c>
      <c r="F189">
        <v>7</v>
      </c>
      <c r="G189" s="517"/>
      <c r="H189" s="516" t="s">
        <v>861</v>
      </c>
      <c r="I189" t="s">
        <v>875</v>
      </c>
      <c r="J189" s="416">
        <v>43741</v>
      </c>
      <c r="K189" s="416"/>
    </row>
    <row r="190" spans="1:11" x14ac:dyDescent="0.25">
      <c r="A190" t="s">
        <v>39</v>
      </c>
      <c r="B190" s="489">
        <v>35</v>
      </c>
      <c r="C190" s="517">
        <v>0</v>
      </c>
      <c r="D190" s="516" t="s">
        <v>105</v>
      </c>
      <c r="E190">
        <v>21</v>
      </c>
      <c r="F190">
        <v>0</v>
      </c>
      <c r="G190" s="517"/>
      <c r="H190" s="516" t="s">
        <v>856</v>
      </c>
      <c r="I190" t="s">
        <v>918</v>
      </c>
      <c r="J190" s="416">
        <v>43741</v>
      </c>
      <c r="K190" s="416"/>
    </row>
    <row r="191" spans="1:11" x14ac:dyDescent="0.25">
      <c r="A191" t="s">
        <v>561</v>
      </c>
      <c r="B191" s="489">
        <v>49</v>
      </c>
      <c r="C191" s="517">
        <v>3</v>
      </c>
      <c r="D191" s="516" t="s">
        <v>33</v>
      </c>
      <c r="E191">
        <v>17</v>
      </c>
      <c r="F191">
        <v>3</v>
      </c>
      <c r="G191" s="517"/>
      <c r="H191" s="516" t="s">
        <v>866</v>
      </c>
      <c r="I191" t="s">
        <v>909</v>
      </c>
      <c r="J191" s="416">
        <v>43742</v>
      </c>
      <c r="K191" s="416"/>
    </row>
    <row r="192" spans="1:11" x14ac:dyDescent="0.25">
      <c r="A192" t="s">
        <v>29</v>
      </c>
      <c r="B192" s="489">
        <v>45</v>
      </c>
      <c r="C192" s="517">
        <v>10</v>
      </c>
      <c r="D192" s="516" t="s">
        <v>107</v>
      </c>
      <c r="E192">
        <v>19</v>
      </c>
      <c r="F192">
        <v>3</v>
      </c>
      <c r="G192" s="517"/>
      <c r="H192" s="516" t="s">
        <v>861</v>
      </c>
      <c r="I192" t="s">
        <v>925</v>
      </c>
      <c r="J192" s="416">
        <v>43743</v>
      </c>
      <c r="K192" s="416"/>
    </row>
    <row r="193" spans="1:11" x14ac:dyDescent="0.25">
      <c r="A193" t="s">
        <v>30</v>
      </c>
      <c r="B193" s="489">
        <v>39</v>
      </c>
      <c r="C193" s="517">
        <v>10</v>
      </c>
      <c r="D193" s="516" t="s">
        <v>37</v>
      </c>
      <c r="E193">
        <v>15</v>
      </c>
      <c r="F193">
        <v>3</v>
      </c>
      <c r="G193" s="517"/>
      <c r="H193" s="516" t="s">
        <v>863</v>
      </c>
      <c r="I193" t="s">
        <v>857</v>
      </c>
      <c r="J193" s="416">
        <v>43743</v>
      </c>
      <c r="K193" s="416"/>
    </row>
    <row r="194" spans="1:11" x14ac:dyDescent="0.25">
      <c r="A194" t="s">
        <v>36</v>
      </c>
      <c r="B194" s="489">
        <v>38</v>
      </c>
      <c r="C194" s="517">
        <v>19</v>
      </c>
      <c r="D194" s="516" t="s">
        <v>148</v>
      </c>
      <c r="E194">
        <v>16</v>
      </c>
      <c r="F194">
        <v>9</v>
      </c>
      <c r="G194" s="517"/>
      <c r="H194" s="516" t="s">
        <v>856</v>
      </c>
      <c r="I194" t="s">
        <v>884</v>
      </c>
      <c r="J194" s="416">
        <v>43743</v>
      </c>
      <c r="K194" s="416"/>
    </row>
    <row r="195" spans="1:11" x14ac:dyDescent="0.25">
      <c r="A195" t="s">
        <v>563</v>
      </c>
      <c r="B195" s="489">
        <v>71</v>
      </c>
      <c r="C195" s="517">
        <v>9</v>
      </c>
      <c r="D195" s="516" t="s">
        <v>193</v>
      </c>
      <c r="E195">
        <v>24</v>
      </c>
      <c r="F195">
        <v>9</v>
      </c>
      <c r="G195" s="517"/>
      <c r="H195" s="516" t="s">
        <v>866</v>
      </c>
      <c r="I195" t="s">
        <v>857</v>
      </c>
      <c r="J195" s="416">
        <v>43744</v>
      </c>
      <c r="K195" s="416"/>
    </row>
    <row r="196" spans="1:11" x14ac:dyDescent="0.25">
      <c r="A196" t="s">
        <v>34</v>
      </c>
      <c r="B196" s="489">
        <v>23</v>
      </c>
      <c r="C196" s="517">
        <v>21</v>
      </c>
      <c r="D196" s="516" t="s">
        <v>145</v>
      </c>
      <c r="E196">
        <v>17</v>
      </c>
      <c r="F196">
        <v>7</v>
      </c>
      <c r="G196" s="517"/>
      <c r="H196" s="516" t="s">
        <v>863</v>
      </c>
      <c r="I196" t="s">
        <v>937</v>
      </c>
      <c r="J196" s="416">
        <v>43744</v>
      </c>
      <c r="K196" s="416"/>
    </row>
    <row r="197" spans="1:11" x14ac:dyDescent="0.25">
      <c r="A197" t="s">
        <v>561</v>
      </c>
      <c r="B197" s="489">
        <v>66</v>
      </c>
      <c r="C197" s="517">
        <v>7</v>
      </c>
      <c r="D197" s="516" t="s">
        <v>40</v>
      </c>
      <c r="E197">
        <v>47</v>
      </c>
      <c r="F197">
        <v>0</v>
      </c>
      <c r="G197" s="517"/>
      <c r="H197" s="516" t="s">
        <v>866</v>
      </c>
      <c r="I197" t="s">
        <v>918</v>
      </c>
      <c r="J197" s="416">
        <v>43746</v>
      </c>
      <c r="K197" s="416"/>
    </row>
    <row r="198" spans="1:11" x14ac:dyDescent="0.25">
      <c r="A198" t="s">
        <v>37</v>
      </c>
      <c r="B198" s="489">
        <v>47</v>
      </c>
      <c r="C198" s="517">
        <v>17</v>
      </c>
      <c r="D198" s="516" t="s">
        <v>60</v>
      </c>
      <c r="E198">
        <v>19</v>
      </c>
      <c r="F198">
        <v>5</v>
      </c>
      <c r="G198" s="517"/>
      <c r="H198" s="516" t="s">
        <v>863</v>
      </c>
      <c r="I198" t="s">
        <v>888</v>
      </c>
      <c r="J198" s="416">
        <v>43747</v>
      </c>
      <c r="K198" s="416"/>
    </row>
    <row r="199" spans="1:11" x14ac:dyDescent="0.25">
      <c r="A199" t="s">
        <v>35</v>
      </c>
      <c r="B199" s="489">
        <v>61</v>
      </c>
      <c r="C199" s="517">
        <v>0</v>
      </c>
      <c r="D199" s="516" t="s">
        <v>105</v>
      </c>
      <c r="E199">
        <v>21</v>
      </c>
      <c r="F199">
        <v>0</v>
      </c>
      <c r="G199" s="517"/>
      <c r="H199" s="516" t="s">
        <v>856</v>
      </c>
      <c r="I199" t="s">
        <v>909</v>
      </c>
      <c r="J199" s="416">
        <v>43747</v>
      </c>
      <c r="K199" s="416"/>
    </row>
    <row r="200" spans="1:11" x14ac:dyDescent="0.25">
      <c r="A200" t="s">
        <v>32</v>
      </c>
      <c r="B200" s="489">
        <v>29</v>
      </c>
      <c r="C200" s="517">
        <v>17</v>
      </c>
      <c r="D200" s="516" t="s">
        <v>31</v>
      </c>
      <c r="E200">
        <v>14</v>
      </c>
      <c r="F200">
        <v>10</v>
      </c>
      <c r="G200" s="517"/>
      <c r="H200" s="516" t="s">
        <v>861</v>
      </c>
      <c r="I200" t="s">
        <v>925</v>
      </c>
      <c r="J200" s="416">
        <v>43747</v>
      </c>
      <c r="K200" s="416"/>
    </row>
    <row r="201" spans="1:11" x14ac:dyDescent="0.25">
      <c r="A201" t="s">
        <v>29</v>
      </c>
      <c r="B201" s="489">
        <v>27</v>
      </c>
      <c r="C201" s="517">
        <v>8</v>
      </c>
      <c r="D201" s="516" t="s">
        <v>38</v>
      </c>
      <c r="E201">
        <v>10</v>
      </c>
      <c r="F201">
        <v>3</v>
      </c>
      <c r="G201" s="517"/>
      <c r="H201" s="516" t="s">
        <v>861</v>
      </c>
      <c r="I201" t="s">
        <v>909</v>
      </c>
      <c r="J201" s="416">
        <v>43749</v>
      </c>
      <c r="K201" s="416"/>
    </row>
    <row r="202" spans="1:11" x14ac:dyDescent="0.25">
      <c r="A202" t="s">
        <v>563</v>
      </c>
      <c r="B202" s="489">
        <v>0</v>
      </c>
      <c r="C202" s="517">
        <v>0</v>
      </c>
      <c r="D202" s="516" t="s">
        <v>33</v>
      </c>
      <c r="E202" t="s">
        <v>108</v>
      </c>
      <c r="F202" t="s">
        <v>108</v>
      </c>
      <c r="G202" s="517"/>
      <c r="H202" s="516" t="s">
        <v>866</v>
      </c>
      <c r="I202" t="s">
        <v>884</v>
      </c>
      <c r="J202" s="416">
        <v>43750</v>
      </c>
      <c r="K202" s="416"/>
    </row>
    <row r="203" spans="1:11" x14ac:dyDescent="0.25">
      <c r="A203" t="s">
        <v>30</v>
      </c>
      <c r="B203" s="489">
        <v>0</v>
      </c>
      <c r="C203" s="517">
        <v>0</v>
      </c>
      <c r="D203" s="516" t="s">
        <v>34</v>
      </c>
      <c r="E203" t="s">
        <v>108</v>
      </c>
      <c r="F203" t="s">
        <v>108</v>
      </c>
      <c r="G203" s="517"/>
      <c r="H203" s="516" t="s">
        <v>863</v>
      </c>
      <c r="I203" t="s">
        <v>867</v>
      </c>
      <c r="J203" s="416">
        <v>43750</v>
      </c>
      <c r="K203" s="416"/>
    </row>
    <row r="204" spans="1:11" x14ac:dyDescent="0.25">
      <c r="A204" t="s">
        <v>964</v>
      </c>
      <c r="B204" s="489">
        <v>47</v>
      </c>
      <c r="C204" s="517">
        <v>5</v>
      </c>
      <c r="D204" s="516" t="s">
        <v>148</v>
      </c>
      <c r="E204">
        <v>26</v>
      </c>
      <c r="F204">
        <v>5</v>
      </c>
      <c r="G204" s="517"/>
      <c r="H204" s="516" t="s">
        <v>856</v>
      </c>
      <c r="I204" t="s">
        <v>894</v>
      </c>
      <c r="J204" s="416">
        <v>43750</v>
      </c>
      <c r="K204" s="416"/>
    </row>
    <row r="205" spans="1:11" x14ac:dyDescent="0.25">
      <c r="A205" t="s">
        <v>193</v>
      </c>
      <c r="B205" s="489">
        <v>0</v>
      </c>
      <c r="C205" s="517">
        <v>0</v>
      </c>
      <c r="D205" s="516" t="s">
        <v>40</v>
      </c>
      <c r="E205" t="s">
        <v>108</v>
      </c>
      <c r="F205" t="s">
        <v>108</v>
      </c>
      <c r="G205" s="517"/>
      <c r="H205" s="516" t="s">
        <v>866</v>
      </c>
      <c r="I205" t="s">
        <v>892</v>
      </c>
      <c r="J205" s="416">
        <v>43751</v>
      </c>
      <c r="K205" s="416"/>
    </row>
    <row r="206" spans="1:11" x14ac:dyDescent="0.25">
      <c r="A206" t="s">
        <v>60</v>
      </c>
      <c r="B206" s="489">
        <v>19</v>
      </c>
      <c r="C206" s="517">
        <v>31</v>
      </c>
      <c r="D206" s="516" t="s">
        <v>145</v>
      </c>
      <c r="E206">
        <v>12</v>
      </c>
      <c r="F206">
        <v>7</v>
      </c>
      <c r="G206" s="517"/>
      <c r="H206" s="516" t="s">
        <v>863</v>
      </c>
      <c r="I206" t="s">
        <v>875</v>
      </c>
      <c r="J206" s="416">
        <v>43751</v>
      </c>
      <c r="K206" s="416"/>
    </row>
    <row r="207" spans="1:11" x14ac:dyDescent="0.25">
      <c r="A207" t="s">
        <v>32</v>
      </c>
      <c r="B207" s="489">
        <v>35</v>
      </c>
      <c r="C207" s="517">
        <v>13</v>
      </c>
      <c r="D207" s="516" t="s">
        <v>107</v>
      </c>
      <c r="E207">
        <v>7</v>
      </c>
      <c r="F207">
        <v>6</v>
      </c>
      <c r="G207" s="517"/>
      <c r="H207" s="516" t="s">
        <v>861</v>
      </c>
      <c r="I207" t="s">
        <v>937</v>
      </c>
      <c r="J207" s="416">
        <v>43751</v>
      </c>
      <c r="K207" s="416"/>
    </row>
    <row r="208" spans="1:11" x14ac:dyDescent="0.25">
      <c r="A208" t="s">
        <v>36</v>
      </c>
      <c r="B208" s="489">
        <v>28</v>
      </c>
      <c r="C208" s="517">
        <v>21</v>
      </c>
      <c r="D208" s="516" t="s">
        <v>35</v>
      </c>
      <c r="E208">
        <v>21</v>
      </c>
      <c r="F208">
        <v>7</v>
      </c>
      <c r="G208" s="517"/>
      <c r="H208" s="516" t="s">
        <v>856</v>
      </c>
      <c r="I208" t="s">
        <v>867</v>
      </c>
      <c r="J208" s="416">
        <v>43751</v>
      </c>
      <c r="K208" s="416"/>
    </row>
    <row r="209" spans="1:11" x14ac:dyDescent="0.25">
      <c r="A209" t="s">
        <v>30</v>
      </c>
      <c r="B209" s="489">
        <v>40</v>
      </c>
      <c r="C209" s="517">
        <v>16</v>
      </c>
      <c r="D209" s="516" t="s">
        <v>29</v>
      </c>
      <c r="E209">
        <v>17</v>
      </c>
      <c r="F209">
        <v>9</v>
      </c>
      <c r="G209" s="517"/>
      <c r="H209" s="516" t="s">
        <v>974</v>
      </c>
      <c r="I209" t="s">
        <v>925</v>
      </c>
      <c r="J209" s="416">
        <v>43757</v>
      </c>
      <c r="K209" s="416"/>
    </row>
    <row r="210" spans="1:11" x14ac:dyDescent="0.25">
      <c r="A210" t="s">
        <v>563</v>
      </c>
      <c r="B210" s="489">
        <v>46</v>
      </c>
      <c r="C210" s="517">
        <v>14</v>
      </c>
      <c r="D210" s="516" t="s">
        <v>39</v>
      </c>
      <c r="E210">
        <v>22</v>
      </c>
      <c r="F210">
        <v>0</v>
      </c>
      <c r="G210" s="517"/>
      <c r="H210" s="516" t="s">
        <v>974</v>
      </c>
      <c r="I210" t="s">
        <v>857</v>
      </c>
      <c r="J210" s="416">
        <v>43757</v>
      </c>
      <c r="K210" s="416"/>
    </row>
    <row r="211" spans="1:11" x14ac:dyDescent="0.25">
      <c r="A211" t="s">
        <v>32</v>
      </c>
      <c r="B211" s="489">
        <v>20</v>
      </c>
      <c r="C211" s="517">
        <v>19</v>
      </c>
      <c r="D211" s="516" t="s">
        <v>34</v>
      </c>
      <c r="E211">
        <v>10</v>
      </c>
      <c r="F211">
        <v>19</v>
      </c>
      <c r="G211" s="517"/>
      <c r="H211" s="516" t="s">
        <v>974</v>
      </c>
      <c r="I211" t="s">
        <v>925</v>
      </c>
      <c r="J211" s="416">
        <v>43758</v>
      </c>
      <c r="K211" s="416"/>
    </row>
    <row r="212" spans="1:11" x14ac:dyDescent="0.25">
      <c r="A212" t="s">
        <v>36</v>
      </c>
      <c r="B212" s="489">
        <v>3</v>
      </c>
      <c r="C212" s="517">
        <v>26</v>
      </c>
      <c r="D212" s="516" t="s">
        <v>561</v>
      </c>
      <c r="E212">
        <v>3</v>
      </c>
      <c r="F212">
        <v>5</v>
      </c>
      <c r="G212" s="517"/>
      <c r="H212" s="516" t="s">
        <v>974</v>
      </c>
      <c r="I212" t="s">
        <v>857</v>
      </c>
      <c r="J212" s="416">
        <v>43758</v>
      </c>
      <c r="K212" s="416"/>
    </row>
    <row r="213" spans="1:11" x14ac:dyDescent="0.25">
      <c r="A213" t="s">
        <v>30</v>
      </c>
      <c r="B213" s="489">
        <v>19</v>
      </c>
      <c r="C213" s="517">
        <v>7</v>
      </c>
      <c r="D213" s="516" t="s">
        <v>563</v>
      </c>
      <c r="E213">
        <v>10</v>
      </c>
      <c r="F213">
        <v>0</v>
      </c>
      <c r="G213" s="517"/>
      <c r="H213" s="516" t="s">
        <v>984</v>
      </c>
      <c r="I213" t="s">
        <v>867</v>
      </c>
      <c r="J213" s="416">
        <v>43764</v>
      </c>
      <c r="K213" s="416"/>
    </row>
    <row r="214" spans="1:11" x14ac:dyDescent="0.25">
      <c r="A214" t="s">
        <v>32</v>
      </c>
      <c r="B214" s="489">
        <v>16</v>
      </c>
      <c r="C214" s="517">
        <v>19</v>
      </c>
      <c r="D214" s="516" t="s">
        <v>561</v>
      </c>
      <c r="E214">
        <v>6</v>
      </c>
      <c r="F214">
        <v>9</v>
      </c>
      <c r="G214" s="517"/>
      <c r="H214" s="516" t="s">
        <v>984</v>
      </c>
      <c r="I214" t="s">
        <v>867</v>
      </c>
      <c r="J214" s="416">
        <v>43765</v>
      </c>
      <c r="K214" s="416"/>
    </row>
    <row r="215" spans="1:11" x14ac:dyDescent="0.25">
      <c r="A215" t="s">
        <v>563</v>
      </c>
      <c r="B215" s="489">
        <v>40</v>
      </c>
      <c r="C215" s="517">
        <v>17</v>
      </c>
      <c r="D215" s="516" t="s">
        <v>32</v>
      </c>
      <c r="E215">
        <v>28</v>
      </c>
      <c r="F215">
        <v>10</v>
      </c>
      <c r="G215" s="517"/>
      <c r="H215" s="516" t="s">
        <v>992</v>
      </c>
      <c r="I215" t="s">
        <v>857</v>
      </c>
      <c r="J215" s="416">
        <v>43770</v>
      </c>
      <c r="K215" s="416"/>
    </row>
    <row r="216" spans="1:11" x14ac:dyDescent="0.25">
      <c r="A216" t="s">
        <v>30</v>
      </c>
      <c r="B216" s="489">
        <v>12</v>
      </c>
      <c r="C216" s="517">
        <v>32</v>
      </c>
      <c r="D216" s="516" t="s">
        <v>561</v>
      </c>
      <c r="E216">
        <v>6</v>
      </c>
      <c r="F216">
        <v>12</v>
      </c>
      <c r="G216" s="517"/>
      <c r="H216" s="516" t="s">
        <v>1012</v>
      </c>
      <c r="I216" t="s">
        <v>570</v>
      </c>
      <c r="J216" s="416">
        <v>43771</v>
      </c>
      <c r="K216" s="416"/>
    </row>
    <row r="217" spans="1:11" x14ac:dyDescent="0.25">
      <c r="A217" t="s">
        <v>463</v>
      </c>
      <c r="B217" s="489">
        <v>38</v>
      </c>
      <c r="C217" s="517">
        <v>9</v>
      </c>
      <c r="D217" s="516" t="s">
        <v>529</v>
      </c>
      <c r="E217">
        <v>20</v>
      </c>
      <c r="F217">
        <v>9</v>
      </c>
      <c r="G217" s="517"/>
      <c r="H217" s="516" t="s">
        <v>438</v>
      </c>
      <c r="I217" t="s">
        <v>465</v>
      </c>
      <c r="J217" s="416">
        <v>43771</v>
      </c>
      <c r="K217" s="416"/>
    </row>
    <row r="218" spans="1:11" x14ac:dyDescent="0.25">
      <c r="A218" t="s">
        <v>258</v>
      </c>
      <c r="B218" s="489">
        <v>15</v>
      </c>
      <c r="C218" s="517">
        <v>35</v>
      </c>
      <c r="D218" s="516" t="s">
        <v>242</v>
      </c>
      <c r="E218">
        <v>8</v>
      </c>
      <c r="F218">
        <v>25</v>
      </c>
      <c r="G218" s="517"/>
      <c r="H218" s="516" t="s">
        <v>260</v>
      </c>
      <c r="I218" t="s">
        <v>456</v>
      </c>
      <c r="J218" s="416">
        <v>43771</v>
      </c>
      <c r="K218" s="416"/>
    </row>
    <row r="219" spans="1:11" x14ac:dyDescent="0.25">
      <c r="A219" t="s">
        <v>507</v>
      </c>
      <c r="B219" s="489">
        <v>0</v>
      </c>
      <c r="C219" s="517">
        <v>13</v>
      </c>
      <c r="D219" s="516" t="s">
        <v>477</v>
      </c>
      <c r="E219">
        <v>0</v>
      </c>
      <c r="F219">
        <v>3</v>
      </c>
      <c r="G219" s="517"/>
      <c r="H219" s="516" t="s">
        <v>438</v>
      </c>
      <c r="I219" t="s">
        <v>994</v>
      </c>
      <c r="J219" s="416">
        <v>43771</v>
      </c>
      <c r="K219" s="416"/>
    </row>
    <row r="220" spans="1:11" x14ac:dyDescent="0.25">
      <c r="A220" t="s">
        <v>505</v>
      </c>
      <c r="B220" s="489">
        <v>14</v>
      </c>
      <c r="C220" s="517">
        <v>42</v>
      </c>
      <c r="D220" s="516" t="s">
        <v>454</v>
      </c>
      <c r="E220">
        <v>7</v>
      </c>
      <c r="F220">
        <v>28</v>
      </c>
      <c r="G220" s="517"/>
      <c r="H220" s="516" t="s">
        <v>438</v>
      </c>
      <c r="I220" t="s">
        <v>522</v>
      </c>
      <c r="J220" s="416">
        <v>43778</v>
      </c>
      <c r="K220" s="416"/>
    </row>
    <row r="221" spans="1:11" x14ac:dyDescent="0.25">
      <c r="A221" t="s">
        <v>282</v>
      </c>
      <c r="B221" s="489">
        <v>64</v>
      </c>
      <c r="C221" s="517">
        <v>8</v>
      </c>
      <c r="D221" s="516" t="s">
        <v>487</v>
      </c>
      <c r="E221">
        <v>24</v>
      </c>
      <c r="F221">
        <v>8</v>
      </c>
      <c r="G221" s="517"/>
      <c r="H221" s="516" t="s">
        <v>260</v>
      </c>
      <c r="I221" t="s">
        <v>283</v>
      </c>
      <c r="J221" s="416">
        <v>43778</v>
      </c>
      <c r="K221" s="416"/>
    </row>
    <row r="222" spans="1:11" x14ac:dyDescent="0.25">
      <c r="A222" t="s">
        <v>502</v>
      </c>
      <c r="B222" s="489">
        <v>45</v>
      </c>
      <c r="C222" s="517">
        <v>10</v>
      </c>
      <c r="D222" s="516" t="s">
        <v>437</v>
      </c>
      <c r="E222">
        <v>19</v>
      </c>
      <c r="F222">
        <v>3</v>
      </c>
      <c r="G222" s="517"/>
      <c r="H222" s="516" t="s">
        <v>438</v>
      </c>
      <c r="I222" t="s">
        <v>995</v>
      </c>
      <c r="J222" s="416">
        <v>43778</v>
      </c>
      <c r="K222" s="416"/>
    </row>
    <row r="223" spans="1:11" x14ac:dyDescent="0.25">
      <c r="A223" t="s">
        <v>251</v>
      </c>
      <c r="B223" s="489">
        <v>26</v>
      </c>
      <c r="C223" s="517">
        <v>24</v>
      </c>
      <c r="D223" s="516" t="s">
        <v>257</v>
      </c>
      <c r="E223">
        <v>21</v>
      </c>
      <c r="F223">
        <v>12</v>
      </c>
      <c r="G223" s="517"/>
      <c r="H223" s="516" t="s">
        <v>996</v>
      </c>
      <c r="I223" t="s">
        <v>252</v>
      </c>
      <c r="J223" s="416">
        <v>43778</v>
      </c>
      <c r="K223" s="416"/>
    </row>
    <row r="224" spans="1:11" x14ac:dyDescent="0.25">
      <c r="A224" t="s">
        <v>478</v>
      </c>
      <c r="B224" s="489">
        <v>49</v>
      </c>
      <c r="C224" s="517">
        <v>12</v>
      </c>
      <c r="D224" s="516" t="s">
        <v>463</v>
      </c>
      <c r="E224" t="s">
        <v>259</v>
      </c>
      <c r="F224" t="s">
        <v>259</v>
      </c>
      <c r="G224" s="517"/>
      <c r="H224" s="516" t="s">
        <v>438</v>
      </c>
      <c r="I224" t="s">
        <v>997</v>
      </c>
      <c r="J224" s="416">
        <v>43785</v>
      </c>
      <c r="K224" s="416"/>
    </row>
    <row r="225" spans="1:12" x14ac:dyDescent="0.25">
      <c r="A225" t="s">
        <v>467</v>
      </c>
      <c r="B225" s="489">
        <v>9</v>
      </c>
      <c r="C225" s="517">
        <v>40</v>
      </c>
      <c r="D225" s="516" t="s">
        <v>444</v>
      </c>
      <c r="E225">
        <v>9</v>
      </c>
      <c r="F225">
        <v>19</v>
      </c>
      <c r="G225" s="517"/>
      <c r="H225" s="516" t="s">
        <v>260</v>
      </c>
      <c r="I225" t="s">
        <v>998</v>
      </c>
      <c r="J225" s="416">
        <v>43785</v>
      </c>
      <c r="K225" s="416"/>
      <c r="L225" s="416"/>
    </row>
    <row r="226" spans="1:12" x14ac:dyDescent="0.25">
      <c r="A226" t="s">
        <v>241</v>
      </c>
      <c r="B226" s="489">
        <v>17</v>
      </c>
      <c r="C226" s="517">
        <v>36</v>
      </c>
      <c r="D226" s="516" t="s">
        <v>539</v>
      </c>
      <c r="E226" t="s">
        <v>259</v>
      </c>
      <c r="F226" t="s">
        <v>259</v>
      </c>
      <c r="G226" s="517"/>
      <c r="H226" s="516" t="s">
        <v>999</v>
      </c>
      <c r="I226" t="s">
        <v>1000</v>
      </c>
      <c r="J226" s="416">
        <v>43785</v>
      </c>
      <c r="K226" s="416"/>
      <c r="L226" s="416"/>
    </row>
    <row r="227" spans="1:12" x14ac:dyDescent="0.25">
      <c r="A227" t="s">
        <v>237</v>
      </c>
      <c r="B227" s="489">
        <v>18</v>
      </c>
      <c r="C227" s="517">
        <v>23</v>
      </c>
      <c r="D227" s="516" t="s">
        <v>257</v>
      </c>
      <c r="E227">
        <v>8</v>
      </c>
      <c r="F227">
        <v>3</v>
      </c>
      <c r="G227" s="517"/>
      <c r="H227" s="516" t="s">
        <v>996</v>
      </c>
      <c r="I227" t="s">
        <v>1001</v>
      </c>
      <c r="J227" s="416">
        <v>43785</v>
      </c>
      <c r="K227" s="416"/>
      <c r="L227" s="416"/>
    </row>
    <row r="228" spans="1:12" x14ac:dyDescent="0.25">
      <c r="A228" t="s">
        <v>781</v>
      </c>
      <c r="B228" s="489">
        <v>36</v>
      </c>
      <c r="C228" s="517">
        <v>25</v>
      </c>
      <c r="D228" s="516" t="s">
        <v>1002</v>
      </c>
      <c r="E228">
        <v>12</v>
      </c>
      <c r="F228">
        <v>19</v>
      </c>
      <c r="G228" s="517"/>
      <c r="H228" s="516" t="s">
        <v>1003</v>
      </c>
      <c r="I228" t="s">
        <v>783</v>
      </c>
      <c r="J228" s="416">
        <v>43792</v>
      </c>
      <c r="K228" s="416"/>
      <c r="L228" s="416"/>
    </row>
    <row r="229" spans="1:12" x14ac:dyDescent="0.25">
      <c r="A229" t="s">
        <v>454</v>
      </c>
      <c r="B229" s="489">
        <v>16</v>
      </c>
      <c r="C229" s="517">
        <v>18</v>
      </c>
      <c r="D229" s="516" t="s">
        <v>453</v>
      </c>
      <c r="E229">
        <v>10</v>
      </c>
      <c r="F229">
        <v>13</v>
      </c>
      <c r="G229" s="517"/>
      <c r="H229" s="516" t="s">
        <v>438</v>
      </c>
      <c r="I229" t="s">
        <v>475</v>
      </c>
      <c r="J229" s="416">
        <v>43792</v>
      </c>
      <c r="K229" s="416"/>
      <c r="L229" s="416"/>
    </row>
    <row r="230" spans="1:12" x14ac:dyDescent="0.25">
      <c r="A230" t="s">
        <v>242</v>
      </c>
      <c r="B230" s="489">
        <v>7</v>
      </c>
      <c r="C230" s="517">
        <v>37</v>
      </c>
      <c r="D230" s="516" t="s">
        <v>282</v>
      </c>
      <c r="E230">
        <v>7</v>
      </c>
      <c r="F230">
        <v>10</v>
      </c>
      <c r="G230" s="517"/>
      <c r="H230" s="516" t="s">
        <v>260</v>
      </c>
      <c r="I230" t="s">
        <v>265</v>
      </c>
      <c r="J230" s="416">
        <v>43792</v>
      </c>
      <c r="K230" s="416"/>
      <c r="L230" s="416"/>
    </row>
    <row r="231" spans="1:12" x14ac:dyDescent="0.25">
      <c r="A231" t="s">
        <v>444</v>
      </c>
      <c r="B231" s="489">
        <v>20</v>
      </c>
      <c r="C231" s="517">
        <v>23</v>
      </c>
      <c r="D231" s="516" t="s">
        <v>258</v>
      </c>
      <c r="E231">
        <v>13</v>
      </c>
      <c r="F231">
        <v>6</v>
      </c>
      <c r="G231" s="517"/>
      <c r="H231" s="516" t="s">
        <v>260</v>
      </c>
      <c r="I231" t="s">
        <v>1004</v>
      </c>
      <c r="J231" s="416">
        <v>43792</v>
      </c>
      <c r="K231" s="416"/>
      <c r="L231" s="416"/>
    </row>
    <row r="232" spans="1:12" x14ac:dyDescent="0.25">
      <c r="A232" t="s">
        <v>253</v>
      </c>
      <c r="B232" s="489">
        <v>29</v>
      </c>
      <c r="C232" s="517">
        <v>7</v>
      </c>
      <c r="D232" s="516" t="s">
        <v>539</v>
      </c>
      <c r="E232">
        <v>17</v>
      </c>
      <c r="F232">
        <v>0</v>
      </c>
      <c r="G232" s="517"/>
      <c r="H232" s="516" t="s">
        <v>999</v>
      </c>
      <c r="I232" t="s">
        <v>254</v>
      </c>
      <c r="J232" s="416">
        <v>43792</v>
      </c>
      <c r="K232" s="416"/>
      <c r="L232" s="416"/>
    </row>
    <row r="233" spans="1:12" x14ac:dyDescent="0.25">
      <c r="A233" t="s">
        <v>692</v>
      </c>
      <c r="B233" s="489">
        <v>60</v>
      </c>
      <c r="C233" s="517">
        <v>3</v>
      </c>
      <c r="D233" s="516" t="s">
        <v>1005</v>
      </c>
      <c r="E233">
        <v>31</v>
      </c>
      <c r="F233">
        <v>0</v>
      </c>
      <c r="G233" s="517"/>
      <c r="H233" s="516" t="s">
        <v>1003</v>
      </c>
      <c r="I233" t="s">
        <v>1006</v>
      </c>
      <c r="J233" s="416">
        <v>43792</v>
      </c>
      <c r="K233" s="416"/>
      <c r="L233" s="416"/>
    </row>
    <row r="234" spans="1:12" x14ac:dyDescent="0.25">
      <c r="A234" t="s">
        <v>1007</v>
      </c>
      <c r="B234" s="489">
        <v>63</v>
      </c>
      <c r="C234" s="517">
        <v>0</v>
      </c>
      <c r="D234" s="516" t="s">
        <v>1008</v>
      </c>
      <c r="E234">
        <v>39</v>
      </c>
      <c r="F234">
        <v>0</v>
      </c>
      <c r="G234" s="517"/>
      <c r="H234" s="516" t="s">
        <v>1003</v>
      </c>
      <c r="I234" t="s">
        <v>1009</v>
      </c>
      <c r="J234" s="416">
        <v>43799</v>
      </c>
      <c r="K234" s="416"/>
      <c r="L234" s="416"/>
    </row>
    <row r="235" spans="1:12" x14ac:dyDescent="0.25">
      <c r="A235" t="s">
        <v>1010</v>
      </c>
      <c r="B235" s="489">
        <v>63</v>
      </c>
      <c r="C235" s="517">
        <v>3</v>
      </c>
      <c r="D235" s="516" t="s">
        <v>784</v>
      </c>
      <c r="E235">
        <v>13</v>
      </c>
      <c r="F235">
        <v>0</v>
      </c>
      <c r="G235" s="517"/>
      <c r="H235" s="516" t="s">
        <v>1003</v>
      </c>
      <c r="I235" t="s">
        <v>1011</v>
      </c>
      <c r="J235" s="416">
        <v>43800</v>
      </c>
      <c r="K235" s="416"/>
      <c r="L235" s="416"/>
    </row>
    <row r="236" spans="1:12" x14ac:dyDescent="0.25">
      <c r="B236" s="489"/>
      <c r="C236" s="517"/>
      <c r="D236" s="516"/>
      <c r="G236" s="517"/>
      <c r="H236" s="516"/>
      <c r="K236" s="416"/>
      <c r="L236" s="416"/>
    </row>
    <row r="237" spans="1:12" x14ac:dyDescent="0.25">
      <c r="B237" s="489"/>
      <c r="C237" s="517"/>
      <c r="D237" s="516"/>
      <c r="G237" s="517"/>
      <c r="H237" s="516"/>
      <c r="K237" s="416"/>
      <c r="L237" s="416"/>
    </row>
    <row r="238" spans="1:12" x14ac:dyDescent="0.25">
      <c r="B238" s="489"/>
      <c r="C238" s="517"/>
      <c r="D238" s="516"/>
      <c r="G238" s="517"/>
      <c r="H238" s="516"/>
      <c r="K238" s="416"/>
      <c r="L238" s="416"/>
    </row>
    <row r="239" spans="1:12" x14ac:dyDescent="0.25">
      <c r="B239" s="489"/>
      <c r="C239" s="517"/>
      <c r="D239" s="516"/>
      <c r="G239" s="517"/>
      <c r="H239" s="516"/>
      <c r="K239" s="416"/>
      <c r="L239" s="416"/>
    </row>
    <row r="240" spans="1:12" x14ac:dyDescent="0.25">
      <c r="B240" s="489"/>
      <c r="C240" s="517"/>
      <c r="D240" s="516"/>
      <c r="G240" s="517"/>
      <c r="H240" s="516"/>
      <c r="K240" s="416"/>
      <c r="L240" s="416"/>
    </row>
    <row r="241" spans="2:12" x14ac:dyDescent="0.25">
      <c r="B241" s="489"/>
      <c r="C241" s="517"/>
      <c r="D241" s="516"/>
      <c r="G241" s="517"/>
      <c r="H241" s="516"/>
      <c r="K241" s="416"/>
      <c r="L241" s="416"/>
    </row>
    <row r="242" spans="2:12" x14ac:dyDescent="0.25">
      <c r="B242" s="489"/>
      <c r="C242" s="517"/>
      <c r="D242" s="516"/>
      <c r="G242" s="517"/>
      <c r="H242" s="516"/>
      <c r="K242" s="416"/>
      <c r="L242" s="416"/>
    </row>
    <row r="243" spans="2:12" x14ac:dyDescent="0.25">
      <c r="B243" s="489"/>
      <c r="C243" s="517"/>
      <c r="D243" s="516"/>
      <c r="G243" s="517"/>
      <c r="H243" s="516"/>
      <c r="K243" s="416"/>
      <c r="L243" s="416"/>
    </row>
    <row r="244" spans="2:12" x14ac:dyDescent="0.25">
      <c r="B244" s="489"/>
      <c r="C244" s="517"/>
      <c r="D244" s="516"/>
      <c r="G244" s="517"/>
      <c r="H244" s="516"/>
      <c r="K244" s="416"/>
      <c r="L244" s="416"/>
    </row>
    <row r="245" spans="2:12" x14ac:dyDescent="0.25">
      <c r="B245" s="489"/>
      <c r="C245" s="517"/>
      <c r="D245" s="516"/>
      <c r="G245" s="517"/>
      <c r="H245" s="516"/>
      <c r="K245" s="416"/>
      <c r="L245" s="416"/>
    </row>
    <row r="246" spans="2:12" x14ac:dyDescent="0.25">
      <c r="B246" s="489"/>
      <c r="C246" s="517"/>
      <c r="D246" s="516"/>
      <c r="G246" s="517"/>
      <c r="H246" s="516"/>
      <c r="K246" s="416"/>
      <c r="L246" s="416"/>
    </row>
    <row r="247" spans="2:12" x14ac:dyDescent="0.25">
      <c r="B247" s="489"/>
      <c r="C247" s="517"/>
      <c r="D247" s="516"/>
      <c r="G247" s="517"/>
      <c r="H247" s="516"/>
      <c r="K247" s="416"/>
      <c r="L247" s="416"/>
    </row>
    <row r="248" spans="2:12" x14ac:dyDescent="0.25">
      <c r="B248" s="489"/>
      <c r="C248" s="517"/>
      <c r="D248" s="516"/>
      <c r="G248" s="517"/>
      <c r="H248" s="516"/>
      <c r="K248" s="416"/>
    </row>
    <row r="249" spans="2:12" x14ac:dyDescent="0.25">
      <c r="B249" s="489"/>
      <c r="C249" s="517"/>
      <c r="D249" s="516"/>
      <c r="G249" s="517"/>
      <c r="H249" s="516"/>
      <c r="K249" s="416"/>
    </row>
    <row r="250" spans="2:12" x14ac:dyDescent="0.25">
      <c r="B250" s="489"/>
      <c r="C250" s="517"/>
      <c r="D250" s="516"/>
      <c r="G250" s="517"/>
      <c r="H250" s="516"/>
      <c r="K250" s="416"/>
    </row>
    <row r="251" spans="2:12" x14ac:dyDescent="0.25">
      <c r="B251" s="489"/>
      <c r="C251" s="517"/>
      <c r="D251" s="516"/>
      <c r="G251" s="517"/>
      <c r="H251" s="516"/>
      <c r="K251" s="416"/>
    </row>
    <row r="252" spans="2:12" x14ac:dyDescent="0.25">
      <c r="B252" s="489"/>
      <c r="C252" s="517"/>
      <c r="D252" s="516"/>
      <c r="G252" s="517"/>
      <c r="H252" s="516"/>
      <c r="K252" s="416"/>
    </row>
    <row r="253" spans="2:12" x14ac:dyDescent="0.25">
      <c r="B253" s="489"/>
      <c r="C253" s="517"/>
      <c r="D253" s="516"/>
      <c r="G253" s="517"/>
      <c r="H253" s="516"/>
      <c r="K253" s="416"/>
    </row>
    <row r="254" spans="2:12" x14ac:dyDescent="0.25">
      <c r="B254" s="489"/>
      <c r="C254" s="517"/>
      <c r="D254" s="516"/>
      <c r="G254" s="517"/>
      <c r="H254" s="516"/>
      <c r="K254" s="416"/>
    </row>
    <row r="255" spans="2:12" x14ac:dyDescent="0.25">
      <c r="B255" s="489"/>
      <c r="C255" s="517"/>
      <c r="D255" s="516"/>
      <c r="G255" s="517"/>
      <c r="H255" s="516"/>
      <c r="K255" s="416"/>
    </row>
    <row r="256" spans="2:12" x14ac:dyDescent="0.25">
      <c r="B256" s="489"/>
      <c r="C256" s="517"/>
      <c r="D256" s="516"/>
      <c r="G256" s="517"/>
      <c r="H256" s="516"/>
      <c r="K256" s="416"/>
    </row>
    <row r="257" spans="2:11" x14ac:dyDescent="0.25">
      <c r="B257" s="489"/>
      <c r="C257" s="517"/>
      <c r="D257" s="516"/>
      <c r="G257" s="517"/>
      <c r="H257" s="516"/>
      <c r="K257" s="416"/>
    </row>
    <row r="258" spans="2:11" x14ac:dyDescent="0.25">
      <c r="B258" s="489"/>
      <c r="C258" s="517"/>
      <c r="D258" s="516"/>
      <c r="G258" s="517"/>
      <c r="H258" s="516"/>
      <c r="K258" s="416"/>
    </row>
    <row r="259" spans="2:11" x14ac:dyDescent="0.25">
      <c r="B259" s="489"/>
      <c r="C259" s="517"/>
      <c r="D259" s="516"/>
      <c r="G259" s="517"/>
      <c r="H259" s="516"/>
      <c r="K259" s="416"/>
    </row>
    <row r="260" spans="2:11" x14ac:dyDescent="0.25">
      <c r="B260" s="489"/>
      <c r="C260" s="517"/>
      <c r="D260" s="516"/>
      <c r="G260" s="517"/>
      <c r="H260" s="516"/>
    </row>
    <row r="261" spans="2:11" x14ac:dyDescent="0.25">
      <c r="B261" s="489"/>
      <c r="C261" s="517"/>
      <c r="D261" s="516"/>
      <c r="G261" s="517"/>
      <c r="H261" s="516"/>
    </row>
    <row r="262" spans="2:11" x14ac:dyDescent="0.25">
      <c r="B262" s="489"/>
      <c r="C262" s="517"/>
      <c r="D262" s="516"/>
      <c r="G262" s="517"/>
      <c r="H262" s="516"/>
    </row>
  </sheetData>
  <mergeCells count="1">
    <mergeCell ref="E1:G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T31"/>
  <sheetViews>
    <sheetView zoomScaleNormal="100" workbookViewId="0">
      <pane ySplit="2" topLeftCell="A3" activePane="bottomLeft" state="frozen"/>
      <selection pane="bottomLeft" activeCell="U19" sqref="U19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125" customWidth="1"/>
    <col min="5" max="18" width="3.75" customWidth="1"/>
    <col min="19" max="19" width="6.25" customWidth="1"/>
    <col min="20" max="20" width="6.75" bestFit="1" customWidth="1"/>
    <col min="21" max="21" width="19.125" customWidth="1"/>
    <col min="22" max="22" width="23.5" bestFit="1" customWidth="1"/>
    <col min="23" max="23" width="21.5" customWidth="1"/>
    <col min="24" max="24" width="30.5" customWidth="1"/>
    <col min="25" max="40" width="3.7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1172" t="s">
        <v>201</v>
      </c>
      <c r="B1" s="1173"/>
      <c r="C1" s="1173"/>
      <c r="D1" s="160"/>
      <c r="E1" s="1174" t="s">
        <v>24</v>
      </c>
      <c r="F1" s="1175"/>
      <c r="G1" s="1176"/>
      <c r="H1" s="1174" t="s">
        <v>23</v>
      </c>
      <c r="I1" s="1176"/>
      <c r="J1" s="1169" t="s">
        <v>6</v>
      </c>
      <c r="K1" s="1171"/>
      <c r="L1" s="1171"/>
      <c r="M1" s="1170"/>
      <c r="N1" s="1169" t="s">
        <v>7</v>
      </c>
      <c r="O1" s="1170"/>
      <c r="P1" s="1169" t="s">
        <v>25</v>
      </c>
      <c r="Q1" s="1171"/>
      <c r="R1" s="1170"/>
      <c r="S1" s="920" t="s">
        <v>8</v>
      </c>
      <c r="T1" s="920" t="s">
        <v>9</v>
      </c>
      <c r="U1" s="93" t="s">
        <v>10</v>
      </c>
      <c r="V1" s="92" t="s">
        <v>11</v>
      </c>
      <c r="W1" s="94" t="s">
        <v>26</v>
      </c>
      <c r="X1" s="171" t="s">
        <v>27</v>
      </c>
      <c r="Y1" s="1168" t="s">
        <v>20</v>
      </c>
      <c r="Z1" s="1047"/>
      <c r="AA1" s="1047"/>
      <c r="AB1" s="1047"/>
      <c r="AC1" s="1168" t="s">
        <v>61</v>
      </c>
      <c r="AD1" s="1047"/>
      <c r="AE1" s="1047"/>
      <c r="AF1" s="1047"/>
      <c r="AG1" s="1168" t="s">
        <v>62</v>
      </c>
      <c r="AH1" s="1047"/>
      <c r="AI1" s="1047"/>
      <c r="AJ1" s="1047"/>
      <c r="AK1" s="1168" t="s">
        <v>63</v>
      </c>
      <c r="AL1" s="1047"/>
      <c r="AM1" s="1047"/>
      <c r="AN1" s="1047"/>
      <c r="AP1" s="887" t="s">
        <v>685</v>
      </c>
      <c r="AQ1" s="868"/>
      <c r="AR1" s="868"/>
      <c r="AS1" s="887" t="s">
        <v>685</v>
      </c>
    </row>
    <row r="2" spans="1:46" ht="14.95" customHeight="1" thickBot="1" x14ac:dyDescent="0.3">
      <c r="A2" s="95" t="s">
        <v>19</v>
      </c>
      <c r="B2" s="96" t="s">
        <v>18</v>
      </c>
      <c r="C2" s="97" t="s">
        <v>17</v>
      </c>
      <c r="D2" s="98" t="s">
        <v>41</v>
      </c>
      <c r="E2" s="98" t="s">
        <v>16</v>
      </c>
      <c r="F2" s="98" t="s">
        <v>4</v>
      </c>
      <c r="G2" s="98" t="s">
        <v>5</v>
      </c>
      <c r="H2" s="99" t="s">
        <v>12</v>
      </c>
      <c r="I2" s="99" t="s">
        <v>3</v>
      </c>
      <c r="J2" s="99" t="s">
        <v>12</v>
      </c>
      <c r="K2" s="99" t="s">
        <v>13</v>
      </c>
      <c r="L2" s="99" t="s">
        <v>2</v>
      </c>
      <c r="M2" s="99" t="s">
        <v>14</v>
      </c>
      <c r="N2" s="99" t="s">
        <v>15</v>
      </c>
      <c r="O2" s="99" t="s">
        <v>16</v>
      </c>
      <c r="P2" s="99" t="s">
        <v>21</v>
      </c>
      <c r="Q2" s="99" t="s">
        <v>22</v>
      </c>
      <c r="R2" s="99" t="s">
        <v>12</v>
      </c>
      <c r="S2" s="100"/>
      <c r="T2" s="101"/>
      <c r="U2" s="102"/>
      <c r="V2" s="100"/>
      <c r="W2" s="103"/>
      <c r="X2" s="104"/>
      <c r="Y2" s="497" t="s">
        <v>0</v>
      </c>
      <c r="Z2" s="497" t="s">
        <v>1</v>
      </c>
      <c r="AA2" s="497" t="s">
        <v>2</v>
      </c>
      <c r="AB2" s="497" t="s">
        <v>3</v>
      </c>
      <c r="AC2" s="497" t="s">
        <v>0</v>
      </c>
      <c r="AD2" s="497" t="s">
        <v>1</v>
      </c>
      <c r="AE2" s="497" t="s">
        <v>2</v>
      </c>
      <c r="AF2" s="497" t="s">
        <v>3</v>
      </c>
      <c r="AG2" s="497" t="s">
        <v>0</v>
      </c>
      <c r="AH2" s="497" t="s">
        <v>1</v>
      </c>
      <c r="AI2" s="497" t="s">
        <v>2</v>
      </c>
      <c r="AJ2" s="497" t="s">
        <v>3</v>
      </c>
      <c r="AK2" s="497" t="s">
        <v>0</v>
      </c>
      <c r="AL2" s="497" t="s">
        <v>1</v>
      </c>
      <c r="AM2" s="497" t="s">
        <v>2</v>
      </c>
      <c r="AN2" s="497" t="s">
        <v>3</v>
      </c>
      <c r="AP2" s="592" t="s">
        <v>112</v>
      </c>
      <c r="AQ2" s="253" t="s">
        <v>987</v>
      </c>
      <c r="AS2" s="672" t="s">
        <v>610</v>
      </c>
      <c r="AT2" s="253" t="s">
        <v>986</v>
      </c>
    </row>
    <row r="3" spans="1:46" ht="14.95" customHeight="1" thickBot="1" x14ac:dyDescent="0.35">
      <c r="A3" s="187">
        <v>43667</v>
      </c>
      <c r="B3" s="178" t="s">
        <v>109</v>
      </c>
      <c r="C3" s="178" t="s">
        <v>37</v>
      </c>
      <c r="D3" s="192" t="s">
        <v>411</v>
      </c>
      <c r="E3" s="179" t="s">
        <v>1</v>
      </c>
      <c r="F3" s="179">
        <v>20</v>
      </c>
      <c r="G3" s="179">
        <v>16</v>
      </c>
      <c r="H3" s="179">
        <v>0</v>
      </c>
      <c r="I3" s="179">
        <v>0</v>
      </c>
      <c r="J3" s="179">
        <v>2</v>
      </c>
      <c r="K3" s="179">
        <v>2</v>
      </c>
      <c r="L3" s="179">
        <v>0</v>
      </c>
      <c r="M3" s="179">
        <v>2</v>
      </c>
      <c r="N3" s="179">
        <v>0</v>
      </c>
      <c r="O3" s="179">
        <v>0</v>
      </c>
      <c r="P3" s="179">
        <v>0</v>
      </c>
      <c r="Q3" s="179">
        <v>1</v>
      </c>
      <c r="R3" s="179">
        <v>1</v>
      </c>
      <c r="S3" s="180">
        <v>35000</v>
      </c>
      <c r="T3" s="396" t="s">
        <v>721</v>
      </c>
      <c r="U3" s="181" t="s">
        <v>278</v>
      </c>
      <c r="V3" s="180" t="s">
        <v>232</v>
      </c>
      <c r="W3" s="182" t="s">
        <v>129</v>
      </c>
      <c r="X3" s="183" t="s">
        <v>212</v>
      </c>
      <c r="Y3" s="184">
        <v>1</v>
      </c>
      <c r="Z3" s="184">
        <v>1</v>
      </c>
      <c r="AA3" s="184">
        <v>0</v>
      </c>
      <c r="AB3" s="185">
        <v>0</v>
      </c>
      <c r="AC3" s="184">
        <v>0</v>
      </c>
      <c r="AD3" s="184">
        <v>0</v>
      </c>
      <c r="AE3" s="184">
        <v>0</v>
      </c>
      <c r="AF3" s="185">
        <v>0</v>
      </c>
      <c r="AG3" s="184">
        <v>1</v>
      </c>
      <c r="AH3" s="184">
        <v>1</v>
      </c>
      <c r="AI3" s="184">
        <v>0</v>
      </c>
      <c r="AJ3" s="185">
        <v>0</v>
      </c>
      <c r="AK3" s="184">
        <v>0</v>
      </c>
      <c r="AL3" s="184">
        <v>0</v>
      </c>
      <c r="AM3" s="184">
        <v>0</v>
      </c>
      <c r="AN3" s="185">
        <v>0</v>
      </c>
      <c r="AP3" s="849" t="s">
        <v>627</v>
      </c>
      <c r="AQ3" s="850">
        <f>Nzl2019alltestshistplayed</f>
        <v>592</v>
      </c>
      <c r="AS3" s="849" t="s">
        <v>627</v>
      </c>
      <c r="AT3" s="850">
        <f>New_ZealandRWChistplayed</f>
        <v>57</v>
      </c>
    </row>
    <row r="4" spans="1:46" ht="14.95" customHeight="1" thickBot="1" x14ac:dyDescent="0.3">
      <c r="A4" s="195">
        <v>43673</v>
      </c>
      <c r="B4" s="196" t="s">
        <v>109</v>
      </c>
      <c r="C4" s="196" t="s">
        <v>679</v>
      </c>
      <c r="D4" s="230" t="s">
        <v>583</v>
      </c>
      <c r="E4" s="197" t="s">
        <v>2</v>
      </c>
      <c r="F4" s="197">
        <v>16</v>
      </c>
      <c r="G4" s="197">
        <v>16</v>
      </c>
      <c r="H4" s="197">
        <v>0</v>
      </c>
      <c r="I4" s="197">
        <v>0</v>
      </c>
      <c r="J4" s="197">
        <v>1</v>
      </c>
      <c r="K4" s="197">
        <v>1</v>
      </c>
      <c r="L4" s="197">
        <v>0</v>
      </c>
      <c r="M4" s="197">
        <v>3</v>
      </c>
      <c r="N4" s="197">
        <v>0</v>
      </c>
      <c r="O4" s="197">
        <v>0</v>
      </c>
      <c r="P4" s="197">
        <v>0</v>
      </c>
      <c r="Q4" s="197">
        <v>0</v>
      </c>
      <c r="R4" s="197">
        <v>1</v>
      </c>
      <c r="S4" s="209">
        <v>35213</v>
      </c>
      <c r="T4" s="954" t="s">
        <v>737</v>
      </c>
      <c r="U4" s="210" t="s">
        <v>227</v>
      </c>
      <c r="V4" s="209" t="s">
        <v>131</v>
      </c>
      <c r="W4" s="198" t="s">
        <v>278</v>
      </c>
      <c r="X4" s="211" t="s">
        <v>149</v>
      </c>
      <c r="Y4" s="212">
        <v>1</v>
      </c>
      <c r="Z4" s="212">
        <v>0</v>
      </c>
      <c r="AA4" s="212">
        <v>1</v>
      </c>
      <c r="AB4" s="213">
        <v>0</v>
      </c>
      <c r="AC4" s="212">
        <v>1</v>
      </c>
      <c r="AD4" s="212">
        <v>0</v>
      </c>
      <c r="AE4" s="212">
        <v>1</v>
      </c>
      <c r="AF4" s="213">
        <v>0</v>
      </c>
      <c r="AG4" s="212">
        <v>0</v>
      </c>
      <c r="AH4" s="212">
        <v>0</v>
      </c>
      <c r="AI4" s="212">
        <v>0</v>
      </c>
      <c r="AJ4" s="213">
        <v>0</v>
      </c>
      <c r="AK4" s="212">
        <v>0</v>
      </c>
      <c r="AL4" s="212">
        <v>0</v>
      </c>
      <c r="AM4" s="212">
        <v>0</v>
      </c>
      <c r="AN4" s="213">
        <v>0</v>
      </c>
      <c r="AP4" s="851" t="s">
        <v>628</v>
      </c>
      <c r="AQ4" s="852">
        <f>Nzl2019alltestshistwon</f>
        <v>457</v>
      </c>
      <c r="AS4" s="851" t="s">
        <v>628</v>
      </c>
      <c r="AT4" s="852">
        <f>New_ZealandRWChistwon</f>
        <v>49</v>
      </c>
    </row>
    <row r="5" spans="1:46" ht="14.95" customHeight="1" thickBot="1" x14ac:dyDescent="0.3">
      <c r="A5" s="187">
        <v>43687</v>
      </c>
      <c r="B5" s="192" t="s">
        <v>109</v>
      </c>
      <c r="C5" s="178" t="s">
        <v>29</v>
      </c>
      <c r="D5" s="192" t="s">
        <v>590</v>
      </c>
      <c r="E5" s="179" t="s">
        <v>3</v>
      </c>
      <c r="F5" s="179">
        <v>26</v>
      </c>
      <c r="G5" s="193">
        <v>47</v>
      </c>
      <c r="H5" s="193">
        <v>0</v>
      </c>
      <c r="I5" s="179">
        <v>0</v>
      </c>
      <c r="J5" s="179">
        <v>4</v>
      </c>
      <c r="K5" s="179">
        <v>3</v>
      </c>
      <c r="L5" s="179">
        <v>0</v>
      </c>
      <c r="M5" s="179">
        <v>0</v>
      </c>
      <c r="N5" s="179">
        <v>0</v>
      </c>
      <c r="O5" s="179">
        <v>1</v>
      </c>
      <c r="P5" s="179">
        <v>0</v>
      </c>
      <c r="Q5" s="179">
        <v>0</v>
      </c>
      <c r="R5" s="179">
        <v>6</v>
      </c>
      <c r="S5" s="182">
        <v>61241</v>
      </c>
      <c r="T5" s="432" t="s">
        <v>234</v>
      </c>
      <c r="U5" s="194" t="s">
        <v>138</v>
      </c>
      <c r="V5" s="182" t="s">
        <v>270</v>
      </c>
      <c r="W5" s="182" t="s">
        <v>229</v>
      </c>
      <c r="X5" s="200" t="s">
        <v>149</v>
      </c>
      <c r="Y5" s="184">
        <v>1</v>
      </c>
      <c r="Z5" s="184">
        <v>0</v>
      </c>
      <c r="AA5" s="184">
        <v>0</v>
      </c>
      <c r="AB5" s="185">
        <v>1</v>
      </c>
      <c r="AC5" s="184">
        <v>0</v>
      </c>
      <c r="AD5" s="184">
        <v>0</v>
      </c>
      <c r="AE5" s="184">
        <v>0</v>
      </c>
      <c r="AF5" s="185">
        <v>0</v>
      </c>
      <c r="AG5" s="184">
        <v>1</v>
      </c>
      <c r="AH5" s="184">
        <v>0</v>
      </c>
      <c r="AI5" s="184">
        <v>0</v>
      </c>
      <c r="AJ5" s="185">
        <v>1</v>
      </c>
      <c r="AK5" s="184">
        <v>0</v>
      </c>
      <c r="AL5" s="184">
        <v>0</v>
      </c>
      <c r="AM5" s="184">
        <v>0</v>
      </c>
      <c r="AN5" s="185">
        <v>0</v>
      </c>
      <c r="AP5" s="851" t="s">
        <v>634</v>
      </c>
      <c r="AQ5" s="852">
        <f>Nzl2019alltestshistdrawn</f>
        <v>22</v>
      </c>
      <c r="AS5" s="851" t="s">
        <v>634</v>
      </c>
      <c r="AT5" s="852">
        <f>New_ZealandRWChistdrawn</f>
        <v>1</v>
      </c>
    </row>
    <row r="6" spans="1:46" ht="14.95" customHeight="1" thickBot="1" x14ac:dyDescent="0.35">
      <c r="A6" s="195">
        <v>43694</v>
      </c>
      <c r="B6" s="230" t="s">
        <v>45</v>
      </c>
      <c r="C6" s="196" t="s">
        <v>29</v>
      </c>
      <c r="D6" s="230" t="s">
        <v>595</v>
      </c>
      <c r="E6" s="197" t="s">
        <v>1</v>
      </c>
      <c r="F6" s="197">
        <v>36</v>
      </c>
      <c r="G6" s="231">
        <v>0</v>
      </c>
      <c r="H6" s="412" t="s">
        <v>108</v>
      </c>
      <c r="I6" s="231" t="s">
        <v>108</v>
      </c>
      <c r="J6" s="197">
        <v>5</v>
      </c>
      <c r="K6" s="197">
        <v>4</v>
      </c>
      <c r="L6" s="197">
        <v>0</v>
      </c>
      <c r="M6" s="197">
        <v>1</v>
      </c>
      <c r="N6" s="197">
        <v>1</v>
      </c>
      <c r="O6" s="197">
        <v>0</v>
      </c>
      <c r="P6" s="197" t="s">
        <v>108</v>
      </c>
      <c r="Q6" s="197" t="s">
        <v>108</v>
      </c>
      <c r="R6" s="197">
        <v>0</v>
      </c>
      <c r="S6" s="198">
        <v>48339</v>
      </c>
      <c r="T6" s="413" t="s">
        <v>793</v>
      </c>
      <c r="U6" s="232" t="s">
        <v>229</v>
      </c>
      <c r="V6" s="198" t="s">
        <v>270</v>
      </c>
      <c r="W6" s="198" t="s">
        <v>295</v>
      </c>
      <c r="X6" s="199" t="s">
        <v>149</v>
      </c>
      <c r="Y6" s="212">
        <v>1</v>
      </c>
      <c r="Z6" s="212">
        <v>1</v>
      </c>
      <c r="AA6" s="212">
        <v>0</v>
      </c>
      <c r="AB6" s="213">
        <v>0</v>
      </c>
      <c r="AC6" s="212">
        <v>1</v>
      </c>
      <c r="AD6" s="212">
        <v>1</v>
      </c>
      <c r="AE6" s="212">
        <v>0</v>
      </c>
      <c r="AF6" s="213">
        <v>0</v>
      </c>
      <c r="AG6" s="212">
        <v>0</v>
      </c>
      <c r="AH6" s="212">
        <v>0</v>
      </c>
      <c r="AI6" s="212">
        <v>0</v>
      </c>
      <c r="AJ6" s="213">
        <v>0</v>
      </c>
      <c r="AK6" s="212">
        <v>0</v>
      </c>
      <c r="AL6" s="212">
        <v>0</v>
      </c>
      <c r="AM6" s="212">
        <v>0</v>
      </c>
      <c r="AN6" s="213">
        <v>0</v>
      </c>
      <c r="AP6" s="851" t="s">
        <v>629</v>
      </c>
      <c r="AQ6" s="852">
        <f>Nzl2019alltestshistlost</f>
        <v>113</v>
      </c>
      <c r="AS6" s="851" t="s">
        <v>629</v>
      </c>
      <c r="AT6" s="852">
        <f>New_ZealandRWChistlost</f>
        <v>7</v>
      </c>
    </row>
    <row r="7" spans="1:46" ht="14.95" customHeight="1" thickBot="1" x14ac:dyDescent="0.35">
      <c r="A7" s="195">
        <v>43715</v>
      </c>
      <c r="B7" s="230" t="s">
        <v>45</v>
      </c>
      <c r="C7" s="196" t="s">
        <v>145</v>
      </c>
      <c r="D7" s="230" t="s">
        <v>606</v>
      </c>
      <c r="E7" s="197" t="s">
        <v>1</v>
      </c>
      <c r="F7" s="197">
        <v>92</v>
      </c>
      <c r="G7" s="231">
        <v>7</v>
      </c>
      <c r="H7" s="231" t="s">
        <v>108</v>
      </c>
      <c r="I7" s="197" t="s">
        <v>108</v>
      </c>
      <c r="J7" s="197">
        <v>14</v>
      </c>
      <c r="K7" s="197">
        <v>11</v>
      </c>
      <c r="L7" s="197">
        <v>0</v>
      </c>
      <c r="M7" s="197">
        <v>0</v>
      </c>
      <c r="N7" s="197">
        <v>0</v>
      </c>
      <c r="O7" s="197">
        <v>0</v>
      </c>
      <c r="P7" s="197" t="s">
        <v>108</v>
      </c>
      <c r="Q7" s="197" t="s">
        <v>108</v>
      </c>
      <c r="R7" s="197">
        <v>1</v>
      </c>
      <c r="S7" s="198">
        <v>22349</v>
      </c>
      <c r="T7" s="413" t="s">
        <v>840</v>
      </c>
      <c r="U7" s="232" t="s">
        <v>278</v>
      </c>
      <c r="V7" s="198" t="s">
        <v>841</v>
      </c>
      <c r="W7" s="198" t="s">
        <v>746</v>
      </c>
      <c r="X7" s="199" t="s">
        <v>764</v>
      </c>
      <c r="Y7" s="212">
        <v>1</v>
      </c>
      <c r="Z7" s="212">
        <v>1</v>
      </c>
      <c r="AA7" s="212">
        <v>0</v>
      </c>
      <c r="AB7" s="213">
        <v>0</v>
      </c>
      <c r="AC7" s="212">
        <v>1</v>
      </c>
      <c r="AD7" s="212">
        <v>1</v>
      </c>
      <c r="AE7" s="212">
        <v>0</v>
      </c>
      <c r="AF7" s="213">
        <v>0</v>
      </c>
      <c r="AG7" s="212">
        <v>0</v>
      </c>
      <c r="AH7" s="212">
        <v>0</v>
      </c>
      <c r="AI7" s="212">
        <v>0</v>
      </c>
      <c r="AJ7" s="213">
        <v>0</v>
      </c>
      <c r="AK7" s="212">
        <v>0</v>
      </c>
      <c r="AL7" s="212">
        <v>0</v>
      </c>
      <c r="AM7" s="212">
        <v>0</v>
      </c>
      <c r="AN7" s="213">
        <v>0</v>
      </c>
      <c r="AP7" s="851" t="s">
        <v>635</v>
      </c>
      <c r="AQ7" s="852">
        <f>Nzl2019alltestshistptsscored</f>
        <v>16414</v>
      </c>
      <c r="AS7" s="851" t="s">
        <v>635</v>
      </c>
      <c r="AT7" s="852">
        <f>New_ZealandRWChistptsscored</f>
        <v>2552</v>
      </c>
    </row>
    <row r="8" spans="1:46" ht="14.95" customHeight="1" thickBot="1" x14ac:dyDescent="0.35">
      <c r="A8" s="188">
        <v>43729</v>
      </c>
      <c r="B8" s="483" t="s">
        <v>158</v>
      </c>
      <c r="C8" s="189" t="s">
        <v>679</v>
      </c>
      <c r="D8" s="483" t="s">
        <v>141</v>
      </c>
      <c r="E8" s="190" t="s">
        <v>1</v>
      </c>
      <c r="F8" s="190">
        <v>23</v>
      </c>
      <c r="G8" s="484">
        <v>13</v>
      </c>
      <c r="H8" s="484">
        <v>0</v>
      </c>
      <c r="I8" s="190">
        <v>0</v>
      </c>
      <c r="J8" s="190">
        <v>2</v>
      </c>
      <c r="K8" s="190">
        <v>2</v>
      </c>
      <c r="L8" s="190">
        <v>0</v>
      </c>
      <c r="M8" s="190">
        <v>3</v>
      </c>
      <c r="N8" s="190">
        <v>0</v>
      </c>
      <c r="O8" s="190">
        <v>0</v>
      </c>
      <c r="P8" s="190">
        <v>0</v>
      </c>
      <c r="Q8" s="190">
        <v>0</v>
      </c>
      <c r="R8" s="190">
        <v>1</v>
      </c>
      <c r="S8" s="191">
        <v>63649</v>
      </c>
      <c r="T8" s="501" t="s">
        <v>330</v>
      </c>
      <c r="U8" s="191" t="s">
        <v>138</v>
      </c>
      <c r="V8" s="191" t="s">
        <v>232</v>
      </c>
      <c r="W8" s="191" t="s">
        <v>130</v>
      </c>
      <c r="X8" s="486" t="s">
        <v>233</v>
      </c>
      <c r="Y8" s="206">
        <v>1</v>
      </c>
      <c r="Z8" s="206">
        <v>1</v>
      </c>
      <c r="AA8" s="206">
        <v>0</v>
      </c>
      <c r="AB8" s="207">
        <v>0</v>
      </c>
      <c r="AC8" s="206">
        <v>0</v>
      </c>
      <c r="AD8" s="206">
        <v>0</v>
      </c>
      <c r="AE8" s="206">
        <v>0</v>
      </c>
      <c r="AF8" s="207">
        <v>0</v>
      </c>
      <c r="AG8" s="206">
        <v>0</v>
      </c>
      <c r="AH8" s="206">
        <v>0</v>
      </c>
      <c r="AI8" s="206">
        <v>0</v>
      </c>
      <c r="AJ8" s="207">
        <v>0</v>
      </c>
      <c r="AK8" s="206">
        <v>1</v>
      </c>
      <c r="AL8" s="206">
        <v>1</v>
      </c>
      <c r="AM8" s="206">
        <v>0</v>
      </c>
      <c r="AN8" s="207">
        <v>0</v>
      </c>
      <c r="AP8" s="851" t="s">
        <v>636</v>
      </c>
      <c r="AQ8" s="852">
        <f>Nzl2019alltestshistptscon</f>
        <v>7867</v>
      </c>
      <c r="AS8" s="851" t="s">
        <v>636</v>
      </c>
      <c r="AT8" s="852">
        <f>New_ZealandRWChistptsconcorrect</f>
        <v>753</v>
      </c>
    </row>
    <row r="9" spans="1:46" ht="14.95" customHeight="1" thickBot="1" x14ac:dyDescent="0.35">
      <c r="A9" s="188">
        <v>43740</v>
      </c>
      <c r="B9" s="483" t="s">
        <v>158</v>
      </c>
      <c r="C9" s="189" t="s">
        <v>40</v>
      </c>
      <c r="D9" s="483" t="s">
        <v>180</v>
      </c>
      <c r="E9" s="190" t="s">
        <v>1</v>
      </c>
      <c r="F9" s="190">
        <v>63</v>
      </c>
      <c r="G9" s="484">
        <v>0</v>
      </c>
      <c r="H9" s="484">
        <v>1</v>
      </c>
      <c r="I9" s="190">
        <v>0</v>
      </c>
      <c r="J9" s="190">
        <v>9</v>
      </c>
      <c r="K9" s="190">
        <v>8</v>
      </c>
      <c r="L9" s="190">
        <v>0</v>
      </c>
      <c r="M9" s="190">
        <v>0</v>
      </c>
      <c r="N9" s="190">
        <v>0</v>
      </c>
      <c r="O9" s="190">
        <v>0</v>
      </c>
      <c r="P9" s="190">
        <v>0</v>
      </c>
      <c r="Q9" s="190">
        <v>0</v>
      </c>
      <c r="R9" s="190">
        <v>0</v>
      </c>
      <c r="S9" s="203">
        <v>34411</v>
      </c>
      <c r="T9" s="411" t="s">
        <v>923</v>
      </c>
      <c r="U9" s="204" t="s">
        <v>130</v>
      </c>
      <c r="V9" s="203" t="s">
        <v>270</v>
      </c>
      <c r="W9" s="191" t="s">
        <v>211</v>
      </c>
      <c r="X9" s="205" t="s">
        <v>212</v>
      </c>
      <c r="Y9" s="206">
        <v>1</v>
      </c>
      <c r="Z9" s="206">
        <v>1</v>
      </c>
      <c r="AA9" s="206">
        <v>0</v>
      </c>
      <c r="AB9" s="207">
        <v>0</v>
      </c>
      <c r="AC9" s="206">
        <v>0</v>
      </c>
      <c r="AD9" s="206">
        <v>0</v>
      </c>
      <c r="AE9" s="206">
        <v>0</v>
      </c>
      <c r="AF9" s="207">
        <v>0</v>
      </c>
      <c r="AG9" s="206">
        <v>0</v>
      </c>
      <c r="AH9" s="206">
        <v>0</v>
      </c>
      <c r="AI9" s="206">
        <v>0</v>
      </c>
      <c r="AJ9" s="207">
        <v>0</v>
      </c>
      <c r="AK9" s="206">
        <v>1</v>
      </c>
      <c r="AL9" s="206">
        <v>1</v>
      </c>
      <c r="AM9" s="206">
        <v>0</v>
      </c>
      <c r="AN9" s="207">
        <v>0</v>
      </c>
      <c r="AP9" s="851" t="s">
        <v>623</v>
      </c>
      <c r="AQ9" s="852">
        <f>Nzl2019alltestshisttriesscored</f>
        <v>2150</v>
      </c>
      <c r="AS9" s="851" t="s">
        <v>623</v>
      </c>
      <c r="AT9" s="852">
        <f>New_ZealandRWChisttriesscored</f>
        <v>347</v>
      </c>
    </row>
    <row r="10" spans="1:46" ht="14.95" customHeight="1" thickBot="1" x14ac:dyDescent="0.35">
      <c r="A10" s="188">
        <v>43744</v>
      </c>
      <c r="B10" s="483" t="s">
        <v>158</v>
      </c>
      <c r="C10" s="189" t="s">
        <v>193</v>
      </c>
      <c r="D10" s="189" t="s">
        <v>160</v>
      </c>
      <c r="E10" s="190" t="s">
        <v>1</v>
      </c>
      <c r="F10" s="190">
        <v>71</v>
      </c>
      <c r="G10" s="484">
        <v>9</v>
      </c>
      <c r="H10" s="634">
        <v>1</v>
      </c>
      <c r="I10" s="484">
        <v>0</v>
      </c>
      <c r="J10" s="190">
        <v>11</v>
      </c>
      <c r="K10" s="190">
        <v>8</v>
      </c>
      <c r="L10" s="190">
        <v>0</v>
      </c>
      <c r="M10" s="190">
        <v>0</v>
      </c>
      <c r="N10" s="190">
        <v>2</v>
      </c>
      <c r="O10" s="190">
        <v>0</v>
      </c>
      <c r="P10" s="190">
        <v>0</v>
      </c>
      <c r="Q10" s="190">
        <v>0</v>
      </c>
      <c r="R10" s="190">
        <v>0</v>
      </c>
      <c r="S10" s="203">
        <v>48354</v>
      </c>
      <c r="T10" s="411" t="s">
        <v>935</v>
      </c>
      <c r="U10" s="204" t="s">
        <v>211</v>
      </c>
      <c r="V10" s="203" t="s">
        <v>131</v>
      </c>
      <c r="W10" s="191" t="s">
        <v>133</v>
      </c>
      <c r="X10" s="205" t="s">
        <v>149</v>
      </c>
      <c r="Y10" s="206">
        <v>1</v>
      </c>
      <c r="Z10" s="206">
        <v>1</v>
      </c>
      <c r="AA10" s="206">
        <v>0</v>
      </c>
      <c r="AB10" s="207">
        <v>0</v>
      </c>
      <c r="AC10" s="206">
        <v>0</v>
      </c>
      <c r="AD10" s="206">
        <v>0</v>
      </c>
      <c r="AE10" s="206">
        <v>0</v>
      </c>
      <c r="AF10" s="207">
        <v>0</v>
      </c>
      <c r="AG10" s="206">
        <v>0</v>
      </c>
      <c r="AH10" s="206">
        <v>0</v>
      </c>
      <c r="AI10" s="206">
        <v>0</v>
      </c>
      <c r="AJ10" s="207">
        <v>0</v>
      </c>
      <c r="AK10" s="206">
        <v>1</v>
      </c>
      <c r="AL10" s="206">
        <v>1</v>
      </c>
      <c r="AM10" s="206">
        <v>0</v>
      </c>
      <c r="AN10" s="207">
        <v>0</v>
      </c>
    </row>
    <row r="11" spans="1:46" ht="14.95" customHeight="1" thickBot="1" x14ac:dyDescent="0.3">
      <c r="A11" s="188">
        <v>43750</v>
      </c>
      <c r="B11" s="483" t="s">
        <v>158</v>
      </c>
      <c r="C11" s="189" t="s">
        <v>33</v>
      </c>
      <c r="D11" s="483" t="s">
        <v>128</v>
      </c>
      <c r="E11" s="190" t="s">
        <v>13</v>
      </c>
      <c r="F11" s="190" t="s">
        <v>108</v>
      </c>
      <c r="G11" s="484" t="s">
        <v>108</v>
      </c>
      <c r="H11" s="484" t="s">
        <v>108</v>
      </c>
      <c r="I11" s="190" t="s">
        <v>108</v>
      </c>
      <c r="J11" s="190" t="s">
        <v>108</v>
      </c>
      <c r="K11" s="190" t="s">
        <v>108</v>
      </c>
      <c r="L11" s="190" t="s">
        <v>108</v>
      </c>
      <c r="M11" s="190" t="s">
        <v>108</v>
      </c>
      <c r="N11" s="190" t="s">
        <v>108</v>
      </c>
      <c r="O11" s="190" t="s">
        <v>108</v>
      </c>
      <c r="P11" s="190" t="s">
        <v>108</v>
      </c>
      <c r="Q11" s="190" t="s">
        <v>108</v>
      </c>
      <c r="R11" s="190" t="s">
        <v>108</v>
      </c>
      <c r="S11" s="936" t="s">
        <v>108</v>
      </c>
      <c r="T11" s="635" t="s">
        <v>108</v>
      </c>
      <c r="U11" s="191" t="s">
        <v>108</v>
      </c>
      <c r="V11" s="191" t="s">
        <v>108</v>
      </c>
      <c r="W11" s="191" t="s">
        <v>108</v>
      </c>
      <c r="X11" s="191" t="s">
        <v>108</v>
      </c>
      <c r="Y11" s="206">
        <v>1</v>
      </c>
      <c r="Z11" s="206">
        <v>0</v>
      </c>
      <c r="AA11" s="206">
        <v>1</v>
      </c>
      <c r="AB11" s="207">
        <v>0</v>
      </c>
      <c r="AC11" s="206">
        <v>0</v>
      </c>
      <c r="AD11" s="206">
        <v>0</v>
      </c>
      <c r="AE11" s="206">
        <v>0</v>
      </c>
      <c r="AF11" s="207">
        <v>0</v>
      </c>
      <c r="AG11" s="206">
        <v>0</v>
      </c>
      <c r="AH11" s="206">
        <v>0</v>
      </c>
      <c r="AI11" s="206">
        <v>0</v>
      </c>
      <c r="AJ11" s="207">
        <v>0</v>
      </c>
      <c r="AK11" s="206">
        <v>1</v>
      </c>
      <c r="AL11" s="206">
        <v>0</v>
      </c>
      <c r="AM11" s="206">
        <v>1</v>
      </c>
      <c r="AN11" s="207">
        <v>0</v>
      </c>
    </row>
    <row r="12" spans="1:46" ht="14.95" customHeight="1" thickBot="1" x14ac:dyDescent="0.3">
      <c r="A12" s="188">
        <v>43757</v>
      </c>
      <c r="B12" s="483" t="s">
        <v>110</v>
      </c>
      <c r="C12" s="189" t="s">
        <v>39</v>
      </c>
      <c r="D12" s="189" t="s">
        <v>160</v>
      </c>
      <c r="E12" s="964" t="s">
        <v>1</v>
      </c>
      <c r="F12" s="965">
        <v>46</v>
      </c>
      <c r="G12" s="965">
        <v>14</v>
      </c>
      <c r="H12" s="965" t="s">
        <v>108</v>
      </c>
      <c r="I12" s="965" t="s">
        <v>108</v>
      </c>
      <c r="J12" s="965">
        <v>7</v>
      </c>
      <c r="K12" s="965">
        <v>4</v>
      </c>
      <c r="L12" s="965">
        <v>0</v>
      </c>
      <c r="M12" s="965">
        <v>1</v>
      </c>
      <c r="N12" s="965">
        <v>1</v>
      </c>
      <c r="O12" s="965">
        <v>0</v>
      </c>
      <c r="P12" s="965" t="s">
        <v>108</v>
      </c>
      <c r="Q12" s="965" t="s">
        <v>108</v>
      </c>
      <c r="R12" s="965">
        <v>2</v>
      </c>
      <c r="S12" s="966">
        <v>46686</v>
      </c>
      <c r="T12" s="967" t="s">
        <v>836</v>
      </c>
      <c r="U12" s="933" t="s">
        <v>219</v>
      </c>
      <c r="V12" s="933" t="s">
        <v>232</v>
      </c>
      <c r="W12" s="933" t="s">
        <v>211</v>
      </c>
      <c r="X12" s="191" t="s">
        <v>278</v>
      </c>
      <c r="Y12" s="206">
        <v>1</v>
      </c>
      <c r="Z12" s="207">
        <v>1</v>
      </c>
      <c r="AA12" s="207">
        <v>0</v>
      </c>
      <c r="AB12" s="207">
        <v>0</v>
      </c>
      <c r="AC12" s="207">
        <v>0</v>
      </c>
      <c r="AD12" s="207">
        <v>0</v>
      </c>
      <c r="AE12" s="207">
        <v>0</v>
      </c>
      <c r="AF12" s="207">
        <v>0</v>
      </c>
      <c r="AG12" s="207">
        <v>0</v>
      </c>
      <c r="AH12" s="207">
        <v>0</v>
      </c>
      <c r="AI12" s="207">
        <v>0</v>
      </c>
      <c r="AJ12" s="207">
        <v>0</v>
      </c>
      <c r="AK12" s="207">
        <v>1</v>
      </c>
      <c r="AL12" s="207">
        <v>1</v>
      </c>
      <c r="AM12" s="207">
        <v>0</v>
      </c>
      <c r="AN12" s="207">
        <v>0</v>
      </c>
    </row>
    <row r="13" spans="1:46" ht="14.95" customHeight="1" thickBot="1" x14ac:dyDescent="0.3">
      <c r="A13" s="188">
        <v>43764</v>
      </c>
      <c r="B13" s="483" t="s">
        <v>161</v>
      </c>
      <c r="C13" s="189" t="s">
        <v>30</v>
      </c>
      <c r="D13" s="189" t="s">
        <v>141</v>
      </c>
      <c r="E13" s="964" t="s">
        <v>3</v>
      </c>
      <c r="F13" s="965">
        <v>7</v>
      </c>
      <c r="G13" s="965">
        <v>19</v>
      </c>
      <c r="H13" s="965" t="s">
        <v>108</v>
      </c>
      <c r="I13" s="965" t="s">
        <v>108</v>
      </c>
      <c r="J13" s="965">
        <v>1</v>
      </c>
      <c r="K13" s="965">
        <v>1</v>
      </c>
      <c r="L13" s="965">
        <v>0</v>
      </c>
      <c r="M13" s="965">
        <v>0</v>
      </c>
      <c r="N13" s="965">
        <v>0</v>
      </c>
      <c r="O13" s="965">
        <v>0</v>
      </c>
      <c r="P13" s="965" t="s">
        <v>108</v>
      </c>
      <c r="Q13" s="965" t="s">
        <v>108</v>
      </c>
      <c r="R13" s="965">
        <v>1</v>
      </c>
      <c r="S13" s="966">
        <v>68843</v>
      </c>
      <c r="T13" s="979" t="s">
        <v>795</v>
      </c>
      <c r="U13" s="933" t="s">
        <v>219</v>
      </c>
      <c r="V13" s="933" t="s">
        <v>270</v>
      </c>
      <c r="W13" s="933" t="s">
        <v>130</v>
      </c>
      <c r="X13" s="191" t="s">
        <v>211</v>
      </c>
      <c r="Y13" s="206">
        <v>1</v>
      </c>
      <c r="Z13" s="207">
        <v>0</v>
      </c>
      <c r="AA13" s="207">
        <v>0</v>
      </c>
      <c r="AB13" s="207">
        <v>1</v>
      </c>
      <c r="AC13" s="207">
        <v>0</v>
      </c>
      <c r="AD13" s="207">
        <v>0</v>
      </c>
      <c r="AE13" s="207">
        <v>0</v>
      </c>
      <c r="AF13" s="207">
        <v>0</v>
      </c>
      <c r="AG13" s="207">
        <v>0</v>
      </c>
      <c r="AH13" s="207">
        <v>0</v>
      </c>
      <c r="AI13" s="207">
        <v>0</v>
      </c>
      <c r="AJ13" s="207">
        <v>0</v>
      </c>
      <c r="AK13" s="207">
        <v>1</v>
      </c>
      <c r="AL13" s="207">
        <v>0</v>
      </c>
      <c r="AM13" s="207">
        <v>0</v>
      </c>
      <c r="AN13" s="207">
        <v>1</v>
      </c>
    </row>
    <row r="14" spans="1:46" ht="14.95" customHeight="1" thickBot="1" x14ac:dyDescent="0.3">
      <c r="A14" s="188">
        <v>43770</v>
      </c>
      <c r="B14" s="483" t="s">
        <v>983</v>
      </c>
      <c r="C14" s="189" t="s">
        <v>32</v>
      </c>
      <c r="D14" s="189" t="s">
        <v>160</v>
      </c>
      <c r="E14" s="964" t="s">
        <v>1</v>
      </c>
      <c r="F14" s="965">
        <v>40</v>
      </c>
      <c r="G14" s="965">
        <v>17</v>
      </c>
      <c r="H14" s="965" t="s">
        <v>108</v>
      </c>
      <c r="I14" s="965" t="s">
        <v>108</v>
      </c>
      <c r="J14" s="965">
        <v>6</v>
      </c>
      <c r="K14" s="965">
        <v>5</v>
      </c>
      <c r="L14" s="965">
        <v>0</v>
      </c>
      <c r="M14" s="965">
        <v>0</v>
      </c>
      <c r="N14" s="965">
        <v>0</v>
      </c>
      <c r="O14" s="965">
        <v>0</v>
      </c>
      <c r="P14" s="965" t="s">
        <v>108</v>
      </c>
      <c r="Q14" s="965" t="s">
        <v>108</v>
      </c>
      <c r="R14" s="965">
        <v>2</v>
      </c>
      <c r="S14" s="966">
        <v>48842</v>
      </c>
      <c r="T14" s="983" t="s">
        <v>991</v>
      </c>
      <c r="U14" s="933" t="s">
        <v>132</v>
      </c>
      <c r="V14" s="933" t="s">
        <v>270</v>
      </c>
      <c r="W14" s="933" t="s">
        <v>229</v>
      </c>
      <c r="X14" s="191" t="s">
        <v>211</v>
      </c>
      <c r="Y14" s="206">
        <v>1</v>
      </c>
      <c r="Z14" s="207">
        <v>1</v>
      </c>
      <c r="AA14" s="207">
        <v>0</v>
      </c>
      <c r="AB14" s="207">
        <v>0</v>
      </c>
      <c r="AC14" s="207">
        <v>0</v>
      </c>
      <c r="AD14" s="207">
        <v>0</v>
      </c>
      <c r="AE14" s="207">
        <v>0</v>
      </c>
      <c r="AF14" s="207">
        <v>0</v>
      </c>
      <c r="AG14" s="207">
        <v>0</v>
      </c>
      <c r="AH14" s="207">
        <v>0</v>
      </c>
      <c r="AI14" s="207">
        <v>0</v>
      </c>
      <c r="AJ14" s="207">
        <v>0</v>
      </c>
      <c r="AK14" s="207">
        <v>1</v>
      </c>
      <c r="AL14" s="207">
        <v>1</v>
      </c>
      <c r="AM14" s="207">
        <v>0</v>
      </c>
      <c r="AN14" s="207">
        <v>0</v>
      </c>
    </row>
    <row r="15" spans="1:46" ht="14.95" thickBot="1" x14ac:dyDescent="0.3">
      <c r="A15" s="438"/>
      <c r="B15" s="439"/>
      <c r="C15" s="1031" t="s">
        <v>113</v>
      </c>
      <c r="D15" s="1032"/>
      <c r="E15" s="1033"/>
      <c r="F15" s="465">
        <f>SUM(F3:F5)</f>
        <v>62</v>
      </c>
      <c r="G15" s="465">
        <f t="shared" ref="G15:R15" si="0">SUM(G3:G5)</f>
        <v>79</v>
      </c>
      <c r="H15" s="465">
        <f t="shared" si="0"/>
        <v>0</v>
      </c>
      <c r="I15" s="465">
        <f t="shared" si="0"/>
        <v>0</v>
      </c>
      <c r="J15" s="465">
        <f t="shared" si="0"/>
        <v>7</v>
      </c>
      <c r="K15" s="465">
        <f t="shared" si="0"/>
        <v>6</v>
      </c>
      <c r="L15" s="465">
        <f t="shared" si="0"/>
        <v>0</v>
      </c>
      <c r="M15" s="465">
        <f t="shared" si="0"/>
        <v>5</v>
      </c>
      <c r="N15" s="465">
        <f t="shared" si="0"/>
        <v>0</v>
      </c>
      <c r="O15" s="465">
        <f t="shared" si="0"/>
        <v>1</v>
      </c>
      <c r="P15" s="465">
        <f t="shared" si="0"/>
        <v>0</v>
      </c>
      <c r="Q15" s="465">
        <f t="shared" si="0"/>
        <v>1</v>
      </c>
      <c r="R15" s="465">
        <f t="shared" si="0"/>
        <v>8</v>
      </c>
      <c r="S15" s="466"/>
      <c r="T15" s="466"/>
      <c r="U15" s="466"/>
      <c r="V15" s="466"/>
      <c r="W15" s="467"/>
      <c r="X15" s="468" t="s">
        <v>113</v>
      </c>
      <c r="Y15" s="465">
        <f t="shared" ref="Y15:AN15" si="1">SUM(Y3:Y5)</f>
        <v>3</v>
      </c>
      <c r="Z15" s="465">
        <f t="shared" si="1"/>
        <v>1</v>
      </c>
      <c r="AA15" s="465">
        <f t="shared" si="1"/>
        <v>1</v>
      </c>
      <c r="AB15" s="465">
        <f t="shared" si="1"/>
        <v>1</v>
      </c>
      <c r="AC15" s="469">
        <f t="shared" si="1"/>
        <v>1</v>
      </c>
      <c r="AD15" s="469">
        <f t="shared" si="1"/>
        <v>0</v>
      </c>
      <c r="AE15" s="469">
        <f t="shared" si="1"/>
        <v>1</v>
      </c>
      <c r="AF15" s="469">
        <f t="shared" si="1"/>
        <v>0</v>
      </c>
      <c r="AG15" s="470">
        <f t="shared" si="1"/>
        <v>2</v>
      </c>
      <c r="AH15" s="470">
        <f t="shared" si="1"/>
        <v>1</v>
      </c>
      <c r="AI15" s="470">
        <f t="shared" si="1"/>
        <v>0</v>
      </c>
      <c r="AJ15" s="470">
        <f t="shared" si="1"/>
        <v>1</v>
      </c>
      <c r="AK15" s="471">
        <f t="shared" si="1"/>
        <v>0</v>
      </c>
      <c r="AL15" s="471">
        <f t="shared" si="1"/>
        <v>0</v>
      </c>
      <c r="AM15" s="471">
        <f t="shared" si="1"/>
        <v>0</v>
      </c>
      <c r="AN15" s="471">
        <f t="shared" si="1"/>
        <v>0</v>
      </c>
    </row>
    <row r="16" spans="1:46" ht="14.95" thickBot="1" x14ac:dyDescent="0.3">
      <c r="A16" s="438"/>
      <c r="B16" s="439"/>
      <c r="C16" s="1037" t="s">
        <v>163</v>
      </c>
      <c r="D16" s="1038"/>
      <c r="E16" s="1039"/>
      <c r="F16" s="446">
        <f>SUM(F6:F7)</f>
        <v>128</v>
      </c>
      <c r="G16" s="446">
        <f>SUM(G6:G7)</f>
        <v>7</v>
      </c>
      <c r="H16" s="446" t="s">
        <v>108</v>
      </c>
      <c r="I16" s="446" t="s">
        <v>108</v>
      </c>
      <c r="J16" s="446">
        <f t="shared" ref="J16:O16" si="2">SUM(J6:J7)</f>
        <v>19</v>
      </c>
      <c r="K16" s="446">
        <f t="shared" si="2"/>
        <v>15</v>
      </c>
      <c r="L16" s="446">
        <f t="shared" si="2"/>
        <v>0</v>
      </c>
      <c r="M16" s="446">
        <f t="shared" si="2"/>
        <v>1</v>
      </c>
      <c r="N16" s="446">
        <f t="shared" si="2"/>
        <v>1</v>
      </c>
      <c r="O16" s="446">
        <f t="shared" si="2"/>
        <v>0</v>
      </c>
      <c r="P16" s="446" t="s">
        <v>108</v>
      </c>
      <c r="Q16" s="446" t="s">
        <v>108</v>
      </c>
      <c r="R16" s="446">
        <f>SUM(R6:R7)</f>
        <v>1</v>
      </c>
      <c r="S16" s="447"/>
      <c r="T16" s="447"/>
      <c r="U16" s="447"/>
      <c r="V16" s="447"/>
      <c r="W16" s="448"/>
      <c r="X16" s="461" t="s">
        <v>163</v>
      </c>
      <c r="Y16" s="446">
        <f t="shared" ref="Y16:AN16" si="3">SUM(Y6:Y7)</f>
        <v>2</v>
      </c>
      <c r="Z16" s="446">
        <f t="shared" si="3"/>
        <v>2</v>
      </c>
      <c r="AA16" s="446">
        <f t="shared" si="3"/>
        <v>0</v>
      </c>
      <c r="AB16" s="446">
        <f t="shared" si="3"/>
        <v>0</v>
      </c>
      <c r="AC16" s="450">
        <f t="shared" si="3"/>
        <v>2</v>
      </c>
      <c r="AD16" s="450">
        <f t="shared" si="3"/>
        <v>2</v>
      </c>
      <c r="AE16" s="450">
        <f t="shared" si="3"/>
        <v>0</v>
      </c>
      <c r="AF16" s="450">
        <f t="shared" si="3"/>
        <v>0</v>
      </c>
      <c r="AG16" s="451">
        <f t="shared" si="3"/>
        <v>0</v>
      </c>
      <c r="AH16" s="451">
        <f t="shared" si="3"/>
        <v>0</v>
      </c>
      <c r="AI16" s="451">
        <f t="shared" si="3"/>
        <v>0</v>
      </c>
      <c r="AJ16" s="451">
        <f t="shared" si="3"/>
        <v>0</v>
      </c>
      <c r="AK16" s="452">
        <f t="shared" si="3"/>
        <v>0</v>
      </c>
      <c r="AL16" s="452">
        <f t="shared" si="3"/>
        <v>0</v>
      </c>
      <c r="AM16" s="452">
        <f t="shared" si="3"/>
        <v>0</v>
      </c>
      <c r="AN16" s="452">
        <f t="shared" si="3"/>
        <v>0</v>
      </c>
    </row>
    <row r="17" spans="1:40" ht="14.95" thickBot="1" x14ac:dyDescent="0.3">
      <c r="A17" s="438"/>
      <c r="B17" s="439"/>
      <c r="C17" s="1040" t="s">
        <v>611</v>
      </c>
      <c r="D17" s="1041"/>
      <c r="E17" s="1042"/>
      <c r="F17" s="685">
        <f>SUM(F8:F11)</f>
        <v>157</v>
      </c>
      <c r="G17" s="685">
        <f t="shared" ref="G17:R17" si="4">SUM(G8:G11)</f>
        <v>22</v>
      </c>
      <c r="H17" s="685">
        <f t="shared" si="4"/>
        <v>2</v>
      </c>
      <c r="I17" s="685">
        <f t="shared" si="4"/>
        <v>0</v>
      </c>
      <c r="J17" s="685">
        <f t="shared" si="4"/>
        <v>22</v>
      </c>
      <c r="K17" s="685">
        <f t="shared" si="4"/>
        <v>18</v>
      </c>
      <c r="L17" s="685">
        <f t="shared" si="4"/>
        <v>0</v>
      </c>
      <c r="M17" s="685">
        <f t="shared" si="4"/>
        <v>3</v>
      </c>
      <c r="N17" s="685">
        <f t="shared" si="4"/>
        <v>2</v>
      </c>
      <c r="O17" s="685">
        <f t="shared" si="4"/>
        <v>0</v>
      </c>
      <c r="P17" s="685">
        <f t="shared" si="4"/>
        <v>0</v>
      </c>
      <c r="Q17" s="685">
        <f t="shared" si="4"/>
        <v>0</v>
      </c>
      <c r="R17" s="685">
        <f t="shared" si="4"/>
        <v>1</v>
      </c>
      <c r="S17" s="686"/>
      <c r="T17" s="686"/>
      <c r="U17" s="686"/>
      <c r="V17" s="686"/>
      <c r="W17" s="687"/>
      <c r="X17" s="688" t="s">
        <v>611</v>
      </c>
      <c r="Y17" s="689">
        <f t="shared" ref="Y17:AN17" si="5">SUM(Y8:Y11)</f>
        <v>4</v>
      </c>
      <c r="Z17" s="690">
        <f t="shared" si="5"/>
        <v>3</v>
      </c>
      <c r="AA17" s="685">
        <f t="shared" si="5"/>
        <v>1</v>
      </c>
      <c r="AB17" s="685">
        <f t="shared" si="5"/>
        <v>0</v>
      </c>
      <c r="AC17" s="691">
        <f t="shared" si="5"/>
        <v>0</v>
      </c>
      <c r="AD17" s="691">
        <f t="shared" si="5"/>
        <v>0</v>
      </c>
      <c r="AE17" s="691">
        <f t="shared" si="5"/>
        <v>0</v>
      </c>
      <c r="AF17" s="691">
        <f t="shared" si="5"/>
        <v>0</v>
      </c>
      <c r="AG17" s="692">
        <f t="shared" si="5"/>
        <v>0</v>
      </c>
      <c r="AH17" s="692">
        <f t="shared" si="5"/>
        <v>0</v>
      </c>
      <c r="AI17" s="692">
        <f t="shared" si="5"/>
        <v>0</v>
      </c>
      <c r="AJ17" s="692">
        <f t="shared" si="5"/>
        <v>0</v>
      </c>
      <c r="AK17" s="693">
        <f t="shared" si="5"/>
        <v>4</v>
      </c>
      <c r="AL17" s="693">
        <f t="shared" si="5"/>
        <v>3</v>
      </c>
      <c r="AM17" s="693">
        <f t="shared" si="5"/>
        <v>1</v>
      </c>
      <c r="AN17" s="693">
        <f t="shared" si="5"/>
        <v>0</v>
      </c>
    </row>
    <row r="18" spans="1:40" ht="14.95" thickBot="1" x14ac:dyDescent="0.3">
      <c r="A18" s="438"/>
      <c r="B18" s="439"/>
      <c r="C18" s="1040" t="s">
        <v>612</v>
      </c>
      <c r="D18" s="1041"/>
      <c r="E18" s="1042"/>
      <c r="F18" s="694">
        <f>SUM(F12:F14)</f>
        <v>93</v>
      </c>
      <c r="G18" s="685">
        <f t="shared" ref="G18:O18" si="6">SUM(G12:G14)</f>
        <v>50</v>
      </c>
      <c r="H18" s="685" t="s">
        <v>108</v>
      </c>
      <c r="I18" s="685" t="s">
        <v>108</v>
      </c>
      <c r="J18" s="685">
        <f t="shared" si="6"/>
        <v>14</v>
      </c>
      <c r="K18" s="685">
        <f t="shared" si="6"/>
        <v>10</v>
      </c>
      <c r="L18" s="685">
        <f t="shared" si="6"/>
        <v>0</v>
      </c>
      <c r="M18" s="685">
        <f t="shared" si="6"/>
        <v>1</v>
      </c>
      <c r="N18" s="685">
        <f t="shared" si="6"/>
        <v>1</v>
      </c>
      <c r="O18" s="685">
        <f t="shared" si="6"/>
        <v>0</v>
      </c>
      <c r="P18" s="685" t="s">
        <v>108</v>
      </c>
      <c r="Q18" s="685" t="s">
        <v>108</v>
      </c>
      <c r="R18" s="685">
        <f t="shared" ref="R18" si="7">SUM(R12:R14)</f>
        <v>5</v>
      </c>
      <c r="S18" s="686"/>
      <c r="T18" s="686"/>
      <c r="U18" s="686"/>
      <c r="V18" s="686"/>
      <c r="W18" s="687"/>
      <c r="X18" s="688" t="s">
        <v>612</v>
      </c>
      <c r="Y18" s="689">
        <f t="shared" ref="Y18:AN18" si="8">SUM(Y12:Y14)</f>
        <v>3</v>
      </c>
      <c r="Z18" s="690">
        <f t="shared" si="8"/>
        <v>2</v>
      </c>
      <c r="AA18" s="685">
        <f t="shared" si="8"/>
        <v>0</v>
      </c>
      <c r="AB18" s="685">
        <f t="shared" si="8"/>
        <v>1</v>
      </c>
      <c r="AC18" s="691">
        <f t="shared" si="8"/>
        <v>0</v>
      </c>
      <c r="AD18" s="691">
        <f t="shared" si="8"/>
        <v>0</v>
      </c>
      <c r="AE18" s="691">
        <f t="shared" si="8"/>
        <v>0</v>
      </c>
      <c r="AF18" s="691">
        <f t="shared" si="8"/>
        <v>0</v>
      </c>
      <c r="AG18" s="692">
        <f t="shared" si="8"/>
        <v>0</v>
      </c>
      <c r="AH18" s="692">
        <f t="shared" si="8"/>
        <v>0</v>
      </c>
      <c r="AI18" s="692">
        <f t="shared" si="8"/>
        <v>0</v>
      </c>
      <c r="AJ18" s="692">
        <f t="shared" si="8"/>
        <v>0</v>
      </c>
      <c r="AK18" s="693">
        <f t="shared" si="8"/>
        <v>3</v>
      </c>
      <c r="AL18" s="693">
        <f t="shared" si="8"/>
        <v>2</v>
      </c>
      <c r="AM18" s="693">
        <f t="shared" si="8"/>
        <v>0</v>
      </c>
      <c r="AN18" s="693">
        <f t="shared" si="8"/>
        <v>1</v>
      </c>
    </row>
    <row r="19" spans="1:40" ht="14.95" thickBot="1" x14ac:dyDescent="0.3">
      <c r="A19" s="438"/>
      <c r="B19" s="439"/>
      <c r="C19" s="1040" t="s">
        <v>613</v>
      </c>
      <c r="D19" s="1041"/>
      <c r="E19" s="1042"/>
      <c r="F19" s="685">
        <f>SUM(F17:F18)</f>
        <v>250</v>
      </c>
      <c r="G19" s="685">
        <f t="shared" ref="G19:R19" si="9">SUM(G17:G18)</f>
        <v>72</v>
      </c>
      <c r="H19" s="685">
        <f t="shared" si="9"/>
        <v>2</v>
      </c>
      <c r="I19" s="685">
        <f t="shared" si="9"/>
        <v>0</v>
      </c>
      <c r="J19" s="685">
        <f t="shared" si="9"/>
        <v>36</v>
      </c>
      <c r="K19" s="685">
        <f t="shared" si="9"/>
        <v>28</v>
      </c>
      <c r="L19" s="685">
        <f t="shared" si="9"/>
        <v>0</v>
      </c>
      <c r="M19" s="685">
        <f t="shared" si="9"/>
        <v>4</v>
      </c>
      <c r="N19" s="685">
        <f t="shared" si="9"/>
        <v>3</v>
      </c>
      <c r="O19" s="685">
        <f t="shared" si="9"/>
        <v>0</v>
      </c>
      <c r="P19" s="685">
        <f t="shared" si="9"/>
        <v>0</v>
      </c>
      <c r="Q19" s="685">
        <f t="shared" si="9"/>
        <v>0</v>
      </c>
      <c r="R19" s="685">
        <f t="shared" si="9"/>
        <v>6</v>
      </c>
      <c r="S19" s="686"/>
      <c r="T19" s="686"/>
      <c r="U19" s="686"/>
      <c r="V19" s="686"/>
      <c r="W19" s="687"/>
      <c r="X19" s="688" t="s">
        <v>613</v>
      </c>
      <c r="Y19" s="689">
        <f t="shared" ref="Y19:AN19" si="10">SUM(Y17:Y18)</f>
        <v>7</v>
      </c>
      <c r="Z19" s="690">
        <f t="shared" si="10"/>
        <v>5</v>
      </c>
      <c r="AA19" s="685">
        <f t="shared" si="10"/>
        <v>1</v>
      </c>
      <c r="AB19" s="685">
        <f t="shared" si="10"/>
        <v>1</v>
      </c>
      <c r="AC19" s="691">
        <f t="shared" si="10"/>
        <v>0</v>
      </c>
      <c r="AD19" s="691">
        <f t="shared" si="10"/>
        <v>0</v>
      </c>
      <c r="AE19" s="691">
        <f t="shared" si="10"/>
        <v>0</v>
      </c>
      <c r="AF19" s="691">
        <f t="shared" si="10"/>
        <v>0</v>
      </c>
      <c r="AG19" s="692">
        <f t="shared" si="10"/>
        <v>0</v>
      </c>
      <c r="AH19" s="692">
        <f t="shared" si="10"/>
        <v>0</v>
      </c>
      <c r="AI19" s="692">
        <f t="shared" si="10"/>
        <v>0</v>
      </c>
      <c r="AJ19" s="692">
        <f t="shared" si="10"/>
        <v>0</v>
      </c>
      <c r="AK19" s="693">
        <f t="shared" si="10"/>
        <v>7</v>
      </c>
      <c r="AL19" s="693">
        <f t="shared" si="10"/>
        <v>5</v>
      </c>
      <c r="AM19" s="693">
        <f t="shared" si="10"/>
        <v>1</v>
      </c>
      <c r="AN19" s="693">
        <f t="shared" si="10"/>
        <v>1</v>
      </c>
    </row>
    <row r="20" spans="1:40" ht="14.95" thickBot="1" x14ac:dyDescent="0.3">
      <c r="A20" s="438"/>
      <c r="B20" s="439"/>
      <c r="C20" s="1034" t="s">
        <v>112</v>
      </c>
      <c r="D20" s="1035"/>
      <c r="E20" s="1036"/>
      <c r="F20" s="453">
        <f>SUM(F3:F14)</f>
        <v>440</v>
      </c>
      <c r="G20" s="453">
        <f t="shared" ref="G20:R20" si="11">SUM(G3:G14)</f>
        <v>158</v>
      </c>
      <c r="H20" s="453">
        <f t="shared" si="11"/>
        <v>2</v>
      </c>
      <c r="I20" s="453">
        <f t="shared" si="11"/>
        <v>0</v>
      </c>
      <c r="J20" s="453">
        <f t="shared" si="11"/>
        <v>62</v>
      </c>
      <c r="K20" s="453">
        <f t="shared" si="11"/>
        <v>49</v>
      </c>
      <c r="L20" s="453">
        <f t="shared" si="11"/>
        <v>0</v>
      </c>
      <c r="M20" s="453">
        <f t="shared" si="11"/>
        <v>10</v>
      </c>
      <c r="N20" s="453">
        <f t="shared" si="11"/>
        <v>4</v>
      </c>
      <c r="O20" s="453">
        <f t="shared" si="11"/>
        <v>1</v>
      </c>
      <c r="P20" s="453">
        <f t="shared" si="11"/>
        <v>0</v>
      </c>
      <c r="Q20" s="453">
        <f t="shared" si="11"/>
        <v>1</v>
      </c>
      <c r="R20" s="453">
        <f t="shared" si="11"/>
        <v>15</v>
      </c>
      <c r="S20" s="454"/>
      <c r="T20" s="454"/>
      <c r="U20" s="454"/>
      <c r="V20" s="454"/>
      <c r="W20" s="455"/>
      <c r="X20" s="462" t="s">
        <v>112</v>
      </c>
      <c r="Y20" s="453">
        <f t="shared" ref="Y20:AN20" si="12">SUM(Y3:Y14)</f>
        <v>12</v>
      </c>
      <c r="Z20" s="453">
        <f t="shared" si="12"/>
        <v>8</v>
      </c>
      <c r="AA20" s="453">
        <f t="shared" si="12"/>
        <v>2</v>
      </c>
      <c r="AB20" s="453">
        <f t="shared" si="12"/>
        <v>2</v>
      </c>
      <c r="AC20" s="456">
        <f t="shared" si="12"/>
        <v>3</v>
      </c>
      <c r="AD20" s="456">
        <f t="shared" si="12"/>
        <v>2</v>
      </c>
      <c r="AE20" s="456">
        <f t="shared" si="12"/>
        <v>1</v>
      </c>
      <c r="AF20" s="456">
        <f t="shared" si="12"/>
        <v>0</v>
      </c>
      <c r="AG20" s="457">
        <f t="shared" si="12"/>
        <v>2</v>
      </c>
      <c r="AH20" s="457">
        <f t="shared" si="12"/>
        <v>1</v>
      </c>
      <c r="AI20" s="457">
        <f t="shared" si="12"/>
        <v>0</v>
      </c>
      <c r="AJ20" s="457">
        <f t="shared" si="12"/>
        <v>1</v>
      </c>
      <c r="AK20" s="458">
        <f t="shared" si="12"/>
        <v>7</v>
      </c>
      <c r="AL20" s="458">
        <f t="shared" si="12"/>
        <v>5</v>
      </c>
      <c r="AM20" s="458">
        <f t="shared" si="12"/>
        <v>1</v>
      </c>
      <c r="AN20" s="458">
        <f t="shared" si="12"/>
        <v>1</v>
      </c>
    </row>
    <row r="21" spans="1:40" x14ac:dyDescent="0.25">
      <c r="A21" s="1107" t="s">
        <v>921</v>
      </c>
      <c r="B21" s="1108"/>
      <c r="C21" s="1108"/>
      <c r="D21" s="1108"/>
      <c r="E21" s="1108"/>
      <c r="F21" s="1108"/>
      <c r="G21" s="1108"/>
      <c r="H21" s="1108"/>
      <c r="I21" s="1108"/>
      <c r="J21" s="1108"/>
      <c r="K21" s="1108"/>
      <c r="L21" s="1108"/>
      <c r="M21" s="1108"/>
      <c r="N21" s="1108"/>
      <c r="O21" s="1108"/>
      <c r="P21" s="1108"/>
      <c r="Q21" s="1108"/>
      <c r="R21" s="1108"/>
      <c r="S21" s="1108"/>
      <c r="T21" s="1108"/>
      <c r="U21" s="1108"/>
      <c r="V21" s="1108"/>
      <c r="W21" s="1108"/>
      <c r="X21" s="1108"/>
      <c r="Y21" s="1108"/>
      <c r="Z21" s="1108"/>
      <c r="AA21" s="1108"/>
      <c r="AB21" s="1108"/>
      <c r="AC21" s="1108"/>
      <c r="AD21" s="1108"/>
      <c r="AE21" s="1108"/>
      <c r="AF21" s="1108"/>
      <c r="AG21" s="1108"/>
      <c r="AH21" s="1108"/>
      <c r="AI21" s="1108"/>
      <c r="AJ21" s="1108"/>
      <c r="AK21" s="1108"/>
      <c r="AL21" s="1108"/>
      <c r="AM21" s="1108"/>
      <c r="AN21" s="1108"/>
    </row>
    <row r="22" spans="1:40" x14ac:dyDescent="0.25">
      <c r="A22" s="1067" t="s">
        <v>954</v>
      </c>
      <c r="B22" s="988"/>
      <c r="C22" s="988"/>
      <c r="D22" s="988"/>
      <c r="E22" s="988"/>
      <c r="F22" s="988"/>
      <c r="G22" s="988"/>
      <c r="H22" s="988"/>
      <c r="I22" s="988"/>
      <c r="J22" s="988"/>
      <c r="K22" s="988"/>
      <c r="L22" s="988"/>
      <c r="M22" s="988"/>
      <c r="N22" s="988"/>
      <c r="O22" s="988"/>
      <c r="P22" s="988"/>
      <c r="Q22" s="988"/>
      <c r="R22" s="988"/>
      <c r="S22" s="988"/>
      <c r="T22" s="988"/>
      <c r="U22" s="988"/>
      <c r="V22" s="988"/>
      <c r="W22" s="988"/>
      <c r="X22" s="988"/>
      <c r="Y22" s="988"/>
      <c r="Z22" s="988"/>
      <c r="AA22" s="988"/>
      <c r="AB22" s="988"/>
      <c r="AC22" s="988"/>
      <c r="AD22" s="988"/>
      <c r="AE22" s="988"/>
      <c r="AF22" s="988"/>
      <c r="AG22" s="988"/>
      <c r="AH22" s="988"/>
      <c r="AI22" s="988"/>
      <c r="AJ22" s="988"/>
      <c r="AK22" s="988"/>
      <c r="AL22" s="988"/>
      <c r="AM22" s="988"/>
      <c r="AN22" s="988"/>
    </row>
    <row r="23" spans="1:40" x14ac:dyDescent="0.25">
      <c r="A23" t="s">
        <v>592</v>
      </c>
    </row>
    <row r="24" spans="1:40" x14ac:dyDescent="0.25">
      <c r="A24" t="s">
        <v>607</v>
      </c>
    </row>
    <row r="25" spans="1:40" x14ac:dyDescent="0.25">
      <c r="A25" t="s">
        <v>182</v>
      </c>
    </row>
    <row r="26" spans="1:40" x14ac:dyDescent="0.25">
      <c r="A26" t="s">
        <v>684</v>
      </c>
    </row>
    <row r="27" spans="1:40" x14ac:dyDescent="0.25">
      <c r="A27" t="s">
        <v>181</v>
      </c>
    </row>
    <row r="28" spans="1:40" x14ac:dyDescent="0.25">
      <c r="A28" s="159"/>
      <c r="B28" t="s">
        <v>44</v>
      </c>
    </row>
    <row r="29" spans="1:40" x14ac:dyDescent="0.25">
      <c r="A29" s="157"/>
      <c r="B29" t="s">
        <v>42</v>
      </c>
    </row>
    <row r="30" spans="1:40" x14ac:dyDescent="0.25">
      <c r="A30" s="158"/>
      <c r="B30" t="s">
        <v>43</v>
      </c>
    </row>
    <row r="31" spans="1:40" x14ac:dyDescent="0.25">
      <c r="A31" s="15" t="s">
        <v>28</v>
      </c>
    </row>
  </sheetData>
  <mergeCells count="18">
    <mergeCell ref="A22:AN22"/>
    <mergeCell ref="A21:AN21"/>
    <mergeCell ref="C16:E16"/>
    <mergeCell ref="C20:E20"/>
    <mergeCell ref="C17:E17"/>
    <mergeCell ref="C18:E18"/>
    <mergeCell ref="C19:E19"/>
    <mergeCell ref="A1:C1"/>
    <mergeCell ref="E1:G1"/>
    <mergeCell ref="H1:I1"/>
    <mergeCell ref="J1:M1"/>
    <mergeCell ref="C15:E15"/>
    <mergeCell ref="Y1:AB1"/>
    <mergeCell ref="AC1:AF1"/>
    <mergeCell ref="AG1:AJ1"/>
    <mergeCell ref="AK1:AN1"/>
    <mergeCell ref="N1:O1"/>
    <mergeCell ref="P1:R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D20"/>
  <sheetViews>
    <sheetView zoomScaleNormal="100" workbookViewId="0">
      <selection activeCell="A6" sqref="A6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875" customWidth="1"/>
    <col min="5" max="18" width="3.75" customWidth="1"/>
    <col min="19" max="20" width="6.25" customWidth="1"/>
    <col min="21" max="21" width="22.125" bestFit="1" customWidth="1"/>
    <col min="22" max="22" width="24.125" bestFit="1" customWidth="1"/>
    <col min="23" max="23" width="25.875" bestFit="1" customWidth="1"/>
    <col min="24" max="24" width="26.125" bestFit="1" customWidth="1"/>
    <col min="25" max="40" width="3.75" customWidth="1"/>
  </cols>
  <sheetData>
    <row r="1" spans="1:56" ht="14.95" customHeight="1" thickBot="1" x14ac:dyDescent="0.3">
      <c r="A1" s="1180" t="s">
        <v>202</v>
      </c>
      <c r="B1" s="1181"/>
      <c r="C1" s="1181"/>
      <c r="D1" s="161"/>
      <c r="E1" s="1182" t="s">
        <v>24</v>
      </c>
      <c r="F1" s="1183"/>
      <c r="G1" s="1184"/>
      <c r="H1" s="1182" t="s">
        <v>23</v>
      </c>
      <c r="I1" s="1184"/>
      <c r="J1" s="1177" t="s">
        <v>6</v>
      </c>
      <c r="K1" s="1178"/>
      <c r="L1" s="1178"/>
      <c r="M1" s="1179"/>
      <c r="N1" s="1177" t="s">
        <v>7</v>
      </c>
      <c r="O1" s="1179"/>
      <c r="P1" s="1177" t="s">
        <v>25</v>
      </c>
      <c r="Q1" s="1178"/>
      <c r="R1" s="1179"/>
      <c r="S1" s="566" t="s">
        <v>8</v>
      </c>
      <c r="T1" s="566" t="s">
        <v>9</v>
      </c>
      <c r="U1" s="106" t="s">
        <v>10</v>
      </c>
      <c r="V1" s="105" t="s">
        <v>11</v>
      </c>
      <c r="W1" s="107" t="s">
        <v>26</v>
      </c>
      <c r="X1" s="168" t="s">
        <v>27</v>
      </c>
      <c r="Y1" s="108" t="s">
        <v>20</v>
      </c>
      <c r="Z1" s="109"/>
      <c r="AA1" s="109"/>
      <c r="AB1" s="109"/>
      <c r="AC1" s="108" t="s">
        <v>61</v>
      </c>
      <c r="AD1" s="109"/>
      <c r="AE1" s="109"/>
      <c r="AF1" s="109"/>
      <c r="AG1" s="108" t="s">
        <v>62</v>
      </c>
      <c r="AH1" s="109"/>
      <c r="AI1" s="109"/>
      <c r="AJ1" s="109"/>
      <c r="AK1" s="108" t="s">
        <v>63</v>
      </c>
      <c r="AL1" s="109"/>
      <c r="AM1" s="109"/>
      <c r="AN1" s="109"/>
    </row>
    <row r="2" spans="1:56" ht="14.95" customHeight="1" thickBot="1" x14ac:dyDescent="0.3">
      <c r="A2" s="110" t="s">
        <v>19</v>
      </c>
      <c r="B2" s="111" t="s">
        <v>18</v>
      </c>
      <c r="C2" s="112" t="s">
        <v>17</v>
      </c>
      <c r="D2" s="113" t="s">
        <v>41</v>
      </c>
      <c r="E2" s="113" t="s">
        <v>16</v>
      </c>
      <c r="F2" s="113" t="s">
        <v>4</v>
      </c>
      <c r="G2" s="113" t="s">
        <v>5</v>
      </c>
      <c r="H2" s="114" t="s">
        <v>12</v>
      </c>
      <c r="I2" s="114" t="s">
        <v>3</v>
      </c>
      <c r="J2" s="114" t="s">
        <v>12</v>
      </c>
      <c r="K2" s="114" t="s">
        <v>13</v>
      </c>
      <c r="L2" s="114" t="s">
        <v>2</v>
      </c>
      <c r="M2" s="114" t="s">
        <v>14</v>
      </c>
      <c r="N2" s="114" t="s">
        <v>15</v>
      </c>
      <c r="O2" s="114" t="s">
        <v>16</v>
      </c>
      <c r="P2" s="114" t="s">
        <v>21</v>
      </c>
      <c r="Q2" s="114" t="s">
        <v>22</v>
      </c>
      <c r="R2" s="114" t="s">
        <v>12</v>
      </c>
      <c r="S2" s="115"/>
      <c r="T2" s="116"/>
      <c r="U2" s="117"/>
      <c r="V2" s="115"/>
      <c r="W2" s="117"/>
      <c r="X2" s="218"/>
      <c r="Y2" s="105" t="s">
        <v>0</v>
      </c>
      <c r="Z2" s="105" t="s">
        <v>1</v>
      </c>
      <c r="AA2" s="105" t="s">
        <v>2</v>
      </c>
      <c r="AB2" s="105" t="s">
        <v>3</v>
      </c>
      <c r="AC2" s="105" t="s">
        <v>0</v>
      </c>
      <c r="AD2" s="105" t="s">
        <v>1</v>
      </c>
      <c r="AE2" s="105" t="s">
        <v>2</v>
      </c>
      <c r="AF2" s="105" t="s">
        <v>3</v>
      </c>
      <c r="AG2" s="105" t="s">
        <v>0</v>
      </c>
      <c r="AH2" s="105" t="s">
        <v>1</v>
      </c>
      <c r="AI2" s="105" t="s">
        <v>2</v>
      </c>
      <c r="AJ2" s="105" t="s">
        <v>3</v>
      </c>
      <c r="AK2" s="105" t="s">
        <v>0</v>
      </c>
      <c r="AL2" s="105" t="s">
        <v>1</v>
      </c>
      <c r="AM2" s="105" t="s">
        <v>2</v>
      </c>
      <c r="AN2" s="105" t="s">
        <v>3</v>
      </c>
    </row>
    <row r="3" spans="1:56" ht="14.95" customHeight="1" thickBot="1" x14ac:dyDescent="0.35">
      <c r="A3" s="475">
        <v>43505</v>
      </c>
      <c r="B3" s="196" t="s">
        <v>118</v>
      </c>
      <c r="C3" s="196" t="s">
        <v>38</v>
      </c>
      <c r="D3" s="197" t="s">
        <v>245</v>
      </c>
      <c r="E3" s="197" t="s">
        <v>3</v>
      </c>
      <c r="F3" s="197">
        <v>9</v>
      </c>
      <c r="G3" s="197">
        <v>18</v>
      </c>
      <c r="H3" s="197">
        <v>0</v>
      </c>
      <c r="I3" s="197">
        <v>0</v>
      </c>
      <c r="J3" s="197">
        <v>0</v>
      </c>
      <c r="K3" s="197">
        <v>0</v>
      </c>
      <c r="L3" s="197">
        <v>0</v>
      </c>
      <c r="M3" s="197">
        <v>3</v>
      </c>
      <c r="N3" s="197">
        <v>1</v>
      </c>
      <c r="O3" s="197">
        <v>0</v>
      </c>
      <c r="P3" s="197">
        <v>0</v>
      </c>
      <c r="Q3" s="197">
        <v>0</v>
      </c>
      <c r="R3" s="197">
        <v>2</v>
      </c>
      <c r="S3" s="209">
        <v>1500</v>
      </c>
      <c r="T3" s="463" t="s">
        <v>312</v>
      </c>
      <c r="U3" s="210" t="s">
        <v>313</v>
      </c>
      <c r="V3" s="209" t="s">
        <v>314</v>
      </c>
      <c r="W3" s="198" t="s">
        <v>315</v>
      </c>
      <c r="X3" s="211" t="s">
        <v>316</v>
      </c>
      <c r="Y3" s="212">
        <v>1</v>
      </c>
      <c r="Z3" s="212">
        <v>0</v>
      </c>
      <c r="AA3" s="212">
        <v>0</v>
      </c>
      <c r="AB3" s="213">
        <v>1</v>
      </c>
      <c r="AC3" s="212">
        <v>1</v>
      </c>
      <c r="AD3" s="212">
        <v>0</v>
      </c>
      <c r="AE3" s="212">
        <v>0</v>
      </c>
      <c r="AF3" s="213">
        <v>1</v>
      </c>
      <c r="AG3" s="212">
        <v>0</v>
      </c>
      <c r="AH3" s="212">
        <v>0</v>
      </c>
      <c r="AI3" s="212">
        <v>0</v>
      </c>
      <c r="AJ3" s="213">
        <v>0</v>
      </c>
      <c r="AK3" s="212">
        <v>0</v>
      </c>
      <c r="AL3" s="212">
        <v>0</v>
      </c>
      <c r="AM3" s="212">
        <v>0</v>
      </c>
      <c r="AN3" s="213">
        <v>0</v>
      </c>
    </row>
    <row r="4" spans="1:56" ht="14.95" customHeight="1" thickBot="1" x14ac:dyDescent="0.35">
      <c r="A4" s="195">
        <v>43512</v>
      </c>
      <c r="B4" s="196" t="s">
        <v>118</v>
      </c>
      <c r="C4" s="196" t="s">
        <v>242</v>
      </c>
      <c r="D4" s="197" t="s">
        <v>329</v>
      </c>
      <c r="E4" s="197" t="s">
        <v>1</v>
      </c>
      <c r="F4" s="197">
        <v>38</v>
      </c>
      <c r="G4" s="197">
        <v>10</v>
      </c>
      <c r="H4" s="197">
        <v>1</v>
      </c>
      <c r="I4" s="197">
        <v>0</v>
      </c>
      <c r="J4" s="197">
        <v>6</v>
      </c>
      <c r="K4" s="197">
        <v>4</v>
      </c>
      <c r="L4" s="197">
        <v>0</v>
      </c>
      <c r="M4" s="197">
        <v>0</v>
      </c>
      <c r="N4" s="197">
        <v>0</v>
      </c>
      <c r="O4" s="197">
        <v>0</v>
      </c>
      <c r="P4" s="197">
        <v>0</v>
      </c>
      <c r="Q4" s="197">
        <v>0</v>
      </c>
      <c r="R4" s="197">
        <v>1</v>
      </c>
      <c r="S4" s="209"/>
      <c r="T4" s="346" t="s">
        <v>330</v>
      </c>
      <c r="U4" s="210" t="s">
        <v>331</v>
      </c>
      <c r="V4" s="209" t="s">
        <v>314</v>
      </c>
      <c r="W4" s="198" t="s">
        <v>332</v>
      </c>
      <c r="X4" s="211" t="s">
        <v>333</v>
      </c>
      <c r="Y4" s="212">
        <v>1</v>
      </c>
      <c r="Z4" s="212">
        <v>1</v>
      </c>
      <c r="AA4" s="212">
        <v>0</v>
      </c>
      <c r="AB4" s="213">
        <v>0</v>
      </c>
      <c r="AC4" s="212">
        <v>1</v>
      </c>
      <c r="AD4" s="212">
        <v>1</v>
      </c>
      <c r="AE4" s="212">
        <v>0</v>
      </c>
      <c r="AF4" s="213">
        <v>0</v>
      </c>
      <c r="AG4" s="212">
        <v>0</v>
      </c>
      <c r="AH4" s="212">
        <v>0</v>
      </c>
      <c r="AI4" s="212">
        <v>0</v>
      </c>
      <c r="AJ4" s="213">
        <v>0</v>
      </c>
      <c r="AK4" s="212">
        <v>0</v>
      </c>
      <c r="AL4" s="212">
        <v>0</v>
      </c>
      <c r="AM4" s="212">
        <v>0</v>
      </c>
      <c r="AN4" s="213">
        <v>0</v>
      </c>
    </row>
    <row r="5" spans="1:56" ht="14.95" customHeight="1" thickBot="1" x14ac:dyDescent="0.3">
      <c r="A5" s="187">
        <v>43162</v>
      </c>
      <c r="B5" s="178" t="s">
        <v>118</v>
      </c>
      <c r="C5" s="178" t="s">
        <v>253</v>
      </c>
      <c r="D5" s="179" t="s">
        <v>328</v>
      </c>
      <c r="E5" s="179" t="s">
        <v>3</v>
      </c>
      <c r="F5" s="179">
        <v>18</v>
      </c>
      <c r="G5" s="179">
        <v>21</v>
      </c>
      <c r="H5" s="179">
        <v>0</v>
      </c>
      <c r="I5" s="179">
        <v>1</v>
      </c>
      <c r="J5" s="179">
        <v>2</v>
      </c>
      <c r="K5" s="179">
        <v>1</v>
      </c>
      <c r="L5" s="179">
        <v>0</v>
      </c>
      <c r="M5" s="179">
        <v>2</v>
      </c>
      <c r="N5" s="179">
        <v>2</v>
      </c>
      <c r="O5" s="179">
        <v>0</v>
      </c>
      <c r="P5" s="179">
        <v>0</v>
      </c>
      <c r="Q5" s="179">
        <v>0</v>
      </c>
      <c r="R5" s="179">
        <v>3</v>
      </c>
      <c r="S5" s="180">
        <v>6900</v>
      </c>
      <c r="T5" s="223" t="s">
        <v>373</v>
      </c>
      <c r="U5" s="181" t="s">
        <v>374</v>
      </c>
      <c r="V5" s="180" t="s">
        <v>314</v>
      </c>
      <c r="W5" s="182" t="s">
        <v>375</v>
      </c>
      <c r="X5" s="183" t="s">
        <v>376</v>
      </c>
      <c r="Y5" s="184">
        <v>1</v>
      </c>
      <c r="Z5" s="184">
        <v>0</v>
      </c>
      <c r="AA5" s="184">
        <v>0</v>
      </c>
      <c r="AB5" s="185">
        <v>1</v>
      </c>
      <c r="AC5" s="184">
        <v>0</v>
      </c>
      <c r="AD5" s="184">
        <v>0</v>
      </c>
      <c r="AE5" s="184">
        <v>0</v>
      </c>
      <c r="AF5" s="185">
        <v>0</v>
      </c>
      <c r="AG5" s="184">
        <v>1</v>
      </c>
      <c r="AH5" s="184">
        <v>0</v>
      </c>
      <c r="AI5" s="184">
        <v>0</v>
      </c>
      <c r="AJ5" s="185">
        <v>1</v>
      </c>
      <c r="AK5" s="184">
        <v>0</v>
      </c>
      <c r="AL5" s="184">
        <v>0</v>
      </c>
      <c r="AM5" s="184">
        <v>0</v>
      </c>
      <c r="AN5" s="185">
        <v>0</v>
      </c>
    </row>
    <row r="6" spans="1:56" ht="14.95" customHeight="1" thickBot="1" x14ac:dyDescent="0.35">
      <c r="A6" s="195">
        <v>43533</v>
      </c>
      <c r="B6" s="196" t="s">
        <v>118</v>
      </c>
      <c r="C6" s="196" t="s">
        <v>105</v>
      </c>
      <c r="D6" s="197" t="s">
        <v>329</v>
      </c>
      <c r="E6" s="197" t="s">
        <v>1</v>
      </c>
      <c r="F6" s="197">
        <v>22</v>
      </c>
      <c r="G6" s="197">
        <v>20</v>
      </c>
      <c r="H6" s="197">
        <v>0</v>
      </c>
      <c r="I6" s="197">
        <v>0</v>
      </c>
      <c r="J6" s="197">
        <v>1</v>
      </c>
      <c r="K6" s="197">
        <v>0</v>
      </c>
      <c r="L6" s="197">
        <v>0</v>
      </c>
      <c r="M6" s="197">
        <v>5</v>
      </c>
      <c r="N6" s="197">
        <v>0</v>
      </c>
      <c r="O6" s="197">
        <v>0</v>
      </c>
      <c r="P6" s="197">
        <v>1</v>
      </c>
      <c r="Q6" s="197">
        <v>1</v>
      </c>
      <c r="R6" s="197">
        <v>4</v>
      </c>
      <c r="S6" s="209">
        <v>1200</v>
      </c>
      <c r="T6" s="346" t="s">
        <v>383</v>
      </c>
      <c r="U6" s="210" t="s">
        <v>384</v>
      </c>
      <c r="V6" s="209" t="s">
        <v>314</v>
      </c>
      <c r="W6" s="198" t="s">
        <v>385</v>
      </c>
      <c r="X6" s="211" t="s">
        <v>386</v>
      </c>
      <c r="Y6" s="212">
        <v>1</v>
      </c>
      <c r="Z6" s="212">
        <v>1</v>
      </c>
      <c r="AA6" s="212">
        <v>0</v>
      </c>
      <c r="AB6" s="213">
        <v>0</v>
      </c>
      <c r="AC6" s="212">
        <v>1</v>
      </c>
      <c r="AD6" s="212">
        <v>1</v>
      </c>
      <c r="AE6" s="212">
        <v>0</v>
      </c>
      <c r="AF6" s="213">
        <v>0</v>
      </c>
      <c r="AG6" s="212">
        <v>0</v>
      </c>
      <c r="AH6" s="212">
        <v>0</v>
      </c>
      <c r="AI6" s="212">
        <v>0</v>
      </c>
      <c r="AJ6" s="213">
        <v>0</v>
      </c>
      <c r="AK6" s="212">
        <v>0</v>
      </c>
      <c r="AL6" s="212">
        <v>0</v>
      </c>
      <c r="AM6" s="212">
        <v>0</v>
      </c>
      <c r="AN6" s="213">
        <v>0</v>
      </c>
    </row>
    <row r="7" spans="1:56" ht="14.95" customHeight="1" thickBot="1" x14ac:dyDescent="0.35">
      <c r="A7" s="187">
        <v>43541</v>
      </c>
      <c r="B7" s="178" t="s">
        <v>118</v>
      </c>
      <c r="C7" s="178" t="s">
        <v>241</v>
      </c>
      <c r="D7" s="179" t="s">
        <v>360</v>
      </c>
      <c r="E7" s="179" t="s">
        <v>1</v>
      </c>
      <c r="F7" s="179">
        <v>43</v>
      </c>
      <c r="G7" s="179">
        <v>17</v>
      </c>
      <c r="H7" s="179">
        <v>1</v>
      </c>
      <c r="I7" s="179">
        <v>0</v>
      </c>
      <c r="J7" s="179">
        <v>5</v>
      </c>
      <c r="K7" s="179">
        <v>2</v>
      </c>
      <c r="L7" s="179">
        <v>0</v>
      </c>
      <c r="M7" s="179">
        <v>4</v>
      </c>
      <c r="N7" s="179">
        <v>1</v>
      </c>
      <c r="O7" s="179">
        <v>0</v>
      </c>
      <c r="P7" s="179">
        <v>0</v>
      </c>
      <c r="Q7" s="179">
        <v>0</v>
      </c>
      <c r="R7" s="179">
        <v>2</v>
      </c>
      <c r="S7" s="180">
        <v>3000</v>
      </c>
      <c r="T7" s="396" t="s">
        <v>401</v>
      </c>
      <c r="U7" s="181" t="s">
        <v>402</v>
      </c>
      <c r="V7" s="180" t="s">
        <v>314</v>
      </c>
      <c r="W7" s="182" t="s">
        <v>403</v>
      </c>
      <c r="X7" s="183" t="s">
        <v>404</v>
      </c>
      <c r="Y7" s="184">
        <v>1</v>
      </c>
      <c r="Z7" s="184">
        <v>1</v>
      </c>
      <c r="AA7" s="184">
        <v>0</v>
      </c>
      <c r="AB7" s="185">
        <v>0</v>
      </c>
      <c r="AC7" s="184">
        <v>0</v>
      </c>
      <c r="AD7" s="184">
        <v>0</v>
      </c>
      <c r="AE7" s="184">
        <v>0</v>
      </c>
      <c r="AF7" s="185">
        <v>0</v>
      </c>
      <c r="AG7" s="184">
        <v>1</v>
      </c>
      <c r="AH7" s="184">
        <v>1</v>
      </c>
      <c r="AI7" s="184">
        <v>0</v>
      </c>
      <c r="AJ7" s="185">
        <v>0</v>
      </c>
      <c r="AK7" s="184">
        <v>0</v>
      </c>
      <c r="AL7" s="184">
        <v>0</v>
      </c>
      <c r="AM7" s="184">
        <v>0</v>
      </c>
      <c r="AN7" s="185">
        <v>0</v>
      </c>
    </row>
    <row r="8" spans="1:56" ht="14.95" customHeight="1" thickBot="1" x14ac:dyDescent="0.35">
      <c r="A8" s="187">
        <v>43624</v>
      </c>
      <c r="B8" s="178" t="s">
        <v>45</v>
      </c>
      <c r="C8" s="178" t="s">
        <v>237</v>
      </c>
      <c r="D8" s="179" t="s">
        <v>421</v>
      </c>
      <c r="E8" s="179" t="s">
        <v>1</v>
      </c>
      <c r="F8" s="179">
        <v>27</v>
      </c>
      <c r="G8" s="179">
        <v>11</v>
      </c>
      <c r="H8" s="179" t="s">
        <v>108</v>
      </c>
      <c r="I8" s="179" t="s">
        <v>108</v>
      </c>
      <c r="J8" s="179">
        <v>3</v>
      </c>
      <c r="K8" s="179">
        <v>3</v>
      </c>
      <c r="L8" s="179">
        <v>0</v>
      </c>
      <c r="M8" s="179">
        <v>2</v>
      </c>
      <c r="N8" s="179">
        <v>0</v>
      </c>
      <c r="O8" s="179">
        <v>0</v>
      </c>
      <c r="P8" s="179" t="s">
        <v>108</v>
      </c>
      <c r="Q8" s="179" t="s">
        <v>108</v>
      </c>
      <c r="R8" s="179">
        <v>1</v>
      </c>
      <c r="S8" s="180"/>
      <c r="T8" s="396" t="s">
        <v>422</v>
      </c>
      <c r="U8" s="181" t="s">
        <v>423</v>
      </c>
      <c r="V8" s="180" t="s">
        <v>314</v>
      </c>
      <c r="W8" s="182" t="s">
        <v>424</v>
      </c>
      <c r="X8" s="183" t="s">
        <v>425</v>
      </c>
      <c r="Y8" s="184">
        <v>1</v>
      </c>
      <c r="Z8" s="184">
        <v>1</v>
      </c>
      <c r="AA8" s="184">
        <v>0</v>
      </c>
      <c r="AB8" s="185">
        <v>0</v>
      </c>
      <c r="AC8" s="184">
        <v>0</v>
      </c>
      <c r="AD8" s="184">
        <v>0</v>
      </c>
      <c r="AE8" s="184">
        <v>0</v>
      </c>
      <c r="AF8" s="185">
        <v>0</v>
      </c>
      <c r="AG8" s="184">
        <v>1</v>
      </c>
      <c r="AH8" s="184">
        <v>1</v>
      </c>
      <c r="AI8" s="184">
        <v>0</v>
      </c>
      <c r="AJ8" s="185">
        <v>0</v>
      </c>
      <c r="AK8" s="184">
        <v>0</v>
      </c>
      <c r="AL8" s="184">
        <v>0</v>
      </c>
      <c r="AM8" s="184">
        <v>0</v>
      </c>
      <c r="AN8" s="185">
        <v>0</v>
      </c>
    </row>
    <row r="9" spans="1:56" ht="14.95" customHeight="1" thickBot="1" x14ac:dyDescent="0.3">
      <c r="A9" s="407">
        <v>43631</v>
      </c>
      <c r="B9" s="208" t="s">
        <v>45</v>
      </c>
      <c r="C9" s="208" t="s">
        <v>251</v>
      </c>
      <c r="D9" s="474" t="s">
        <v>432</v>
      </c>
      <c r="E9" s="474" t="s">
        <v>1</v>
      </c>
      <c r="F9" s="474">
        <v>22</v>
      </c>
      <c r="G9" s="474">
        <v>21</v>
      </c>
      <c r="H9" s="179" t="s">
        <v>108</v>
      </c>
      <c r="I9" s="179" t="s">
        <v>108</v>
      </c>
      <c r="J9" s="179">
        <v>3</v>
      </c>
      <c r="K9" s="179">
        <v>2</v>
      </c>
      <c r="L9" s="179">
        <v>0</v>
      </c>
      <c r="M9" s="179">
        <v>1</v>
      </c>
      <c r="N9" s="179">
        <v>0</v>
      </c>
      <c r="O9" s="179">
        <v>0</v>
      </c>
      <c r="P9" s="179" t="s">
        <v>108</v>
      </c>
      <c r="Q9" s="179" t="s">
        <v>108</v>
      </c>
      <c r="R9" s="179">
        <v>2</v>
      </c>
      <c r="S9" s="182"/>
      <c r="T9" s="477" t="s">
        <v>433</v>
      </c>
      <c r="U9" s="182" t="s">
        <v>301</v>
      </c>
      <c r="V9" s="182" t="s">
        <v>314</v>
      </c>
      <c r="W9" s="182" t="s">
        <v>434</v>
      </c>
      <c r="X9" s="182" t="s">
        <v>434</v>
      </c>
      <c r="Y9" s="184">
        <v>1</v>
      </c>
      <c r="Z9" s="184">
        <v>1</v>
      </c>
      <c r="AA9" s="184">
        <v>0</v>
      </c>
      <c r="AB9" s="185">
        <v>0</v>
      </c>
      <c r="AC9" s="184">
        <v>0</v>
      </c>
      <c r="AD9" s="184">
        <v>0</v>
      </c>
      <c r="AE9" s="184">
        <v>0</v>
      </c>
      <c r="AF9" s="185">
        <v>0</v>
      </c>
      <c r="AG9" s="184">
        <v>1</v>
      </c>
      <c r="AH9" s="184">
        <v>1</v>
      </c>
      <c r="AI9" s="184">
        <v>0</v>
      </c>
      <c r="AJ9" s="185">
        <v>0</v>
      </c>
      <c r="AK9" s="184">
        <v>0</v>
      </c>
      <c r="AL9" s="184">
        <v>0</v>
      </c>
      <c r="AM9" s="184">
        <v>0</v>
      </c>
      <c r="AN9" s="185">
        <v>0</v>
      </c>
    </row>
    <row r="10" spans="1:56" ht="14.95" thickBot="1" x14ac:dyDescent="0.3">
      <c r="A10" s="438"/>
      <c r="B10" s="439"/>
      <c r="C10" s="1069" t="s">
        <v>117</v>
      </c>
      <c r="D10" s="1070"/>
      <c r="E10" s="1071"/>
      <c r="F10" s="433">
        <f>SUM(F3:F7)</f>
        <v>130</v>
      </c>
      <c r="G10" s="433">
        <f t="shared" ref="G10:R10" si="0">SUM(G3:G7)</f>
        <v>86</v>
      </c>
      <c r="H10" s="433">
        <f t="shared" si="0"/>
        <v>2</v>
      </c>
      <c r="I10" s="433">
        <f t="shared" si="0"/>
        <v>1</v>
      </c>
      <c r="J10" s="433">
        <f t="shared" si="0"/>
        <v>14</v>
      </c>
      <c r="K10" s="433">
        <f t="shared" si="0"/>
        <v>7</v>
      </c>
      <c r="L10" s="433">
        <f t="shared" si="0"/>
        <v>0</v>
      </c>
      <c r="M10" s="433">
        <f t="shared" si="0"/>
        <v>14</v>
      </c>
      <c r="N10" s="433">
        <f t="shared" si="0"/>
        <v>4</v>
      </c>
      <c r="O10" s="433">
        <f t="shared" si="0"/>
        <v>0</v>
      </c>
      <c r="P10" s="433">
        <f t="shared" si="0"/>
        <v>1</v>
      </c>
      <c r="Q10" s="433">
        <f t="shared" si="0"/>
        <v>1</v>
      </c>
      <c r="R10" s="433">
        <f t="shared" si="0"/>
        <v>12</v>
      </c>
      <c r="W10" s="434"/>
      <c r="X10" s="459" t="s">
        <v>117</v>
      </c>
      <c r="Y10" s="433">
        <f t="shared" ref="Y10:AN10" si="1">SUM(Y3:Y7)</f>
        <v>5</v>
      </c>
      <c r="Z10" s="433">
        <f t="shared" si="1"/>
        <v>3</v>
      </c>
      <c r="AA10" s="433">
        <f t="shared" si="1"/>
        <v>0</v>
      </c>
      <c r="AB10" s="433">
        <f t="shared" si="1"/>
        <v>2</v>
      </c>
      <c r="AC10" s="435">
        <f t="shared" si="1"/>
        <v>3</v>
      </c>
      <c r="AD10" s="435">
        <f t="shared" si="1"/>
        <v>2</v>
      </c>
      <c r="AE10" s="435">
        <f t="shared" si="1"/>
        <v>0</v>
      </c>
      <c r="AF10" s="435">
        <f t="shared" si="1"/>
        <v>1</v>
      </c>
      <c r="AG10" s="436">
        <f t="shared" si="1"/>
        <v>2</v>
      </c>
      <c r="AH10" s="436">
        <f t="shared" si="1"/>
        <v>1</v>
      </c>
      <c r="AI10" s="436">
        <f t="shared" si="1"/>
        <v>0</v>
      </c>
      <c r="AJ10" s="436">
        <f t="shared" si="1"/>
        <v>1</v>
      </c>
      <c r="AK10" s="437">
        <f t="shared" si="1"/>
        <v>0</v>
      </c>
      <c r="AL10" s="437">
        <f t="shared" si="1"/>
        <v>0</v>
      </c>
      <c r="AM10" s="437">
        <f t="shared" si="1"/>
        <v>0</v>
      </c>
      <c r="AN10" s="437">
        <f t="shared" si="1"/>
        <v>0</v>
      </c>
    </row>
    <row r="11" spans="1:56" ht="14.95" thickBot="1" x14ac:dyDescent="0.3">
      <c r="A11" s="438"/>
      <c r="B11" s="439"/>
      <c r="C11" s="1072" t="s">
        <v>114</v>
      </c>
      <c r="D11" s="1073"/>
      <c r="E11" s="1074"/>
      <c r="F11" s="440">
        <f>SUM(F8:F9)</f>
        <v>49</v>
      </c>
      <c r="G11" s="440">
        <f>SUM(G8:G9)</f>
        <v>32</v>
      </c>
      <c r="H11" s="440" t="s">
        <v>108</v>
      </c>
      <c r="I11" s="440" t="s">
        <v>108</v>
      </c>
      <c r="J11" s="440">
        <f t="shared" ref="J11:O11" si="2">SUM(J8:J9)</f>
        <v>6</v>
      </c>
      <c r="K11" s="440">
        <f t="shared" si="2"/>
        <v>5</v>
      </c>
      <c r="L11" s="440">
        <f t="shared" si="2"/>
        <v>0</v>
      </c>
      <c r="M11" s="440">
        <f t="shared" si="2"/>
        <v>3</v>
      </c>
      <c r="N11" s="440">
        <f t="shared" si="2"/>
        <v>0</v>
      </c>
      <c r="O11" s="440">
        <f t="shared" si="2"/>
        <v>0</v>
      </c>
      <c r="P11" s="440" t="s">
        <v>108</v>
      </c>
      <c r="Q11" s="440" t="s">
        <v>108</v>
      </c>
      <c r="R11" s="440">
        <f>SUM(R8:R9)</f>
        <v>3</v>
      </c>
      <c r="S11" s="441"/>
      <c r="T11" s="441"/>
      <c r="U11" s="441"/>
      <c r="V11" s="441"/>
      <c r="W11" s="442"/>
      <c r="X11" s="460" t="s">
        <v>114</v>
      </c>
      <c r="Y11" s="440">
        <f t="shared" ref="Y11:AN11" si="3">SUM(Y8:Y9)</f>
        <v>2</v>
      </c>
      <c r="Z11" s="440">
        <f t="shared" si="3"/>
        <v>2</v>
      </c>
      <c r="AA11" s="440">
        <f t="shared" si="3"/>
        <v>0</v>
      </c>
      <c r="AB11" s="440">
        <f t="shared" si="3"/>
        <v>0</v>
      </c>
      <c r="AC11" s="443">
        <f t="shared" si="3"/>
        <v>0</v>
      </c>
      <c r="AD11" s="443">
        <f t="shared" si="3"/>
        <v>0</v>
      </c>
      <c r="AE11" s="443">
        <f t="shared" si="3"/>
        <v>0</v>
      </c>
      <c r="AF11" s="443">
        <f t="shared" si="3"/>
        <v>0</v>
      </c>
      <c r="AG11" s="444">
        <f t="shared" si="3"/>
        <v>2</v>
      </c>
      <c r="AH11" s="444">
        <f t="shared" si="3"/>
        <v>2</v>
      </c>
      <c r="AI11" s="444">
        <f t="shared" si="3"/>
        <v>0</v>
      </c>
      <c r="AJ11" s="444">
        <f t="shared" si="3"/>
        <v>0</v>
      </c>
      <c r="AK11" s="445">
        <f t="shared" si="3"/>
        <v>0</v>
      </c>
      <c r="AL11" s="445">
        <f t="shared" si="3"/>
        <v>0</v>
      </c>
      <c r="AM11" s="445">
        <f t="shared" si="3"/>
        <v>0</v>
      </c>
      <c r="AN11" s="445">
        <f t="shared" si="3"/>
        <v>0</v>
      </c>
    </row>
    <row r="12" spans="1:56" ht="14.95" thickBot="1" x14ac:dyDescent="0.3">
      <c r="A12" s="438"/>
      <c r="B12" s="439"/>
      <c r="C12" s="1034" t="s">
        <v>112</v>
      </c>
      <c r="D12" s="1035"/>
      <c r="E12" s="1036"/>
      <c r="F12" s="453">
        <f t="shared" ref="F12:R12" si="4">SUM(F3:F9)</f>
        <v>179</v>
      </c>
      <c r="G12" s="453">
        <f t="shared" si="4"/>
        <v>118</v>
      </c>
      <c r="H12" s="453">
        <f t="shared" si="4"/>
        <v>2</v>
      </c>
      <c r="I12" s="453">
        <f t="shared" si="4"/>
        <v>1</v>
      </c>
      <c r="J12" s="453">
        <f t="shared" si="4"/>
        <v>20</v>
      </c>
      <c r="K12" s="453">
        <f t="shared" si="4"/>
        <v>12</v>
      </c>
      <c r="L12" s="453">
        <f t="shared" si="4"/>
        <v>0</v>
      </c>
      <c r="M12" s="453">
        <f t="shared" si="4"/>
        <v>17</v>
      </c>
      <c r="N12" s="453">
        <f t="shared" si="4"/>
        <v>4</v>
      </c>
      <c r="O12" s="453">
        <f t="shared" si="4"/>
        <v>0</v>
      </c>
      <c r="P12" s="453">
        <f t="shared" si="4"/>
        <v>1</v>
      </c>
      <c r="Q12" s="453">
        <f t="shared" si="4"/>
        <v>1</v>
      </c>
      <c r="R12" s="453">
        <f t="shared" si="4"/>
        <v>15</v>
      </c>
      <c r="S12" s="454"/>
      <c r="T12" s="454"/>
      <c r="U12" s="454"/>
      <c r="V12" s="454"/>
      <c r="W12" s="455"/>
      <c r="X12" s="462" t="s">
        <v>112</v>
      </c>
      <c r="Y12" s="453">
        <f t="shared" ref="Y12:AN12" si="5">SUM(Y3:Y9)</f>
        <v>7</v>
      </c>
      <c r="Z12" s="453">
        <f t="shared" si="5"/>
        <v>5</v>
      </c>
      <c r="AA12" s="453">
        <f t="shared" si="5"/>
        <v>0</v>
      </c>
      <c r="AB12" s="453">
        <f t="shared" si="5"/>
        <v>2</v>
      </c>
      <c r="AC12" s="456">
        <f t="shared" si="5"/>
        <v>3</v>
      </c>
      <c r="AD12" s="456">
        <f t="shared" si="5"/>
        <v>2</v>
      </c>
      <c r="AE12" s="456">
        <f t="shared" si="5"/>
        <v>0</v>
      </c>
      <c r="AF12" s="456">
        <f t="shared" si="5"/>
        <v>1</v>
      </c>
      <c r="AG12" s="457">
        <f t="shared" si="5"/>
        <v>4</v>
      </c>
      <c r="AH12" s="457">
        <f t="shared" si="5"/>
        <v>3</v>
      </c>
      <c r="AI12" s="457">
        <f t="shared" si="5"/>
        <v>0</v>
      </c>
      <c r="AJ12" s="457">
        <f t="shared" si="5"/>
        <v>1</v>
      </c>
      <c r="AK12" s="458">
        <f t="shared" si="5"/>
        <v>0</v>
      </c>
      <c r="AL12" s="458">
        <f t="shared" si="5"/>
        <v>0</v>
      </c>
      <c r="AM12" s="458">
        <f t="shared" si="5"/>
        <v>0</v>
      </c>
      <c r="AN12" s="458">
        <f t="shared" si="5"/>
        <v>0</v>
      </c>
    </row>
    <row r="13" spans="1:56" x14ac:dyDescent="0.25">
      <c r="A13" s="1067" t="s">
        <v>388</v>
      </c>
      <c r="B13" s="988"/>
      <c r="C13" s="988"/>
      <c r="D13" s="988"/>
      <c r="E13" s="988"/>
      <c r="F13" s="988"/>
      <c r="G13" s="988"/>
      <c r="H13" s="988"/>
      <c r="I13" s="988"/>
      <c r="J13" s="988"/>
      <c r="K13" s="988"/>
      <c r="L13" s="988"/>
      <c r="M13" s="988"/>
      <c r="N13" s="988"/>
      <c r="O13" s="988"/>
      <c r="P13" s="988"/>
      <c r="Q13" s="988"/>
      <c r="R13" s="988"/>
      <c r="S13" s="988"/>
      <c r="T13" s="988"/>
      <c r="U13" s="988"/>
      <c r="V13" s="988"/>
      <c r="W13" s="988"/>
      <c r="X13" s="988"/>
      <c r="Y13" s="988"/>
      <c r="Z13" s="988"/>
      <c r="AA13" s="988"/>
      <c r="AB13" s="988"/>
      <c r="AC13" s="988"/>
      <c r="AD13" s="988"/>
      <c r="AE13" s="988"/>
      <c r="AF13" s="988"/>
      <c r="AG13" s="988"/>
      <c r="AH13" s="988"/>
      <c r="AI13" s="988"/>
      <c r="AJ13" s="988"/>
      <c r="AK13" s="988"/>
      <c r="AL13" s="988"/>
      <c r="AM13" s="988"/>
      <c r="AN13" s="988"/>
      <c r="AO13" s="988"/>
      <c r="AP13" s="988"/>
      <c r="AQ13" s="988"/>
      <c r="AR13" s="988"/>
      <c r="AS13" s="988"/>
      <c r="AT13" s="988"/>
      <c r="AU13" s="988"/>
      <c r="AV13" s="988"/>
      <c r="AW13" s="988"/>
      <c r="AX13" s="988"/>
      <c r="AY13" s="988"/>
      <c r="AZ13" s="988"/>
      <c r="BA13" s="988"/>
      <c r="BB13" s="988"/>
      <c r="BC13" s="988"/>
      <c r="BD13" s="988"/>
    </row>
    <row r="14" spans="1:56" x14ac:dyDescent="0.25">
      <c r="A14" t="s">
        <v>400</v>
      </c>
      <c r="F14" s="14"/>
      <c r="G14" s="14"/>
      <c r="H14" s="13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56" x14ac:dyDescent="0.25">
      <c r="A15" t="s">
        <v>431</v>
      </c>
      <c r="F15" s="14"/>
      <c r="G15" s="14"/>
      <c r="H15" s="13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56" x14ac:dyDescent="0.25">
      <c r="A16" t="s">
        <v>405</v>
      </c>
      <c r="F16" s="14"/>
      <c r="G16" s="14"/>
      <c r="H16" s="13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2" x14ac:dyDescent="0.25">
      <c r="A17" s="159"/>
      <c r="B17" t="s">
        <v>44</v>
      </c>
    </row>
    <row r="18" spans="1:2" x14ac:dyDescent="0.25">
      <c r="A18" s="157"/>
      <c r="B18" t="s">
        <v>42</v>
      </c>
    </row>
    <row r="19" spans="1:2" x14ac:dyDescent="0.25">
      <c r="A19" s="158"/>
      <c r="B19" t="s">
        <v>43</v>
      </c>
    </row>
    <row r="20" spans="1:2" x14ac:dyDescent="0.25">
      <c r="A20" s="15" t="s">
        <v>28</v>
      </c>
    </row>
  </sheetData>
  <mergeCells count="10">
    <mergeCell ref="A13:BD13"/>
    <mergeCell ref="C10:E10"/>
    <mergeCell ref="C11:E11"/>
    <mergeCell ref="C12:E12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4A15C-9E16-4CAC-A270-924726D8417E}">
  <dimension ref="A1:AT34"/>
  <sheetViews>
    <sheetView workbookViewId="0">
      <selection activeCell="U11" sqref="U11"/>
    </sheetView>
  </sheetViews>
  <sheetFormatPr defaultRowHeight="14.3" x14ac:dyDescent="0.25"/>
  <cols>
    <col min="1" max="1" width="7.5" customWidth="1"/>
    <col min="2" max="2" width="5.5" customWidth="1"/>
    <col min="3" max="3" width="12.75" customWidth="1"/>
    <col min="4" max="4" width="4.875" customWidth="1"/>
    <col min="5" max="18" width="3.75" customWidth="1"/>
    <col min="19" max="20" width="6.25" customWidth="1"/>
    <col min="21" max="21" width="23" bestFit="1" customWidth="1"/>
    <col min="22" max="22" width="22.125" customWidth="1"/>
    <col min="23" max="23" width="25.875" bestFit="1" customWidth="1"/>
    <col min="24" max="24" width="22.125" customWidth="1"/>
    <col min="25" max="40" width="3.75" customWidth="1"/>
    <col min="42" max="42" width="13.125" bestFit="1" customWidth="1"/>
    <col min="45" max="45" width="13.125" bestFit="1" customWidth="1"/>
  </cols>
  <sheetData>
    <row r="1" spans="1:46" ht="14.95" thickBot="1" x14ac:dyDescent="0.3">
      <c r="A1" s="1189" t="s">
        <v>323</v>
      </c>
      <c r="B1" s="1190"/>
      <c r="C1" s="1190"/>
      <c r="D1" s="551"/>
      <c r="E1" s="1191" t="s">
        <v>24</v>
      </c>
      <c r="F1" s="1192"/>
      <c r="G1" s="1193"/>
      <c r="H1" s="1191" t="s">
        <v>23</v>
      </c>
      <c r="I1" s="1193"/>
      <c r="J1" s="1186" t="s">
        <v>6</v>
      </c>
      <c r="K1" s="1187"/>
      <c r="L1" s="1187"/>
      <c r="M1" s="1188"/>
      <c r="N1" s="1186" t="s">
        <v>7</v>
      </c>
      <c r="O1" s="1188"/>
      <c r="P1" s="1186" t="s">
        <v>25</v>
      </c>
      <c r="Q1" s="1187"/>
      <c r="R1" s="1188"/>
      <c r="S1" s="552" t="s">
        <v>8</v>
      </c>
      <c r="T1" s="552" t="s">
        <v>9</v>
      </c>
      <c r="U1" s="553" t="s">
        <v>10</v>
      </c>
      <c r="V1" s="552" t="s">
        <v>11</v>
      </c>
      <c r="W1" s="554" t="s">
        <v>26</v>
      </c>
      <c r="X1" s="555" t="s">
        <v>27</v>
      </c>
      <c r="Y1" s="1185" t="s">
        <v>20</v>
      </c>
      <c r="Z1" s="1044"/>
      <c r="AA1" s="1044"/>
      <c r="AB1" s="1045"/>
      <c r="AC1" s="1185" t="s">
        <v>61</v>
      </c>
      <c r="AD1" s="1044"/>
      <c r="AE1" s="1044"/>
      <c r="AF1" s="1045"/>
      <c r="AG1" s="1185" t="s">
        <v>62</v>
      </c>
      <c r="AH1" s="1044"/>
      <c r="AI1" s="1044"/>
      <c r="AJ1" s="1045"/>
      <c r="AK1" s="1185" t="s">
        <v>63</v>
      </c>
      <c r="AL1" s="1044"/>
      <c r="AM1" s="1044"/>
      <c r="AN1" s="1045"/>
      <c r="AP1" s="556" t="s">
        <v>687</v>
      </c>
      <c r="AQ1" s="868"/>
      <c r="AR1" s="868"/>
      <c r="AS1" s="556" t="s">
        <v>687</v>
      </c>
    </row>
    <row r="2" spans="1:46" ht="14.95" customHeight="1" thickBot="1" x14ac:dyDescent="0.3">
      <c r="A2" s="557" t="s">
        <v>19</v>
      </c>
      <c r="B2" s="558" t="s">
        <v>18</v>
      </c>
      <c r="C2" s="559" t="s">
        <v>17</v>
      </c>
      <c r="D2" s="560" t="s">
        <v>41</v>
      </c>
      <c r="E2" s="560" t="s">
        <v>16</v>
      </c>
      <c r="F2" s="560" t="s">
        <v>4</v>
      </c>
      <c r="G2" s="560" t="s">
        <v>5</v>
      </c>
      <c r="H2" s="561" t="s">
        <v>12</v>
      </c>
      <c r="I2" s="561" t="s">
        <v>3</v>
      </c>
      <c r="J2" s="561" t="s">
        <v>12</v>
      </c>
      <c r="K2" s="561" t="s">
        <v>13</v>
      </c>
      <c r="L2" s="561" t="s">
        <v>2</v>
      </c>
      <c r="M2" s="561" t="s">
        <v>14</v>
      </c>
      <c r="N2" s="561" t="s">
        <v>15</v>
      </c>
      <c r="O2" s="561" t="s">
        <v>16</v>
      </c>
      <c r="P2" s="561" t="s">
        <v>21</v>
      </c>
      <c r="Q2" s="561" t="s">
        <v>22</v>
      </c>
      <c r="R2" s="561" t="s">
        <v>12</v>
      </c>
      <c r="S2" s="562"/>
      <c r="T2" s="563"/>
      <c r="U2" s="564"/>
      <c r="V2" s="562"/>
      <c r="W2" s="564"/>
      <c r="X2" s="565"/>
      <c r="Y2" s="935" t="s">
        <v>0</v>
      </c>
      <c r="Z2" s="935" t="s">
        <v>1</v>
      </c>
      <c r="AA2" s="935" t="s">
        <v>2</v>
      </c>
      <c r="AB2" s="935" t="s">
        <v>3</v>
      </c>
      <c r="AC2" s="935" t="s">
        <v>0</v>
      </c>
      <c r="AD2" s="935" t="s">
        <v>1</v>
      </c>
      <c r="AE2" s="935" t="s">
        <v>2</v>
      </c>
      <c r="AF2" s="935" t="s">
        <v>3</v>
      </c>
      <c r="AG2" s="935" t="s">
        <v>0</v>
      </c>
      <c r="AH2" s="935" t="s">
        <v>1</v>
      </c>
      <c r="AI2" s="935" t="s">
        <v>2</v>
      </c>
      <c r="AJ2" s="935" t="s">
        <v>3</v>
      </c>
      <c r="AK2" s="935" t="s">
        <v>0</v>
      </c>
      <c r="AL2" s="935" t="s">
        <v>1</v>
      </c>
      <c r="AM2" s="935" t="s">
        <v>2</v>
      </c>
      <c r="AN2" s="935" t="s">
        <v>3</v>
      </c>
      <c r="AP2" s="592" t="s">
        <v>112</v>
      </c>
      <c r="AQ2" s="253"/>
      <c r="AS2" s="672" t="s">
        <v>610</v>
      </c>
      <c r="AT2" s="253"/>
    </row>
    <row r="3" spans="1:46" ht="14.95" customHeight="1" thickBot="1" x14ac:dyDescent="0.35">
      <c r="A3" s="407">
        <v>43506</v>
      </c>
      <c r="B3" s="178" t="s">
        <v>118</v>
      </c>
      <c r="C3" s="178" t="s">
        <v>253</v>
      </c>
      <c r="D3" s="179" t="s">
        <v>328</v>
      </c>
      <c r="E3" s="179" t="s">
        <v>3</v>
      </c>
      <c r="F3" s="179">
        <v>14</v>
      </c>
      <c r="G3" s="179">
        <v>16</v>
      </c>
      <c r="H3" s="179">
        <v>0</v>
      </c>
      <c r="I3" s="179">
        <v>1</v>
      </c>
      <c r="J3" s="179">
        <v>2</v>
      </c>
      <c r="K3" s="179">
        <v>2</v>
      </c>
      <c r="L3" s="179">
        <v>0</v>
      </c>
      <c r="M3" s="179">
        <v>0</v>
      </c>
      <c r="N3" s="179">
        <v>1</v>
      </c>
      <c r="O3" s="179">
        <v>0</v>
      </c>
      <c r="P3" s="179">
        <v>0</v>
      </c>
      <c r="Q3" s="179">
        <v>0</v>
      </c>
      <c r="R3" s="179">
        <v>1</v>
      </c>
      <c r="S3" s="180">
        <v>5800</v>
      </c>
      <c r="T3" s="464" t="s">
        <v>324</v>
      </c>
      <c r="U3" s="181" t="s">
        <v>325</v>
      </c>
      <c r="V3" s="180" t="s">
        <v>314</v>
      </c>
      <c r="W3" s="182" t="s">
        <v>327</v>
      </c>
      <c r="X3" s="183" t="s">
        <v>326</v>
      </c>
      <c r="Y3" s="184">
        <v>1</v>
      </c>
      <c r="Z3" s="184">
        <v>0</v>
      </c>
      <c r="AA3" s="184">
        <v>0</v>
      </c>
      <c r="AB3" s="185">
        <v>1</v>
      </c>
      <c r="AC3" s="184">
        <v>0</v>
      </c>
      <c r="AD3" s="184">
        <v>0</v>
      </c>
      <c r="AE3" s="184">
        <v>0</v>
      </c>
      <c r="AF3" s="185">
        <v>0</v>
      </c>
      <c r="AG3" s="184">
        <v>1</v>
      </c>
      <c r="AH3" s="184">
        <v>0</v>
      </c>
      <c r="AI3" s="184">
        <v>0</v>
      </c>
      <c r="AJ3" s="185">
        <v>1</v>
      </c>
      <c r="AK3" s="184">
        <v>0</v>
      </c>
      <c r="AL3" s="184">
        <v>0</v>
      </c>
      <c r="AM3" s="184">
        <v>0</v>
      </c>
      <c r="AN3" s="185">
        <v>0</v>
      </c>
      <c r="AP3" s="849" t="s">
        <v>627</v>
      </c>
      <c r="AQ3" s="850">
        <f>Russiaalltestshistplayed</f>
        <v>218</v>
      </c>
      <c r="AS3" s="849" t="s">
        <v>627</v>
      </c>
      <c r="AT3" s="850">
        <f>RussiaRWChistplayed</f>
        <v>8</v>
      </c>
    </row>
    <row r="4" spans="1:46" ht="17" thickBot="1" x14ac:dyDescent="0.35">
      <c r="A4" s="195">
        <v>43512</v>
      </c>
      <c r="B4" s="196" t="s">
        <v>118</v>
      </c>
      <c r="C4" s="196" t="s">
        <v>241</v>
      </c>
      <c r="D4" s="197" t="s">
        <v>334</v>
      </c>
      <c r="E4" s="197" t="s">
        <v>1</v>
      </c>
      <c r="F4" s="197">
        <v>64</v>
      </c>
      <c r="G4" s="197">
        <v>7</v>
      </c>
      <c r="H4" s="197">
        <v>1</v>
      </c>
      <c r="I4" s="197">
        <v>0</v>
      </c>
      <c r="J4" s="197">
        <v>10</v>
      </c>
      <c r="K4" s="197">
        <v>7</v>
      </c>
      <c r="L4" s="197">
        <v>0</v>
      </c>
      <c r="M4" s="197">
        <v>0</v>
      </c>
      <c r="N4" s="197">
        <v>2</v>
      </c>
      <c r="O4" s="197">
        <v>0</v>
      </c>
      <c r="P4" s="197">
        <v>0</v>
      </c>
      <c r="Q4" s="197">
        <v>0</v>
      </c>
      <c r="R4" s="197">
        <v>1</v>
      </c>
      <c r="S4" s="209">
        <v>3000</v>
      </c>
      <c r="T4" s="346" t="s">
        <v>336</v>
      </c>
      <c r="U4" s="210" t="s">
        <v>337</v>
      </c>
      <c r="V4" s="209" t="s">
        <v>314</v>
      </c>
      <c r="W4" s="198" t="s">
        <v>338</v>
      </c>
      <c r="X4" s="211" t="s">
        <v>339</v>
      </c>
      <c r="Y4" s="212">
        <v>1</v>
      </c>
      <c r="Z4" s="212">
        <v>1</v>
      </c>
      <c r="AA4" s="212">
        <v>0</v>
      </c>
      <c r="AB4" s="213">
        <v>0</v>
      </c>
      <c r="AC4" s="212">
        <v>1</v>
      </c>
      <c r="AD4" s="212">
        <v>1</v>
      </c>
      <c r="AE4" s="212">
        <v>0</v>
      </c>
      <c r="AF4" s="213">
        <v>0</v>
      </c>
      <c r="AG4" s="212">
        <v>0</v>
      </c>
      <c r="AH4" s="212">
        <v>0</v>
      </c>
      <c r="AI4" s="212">
        <v>0</v>
      </c>
      <c r="AJ4" s="213">
        <v>0</v>
      </c>
      <c r="AK4" s="212">
        <v>0</v>
      </c>
      <c r="AL4" s="212">
        <v>0</v>
      </c>
      <c r="AM4" s="212">
        <v>0</v>
      </c>
      <c r="AN4" s="213">
        <v>0</v>
      </c>
      <c r="AP4" s="851" t="s">
        <v>628</v>
      </c>
      <c r="AQ4" s="852">
        <f>Russiaalltestshistwon</f>
        <v>109</v>
      </c>
      <c r="AS4" s="851" t="s">
        <v>628</v>
      </c>
      <c r="AT4" s="852">
        <f>RussiaRWChistwon</f>
        <v>0</v>
      </c>
    </row>
    <row r="5" spans="1:46" ht="17" thickBot="1" x14ac:dyDescent="0.35">
      <c r="A5" s="187">
        <v>43526</v>
      </c>
      <c r="B5" s="178" t="s">
        <v>118</v>
      </c>
      <c r="C5" s="178" t="s">
        <v>242</v>
      </c>
      <c r="D5" s="179" t="s">
        <v>355</v>
      </c>
      <c r="E5" s="179" t="s">
        <v>1</v>
      </c>
      <c r="F5" s="179">
        <v>26</v>
      </c>
      <c r="G5" s="179">
        <v>18</v>
      </c>
      <c r="H5" s="179">
        <v>0</v>
      </c>
      <c r="I5" s="179">
        <v>0</v>
      </c>
      <c r="J5" s="179">
        <v>4</v>
      </c>
      <c r="K5" s="179">
        <v>3</v>
      </c>
      <c r="L5" s="179">
        <v>0</v>
      </c>
      <c r="M5" s="179">
        <v>0</v>
      </c>
      <c r="N5" s="179">
        <v>0</v>
      </c>
      <c r="O5" s="179">
        <v>0</v>
      </c>
      <c r="P5" s="179">
        <v>0</v>
      </c>
      <c r="Q5" s="179">
        <v>0</v>
      </c>
      <c r="R5" s="179">
        <v>2</v>
      </c>
      <c r="S5" s="180">
        <v>2100</v>
      </c>
      <c r="T5" s="396" t="s">
        <v>356</v>
      </c>
      <c r="U5" s="181" t="s">
        <v>357</v>
      </c>
      <c r="V5" s="180" t="s">
        <v>314</v>
      </c>
      <c r="W5" s="182" t="s">
        <v>358</v>
      </c>
      <c r="X5" s="183" t="s">
        <v>359</v>
      </c>
      <c r="Y5" s="184">
        <v>1</v>
      </c>
      <c r="Z5" s="184">
        <v>1</v>
      </c>
      <c r="AA5" s="184">
        <v>0</v>
      </c>
      <c r="AB5" s="185">
        <v>0</v>
      </c>
      <c r="AC5" s="184">
        <v>1</v>
      </c>
      <c r="AD5" s="184">
        <v>1</v>
      </c>
      <c r="AE5" s="184">
        <v>0</v>
      </c>
      <c r="AF5" s="185">
        <v>0</v>
      </c>
      <c r="AG5" s="184">
        <v>0</v>
      </c>
      <c r="AH5" s="184">
        <v>0</v>
      </c>
      <c r="AI5" s="184">
        <v>0</v>
      </c>
      <c r="AJ5" s="185">
        <v>0</v>
      </c>
      <c r="AK5" s="184">
        <v>0</v>
      </c>
      <c r="AL5" s="184">
        <v>0</v>
      </c>
      <c r="AM5" s="184">
        <v>0</v>
      </c>
      <c r="AN5" s="185">
        <v>0</v>
      </c>
      <c r="AP5" s="851" t="s">
        <v>634</v>
      </c>
      <c r="AQ5" s="852">
        <f>Russiaalltestshistdrawn</f>
        <v>3</v>
      </c>
      <c r="AS5" s="851" t="s">
        <v>634</v>
      </c>
      <c r="AT5" s="852">
        <f>RussiaRWChistdrawn</f>
        <v>0</v>
      </c>
    </row>
    <row r="6" spans="1:46" ht="14.95" thickBot="1" x14ac:dyDescent="0.3">
      <c r="A6" s="187">
        <v>43168</v>
      </c>
      <c r="B6" s="178" t="s">
        <v>118</v>
      </c>
      <c r="C6" s="178" t="s">
        <v>244</v>
      </c>
      <c r="D6" s="179" t="s">
        <v>329</v>
      </c>
      <c r="E6" s="179" t="s">
        <v>3</v>
      </c>
      <c r="F6" s="179">
        <v>20</v>
      </c>
      <c r="G6" s="179">
        <v>22</v>
      </c>
      <c r="H6" s="179">
        <v>1</v>
      </c>
      <c r="I6" s="179">
        <v>1</v>
      </c>
      <c r="J6" s="179">
        <v>4</v>
      </c>
      <c r="K6" s="179">
        <v>0</v>
      </c>
      <c r="L6" s="179">
        <v>0</v>
      </c>
      <c r="M6" s="179">
        <v>0</v>
      </c>
      <c r="N6" s="179">
        <v>2</v>
      </c>
      <c r="O6" s="179">
        <v>0</v>
      </c>
      <c r="P6" s="179">
        <v>0</v>
      </c>
      <c r="Q6" s="179">
        <v>0</v>
      </c>
      <c r="R6" s="179">
        <v>1</v>
      </c>
      <c r="S6" s="180">
        <v>1200</v>
      </c>
      <c r="T6" s="223" t="s">
        <v>387</v>
      </c>
      <c r="U6" s="181" t="s">
        <v>384</v>
      </c>
      <c r="V6" s="180" t="s">
        <v>314</v>
      </c>
      <c r="W6" s="182" t="s">
        <v>385</v>
      </c>
      <c r="X6" s="183" t="s">
        <v>386</v>
      </c>
      <c r="Y6" s="184">
        <v>1</v>
      </c>
      <c r="Z6" s="184">
        <v>0</v>
      </c>
      <c r="AA6" s="184">
        <v>0</v>
      </c>
      <c r="AB6" s="185">
        <v>1</v>
      </c>
      <c r="AC6" s="184">
        <v>0</v>
      </c>
      <c r="AD6" s="184">
        <v>0</v>
      </c>
      <c r="AE6" s="184">
        <v>0</v>
      </c>
      <c r="AF6" s="185">
        <v>0</v>
      </c>
      <c r="AG6" s="184">
        <v>1</v>
      </c>
      <c r="AH6" s="184">
        <v>0</v>
      </c>
      <c r="AI6" s="184">
        <v>0</v>
      </c>
      <c r="AJ6" s="185">
        <v>1</v>
      </c>
      <c r="AK6" s="184">
        <v>0</v>
      </c>
      <c r="AL6" s="184">
        <v>0</v>
      </c>
      <c r="AM6" s="184">
        <v>0</v>
      </c>
      <c r="AN6" s="185">
        <v>0</v>
      </c>
      <c r="AP6" s="851" t="s">
        <v>629</v>
      </c>
      <c r="AQ6" s="852">
        <f>Russiaalltestshistlost</f>
        <v>106</v>
      </c>
      <c r="AS6" s="851" t="s">
        <v>629</v>
      </c>
      <c r="AT6" s="852">
        <f>RussiaRWChistlost</f>
        <v>8</v>
      </c>
    </row>
    <row r="7" spans="1:46" ht="14.95" customHeight="1" thickBot="1" x14ac:dyDescent="0.3">
      <c r="A7" s="195">
        <v>43541</v>
      </c>
      <c r="B7" s="196" t="s">
        <v>118</v>
      </c>
      <c r="C7" s="196" t="s">
        <v>38</v>
      </c>
      <c r="D7" s="197" t="s">
        <v>406</v>
      </c>
      <c r="E7" s="197" t="s">
        <v>3</v>
      </c>
      <c r="F7" s="197">
        <v>6</v>
      </c>
      <c r="G7" s="197">
        <v>22</v>
      </c>
      <c r="H7" s="197">
        <v>0</v>
      </c>
      <c r="I7" s="197">
        <v>0</v>
      </c>
      <c r="J7" s="197">
        <v>0</v>
      </c>
      <c r="K7" s="197">
        <v>0</v>
      </c>
      <c r="L7" s="197">
        <v>0</v>
      </c>
      <c r="M7" s="197">
        <v>2</v>
      </c>
      <c r="N7" s="197">
        <v>1</v>
      </c>
      <c r="O7" s="197">
        <v>0</v>
      </c>
      <c r="P7" s="197">
        <v>0</v>
      </c>
      <c r="Q7" s="197">
        <v>0</v>
      </c>
      <c r="R7" s="197">
        <v>3</v>
      </c>
      <c r="S7" s="209">
        <v>5850</v>
      </c>
      <c r="T7" s="222" t="s">
        <v>228</v>
      </c>
      <c r="U7" s="210" t="s">
        <v>407</v>
      </c>
      <c r="V7" s="209" t="s">
        <v>314</v>
      </c>
      <c r="W7" s="198" t="s">
        <v>408</v>
      </c>
      <c r="X7" s="211" t="s">
        <v>409</v>
      </c>
      <c r="Y7" s="212">
        <v>1</v>
      </c>
      <c r="Z7" s="212">
        <v>0</v>
      </c>
      <c r="AA7" s="212">
        <v>0</v>
      </c>
      <c r="AB7" s="213">
        <v>1</v>
      </c>
      <c r="AC7" s="212">
        <v>1</v>
      </c>
      <c r="AD7" s="212">
        <v>0</v>
      </c>
      <c r="AE7" s="212">
        <v>0</v>
      </c>
      <c r="AF7" s="213">
        <v>1</v>
      </c>
      <c r="AG7" s="212">
        <v>0</v>
      </c>
      <c r="AH7" s="212">
        <v>0</v>
      </c>
      <c r="AI7" s="212">
        <v>0</v>
      </c>
      <c r="AJ7" s="213">
        <v>0</v>
      </c>
      <c r="AK7" s="212">
        <v>0</v>
      </c>
      <c r="AL7" s="212">
        <v>0</v>
      </c>
      <c r="AM7" s="212">
        <v>0</v>
      </c>
      <c r="AN7" s="213">
        <v>0</v>
      </c>
      <c r="AP7" s="851" t="s">
        <v>635</v>
      </c>
      <c r="AQ7" s="852">
        <f>Russiaalltestshistptsscored</f>
        <v>5566</v>
      </c>
      <c r="AS7" s="851" t="s">
        <v>635</v>
      </c>
      <c r="AT7" s="852">
        <f>RussiaRWChistptsscored</f>
        <v>76</v>
      </c>
    </row>
    <row r="8" spans="1:46" ht="14.95" customHeight="1" thickBot="1" x14ac:dyDescent="0.3">
      <c r="A8" s="187">
        <v>43620</v>
      </c>
      <c r="B8" s="178" t="s">
        <v>414</v>
      </c>
      <c r="C8" s="178" t="s">
        <v>107</v>
      </c>
      <c r="D8" s="179" t="s">
        <v>305</v>
      </c>
      <c r="E8" s="179" t="s">
        <v>3</v>
      </c>
      <c r="F8" s="179">
        <v>26</v>
      </c>
      <c r="G8" s="179">
        <v>48</v>
      </c>
      <c r="H8" s="179">
        <v>1</v>
      </c>
      <c r="I8" s="179">
        <v>0</v>
      </c>
      <c r="J8" s="179">
        <v>4</v>
      </c>
      <c r="K8" s="179">
        <v>3</v>
      </c>
      <c r="L8" s="179">
        <v>0</v>
      </c>
      <c r="M8" s="179">
        <v>0</v>
      </c>
      <c r="N8" s="179">
        <v>0</v>
      </c>
      <c r="O8" s="179">
        <v>0</v>
      </c>
      <c r="P8" s="179">
        <v>1</v>
      </c>
      <c r="Q8" s="179">
        <v>0</v>
      </c>
      <c r="R8" s="179">
        <v>7</v>
      </c>
      <c r="S8" s="180">
        <v>1200</v>
      </c>
      <c r="T8" s="223" t="s">
        <v>418</v>
      </c>
      <c r="U8" s="181" t="s">
        <v>327</v>
      </c>
      <c r="V8" s="180" t="s">
        <v>314</v>
      </c>
      <c r="W8" s="182" t="s">
        <v>308</v>
      </c>
      <c r="X8" s="183" t="s">
        <v>417</v>
      </c>
      <c r="Y8" s="184">
        <v>1</v>
      </c>
      <c r="Z8" s="184">
        <v>0</v>
      </c>
      <c r="AA8" s="184">
        <v>0</v>
      </c>
      <c r="AB8" s="185">
        <v>1</v>
      </c>
      <c r="AC8" s="184">
        <v>0</v>
      </c>
      <c r="AD8" s="184">
        <v>0</v>
      </c>
      <c r="AE8" s="184">
        <v>0</v>
      </c>
      <c r="AF8" s="185">
        <v>0</v>
      </c>
      <c r="AG8" s="184">
        <v>1</v>
      </c>
      <c r="AH8" s="184">
        <v>0</v>
      </c>
      <c r="AI8" s="184">
        <v>0</v>
      </c>
      <c r="AJ8" s="185">
        <v>1</v>
      </c>
      <c r="AK8" s="184">
        <v>0</v>
      </c>
      <c r="AL8" s="184">
        <v>0</v>
      </c>
      <c r="AM8" s="184">
        <v>0</v>
      </c>
      <c r="AN8" s="185">
        <v>0</v>
      </c>
      <c r="AP8" s="851" t="s">
        <v>636</v>
      </c>
      <c r="AQ8" s="852">
        <f>Russiaalltestshistptsagainst</f>
        <v>5280</v>
      </c>
      <c r="AS8" s="851" t="s">
        <v>636</v>
      </c>
      <c r="AT8" s="852">
        <f>RussiaRWChistptscon</f>
        <v>356</v>
      </c>
    </row>
    <row r="9" spans="1:46" ht="14.95" customHeight="1" thickBot="1" x14ac:dyDescent="0.35">
      <c r="A9" s="407">
        <v>43631</v>
      </c>
      <c r="B9" s="208" t="s">
        <v>414</v>
      </c>
      <c r="C9" s="208" t="s">
        <v>193</v>
      </c>
      <c r="D9" s="474" t="s">
        <v>305</v>
      </c>
      <c r="E9" s="474" t="s">
        <v>1</v>
      </c>
      <c r="F9" s="474">
        <v>20</v>
      </c>
      <c r="G9" s="474">
        <v>0</v>
      </c>
      <c r="H9" s="179">
        <v>0</v>
      </c>
      <c r="I9" s="179">
        <v>0</v>
      </c>
      <c r="J9" s="179">
        <v>2</v>
      </c>
      <c r="K9" s="179">
        <v>2</v>
      </c>
      <c r="L9" s="179">
        <v>0</v>
      </c>
      <c r="M9" s="179">
        <v>2</v>
      </c>
      <c r="N9" s="179">
        <v>1</v>
      </c>
      <c r="O9" s="179">
        <v>0</v>
      </c>
      <c r="P9" s="179">
        <v>0</v>
      </c>
      <c r="Q9" s="179">
        <v>0</v>
      </c>
      <c r="R9" s="179">
        <v>0</v>
      </c>
      <c r="S9" s="182">
        <v>1200</v>
      </c>
      <c r="T9" s="473" t="s">
        <v>430</v>
      </c>
      <c r="U9" s="182" t="s">
        <v>308</v>
      </c>
      <c r="V9" s="182" t="s">
        <v>314</v>
      </c>
      <c r="W9" s="182" t="s">
        <v>427</v>
      </c>
      <c r="X9" s="182" t="s">
        <v>417</v>
      </c>
      <c r="Y9" s="184">
        <v>1</v>
      </c>
      <c r="Z9" s="184">
        <v>1</v>
      </c>
      <c r="AA9" s="184">
        <v>0</v>
      </c>
      <c r="AB9" s="185">
        <v>0</v>
      </c>
      <c r="AC9" s="184">
        <v>0</v>
      </c>
      <c r="AD9" s="184">
        <v>0</v>
      </c>
      <c r="AE9" s="184">
        <v>0</v>
      </c>
      <c r="AF9" s="185">
        <v>0</v>
      </c>
      <c r="AG9" s="184">
        <v>0</v>
      </c>
      <c r="AH9" s="184">
        <v>0</v>
      </c>
      <c r="AI9" s="184">
        <v>0</v>
      </c>
      <c r="AJ9" s="185">
        <v>0</v>
      </c>
      <c r="AK9" s="184">
        <v>1</v>
      </c>
      <c r="AL9" s="184">
        <v>1</v>
      </c>
      <c r="AM9" s="184">
        <v>0</v>
      </c>
      <c r="AN9" s="185">
        <v>0</v>
      </c>
      <c r="AP9" s="851" t="s">
        <v>623</v>
      </c>
      <c r="AQ9" s="852">
        <f>Russiaalltestshisttriesscored</f>
        <v>557</v>
      </c>
      <c r="AS9" s="851" t="s">
        <v>623</v>
      </c>
      <c r="AT9" s="852">
        <f>RussiaRWChisttriesscored</f>
        <v>9</v>
      </c>
    </row>
    <row r="10" spans="1:46" ht="14.95" thickBot="1" x14ac:dyDescent="0.3">
      <c r="A10" s="407">
        <v>43694</v>
      </c>
      <c r="B10" s="208" t="s">
        <v>45</v>
      </c>
      <c r="C10" s="208" t="s">
        <v>33</v>
      </c>
      <c r="D10" s="474" t="s">
        <v>751</v>
      </c>
      <c r="E10" s="630" t="s">
        <v>3</v>
      </c>
      <c r="F10" s="474">
        <v>15</v>
      </c>
      <c r="G10" s="474">
        <v>85</v>
      </c>
      <c r="H10" s="179" t="s">
        <v>108</v>
      </c>
      <c r="I10" s="179" t="s">
        <v>108</v>
      </c>
      <c r="J10" s="179">
        <v>2</v>
      </c>
      <c r="K10" s="179">
        <v>1</v>
      </c>
      <c r="L10" s="179">
        <v>0</v>
      </c>
      <c r="M10" s="179">
        <v>1</v>
      </c>
      <c r="N10" s="179">
        <v>0</v>
      </c>
      <c r="O10" s="179">
        <v>0</v>
      </c>
      <c r="P10" s="179" t="s">
        <v>108</v>
      </c>
      <c r="Q10" s="179" t="s">
        <v>108</v>
      </c>
      <c r="R10" s="179">
        <v>13</v>
      </c>
      <c r="S10" s="182">
        <v>10853</v>
      </c>
      <c r="T10" s="432" t="s">
        <v>800</v>
      </c>
      <c r="U10" s="182" t="s">
        <v>233</v>
      </c>
      <c r="V10" s="182" t="s">
        <v>314</v>
      </c>
      <c r="W10" s="182" t="s">
        <v>427</v>
      </c>
      <c r="X10" s="182" t="s">
        <v>799</v>
      </c>
      <c r="Y10" s="184">
        <v>1</v>
      </c>
      <c r="Z10" s="184">
        <v>0</v>
      </c>
      <c r="AA10" s="184">
        <v>0</v>
      </c>
      <c r="AB10" s="185">
        <v>1</v>
      </c>
      <c r="AC10" s="184">
        <v>0</v>
      </c>
      <c r="AD10" s="184">
        <v>0</v>
      </c>
      <c r="AE10" s="184">
        <v>0</v>
      </c>
      <c r="AF10" s="185">
        <v>0</v>
      </c>
      <c r="AG10" s="184">
        <v>1</v>
      </c>
      <c r="AH10" s="184">
        <v>0</v>
      </c>
      <c r="AI10" s="184">
        <v>0</v>
      </c>
      <c r="AJ10" s="185">
        <v>1</v>
      </c>
      <c r="AK10" s="184">
        <v>0</v>
      </c>
      <c r="AL10" s="184">
        <v>0</v>
      </c>
      <c r="AM10" s="184">
        <v>0</v>
      </c>
      <c r="AN10" s="185">
        <v>0</v>
      </c>
    </row>
    <row r="11" spans="1:46" ht="14.95" thickBot="1" x14ac:dyDescent="0.3">
      <c r="A11" s="187">
        <v>43728</v>
      </c>
      <c r="B11" s="178" t="s">
        <v>158</v>
      </c>
      <c r="C11" s="178" t="s">
        <v>36</v>
      </c>
      <c r="D11" s="178" t="s">
        <v>160</v>
      </c>
      <c r="E11" s="179" t="s">
        <v>3</v>
      </c>
      <c r="F11" s="179">
        <v>10</v>
      </c>
      <c r="G11" s="179">
        <v>30</v>
      </c>
      <c r="H11" s="179">
        <v>0</v>
      </c>
      <c r="I11" s="179">
        <v>0</v>
      </c>
      <c r="J11" s="179">
        <v>1</v>
      </c>
      <c r="K11" s="179">
        <v>1</v>
      </c>
      <c r="L11" s="179">
        <v>0</v>
      </c>
      <c r="M11" s="179">
        <v>1</v>
      </c>
      <c r="N11" s="179">
        <v>0</v>
      </c>
      <c r="O11" s="179">
        <v>0</v>
      </c>
      <c r="P11" s="179">
        <v>1</v>
      </c>
      <c r="Q11" s="179">
        <v>0</v>
      </c>
      <c r="R11" s="179">
        <v>4</v>
      </c>
      <c r="S11" s="180">
        <v>45745</v>
      </c>
      <c r="T11" s="223" t="s">
        <v>214</v>
      </c>
      <c r="U11" s="181" t="s">
        <v>219</v>
      </c>
      <c r="V11" s="180" t="s">
        <v>277</v>
      </c>
      <c r="W11" s="181" t="s">
        <v>227</v>
      </c>
      <c r="X11" s="182" t="s">
        <v>295</v>
      </c>
      <c r="Y11" s="184">
        <v>1</v>
      </c>
      <c r="Z11" s="184">
        <v>0</v>
      </c>
      <c r="AA11" s="184">
        <v>0</v>
      </c>
      <c r="AB11" s="185">
        <v>1</v>
      </c>
      <c r="AC11" s="184">
        <v>0</v>
      </c>
      <c r="AD11" s="184">
        <v>0</v>
      </c>
      <c r="AE11" s="184">
        <v>0</v>
      </c>
      <c r="AF11" s="185">
        <v>0</v>
      </c>
      <c r="AG11" s="184">
        <v>1</v>
      </c>
      <c r="AH11" s="184">
        <v>0</v>
      </c>
      <c r="AI11" s="184">
        <v>0</v>
      </c>
      <c r="AJ11" s="185">
        <v>1</v>
      </c>
      <c r="AK11" s="184">
        <v>0</v>
      </c>
      <c r="AL11" s="184">
        <v>0</v>
      </c>
      <c r="AM11" s="184">
        <v>0</v>
      </c>
      <c r="AN11" s="185">
        <v>0</v>
      </c>
    </row>
    <row r="12" spans="1:46" ht="17" thickBot="1" x14ac:dyDescent="0.35">
      <c r="A12" s="579">
        <v>43732</v>
      </c>
      <c r="B12" s="513" t="s">
        <v>158</v>
      </c>
      <c r="C12" s="513" t="s">
        <v>148</v>
      </c>
      <c r="D12" s="513" t="s">
        <v>603</v>
      </c>
      <c r="E12" s="190" t="s">
        <v>3</v>
      </c>
      <c r="F12" s="190">
        <v>9</v>
      </c>
      <c r="G12" s="190">
        <v>34</v>
      </c>
      <c r="H12" s="190">
        <v>0</v>
      </c>
      <c r="I12" s="190">
        <v>0</v>
      </c>
      <c r="J12" s="190">
        <v>0</v>
      </c>
      <c r="K12" s="190">
        <v>0</v>
      </c>
      <c r="L12" s="190">
        <v>1</v>
      </c>
      <c r="M12" s="190">
        <v>2</v>
      </c>
      <c r="N12" s="190">
        <v>1</v>
      </c>
      <c r="O12" s="190">
        <v>0</v>
      </c>
      <c r="P12" s="190">
        <v>1</v>
      </c>
      <c r="Q12" s="190">
        <v>0</v>
      </c>
      <c r="R12" s="190">
        <v>6</v>
      </c>
      <c r="S12" s="203">
        <v>22564</v>
      </c>
      <c r="T12" s="514" t="s">
        <v>886</v>
      </c>
      <c r="U12" s="204" t="s">
        <v>130</v>
      </c>
      <c r="V12" s="203" t="s">
        <v>232</v>
      </c>
      <c r="W12" s="191" t="s">
        <v>138</v>
      </c>
      <c r="X12" s="205" t="s">
        <v>146</v>
      </c>
      <c r="Y12" s="206">
        <v>1</v>
      </c>
      <c r="Z12" s="206">
        <v>0</v>
      </c>
      <c r="AA12" s="206">
        <v>0</v>
      </c>
      <c r="AB12" s="207">
        <v>1</v>
      </c>
      <c r="AC12" s="206">
        <v>0</v>
      </c>
      <c r="AD12" s="206">
        <v>0</v>
      </c>
      <c r="AE12" s="206">
        <v>0</v>
      </c>
      <c r="AF12" s="207">
        <v>0</v>
      </c>
      <c r="AG12" s="206">
        <v>0</v>
      </c>
      <c r="AH12" s="206">
        <v>0</v>
      </c>
      <c r="AI12" s="206">
        <v>0</v>
      </c>
      <c r="AJ12" s="207">
        <v>0</v>
      </c>
      <c r="AK12" s="206">
        <v>1</v>
      </c>
      <c r="AL12" s="206">
        <v>0</v>
      </c>
      <c r="AM12" s="206">
        <v>0</v>
      </c>
      <c r="AN12" s="207">
        <v>1</v>
      </c>
    </row>
    <row r="13" spans="1:46" ht="14.95" thickBot="1" x14ac:dyDescent="0.3">
      <c r="A13" s="188">
        <v>43741</v>
      </c>
      <c r="B13" s="483" t="s">
        <v>158</v>
      </c>
      <c r="C13" s="189" t="s">
        <v>39</v>
      </c>
      <c r="D13" s="189" t="s">
        <v>127</v>
      </c>
      <c r="E13" s="580" t="s">
        <v>3</v>
      </c>
      <c r="F13" s="580">
        <v>0</v>
      </c>
      <c r="G13" s="190">
        <v>35</v>
      </c>
      <c r="H13" s="190">
        <v>0</v>
      </c>
      <c r="I13" s="190">
        <v>0</v>
      </c>
      <c r="J13" s="190">
        <v>0</v>
      </c>
      <c r="K13" s="190">
        <v>0</v>
      </c>
      <c r="L13" s="190">
        <v>0</v>
      </c>
      <c r="M13" s="190">
        <v>0</v>
      </c>
      <c r="N13" s="190">
        <v>2</v>
      </c>
      <c r="O13" s="190">
        <v>0</v>
      </c>
      <c r="P13" s="190">
        <v>1</v>
      </c>
      <c r="Q13" s="190">
        <v>0</v>
      </c>
      <c r="R13" s="190">
        <v>5</v>
      </c>
      <c r="S13" s="191">
        <v>26856</v>
      </c>
      <c r="T13" s="926" t="s">
        <v>750</v>
      </c>
      <c r="U13" s="191" t="s">
        <v>138</v>
      </c>
      <c r="V13" s="191" t="s">
        <v>277</v>
      </c>
      <c r="W13" s="191" t="s">
        <v>136</v>
      </c>
      <c r="X13" s="191" t="s">
        <v>146</v>
      </c>
      <c r="Y13" s="206">
        <v>1</v>
      </c>
      <c r="Z13" s="206">
        <v>0</v>
      </c>
      <c r="AA13" s="206">
        <v>0</v>
      </c>
      <c r="AB13" s="207">
        <v>1</v>
      </c>
      <c r="AC13" s="206">
        <v>0</v>
      </c>
      <c r="AD13" s="206">
        <v>0</v>
      </c>
      <c r="AE13" s="206">
        <v>0</v>
      </c>
      <c r="AF13" s="207">
        <v>0</v>
      </c>
      <c r="AG13" s="206">
        <v>0</v>
      </c>
      <c r="AH13" s="206">
        <v>0</v>
      </c>
      <c r="AI13" s="206">
        <v>0</v>
      </c>
      <c r="AJ13" s="207">
        <v>0</v>
      </c>
      <c r="AK13" s="206">
        <v>1</v>
      </c>
      <c r="AL13" s="206">
        <v>0</v>
      </c>
      <c r="AM13" s="206">
        <v>0</v>
      </c>
      <c r="AN13" s="207">
        <v>1</v>
      </c>
    </row>
    <row r="14" spans="1:46" ht="14.95" thickBot="1" x14ac:dyDescent="0.3">
      <c r="A14" s="188">
        <v>43747</v>
      </c>
      <c r="B14" s="189" t="s">
        <v>158</v>
      </c>
      <c r="C14" s="189" t="s">
        <v>35</v>
      </c>
      <c r="D14" s="189" t="s">
        <v>172</v>
      </c>
      <c r="E14" s="190" t="s">
        <v>948</v>
      </c>
      <c r="F14" s="190">
        <v>0</v>
      </c>
      <c r="G14" s="190">
        <v>61</v>
      </c>
      <c r="H14" s="190">
        <v>0</v>
      </c>
      <c r="I14" s="190">
        <v>0</v>
      </c>
      <c r="J14" s="190">
        <v>0</v>
      </c>
      <c r="K14" s="190">
        <v>0</v>
      </c>
      <c r="L14" s="190">
        <v>0</v>
      </c>
      <c r="M14" s="190">
        <v>0</v>
      </c>
      <c r="N14" s="190">
        <v>0</v>
      </c>
      <c r="O14" s="190">
        <v>0</v>
      </c>
      <c r="P14" s="190">
        <v>1</v>
      </c>
      <c r="Q14" s="190">
        <v>0</v>
      </c>
      <c r="R14" s="190">
        <v>9</v>
      </c>
      <c r="S14" s="191">
        <v>44123</v>
      </c>
      <c r="T14" s="926" t="s">
        <v>750</v>
      </c>
      <c r="U14" s="191" t="s">
        <v>132</v>
      </c>
      <c r="V14" s="191" t="s">
        <v>270</v>
      </c>
      <c r="W14" s="191" t="s">
        <v>212</v>
      </c>
      <c r="X14" s="191" t="s">
        <v>134</v>
      </c>
      <c r="Y14" s="206">
        <v>1</v>
      </c>
      <c r="Z14" s="206">
        <v>0</v>
      </c>
      <c r="AA14" s="206">
        <v>0</v>
      </c>
      <c r="AB14" s="207">
        <v>1</v>
      </c>
      <c r="AC14" s="206">
        <v>0</v>
      </c>
      <c r="AD14" s="206">
        <v>0</v>
      </c>
      <c r="AE14" s="206">
        <v>0</v>
      </c>
      <c r="AF14" s="207">
        <v>0</v>
      </c>
      <c r="AG14" s="206">
        <v>0</v>
      </c>
      <c r="AH14" s="206">
        <v>0</v>
      </c>
      <c r="AI14" s="206">
        <v>0</v>
      </c>
      <c r="AJ14" s="207">
        <v>0</v>
      </c>
      <c r="AK14" s="206">
        <v>1</v>
      </c>
      <c r="AL14" s="206">
        <v>0</v>
      </c>
      <c r="AM14" s="206">
        <v>0</v>
      </c>
      <c r="AN14" s="207">
        <v>1</v>
      </c>
    </row>
    <row r="15" spans="1:46" ht="14.95" thickBot="1" x14ac:dyDescent="0.3">
      <c r="A15" s="438"/>
      <c r="B15" s="439"/>
      <c r="C15" s="1069" t="s">
        <v>117</v>
      </c>
      <c r="D15" s="1070"/>
      <c r="E15" s="1071"/>
      <c r="F15" s="433">
        <f t="shared" ref="F15:R15" si="0">SUM(F3:F7)</f>
        <v>130</v>
      </c>
      <c r="G15" s="433">
        <f t="shared" si="0"/>
        <v>85</v>
      </c>
      <c r="H15" s="433">
        <f t="shared" si="0"/>
        <v>2</v>
      </c>
      <c r="I15" s="433">
        <f t="shared" si="0"/>
        <v>2</v>
      </c>
      <c r="J15" s="433">
        <f t="shared" si="0"/>
        <v>20</v>
      </c>
      <c r="K15" s="433">
        <f t="shared" si="0"/>
        <v>12</v>
      </c>
      <c r="L15" s="433">
        <f t="shared" si="0"/>
        <v>0</v>
      </c>
      <c r="M15" s="433">
        <f t="shared" si="0"/>
        <v>2</v>
      </c>
      <c r="N15" s="433">
        <f t="shared" si="0"/>
        <v>6</v>
      </c>
      <c r="O15" s="433">
        <f t="shared" si="0"/>
        <v>0</v>
      </c>
      <c r="P15" s="433">
        <f t="shared" si="0"/>
        <v>0</v>
      </c>
      <c r="Q15" s="433">
        <f t="shared" si="0"/>
        <v>0</v>
      </c>
      <c r="R15" s="433">
        <f t="shared" si="0"/>
        <v>8</v>
      </c>
      <c r="W15" s="434"/>
      <c r="X15" s="459" t="s">
        <v>117</v>
      </c>
      <c r="Y15" s="433">
        <f t="shared" ref="Y15:AN15" si="1">SUM(Y3:Y7)</f>
        <v>5</v>
      </c>
      <c r="Z15" s="433">
        <f t="shared" si="1"/>
        <v>2</v>
      </c>
      <c r="AA15" s="433">
        <f t="shared" si="1"/>
        <v>0</v>
      </c>
      <c r="AB15" s="433">
        <f t="shared" si="1"/>
        <v>3</v>
      </c>
      <c r="AC15" s="435">
        <f t="shared" si="1"/>
        <v>3</v>
      </c>
      <c r="AD15" s="435">
        <f t="shared" si="1"/>
        <v>2</v>
      </c>
      <c r="AE15" s="435">
        <f t="shared" si="1"/>
        <v>0</v>
      </c>
      <c r="AF15" s="435">
        <f t="shared" si="1"/>
        <v>1</v>
      </c>
      <c r="AG15" s="436">
        <f t="shared" si="1"/>
        <v>2</v>
      </c>
      <c r="AH15" s="436">
        <f t="shared" si="1"/>
        <v>0</v>
      </c>
      <c r="AI15" s="436">
        <f t="shared" si="1"/>
        <v>0</v>
      </c>
      <c r="AJ15" s="436">
        <f t="shared" si="1"/>
        <v>2</v>
      </c>
      <c r="AK15" s="437">
        <f t="shared" si="1"/>
        <v>0</v>
      </c>
      <c r="AL15" s="437">
        <f t="shared" si="1"/>
        <v>0</v>
      </c>
      <c r="AM15" s="437">
        <f t="shared" si="1"/>
        <v>0</v>
      </c>
      <c r="AN15" s="437">
        <f t="shared" si="1"/>
        <v>0</v>
      </c>
    </row>
    <row r="16" spans="1:46" ht="14.95" thickBot="1" x14ac:dyDescent="0.3">
      <c r="A16" s="438"/>
      <c r="B16" s="439"/>
      <c r="C16" s="1072" t="s">
        <v>415</v>
      </c>
      <c r="D16" s="1073"/>
      <c r="E16" s="1074"/>
      <c r="F16" s="440">
        <f t="shared" ref="F16:R16" si="2">SUM(F8:F9)</f>
        <v>46</v>
      </c>
      <c r="G16" s="440">
        <f t="shared" si="2"/>
        <v>48</v>
      </c>
      <c r="H16" s="440">
        <f t="shared" si="2"/>
        <v>1</v>
      </c>
      <c r="I16" s="440">
        <f t="shared" si="2"/>
        <v>0</v>
      </c>
      <c r="J16" s="440">
        <f t="shared" si="2"/>
        <v>6</v>
      </c>
      <c r="K16" s="440">
        <f t="shared" si="2"/>
        <v>5</v>
      </c>
      <c r="L16" s="440">
        <f t="shared" si="2"/>
        <v>0</v>
      </c>
      <c r="M16" s="440">
        <f t="shared" si="2"/>
        <v>2</v>
      </c>
      <c r="N16" s="440">
        <f t="shared" si="2"/>
        <v>1</v>
      </c>
      <c r="O16" s="440">
        <f t="shared" si="2"/>
        <v>0</v>
      </c>
      <c r="P16" s="440">
        <f t="shared" si="2"/>
        <v>1</v>
      </c>
      <c r="Q16" s="440">
        <f t="shared" si="2"/>
        <v>0</v>
      </c>
      <c r="R16" s="440">
        <f t="shared" si="2"/>
        <v>7</v>
      </c>
      <c r="S16" s="441"/>
      <c r="T16" s="441"/>
      <c r="U16" s="441"/>
      <c r="V16" s="441"/>
      <c r="W16" s="442"/>
      <c r="X16" s="460" t="s">
        <v>415</v>
      </c>
      <c r="Y16" s="440">
        <f t="shared" ref="Y16:AN16" si="3">SUM(Y8:Y9)</f>
        <v>2</v>
      </c>
      <c r="Z16" s="440">
        <f t="shared" si="3"/>
        <v>1</v>
      </c>
      <c r="AA16" s="440">
        <f t="shared" si="3"/>
        <v>0</v>
      </c>
      <c r="AB16" s="440">
        <f t="shared" si="3"/>
        <v>1</v>
      </c>
      <c r="AC16" s="443">
        <f t="shared" si="3"/>
        <v>0</v>
      </c>
      <c r="AD16" s="443">
        <f t="shared" si="3"/>
        <v>0</v>
      </c>
      <c r="AE16" s="443">
        <f t="shared" si="3"/>
        <v>0</v>
      </c>
      <c r="AF16" s="443">
        <f t="shared" si="3"/>
        <v>0</v>
      </c>
      <c r="AG16" s="444">
        <f t="shared" si="3"/>
        <v>1</v>
      </c>
      <c r="AH16" s="444">
        <f t="shared" si="3"/>
        <v>0</v>
      </c>
      <c r="AI16" s="444">
        <f t="shared" si="3"/>
        <v>0</v>
      </c>
      <c r="AJ16" s="444">
        <f t="shared" si="3"/>
        <v>1</v>
      </c>
      <c r="AK16" s="445">
        <f t="shared" si="3"/>
        <v>1</v>
      </c>
      <c r="AL16" s="445">
        <f t="shared" si="3"/>
        <v>1</v>
      </c>
      <c r="AM16" s="445">
        <f t="shared" si="3"/>
        <v>0</v>
      </c>
      <c r="AN16" s="445">
        <f t="shared" si="3"/>
        <v>0</v>
      </c>
    </row>
    <row r="17" spans="1:40" ht="14.95" thickBot="1" x14ac:dyDescent="0.3">
      <c r="A17" s="438"/>
      <c r="B17" s="439"/>
      <c r="C17" s="1037" t="s">
        <v>163</v>
      </c>
      <c r="D17" s="1038"/>
      <c r="E17" s="1039"/>
      <c r="F17" s="446">
        <f>SUM(F10)</f>
        <v>15</v>
      </c>
      <c r="G17" s="446">
        <f>SUM(G10)</f>
        <v>85</v>
      </c>
      <c r="H17" s="446" t="s">
        <v>108</v>
      </c>
      <c r="I17" s="446" t="s">
        <v>108</v>
      </c>
      <c r="J17" s="446">
        <f t="shared" ref="J17:O17" si="4">SUM(J10)</f>
        <v>2</v>
      </c>
      <c r="K17" s="446">
        <f t="shared" si="4"/>
        <v>1</v>
      </c>
      <c r="L17" s="446">
        <f t="shared" si="4"/>
        <v>0</v>
      </c>
      <c r="M17" s="446">
        <f t="shared" si="4"/>
        <v>1</v>
      </c>
      <c r="N17" s="446">
        <f t="shared" si="4"/>
        <v>0</v>
      </c>
      <c r="O17" s="446">
        <f t="shared" si="4"/>
        <v>0</v>
      </c>
      <c r="P17" s="446" t="s">
        <v>108</v>
      </c>
      <c r="Q17" s="446" t="s">
        <v>108</v>
      </c>
      <c r="R17" s="446">
        <f>SUM(H17)</f>
        <v>0</v>
      </c>
      <c r="S17" s="447"/>
      <c r="T17" s="447"/>
      <c r="U17" s="447"/>
      <c r="V17" s="447"/>
      <c r="W17" s="448"/>
      <c r="X17" s="461" t="s">
        <v>163</v>
      </c>
      <c r="Y17" s="446">
        <f t="shared" ref="Y17:AN17" si="5">SUM(Y10)</f>
        <v>1</v>
      </c>
      <c r="Z17" s="446">
        <f t="shared" si="5"/>
        <v>0</v>
      </c>
      <c r="AA17" s="446">
        <f t="shared" si="5"/>
        <v>0</v>
      </c>
      <c r="AB17" s="446">
        <f t="shared" si="5"/>
        <v>1</v>
      </c>
      <c r="AC17" s="450">
        <f t="shared" si="5"/>
        <v>0</v>
      </c>
      <c r="AD17" s="450">
        <f t="shared" si="5"/>
        <v>0</v>
      </c>
      <c r="AE17" s="450">
        <f t="shared" si="5"/>
        <v>0</v>
      </c>
      <c r="AF17" s="450">
        <f t="shared" si="5"/>
        <v>0</v>
      </c>
      <c r="AG17" s="451">
        <f t="shared" si="5"/>
        <v>1</v>
      </c>
      <c r="AH17" s="451">
        <f t="shared" si="5"/>
        <v>0</v>
      </c>
      <c r="AI17" s="451">
        <f t="shared" si="5"/>
        <v>0</v>
      </c>
      <c r="AJ17" s="451">
        <f t="shared" si="5"/>
        <v>1</v>
      </c>
      <c r="AK17" s="452">
        <f t="shared" si="5"/>
        <v>0</v>
      </c>
      <c r="AL17" s="452">
        <f t="shared" si="5"/>
        <v>0</v>
      </c>
      <c r="AM17" s="452">
        <f t="shared" si="5"/>
        <v>0</v>
      </c>
      <c r="AN17" s="452">
        <f t="shared" si="5"/>
        <v>0</v>
      </c>
    </row>
    <row r="18" spans="1:40" ht="14.95" thickBot="1" x14ac:dyDescent="0.3">
      <c r="A18" s="438"/>
      <c r="B18" s="439"/>
      <c r="C18" s="1040" t="s">
        <v>611</v>
      </c>
      <c r="D18" s="1041"/>
      <c r="E18" s="1042"/>
      <c r="F18" s="685">
        <f t="shared" ref="F18:R18" si="6">SUM(F11:F14)</f>
        <v>19</v>
      </c>
      <c r="G18" s="685">
        <f t="shared" si="6"/>
        <v>160</v>
      </c>
      <c r="H18" s="685">
        <f t="shared" si="6"/>
        <v>0</v>
      </c>
      <c r="I18" s="685">
        <f t="shared" si="6"/>
        <v>0</v>
      </c>
      <c r="J18" s="685">
        <f t="shared" si="6"/>
        <v>1</v>
      </c>
      <c r="K18" s="685">
        <f t="shared" si="6"/>
        <v>1</v>
      </c>
      <c r="L18" s="685">
        <f t="shared" si="6"/>
        <v>1</v>
      </c>
      <c r="M18" s="685">
        <f t="shared" si="6"/>
        <v>3</v>
      </c>
      <c r="N18" s="685">
        <f t="shared" si="6"/>
        <v>3</v>
      </c>
      <c r="O18" s="685">
        <f t="shared" si="6"/>
        <v>0</v>
      </c>
      <c r="P18" s="685">
        <f t="shared" si="6"/>
        <v>4</v>
      </c>
      <c r="Q18" s="685">
        <f t="shared" si="6"/>
        <v>0</v>
      </c>
      <c r="R18" s="685">
        <f t="shared" si="6"/>
        <v>24</v>
      </c>
      <c r="S18" s="686"/>
      <c r="T18" s="686"/>
      <c r="U18" s="686"/>
      <c r="V18" s="686"/>
      <c r="W18" s="687"/>
      <c r="X18" s="688" t="s">
        <v>611</v>
      </c>
      <c r="Y18" s="689">
        <f t="shared" ref="Y18:AN18" si="7">SUM(Y11:Y14)</f>
        <v>4</v>
      </c>
      <c r="Z18" s="690">
        <f t="shared" si="7"/>
        <v>0</v>
      </c>
      <c r="AA18" s="685">
        <f t="shared" si="7"/>
        <v>0</v>
      </c>
      <c r="AB18" s="685">
        <f t="shared" si="7"/>
        <v>4</v>
      </c>
      <c r="AC18" s="691">
        <f t="shared" si="7"/>
        <v>0</v>
      </c>
      <c r="AD18" s="691">
        <f t="shared" si="7"/>
        <v>0</v>
      </c>
      <c r="AE18" s="691">
        <f t="shared" si="7"/>
        <v>0</v>
      </c>
      <c r="AF18" s="691">
        <f t="shared" si="7"/>
        <v>0</v>
      </c>
      <c r="AG18" s="692">
        <f t="shared" si="7"/>
        <v>1</v>
      </c>
      <c r="AH18" s="692">
        <f t="shared" si="7"/>
        <v>0</v>
      </c>
      <c r="AI18" s="692">
        <f t="shared" si="7"/>
        <v>0</v>
      </c>
      <c r="AJ18" s="692">
        <f t="shared" si="7"/>
        <v>1</v>
      </c>
      <c r="AK18" s="693">
        <f t="shared" si="7"/>
        <v>3</v>
      </c>
      <c r="AL18" s="693">
        <f t="shared" si="7"/>
        <v>0</v>
      </c>
      <c r="AM18" s="693">
        <f t="shared" si="7"/>
        <v>0</v>
      </c>
      <c r="AN18" s="693">
        <f t="shared" si="7"/>
        <v>3</v>
      </c>
    </row>
    <row r="19" spans="1:40" ht="14.95" thickBot="1" x14ac:dyDescent="0.3">
      <c r="A19" s="438"/>
      <c r="B19" s="439"/>
      <c r="C19" s="1040" t="s">
        <v>612</v>
      </c>
      <c r="D19" s="1041"/>
      <c r="E19" s="1042"/>
      <c r="F19" s="694" t="s">
        <v>108</v>
      </c>
      <c r="G19" s="685" t="s">
        <v>108</v>
      </c>
      <c r="H19" s="685" t="s">
        <v>108</v>
      </c>
      <c r="I19" s="685" t="s">
        <v>108</v>
      </c>
      <c r="J19" s="685" t="s">
        <v>108</v>
      </c>
      <c r="K19" s="685" t="s">
        <v>108</v>
      </c>
      <c r="L19" s="685" t="s">
        <v>108</v>
      </c>
      <c r="M19" s="685" t="s">
        <v>108</v>
      </c>
      <c r="N19" s="685" t="s">
        <v>108</v>
      </c>
      <c r="O19" s="685" t="s">
        <v>108</v>
      </c>
      <c r="P19" s="685" t="s">
        <v>108</v>
      </c>
      <c r="Q19" s="685" t="s">
        <v>108</v>
      </c>
      <c r="R19" s="685" t="s">
        <v>108</v>
      </c>
      <c r="S19" s="686"/>
      <c r="T19" s="686"/>
      <c r="U19" s="686"/>
      <c r="V19" s="686"/>
      <c r="W19" s="687"/>
      <c r="X19" s="688" t="s">
        <v>612</v>
      </c>
      <c r="Y19" s="689" t="s">
        <v>108</v>
      </c>
      <c r="Z19" s="690" t="s">
        <v>108</v>
      </c>
      <c r="AA19" s="685" t="s">
        <v>108</v>
      </c>
      <c r="AB19" s="685" t="s">
        <v>108</v>
      </c>
      <c r="AC19" s="691" t="s">
        <v>108</v>
      </c>
      <c r="AD19" s="691" t="s">
        <v>108</v>
      </c>
      <c r="AE19" s="691" t="s">
        <v>108</v>
      </c>
      <c r="AF19" s="691" t="s">
        <v>108</v>
      </c>
      <c r="AG19" s="692" t="s">
        <v>108</v>
      </c>
      <c r="AH19" s="692" t="s">
        <v>108</v>
      </c>
      <c r="AI19" s="692" t="s">
        <v>108</v>
      </c>
      <c r="AJ19" s="692" t="s">
        <v>108</v>
      </c>
      <c r="AK19" s="693" t="s">
        <v>108</v>
      </c>
      <c r="AL19" s="693" t="s">
        <v>108</v>
      </c>
      <c r="AM19" s="693" t="s">
        <v>108</v>
      </c>
      <c r="AN19" s="693" t="s">
        <v>108</v>
      </c>
    </row>
    <row r="20" spans="1:40" ht="14.95" thickBot="1" x14ac:dyDescent="0.3">
      <c r="A20" s="438"/>
      <c r="B20" s="439"/>
      <c r="C20" s="1040" t="s">
        <v>613</v>
      </c>
      <c r="D20" s="1041"/>
      <c r="E20" s="1042"/>
      <c r="F20" s="685">
        <f>SUM(F18:F19)</f>
        <v>19</v>
      </c>
      <c r="G20" s="685">
        <f t="shared" ref="G20:R20" si="8">SUM(G18:G19)</f>
        <v>160</v>
      </c>
      <c r="H20" s="685">
        <f t="shared" si="8"/>
        <v>0</v>
      </c>
      <c r="I20" s="685">
        <f t="shared" si="8"/>
        <v>0</v>
      </c>
      <c r="J20" s="685">
        <f t="shared" si="8"/>
        <v>1</v>
      </c>
      <c r="K20" s="685">
        <f t="shared" si="8"/>
        <v>1</v>
      </c>
      <c r="L20" s="685">
        <f t="shared" si="8"/>
        <v>1</v>
      </c>
      <c r="M20" s="685">
        <f t="shared" si="8"/>
        <v>3</v>
      </c>
      <c r="N20" s="685">
        <f t="shared" si="8"/>
        <v>3</v>
      </c>
      <c r="O20" s="685">
        <f t="shared" si="8"/>
        <v>0</v>
      </c>
      <c r="P20" s="685">
        <f t="shared" si="8"/>
        <v>4</v>
      </c>
      <c r="Q20" s="685">
        <f t="shared" si="8"/>
        <v>0</v>
      </c>
      <c r="R20" s="685">
        <f t="shared" si="8"/>
        <v>24</v>
      </c>
      <c r="S20" s="686"/>
      <c r="T20" s="686"/>
      <c r="U20" s="686"/>
      <c r="V20" s="686"/>
      <c r="W20" s="687"/>
      <c r="X20" s="688" t="s">
        <v>613</v>
      </c>
      <c r="Y20" s="689">
        <f t="shared" ref="Y20:AN20" si="9">SUM(Y18:Y19)</f>
        <v>4</v>
      </c>
      <c r="Z20" s="690">
        <f t="shared" si="9"/>
        <v>0</v>
      </c>
      <c r="AA20" s="685">
        <f t="shared" si="9"/>
        <v>0</v>
      </c>
      <c r="AB20" s="685">
        <f t="shared" si="9"/>
        <v>4</v>
      </c>
      <c r="AC20" s="691">
        <f t="shared" si="9"/>
        <v>0</v>
      </c>
      <c r="AD20" s="691">
        <f t="shared" si="9"/>
        <v>0</v>
      </c>
      <c r="AE20" s="691">
        <f t="shared" si="9"/>
        <v>0</v>
      </c>
      <c r="AF20" s="691">
        <f t="shared" si="9"/>
        <v>0</v>
      </c>
      <c r="AG20" s="692">
        <f t="shared" si="9"/>
        <v>1</v>
      </c>
      <c r="AH20" s="692">
        <f t="shared" si="9"/>
        <v>0</v>
      </c>
      <c r="AI20" s="692">
        <f t="shared" si="9"/>
        <v>0</v>
      </c>
      <c r="AJ20" s="692">
        <f t="shared" si="9"/>
        <v>1</v>
      </c>
      <c r="AK20" s="693">
        <f t="shared" si="9"/>
        <v>3</v>
      </c>
      <c r="AL20" s="693">
        <f t="shared" si="9"/>
        <v>0</v>
      </c>
      <c r="AM20" s="693">
        <f t="shared" si="9"/>
        <v>0</v>
      </c>
      <c r="AN20" s="693">
        <f t="shared" si="9"/>
        <v>3</v>
      </c>
    </row>
    <row r="21" spans="1:40" ht="14.95" thickBot="1" x14ac:dyDescent="0.3">
      <c r="A21" s="438"/>
      <c r="B21" s="439"/>
      <c r="C21" s="1034" t="s">
        <v>112</v>
      </c>
      <c r="D21" s="1035"/>
      <c r="E21" s="1036"/>
      <c r="F21" s="453">
        <f t="shared" ref="F21:R21" si="10">SUM(F3:F14)</f>
        <v>210</v>
      </c>
      <c r="G21" s="453">
        <f t="shared" si="10"/>
        <v>378</v>
      </c>
      <c r="H21" s="453">
        <f t="shared" si="10"/>
        <v>3</v>
      </c>
      <c r="I21" s="453">
        <f t="shared" si="10"/>
        <v>2</v>
      </c>
      <c r="J21" s="453">
        <f t="shared" si="10"/>
        <v>29</v>
      </c>
      <c r="K21" s="453">
        <f t="shared" si="10"/>
        <v>19</v>
      </c>
      <c r="L21" s="453">
        <f t="shared" si="10"/>
        <v>1</v>
      </c>
      <c r="M21" s="453">
        <f t="shared" si="10"/>
        <v>8</v>
      </c>
      <c r="N21" s="453">
        <f t="shared" si="10"/>
        <v>10</v>
      </c>
      <c r="O21" s="453">
        <f t="shared" si="10"/>
        <v>0</v>
      </c>
      <c r="P21" s="453">
        <f t="shared" si="10"/>
        <v>5</v>
      </c>
      <c r="Q21" s="453">
        <f t="shared" si="10"/>
        <v>0</v>
      </c>
      <c r="R21" s="453">
        <f t="shared" si="10"/>
        <v>52</v>
      </c>
      <c r="S21" s="454"/>
      <c r="T21" s="454"/>
      <c r="U21" s="454"/>
      <c r="V21" s="454"/>
      <c r="W21" s="455"/>
      <c r="X21" s="961" t="s">
        <v>112</v>
      </c>
      <c r="Y21" s="957">
        <f t="shared" ref="Y21:AN21" si="11">SUM(Y3:Y14)</f>
        <v>12</v>
      </c>
      <c r="Z21" s="957">
        <f t="shared" si="11"/>
        <v>3</v>
      </c>
      <c r="AA21" s="957">
        <f t="shared" si="11"/>
        <v>0</v>
      </c>
      <c r="AB21" s="957">
        <f t="shared" si="11"/>
        <v>9</v>
      </c>
      <c r="AC21" s="958">
        <f t="shared" si="11"/>
        <v>3</v>
      </c>
      <c r="AD21" s="958">
        <f t="shared" si="11"/>
        <v>2</v>
      </c>
      <c r="AE21" s="958">
        <f t="shared" si="11"/>
        <v>0</v>
      </c>
      <c r="AF21" s="958">
        <f t="shared" si="11"/>
        <v>1</v>
      </c>
      <c r="AG21" s="959">
        <f t="shared" si="11"/>
        <v>5</v>
      </c>
      <c r="AH21" s="959">
        <f t="shared" si="11"/>
        <v>0</v>
      </c>
      <c r="AI21" s="959">
        <f t="shared" si="11"/>
        <v>0</v>
      </c>
      <c r="AJ21" s="959">
        <f t="shared" si="11"/>
        <v>5</v>
      </c>
      <c r="AK21" s="960">
        <f t="shared" si="11"/>
        <v>4</v>
      </c>
      <c r="AL21" s="960">
        <f t="shared" si="11"/>
        <v>1</v>
      </c>
      <c r="AM21" s="960">
        <f t="shared" si="11"/>
        <v>0</v>
      </c>
      <c r="AN21" s="960">
        <f t="shared" si="11"/>
        <v>3</v>
      </c>
    </row>
    <row r="22" spans="1:40" x14ac:dyDescent="0.25">
      <c r="A22" s="1067" t="s">
        <v>335</v>
      </c>
      <c r="B22" s="988"/>
      <c r="C22" s="988"/>
      <c r="D22" s="988"/>
      <c r="E22" s="988"/>
      <c r="F22" s="988"/>
      <c r="G22" s="988"/>
      <c r="H22" s="988"/>
      <c r="I22" s="988"/>
      <c r="J22" s="988"/>
      <c r="K22" s="988"/>
      <c r="L22" s="988"/>
      <c r="M22" s="988"/>
      <c r="N22" s="988"/>
      <c r="O22" s="988"/>
      <c r="P22" s="988"/>
      <c r="Q22" s="988"/>
      <c r="R22" s="988"/>
      <c r="S22" s="988"/>
      <c r="T22" s="988"/>
      <c r="U22" s="988"/>
      <c r="V22" s="988"/>
      <c r="W22" s="988"/>
      <c r="X22" s="988"/>
      <c r="Y22" s="988"/>
      <c r="Z22" s="988"/>
      <c r="AA22" s="988"/>
      <c r="AB22" s="988"/>
      <c r="AC22" s="988"/>
      <c r="AD22" s="988"/>
      <c r="AE22" s="988"/>
      <c r="AF22" s="988"/>
      <c r="AG22" s="988"/>
      <c r="AH22" s="988"/>
      <c r="AI22" s="988"/>
      <c r="AJ22" s="988"/>
      <c r="AK22" s="988"/>
      <c r="AL22" s="988"/>
      <c r="AM22" s="988"/>
      <c r="AN22" s="988"/>
    </row>
    <row r="23" spans="1:40" x14ac:dyDescent="0.25">
      <c r="A23" t="s">
        <v>389</v>
      </c>
      <c r="F23" s="14"/>
      <c r="G23" s="14"/>
      <c r="H23" s="13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40" ht="14.95" customHeight="1" x14ac:dyDescent="0.25">
      <c r="A24" t="s">
        <v>419</v>
      </c>
      <c r="F24" s="14"/>
      <c r="G24" s="14"/>
      <c r="H24" s="13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40" x14ac:dyDescent="0.25">
      <c r="A25" t="s">
        <v>753</v>
      </c>
      <c r="F25" s="14"/>
      <c r="G25" s="14"/>
      <c r="H25" s="13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40" x14ac:dyDescent="0.25">
      <c r="A26" t="s">
        <v>855</v>
      </c>
      <c r="F26" s="14"/>
      <c r="G26" s="14"/>
      <c r="H26" s="13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40" x14ac:dyDescent="0.25">
      <c r="A27" t="s">
        <v>709</v>
      </c>
      <c r="F27" s="14"/>
      <c r="G27" s="14"/>
      <c r="H27" s="13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40" x14ac:dyDescent="0.25">
      <c r="A28" t="s">
        <v>686</v>
      </c>
      <c r="F28" s="14"/>
      <c r="G28" s="14"/>
      <c r="H28" s="13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40" x14ac:dyDescent="0.25">
      <c r="A29" t="s">
        <v>181</v>
      </c>
      <c r="F29" s="14"/>
      <c r="G29" s="14"/>
      <c r="H29" s="13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1:40" x14ac:dyDescent="0.25">
      <c r="A30" t="s">
        <v>58</v>
      </c>
      <c r="F30" s="14"/>
      <c r="G30" s="14"/>
      <c r="H30" s="13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40" x14ac:dyDescent="0.25">
      <c r="A31" s="159"/>
      <c r="B31" t="s">
        <v>44</v>
      </c>
    </row>
    <row r="32" spans="1:40" x14ac:dyDescent="0.25">
      <c r="A32" s="157"/>
      <c r="B32" t="s">
        <v>42</v>
      </c>
    </row>
    <row r="33" spans="1:2" x14ac:dyDescent="0.25">
      <c r="A33" s="158"/>
      <c r="B33" t="s">
        <v>43</v>
      </c>
    </row>
    <row r="34" spans="1:2" x14ac:dyDescent="0.25">
      <c r="A34" s="15" t="s">
        <v>28</v>
      </c>
    </row>
  </sheetData>
  <mergeCells count="18">
    <mergeCell ref="A22:AN22"/>
    <mergeCell ref="C15:E15"/>
    <mergeCell ref="C16:E16"/>
    <mergeCell ref="C17:E17"/>
    <mergeCell ref="C21:E21"/>
    <mergeCell ref="C18:E18"/>
    <mergeCell ref="C19:E19"/>
    <mergeCell ref="C20:E20"/>
    <mergeCell ref="AK1:AN1"/>
    <mergeCell ref="P1:R1"/>
    <mergeCell ref="A1:C1"/>
    <mergeCell ref="E1:G1"/>
    <mergeCell ref="H1:I1"/>
    <mergeCell ref="J1:M1"/>
    <mergeCell ref="N1:O1"/>
    <mergeCell ref="Y1:AB1"/>
    <mergeCell ref="AC1:AF1"/>
    <mergeCell ref="AG1:AJ1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T25"/>
  <sheetViews>
    <sheetView zoomScaleNormal="100" workbookViewId="0">
      <selection activeCell="U9" sqref="U9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customWidth="1"/>
    <col min="5" max="18" width="3.75" customWidth="1"/>
    <col min="19" max="20" width="6.25" customWidth="1"/>
    <col min="21" max="21" width="30.5" customWidth="1"/>
    <col min="22" max="22" width="22.5" bestFit="1" customWidth="1"/>
    <col min="23" max="23" width="23.75" bestFit="1" customWidth="1"/>
    <col min="24" max="24" width="24" bestFit="1" customWidth="1"/>
    <col min="25" max="40" width="3.7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1197" t="s">
        <v>203</v>
      </c>
      <c r="B1" s="1198"/>
      <c r="C1" s="1198"/>
      <c r="D1" s="288"/>
      <c r="E1" s="1199" t="s">
        <v>24</v>
      </c>
      <c r="F1" s="1200"/>
      <c r="G1" s="1201"/>
      <c r="H1" s="1199" t="s">
        <v>23</v>
      </c>
      <c r="I1" s="1201"/>
      <c r="J1" s="1194" t="s">
        <v>6</v>
      </c>
      <c r="K1" s="1195"/>
      <c r="L1" s="1195"/>
      <c r="M1" s="1196"/>
      <c r="N1" s="1194" t="s">
        <v>7</v>
      </c>
      <c r="O1" s="1196"/>
      <c r="P1" s="1194" t="s">
        <v>25</v>
      </c>
      <c r="Q1" s="1195"/>
      <c r="R1" s="1196"/>
      <c r="S1" s="289" t="s">
        <v>8</v>
      </c>
      <c r="T1" s="289" t="s">
        <v>9</v>
      </c>
      <c r="U1" s="290" t="s">
        <v>10</v>
      </c>
      <c r="V1" s="289" t="s">
        <v>11</v>
      </c>
      <c r="W1" s="291" t="s">
        <v>26</v>
      </c>
      <c r="X1" s="292" t="s">
        <v>27</v>
      </c>
      <c r="Y1" s="1202" t="s">
        <v>20</v>
      </c>
      <c r="Z1" s="1044"/>
      <c r="AA1" s="1044"/>
      <c r="AB1" s="1045"/>
      <c r="AC1" s="1202" t="s">
        <v>61</v>
      </c>
      <c r="AD1" s="1044"/>
      <c r="AE1" s="1044"/>
      <c r="AF1" s="1045"/>
      <c r="AG1" s="1202" t="s">
        <v>62</v>
      </c>
      <c r="AH1" s="1044"/>
      <c r="AI1" s="1044"/>
      <c r="AJ1" s="1045"/>
      <c r="AK1" s="1202" t="s">
        <v>63</v>
      </c>
      <c r="AL1" s="1044"/>
      <c r="AM1" s="1044"/>
      <c r="AN1" s="1045"/>
      <c r="AP1" s="892" t="s">
        <v>691</v>
      </c>
      <c r="AQ1" s="868"/>
      <c r="AR1" s="868"/>
      <c r="AS1" s="892" t="s">
        <v>691</v>
      </c>
    </row>
    <row r="2" spans="1:46" ht="14.95" customHeight="1" thickBot="1" x14ac:dyDescent="0.3">
      <c r="A2" s="293" t="s">
        <v>19</v>
      </c>
      <c r="B2" s="294" t="s">
        <v>18</v>
      </c>
      <c r="C2" s="295" t="s">
        <v>17</v>
      </c>
      <c r="D2" s="296" t="s">
        <v>41</v>
      </c>
      <c r="E2" s="296" t="s">
        <v>16</v>
      </c>
      <c r="F2" s="296" t="s">
        <v>4</v>
      </c>
      <c r="G2" s="296" t="s">
        <v>5</v>
      </c>
      <c r="H2" s="297" t="s">
        <v>12</v>
      </c>
      <c r="I2" s="297" t="s">
        <v>3</v>
      </c>
      <c r="J2" s="297" t="s">
        <v>12</v>
      </c>
      <c r="K2" s="297" t="s">
        <v>13</v>
      </c>
      <c r="L2" s="297" t="s">
        <v>2</v>
      </c>
      <c r="M2" s="297" t="s">
        <v>14</v>
      </c>
      <c r="N2" s="297" t="s">
        <v>15</v>
      </c>
      <c r="O2" s="297" t="s">
        <v>16</v>
      </c>
      <c r="P2" s="297" t="s">
        <v>21</v>
      </c>
      <c r="Q2" s="297" t="s">
        <v>22</v>
      </c>
      <c r="R2" s="297" t="s">
        <v>12</v>
      </c>
      <c r="S2" s="298"/>
      <c r="T2" s="299"/>
      <c r="U2" s="300"/>
      <c r="V2" s="298"/>
      <c r="W2" s="301"/>
      <c r="X2" s="302"/>
      <c r="Y2" s="912" t="s">
        <v>0</v>
      </c>
      <c r="Z2" s="912" t="s">
        <v>1</v>
      </c>
      <c r="AA2" s="912" t="s">
        <v>2</v>
      </c>
      <c r="AB2" s="912" t="s">
        <v>3</v>
      </c>
      <c r="AC2" s="912" t="s">
        <v>0</v>
      </c>
      <c r="AD2" s="912" t="s">
        <v>1</v>
      </c>
      <c r="AE2" s="912" t="s">
        <v>2</v>
      </c>
      <c r="AF2" s="912" t="s">
        <v>3</v>
      </c>
      <c r="AG2" s="912" t="s">
        <v>0</v>
      </c>
      <c r="AH2" s="912" t="s">
        <v>1</v>
      </c>
      <c r="AI2" s="912" t="s">
        <v>2</v>
      </c>
      <c r="AJ2" s="912" t="s">
        <v>3</v>
      </c>
      <c r="AK2" s="912" t="s">
        <v>0</v>
      </c>
      <c r="AL2" s="912" t="s">
        <v>1</v>
      </c>
      <c r="AM2" s="912" t="s">
        <v>2</v>
      </c>
      <c r="AN2" s="912" t="s">
        <v>3</v>
      </c>
      <c r="AP2" s="592" t="s">
        <v>112</v>
      </c>
      <c r="AQ2" s="253"/>
      <c r="AS2" s="672" t="s">
        <v>610</v>
      </c>
      <c r="AT2" s="253"/>
    </row>
    <row r="3" spans="1:46" ht="14.95" customHeight="1" thickBot="1" x14ac:dyDescent="0.3">
      <c r="A3" s="195">
        <v>43673</v>
      </c>
      <c r="B3" s="196" t="s">
        <v>147</v>
      </c>
      <c r="C3" s="196" t="s">
        <v>145</v>
      </c>
      <c r="D3" s="196" t="s">
        <v>581</v>
      </c>
      <c r="E3" s="197" t="s">
        <v>1</v>
      </c>
      <c r="F3" s="197">
        <v>25</v>
      </c>
      <c r="G3" s="197">
        <v>17</v>
      </c>
      <c r="H3" s="197">
        <v>0</v>
      </c>
      <c r="I3" s="197">
        <v>0</v>
      </c>
      <c r="J3" s="197">
        <v>3</v>
      </c>
      <c r="K3" s="197">
        <v>2</v>
      </c>
      <c r="L3" s="197">
        <v>0</v>
      </c>
      <c r="M3" s="197">
        <v>2</v>
      </c>
      <c r="N3" s="197">
        <v>0</v>
      </c>
      <c r="O3" s="197">
        <v>0</v>
      </c>
      <c r="P3" s="197">
        <v>0</v>
      </c>
      <c r="Q3" s="197">
        <v>0</v>
      </c>
      <c r="R3" s="197">
        <v>3</v>
      </c>
      <c r="S3" s="209"/>
      <c r="T3" s="481" t="s">
        <v>228</v>
      </c>
      <c r="U3" s="210" t="s">
        <v>730</v>
      </c>
      <c r="V3" s="209" t="s">
        <v>314</v>
      </c>
      <c r="W3" s="209" t="s">
        <v>731</v>
      </c>
      <c r="X3" s="198" t="s">
        <v>732</v>
      </c>
      <c r="Y3" s="212">
        <v>1</v>
      </c>
      <c r="Z3" s="212">
        <v>1</v>
      </c>
      <c r="AA3" s="212">
        <v>0</v>
      </c>
      <c r="AB3" s="213">
        <v>0</v>
      </c>
      <c r="AC3" s="212">
        <v>1</v>
      </c>
      <c r="AD3" s="212">
        <v>1</v>
      </c>
      <c r="AE3" s="212">
        <v>0</v>
      </c>
      <c r="AF3" s="213">
        <v>0</v>
      </c>
      <c r="AG3" s="212">
        <v>0</v>
      </c>
      <c r="AH3" s="212">
        <v>0</v>
      </c>
      <c r="AI3" s="212">
        <v>0</v>
      </c>
      <c r="AJ3" s="213">
        <v>0</v>
      </c>
      <c r="AK3" s="212">
        <v>0</v>
      </c>
      <c r="AL3" s="212">
        <v>0</v>
      </c>
      <c r="AM3" s="212">
        <v>0</v>
      </c>
      <c r="AN3" s="213">
        <v>0</v>
      </c>
      <c r="AP3" s="849" t="s">
        <v>627</v>
      </c>
      <c r="AQ3" s="850">
        <f>Samalltestshistplayed</f>
        <v>243</v>
      </c>
      <c r="AS3" s="849" t="s">
        <v>627</v>
      </c>
      <c r="AT3" s="850">
        <f>SamRWChistplayed</f>
        <v>32</v>
      </c>
    </row>
    <row r="4" spans="1:46" ht="14.95" customHeight="1" thickBot="1" x14ac:dyDescent="0.3">
      <c r="A4" s="188">
        <v>43315</v>
      </c>
      <c r="B4" s="495" t="s">
        <v>147</v>
      </c>
      <c r="C4" s="189" t="s">
        <v>60</v>
      </c>
      <c r="D4" s="189" t="s">
        <v>586</v>
      </c>
      <c r="E4" s="190" t="s">
        <v>3</v>
      </c>
      <c r="F4" s="190">
        <v>10</v>
      </c>
      <c r="G4" s="190">
        <v>13</v>
      </c>
      <c r="H4" s="190">
        <v>0</v>
      </c>
      <c r="I4" s="190">
        <v>1</v>
      </c>
      <c r="J4" s="190">
        <v>1</v>
      </c>
      <c r="K4" s="190">
        <v>1</v>
      </c>
      <c r="L4" s="190">
        <v>0</v>
      </c>
      <c r="M4" s="190">
        <v>1</v>
      </c>
      <c r="N4" s="190">
        <v>0</v>
      </c>
      <c r="O4" s="190">
        <v>0</v>
      </c>
      <c r="P4" s="190">
        <v>0</v>
      </c>
      <c r="Q4" s="190">
        <v>0</v>
      </c>
      <c r="R4" s="190">
        <v>1</v>
      </c>
      <c r="S4" s="203"/>
      <c r="T4" s="406" t="s">
        <v>745</v>
      </c>
      <c r="U4" s="204" t="s">
        <v>219</v>
      </c>
      <c r="V4" s="203" t="s">
        <v>314</v>
      </c>
      <c r="W4" s="191" t="s">
        <v>746</v>
      </c>
      <c r="X4" s="205" t="s">
        <v>732</v>
      </c>
      <c r="Y4" s="206">
        <v>1</v>
      </c>
      <c r="Z4" s="206">
        <v>0</v>
      </c>
      <c r="AA4" s="206">
        <v>0</v>
      </c>
      <c r="AB4" s="207">
        <v>1</v>
      </c>
      <c r="AC4" s="206">
        <v>0</v>
      </c>
      <c r="AD4" s="206">
        <v>0</v>
      </c>
      <c r="AE4" s="206">
        <v>0</v>
      </c>
      <c r="AF4" s="207">
        <v>0</v>
      </c>
      <c r="AG4" s="206">
        <v>0</v>
      </c>
      <c r="AH4" s="206">
        <v>0</v>
      </c>
      <c r="AI4" s="206">
        <v>0</v>
      </c>
      <c r="AJ4" s="207">
        <v>0</v>
      </c>
      <c r="AK4" s="206">
        <v>1</v>
      </c>
      <c r="AL4" s="206">
        <v>0</v>
      </c>
      <c r="AM4" s="206">
        <v>0</v>
      </c>
      <c r="AN4" s="207">
        <v>1</v>
      </c>
      <c r="AP4" s="851" t="s">
        <v>628</v>
      </c>
      <c r="AQ4" s="852">
        <f>Samalltestshistwon</f>
        <v>104</v>
      </c>
      <c r="AS4" s="851" t="s">
        <v>628</v>
      </c>
      <c r="AT4" s="852">
        <f>SamRWChistwon</f>
        <v>13</v>
      </c>
    </row>
    <row r="5" spans="1:46" ht="14.95" customHeight="1" thickBot="1" x14ac:dyDescent="0.35">
      <c r="A5" s="187">
        <v>43687</v>
      </c>
      <c r="B5" s="208" t="s">
        <v>147</v>
      </c>
      <c r="C5" s="178" t="s">
        <v>31</v>
      </c>
      <c r="D5" s="178" t="s">
        <v>586</v>
      </c>
      <c r="E5" s="179" t="s">
        <v>3</v>
      </c>
      <c r="F5" s="179">
        <v>3</v>
      </c>
      <c r="G5" s="179">
        <v>10</v>
      </c>
      <c r="H5" s="179">
        <v>0</v>
      </c>
      <c r="I5" s="179">
        <v>1</v>
      </c>
      <c r="J5" s="179">
        <v>0</v>
      </c>
      <c r="K5" s="179">
        <v>0</v>
      </c>
      <c r="L5" s="179">
        <v>0</v>
      </c>
      <c r="M5" s="179">
        <v>1</v>
      </c>
      <c r="N5" s="179">
        <v>0</v>
      </c>
      <c r="O5" s="179">
        <v>0</v>
      </c>
      <c r="P5" s="179">
        <v>0</v>
      </c>
      <c r="Q5" s="179">
        <v>0</v>
      </c>
      <c r="R5" s="179">
        <v>1</v>
      </c>
      <c r="S5" s="180">
        <v>6500</v>
      </c>
      <c r="T5" s="464" t="s">
        <v>763</v>
      </c>
      <c r="U5" s="181" t="s">
        <v>146</v>
      </c>
      <c r="V5" s="180" t="s">
        <v>314</v>
      </c>
      <c r="W5" s="182" t="s">
        <v>746</v>
      </c>
      <c r="X5" s="183" t="s">
        <v>764</v>
      </c>
      <c r="Y5" s="184">
        <v>1</v>
      </c>
      <c r="Z5" s="184">
        <v>0</v>
      </c>
      <c r="AA5" s="184">
        <v>0</v>
      </c>
      <c r="AB5" s="185">
        <v>1</v>
      </c>
      <c r="AC5" s="184">
        <v>0</v>
      </c>
      <c r="AD5" s="184">
        <v>0</v>
      </c>
      <c r="AE5" s="184">
        <v>0</v>
      </c>
      <c r="AF5" s="185">
        <v>0</v>
      </c>
      <c r="AG5" s="184">
        <v>1</v>
      </c>
      <c r="AH5" s="184">
        <v>0</v>
      </c>
      <c r="AI5" s="184">
        <v>0</v>
      </c>
      <c r="AJ5" s="185">
        <v>1</v>
      </c>
      <c r="AK5" s="184">
        <v>0</v>
      </c>
      <c r="AL5" s="184">
        <v>0</v>
      </c>
      <c r="AM5" s="184">
        <v>0</v>
      </c>
      <c r="AN5" s="185">
        <v>0</v>
      </c>
      <c r="AP5" s="851" t="s">
        <v>634</v>
      </c>
      <c r="AQ5" s="852">
        <f>Samalltestshistdrawn</f>
        <v>9</v>
      </c>
      <c r="AS5" s="851" t="s">
        <v>634</v>
      </c>
      <c r="AT5" s="852">
        <f>SamRWChistdrawn</f>
        <v>0</v>
      </c>
    </row>
    <row r="6" spans="1:46" ht="14.95" customHeight="1" thickBot="1" x14ac:dyDescent="0.3">
      <c r="A6" s="187">
        <v>43715</v>
      </c>
      <c r="B6" s="208" t="s">
        <v>45</v>
      </c>
      <c r="C6" s="178" t="s">
        <v>29</v>
      </c>
      <c r="D6" s="178" t="s">
        <v>608</v>
      </c>
      <c r="E6" s="179" t="s">
        <v>3</v>
      </c>
      <c r="F6" s="179">
        <v>15</v>
      </c>
      <c r="G6" s="179">
        <v>34</v>
      </c>
      <c r="H6" s="179" t="s">
        <v>108</v>
      </c>
      <c r="I6" s="179" t="s">
        <v>108</v>
      </c>
      <c r="J6" s="179">
        <v>2</v>
      </c>
      <c r="K6" s="179">
        <v>1</v>
      </c>
      <c r="L6" s="179">
        <v>0</v>
      </c>
      <c r="M6" s="179">
        <v>1</v>
      </c>
      <c r="N6" s="179">
        <v>0</v>
      </c>
      <c r="O6" s="179">
        <v>0</v>
      </c>
      <c r="P6" s="179" t="s">
        <v>108</v>
      </c>
      <c r="Q6" s="179" t="s">
        <v>108</v>
      </c>
      <c r="R6" s="179">
        <v>6</v>
      </c>
      <c r="S6" s="180">
        <v>16091</v>
      </c>
      <c r="T6" s="223" t="s">
        <v>843</v>
      </c>
      <c r="U6" s="181" t="s">
        <v>273</v>
      </c>
      <c r="V6" s="180" t="s">
        <v>277</v>
      </c>
      <c r="W6" s="182" t="s">
        <v>146</v>
      </c>
      <c r="X6" s="183" t="s">
        <v>735</v>
      </c>
      <c r="Y6" s="184">
        <v>1</v>
      </c>
      <c r="Z6" s="184">
        <v>0</v>
      </c>
      <c r="AA6" s="184">
        <v>0</v>
      </c>
      <c r="AB6" s="185">
        <v>1</v>
      </c>
      <c r="AC6" s="184">
        <v>0</v>
      </c>
      <c r="AD6" s="184">
        <v>0</v>
      </c>
      <c r="AE6" s="184">
        <v>0</v>
      </c>
      <c r="AF6" s="185">
        <v>0</v>
      </c>
      <c r="AG6" s="184">
        <v>1</v>
      </c>
      <c r="AH6" s="184">
        <v>0</v>
      </c>
      <c r="AI6" s="184">
        <v>0</v>
      </c>
      <c r="AJ6" s="185">
        <v>1</v>
      </c>
      <c r="AK6" s="184">
        <v>0</v>
      </c>
      <c r="AL6" s="184">
        <v>0</v>
      </c>
      <c r="AM6" s="184">
        <v>0</v>
      </c>
      <c r="AN6" s="185">
        <v>0</v>
      </c>
      <c r="AP6" s="851" t="s">
        <v>629</v>
      </c>
      <c r="AQ6" s="852">
        <f>Samalltestshistlost</f>
        <v>130</v>
      </c>
      <c r="AS6" s="851" t="s">
        <v>629</v>
      </c>
      <c r="AT6" s="852">
        <f>SamRWChistlost</f>
        <v>19</v>
      </c>
    </row>
    <row r="7" spans="1:46" ht="14.95" customHeight="1" thickBot="1" x14ac:dyDescent="0.3">
      <c r="A7" s="579">
        <v>43732</v>
      </c>
      <c r="B7" s="513" t="s">
        <v>158</v>
      </c>
      <c r="C7" s="513" t="s">
        <v>105</v>
      </c>
      <c r="D7" s="513" t="s">
        <v>603</v>
      </c>
      <c r="E7" s="190" t="s">
        <v>1</v>
      </c>
      <c r="F7" s="190">
        <v>34</v>
      </c>
      <c r="G7" s="190">
        <v>9</v>
      </c>
      <c r="H7" s="190">
        <v>1</v>
      </c>
      <c r="I7" s="190">
        <v>0</v>
      </c>
      <c r="J7" s="190">
        <v>6</v>
      </c>
      <c r="K7" s="190">
        <v>2</v>
      </c>
      <c r="L7" s="190">
        <v>0</v>
      </c>
      <c r="M7" s="190">
        <v>0</v>
      </c>
      <c r="N7" s="190">
        <v>2</v>
      </c>
      <c r="O7" s="190">
        <v>0</v>
      </c>
      <c r="P7" s="190">
        <v>0</v>
      </c>
      <c r="Q7" s="190">
        <v>0</v>
      </c>
      <c r="R7" s="190">
        <v>0</v>
      </c>
      <c r="S7" s="203">
        <v>22564</v>
      </c>
      <c r="T7" s="406" t="s">
        <v>887</v>
      </c>
      <c r="U7" s="204" t="s">
        <v>130</v>
      </c>
      <c r="V7" s="203" t="s">
        <v>232</v>
      </c>
      <c r="W7" s="191" t="s">
        <v>138</v>
      </c>
      <c r="X7" s="205" t="s">
        <v>146</v>
      </c>
      <c r="Y7" s="206">
        <v>1</v>
      </c>
      <c r="Z7" s="206">
        <v>1</v>
      </c>
      <c r="AA7" s="206">
        <v>0</v>
      </c>
      <c r="AB7" s="207">
        <v>0</v>
      </c>
      <c r="AC7" s="206">
        <v>0</v>
      </c>
      <c r="AD7" s="206">
        <v>0</v>
      </c>
      <c r="AE7" s="206">
        <v>0</v>
      </c>
      <c r="AF7" s="207">
        <v>0</v>
      </c>
      <c r="AG7" s="206">
        <v>0</v>
      </c>
      <c r="AH7" s="206">
        <v>0</v>
      </c>
      <c r="AI7" s="206">
        <v>0</v>
      </c>
      <c r="AJ7" s="207">
        <v>0</v>
      </c>
      <c r="AK7" s="206">
        <v>1</v>
      </c>
      <c r="AL7" s="206">
        <v>1</v>
      </c>
      <c r="AM7" s="206">
        <v>0</v>
      </c>
      <c r="AN7" s="207">
        <v>0</v>
      </c>
      <c r="AP7" s="851" t="s">
        <v>635</v>
      </c>
      <c r="AQ7" s="852">
        <f>Samalltestshistptsscored</f>
        <v>4909</v>
      </c>
      <c r="AS7" s="851" t="s">
        <v>635</v>
      </c>
      <c r="AT7" s="852">
        <f>SamRWChistptsscored</f>
        <v>712</v>
      </c>
    </row>
    <row r="8" spans="1:46" ht="14.95" customHeight="1" thickBot="1" x14ac:dyDescent="0.3">
      <c r="A8" s="188">
        <v>43738</v>
      </c>
      <c r="B8" s="483" t="s">
        <v>158</v>
      </c>
      <c r="C8" s="189" t="s">
        <v>35</v>
      </c>
      <c r="D8" s="189" t="s">
        <v>127</v>
      </c>
      <c r="E8" s="190" t="s">
        <v>3</v>
      </c>
      <c r="F8" s="190">
        <v>0</v>
      </c>
      <c r="G8" s="484">
        <v>34</v>
      </c>
      <c r="H8" s="484">
        <v>0</v>
      </c>
      <c r="I8" s="190">
        <v>0</v>
      </c>
      <c r="J8" s="190">
        <v>0</v>
      </c>
      <c r="K8" s="190">
        <v>0</v>
      </c>
      <c r="L8" s="190">
        <v>0</v>
      </c>
      <c r="M8" s="190">
        <v>0</v>
      </c>
      <c r="N8" s="190">
        <v>1</v>
      </c>
      <c r="O8" s="190">
        <v>1</v>
      </c>
      <c r="P8" s="190">
        <v>1</v>
      </c>
      <c r="Q8" s="190">
        <v>0</v>
      </c>
      <c r="R8" s="190">
        <v>4</v>
      </c>
      <c r="S8" s="203">
        <v>27586</v>
      </c>
      <c r="T8" s="406" t="s">
        <v>743</v>
      </c>
      <c r="U8" s="204" t="s">
        <v>211</v>
      </c>
      <c r="V8" s="203" t="s">
        <v>232</v>
      </c>
      <c r="W8" s="191" t="s">
        <v>219</v>
      </c>
      <c r="X8" s="205" t="s">
        <v>134</v>
      </c>
      <c r="Y8" s="206">
        <v>1</v>
      </c>
      <c r="Z8" s="206">
        <v>0</v>
      </c>
      <c r="AA8" s="206">
        <v>0</v>
      </c>
      <c r="AB8" s="207">
        <v>1</v>
      </c>
      <c r="AC8" s="206">
        <v>0</v>
      </c>
      <c r="AD8" s="206">
        <v>0</v>
      </c>
      <c r="AE8" s="206">
        <v>0</v>
      </c>
      <c r="AF8" s="207">
        <v>0</v>
      </c>
      <c r="AG8" s="206">
        <v>0</v>
      </c>
      <c r="AH8" s="206">
        <v>0</v>
      </c>
      <c r="AI8" s="206">
        <v>0</v>
      </c>
      <c r="AJ8" s="207">
        <v>0</v>
      </c>
      <c r="AK8" s="206">
        <v>1</v>
      </c>
      <c r="AL8" s="206">
        <v>0</v>
      </c>
      <c r="AM8" s="206">
        <v>0</v>
      </c>
      <c r="AN8" s="207">
        <v>1</v>
      </c>
      <c r="AP8" s="851" t="s">
        <v>636</v>
      </c>
      <c r="AQ8" s="852">
        <f>Samalltestshistptscon</f>
        <v>5447</v>
      </c>
      <c r="AS8" s="851" t="s">
        <v>636</v>
      </c>
      <c r="AT8" s="852">
        <f>SamRWChistptscon</f>
        <v>860</v>
      </c>
    </row>
    <row r="9" spans="1:46" ht="14.95" customHeight="1" thickBot="1" x14ac:dyDescent="0.3">
      <c r="A9" s="187">
        <v>43743</v>
      </c>
      <c r="B9" s="192" t="s">
        <v>158</v>
      </c>
      <c r="C9" s="178" t="s">
        <v>36</v>
      </c>
      <c r="D9" s="178" t="s">
        <v>128</v>
      </c>
      <c r="E9" s="179" t="s">
        <v>3</v>
      </c>
      <c r="F9" s="179">
        <v>19</v>
      </c>
      <c r="G9" s="193">
        <v>38</v>
      </c>
      <c r="H9" s="193">
        <v>0</v>
      </c>
      <c r="I9" s="179">
        <v>0</v>
      </c>
      <c r="J9" s="179">
        <v>1</v>
      </c>
      <c r="K9" s="179">
        <v>1</v>
      </c>
      <c r="L9" s="179">
        <v>0</v>
      </c>
      <c r="M9" s="179">
        <v>4</v>
      </c>
      <c r="N9" s="179">
        <v>1</v>
      </c>
      <c r="O9" s="179">
        <v>0</v>
      </c>
      <c r="P9" s="179">
        <v>1</v>
      </c>
      <c r="Q9" s="179">
        <v>0</v>
      </c>
      <c r="R9" s="179">
        <v>4</v>
      </c>
      <c r="S9" s="180">
        <v>39695</v>
      </c>
      <c r="T9" s="223" t="s">
        <v>933</v>
      </c>
      <c r="U9" s="181" t="s">
        <v>229</v>
      </c>
      <c r="V9" s="180" t="s">
        <v>232</v>
      </c>
      <c r="W9" s="182" t="s">
        <v>278</v>
      </c>
      <c r="X9" s="183" t="s">
        <v>134</v>
      </c>
      <c r="Y9" s="184">
        <v>1</v>
      </c>
      <c r="Z9" s="184">
        <v>0</v>
      </c>
      <c r="AA9" s="184">
        <v>0</v>
      </c>
      <c r="AB9" s="185">
        <v>1</v>
      </c>
      <c r="AC9" s="184">
        <v>0</v>
      </c>
      <c r="AD9" s="184">
        <v>0</v>
      </c>
      <c r="AE9" s="184">
        <v>0</v>
      </c>
      <c r="AF9" s="185">
        <v>0</v>
      </c>
      <c r="AG9" s="184">
        <v>1</v>
      </c>
      <c r="AH9" s="184">
        <v>0</v>
      </c>
      <c r="AI9" s="184">
        <v>0</v>
      </c>
      <c r="AJ9" s="185">
        <v>1</v>
      </c>
      <c r="AK9" s="184">
        <v>0</v>
      </c>
      <c r="AL9" s="184">
        <v>0</v>
      </c>
      <c r="AM9" s="184">
        <v>0</v>
      </c>
      <c r="AN9" s="185">
        <v>0</v>
      </c>
      <c r="AP9" s="851" t="s">
        <v>623</v>
      </c>
      <c r="AQ9" s="852">
        <f>SamalltestshistTRIESSCORED</f>
        <v>522</v>
      </c>
      <c r="AS9" s="851" t="s">
        <v>623</v>
      </c>
      <c r="AT9" s="852">
        <f>SamRWChisttriesscored</f>
        <v>83</v>
      </c>
    </row>
    <row r="10" spans="1:46" ht="14.95" customHeight="1" thickBot="1" x14ac:dyDescent="0.3">
      <c r="A10" s="188">
        <v>43750</v>
      </c>
      <c r="B10" s="483" t="s">
        <v>158</v>
      </c>
      <c r="C10" s="189" t="s">
        <v>39</v>
      </c>
      <c r="D10" s="189" t="s">
        <v>168</v>
      </c>
      <c r="E10" s="190" t="s">
        <v>3</v>
      </c>
      <c r="F10" s="190">
        <v>5</v>
      </c>
      <c r="G10" s="484">
        <v>47</v>
      </c>
      <c r="H10" s="484">
        <v>0</v>
      </c>
      <c r="I10" s="190">
        <v>0</v>
      </c>
      <c r="J10" s="190">
        <v>1</v>
      </c>
      <c r="K10" s="190">
        <v>0</v>
      </c>
      <c r="L10" s="190">
        <v>0</v>
      </c>
      <c r="M10" s="190">
        <v>0</v>
      </c>
      <c r="N10" s="190">
        <v>2</v>
      </c>
      <c r="O10" s="190">
        <v>0</v>
      </c>
      <c r="P10" s="190">
        <v>1</v>
      </c>
      <c r="Q10" s="190">
        <v>0</v>
      </c>
      <c r="R10" s="190">
        <v>7</v>
      </c>
      <c r="S10" s="191">
        <v>17967</v>
      </c>
      <c r="T10" s="926" t="s">
        <v>963</v>
      </c>
      <c r="U10" s="191" t="s">
        <v>227</v>
      </c>
      <c r="V10" s="191" t="s">
        <v>131</v>
      </c>
      <c r="W10" s="191" t="s">
        <v>130</v>
      </c>
      <c r="X10" s="205" t="s">
        <v>146</v>
      </c>
      <c r="Y10" s="206">
        <v>1</v>
      </c>
      <c r="Z10" s="206">
        <v>0</v>
      </c>
      <c r="AA10" s="206">
        <v>0</v>
      </c>
      <c r="AB10" s="207">
        <v>1</v>
      </c>
      <c r="AC10" s="206">
        <v>0</v>
      </c>
      <c r="AD10" s="206">
        <v>0</v>
      </c>
      <c r="AE10" s="206">
        <v>0</v>
      </c>
      <c r="AF10" s="207">
        <v>0</v>
      </c>
      <c r="AG10" s="206">
        <v>0</v>
      </c>
      <c r="AH10" s="206">
        <v>0</v>
      </c>
      <c r="AI10" s="206">
        <v>0</v>
      </c>
      <c r="AJ10" s="207">
        <v>0</v>
      </c>
      <c r="AK10" s="206">
        <v>1</v>
      </c>
      <c r="AL10" s="206">
        <v>0</v>
      </c>
      <c r="AM10" s="206">
        <v>0</v>
      </c>
      <c r="AN10" s="207">
        <v>1</v>
      </c>
    </row>
    <row r="11" spans="1:46" ht="15.8" customHeight="1" thickBot="1" x14ac:dyDescent="0.3">
      <c r="A11" s="438"/>
      <c r="B11" s="439"/>
      <c r="C11" s="1072" t="s">
        <v>642</v>
      </c>
      <c r="D11" s="1073"/>
      <c r="E11" s="1074"/>
      <c r="F11" s="888">
        <f t="shared" ref="F11:R11" si="0">SUM(F3:F5)</f>
        <v>38</v>
      </c>
      <c r="G11" s="888">
        <f t="shared" si="0"/>
        <v>40</v>
      </c>
      <c r="H11" s="888">
        <f t="shared" si="0"/>
        <v>0</v>
      </c>
      <c r="I11" s="888">
        <f t="shared" si="0"/>
        <v>2</v>
      </c>
      <c r="J11" s="888">
        <f t="shared" si="0"/>
        <v>4</v>
      </c>
      <c r="K11" s="888">
        <f t="shared" si="0"/>
        <v>3</v>
      </c>
      <c r="L11" s="888">
        <f t="shared" si="0"/>
        <v>0</v>
      </c>
      <c r="M11" s="888">
        <f t="shared" si="0"/>
        <v>4</v>
      </c>
      <c r="N11" s="888">
        <f t="shared" si="0"/>
        <v>0</v>
      </c>
      <c r="O11" s="888">
        <f t="shared" si="0"/>
        <v>0</v>
      </c>
      <c r="P11" s="888">
        <f t="shared" si="0"/>
        <v>0</v>
      </c>
      <c r="Q11" s="888">
        <f t="shared" si="0"/>
        <v>0</v>
      </c>
      <c r="R11" s="888">
        <f t="shared" si="0"/>
        <v>5</v>
      </c>
      <c r="S11" s="441"/>
      <c r="T11" s="441"/>
      <c r="U11" s="441"/>
      <c r="V11" s="441"/>
      <c r="W11" s="442"/>
      <c r="X11" s="460" t="s">
        <v>642</v>
      </c>
      <c r="Y11" s="888">
        <f t="shared" ref="Y11:AN11" si="1">SUM(Y3:Y5)</f>
        <v>3</v>
      </c>
      <c r="Z11" s="888">
        <f t="shared" si="1"/>
        <v>1</v>
      </c>
      <c r="AA11" s="888">
        <f t="shared" si="1"/>
        <v>0</v>
      </c>
      <c r="AB11" s="888">
        <f t="shared" si="1"/>
        <v>2</v>
      </c>
      <c r="AC11" s="889">
        <f t="shared" si="1"/>
        <v>1</v>
      </c>
      <c r="AD11" s="889">
        <f t="shared" si="1"/>
        <v>1</v>
      </c>
      <c r="AE11" s="889">
        <f t="shared" si="1"/>
        <v>0</v>
      </c>
      <c r="AF11" s="889">
        <f t="shared" si="1"/>
        <v>0</v>
      </c>
      <c r="AG11" s="890">
        <f t="shared" si="1"/>
        <v>1</v>
      </c>
      <c r="AH11" s="890">
        <f t="shared" si="1"/>
        <v>0</v>
      </c>
      <c r="AI11" s="890">
        <f t="shared" si="1"/>
        <v>0</v>
      </c>
      <c r="AJ11" s="890">
        <f t="shared" si="1"/>
        <v>1</v>
      </c>
      <c r="AK11" s="891">
        <f t="shared" si="1"/>
        <v>1</v>
      </c>
      <c r="AL11" s="891">
        <f t="shared" si="1"/>
        <v>0</v>
      </c>
      <c r="AM11" s="891">
        <f t="shared" si="1"/>
        <v>0</v>
      </c>
      <c r="AN11" s="891">
        <f t="shared" si="1"/>
        <v>1</v>
      </c>
    </row>
    <row r="12" spans="1:46" ht="14.95" thickBot="1" x14ac:dyDescent="0.3">
      <c r="A12" s="438"/>
      <c r="B12" s="439"/>
      <c r="C12" s="1037" t="s">
        <v>163</v>
      </c>
      <c r="D12" s="1038"/>
      <c r="E12" s="1039"/>
      <c r="F12" s="446">
        <f>SUM(F6)</f>
        <v>15</v>
      </c>
      <c r="G12" s="446">
        <f>SUM(G6)</f>
        <v>34</v>
      </c>
      <c r="H12" s="446" t="s">
        <v>108</v>
      </c>
      <c r="I12" s="446" t="s">
        <v>108</v>
      </c>
      <c r="J12" s="446">
        <f t="shared" ref="J12:O12" si="2">SUM(J6)</f>
        <v>2</v>
      </c>
      <c r="K12" s="446">
        <f t="shared" si="2"/>
        <v>1</v>
      </c>
      <c r="L12" s="446">
        <f t="shared" si="2"/>
        <v>0</v>
      </c>
      <c r="M12" s="446">
        <f t="shared" si="2"/>
        <v>1</v>
      </c>
      <c r="N12" s="446">
        <f t="shared" si="2"/>
        <v>0</v>
      </c>
      <c r="O12" s="446">
        <f t="shared" si="2"/>
        <v>0</v>
      </c>
      <c r="P12" s="446" t="s">
        <v>108</v>
      </c>
      <c r="Q12" s="446" t="s">
        <v>108</v>
      </c>
      <c r="R12" s="446">
        <f>SUM(R6)</f>
        <v>6</v>
      </c>
      <c r="S12" s="447"/>
      <c r="T12" s="447"/>
      <c r="U12" s="447"/>
      <c r="V12" s="447"/>
      <c r="W12" s="448"/>
      <c r="X12" s="623" t="s">
        <v>163</v>
      </c>
      <c r="Y12" s="638">
        <f t="shared" ref="Y12:AN12" si="3">SUM(Y6)</f>
        <v>1</v>
      </c>
      <c r="Z12" s="639">
        <f t="shared" si="3"/>
        <v>0</v>
      </c>
      <c r="AA12" s="446">
        <f t="shared" si="3"/>
        <v>0</v>
      </c>
      <c r="AB12" s="446">
        <f t="shared" si="3"/>
        <v>1</v>
      </c>
      <c r="AC12" s="450">
        <f t="shared" si="3"/>
        <v>0</v>
      </c>
      <c r="AD12" s="450">
        <f t="shared" si="3"/>
        <v>0</v>
      </c>
      <c r="AE12" s="450">
        <f t="shared" si="3"/>
        <v>0</v>
      </c>
      <c r="AF12" s="450">
        <f t="shared" si="3"/>
        <v>0</v>
      </c>
      <c r="AG12" s="451">
        <f t="shared" si="3"/>
        <v>1</v>
      </c>
      <c r="AH12" s="451">
        <f t="shared" si="3"/>
        <v>0</v>
      </c>
      <c r="AI12" s="451">
        <f t="shared" si="3"/>
        <v>0</v>
      </c>
      <c r="AJ12" s="451">
        <f t="shared" si="3"/>
        <v>1</v>
      </c>
      <c r="AK12" s="452">
        <f t="shared" si="3"/>
        <v>0</v>
      </c>
      <c r="AL12" s="452">
        <f t="shared" si="3"/>
        <v>0</v>
      </c>
      <c r="AM12" s="452">
        <f t="shared" si="3"/>
        <v>0</v>
      </c>
      <c r="AN12" s="452">
        <f t="shared" si="3"/>
        <v>0</v>
      </c>
    </row>
    <row r="13" spans="1:46" ht="15.8" customHeight="1" thickBot="1" x14ac:dyDescent="0.3">
      <c r="A13" s="438"/>
      <c r="B13" s="439"/>
      <c r="C13" s="1040" t="s">
        <v>611</v>
      </c>
      <c r="D13" s="1041"/>
      <c r="E13" s="1042"/>
      <c r="F13" s="685">
        <f t="shared" ref="F13:R13" si="4">SUM(F7:F10)</f>
        <v>58</v>
      </c>
      <c r="G13" s="685">
        <f t="shared" si="4"/>
        <v>128</v>
      </c>
      <c r="H13" s="685">
        <f t="shared" si="4"/>
        <v>1</v>
      </c>
      <c r="I13" s="685">
        <f t="shared" si="4"/>
        <v>0</v>
      </c>
      <c r="J13" s="685">
        <f t="shared" si="4"/>
        <v>8</v>
      </c>
      <c r="K13" s="685">
        <f t="shared" si="4"/>
        <v>3</v>
      </c>
      <c r="L13" s="685">
        <f t="shared" si="4"/>
        <v>0</v>
      </c>
      <c r="M13" s="685">
        <f t="shared" si="4"/>
        <v>4</v>
      </c>
      <c r="N13" s="685">
        <f t="shared" si="4"/>
        <v>6</v>
      </c>
      <c r="O13" s="685">
        <f t="shared" si="4"/>
        <v>1</v>
      </c>
      <c r="P13" s="685">
        <f t="shared" si="4"/>
        <v>3</v>
      </c>
      <c r="Q13" s="685">
        <f t="shared" si="4"/>
        <v>0</v>
      </c>
      <c r="R13" s="685">
        <f t="shared" si="4"/>
        <v>15</v>
      </c>
      <c r="S13" s="686"/>
      <c r="T13" s="686"/>
      <c r="U13" s="686"/>
      <c r="V13" s="686"/>
      <c r="W13" s="687"/>
      <c r="X13" s="688" t="s">
        <v>611</v>
      </c>
      <c r="Y13" s="689">
        <f t="shared" ref="Y13:AN13" si="5">SUM(Y7:Y10)</f>
        <v>4</v>
      </c>
      <c r="Z13" s="690">
        <f t="shared" si="5"/>
        <v>1</v>
      </c>
      <c r="AA13" s="685">
        <f t="shared" si="5"/>
        <v>0</v>
      </c>
      <c r="AB13" s="685">
        <f t="shared" si="5"/>
        <v>3</v>
      </c>
      <c r="AC13" s="691">
        <f t="shared" si="5"/>
        <v>0</v>
      </c>
      <c r="AD13" s="691">
        <f t="shared" si="5"/>
        <v>0</v>
      </c>
      <c r="AE13" s="691">
        <f t="shared" si="5"/>
        <v>0</v>
      </c>
      <c r="AF13" s="691">
        <f t="shared" si="5"/>
        <v>0</v>
      </c>
      <c r="AG13" s="692">
        <f t="shared" si="5"/>
        <v>1</v>
      </c>
      <c r="AH13" s="692">
        <f t="shared" si="5"/>
        <v>0</v>
      </c>
      <c r="AI13" s="692">
        <f t="shared" si="5"/>
        <v>0</v>
      </c>
      <c r="AJ13" s="692">
        <f t="shared" si="5"/>
        <v>1</v>
      </c>
      <c r="AK13" s="693">
        <f t="shared" si="5"/>
        <v>3</v>
      </c>
      <c r="AL13" s="693">
        <f t="shared" si="5"/>
        <v>1</v>
      </c>
      <c r="AM13" s="693">
        <f t="shared" si="5"/>
        <v>0</v>
      </c>
      <c r="AN13" s="693">
        <f t="shared" si="5"/>
        <v>2</v>
      </c>
    </row>
    <row r="14" spans="1:46" ht="15.8" customHeight="1" thickBot="1" x14ac:dyDescent="0.3">
      <c r="A14" s="438"/>
      <c r="B14" s="439"/>
      <c r="C14" s="1040" t="s">
        <v>612</v>
      </c>
      <c r="D14" s="1041"/>
      <c r="E14" s="1042"/>
      <c r="F14" s="694" t="s">
        <v>108</v>
      </c>
      <c r="G14" s="685" t="s">
        <v>108</v>
      </c>
      <c r="H14" s="685" t="s">
        <v>108</v>
      </c>
      <c r="I14" s="685" t="s">
        <v>108</v>
      </c>
      <c r="J14" s="685" t="s">
        <v>108</v>
      </c>
      <c r="K14" s="685" t="s">
        <v>108</v>
      </c>
      <c r="L14" s="685" t="s">
        <v>108</v>
      </c>
      <c r="M14" s="685" t="s">
        <v>108</v>
      </c>
      <c r="N14" s="685" t="s">
        <v>108</v>
      </c>
      <c r="O14" s="685" t="s">
        <v>108</v>
      </c>
      <c r="P14" s="685" t="s">
        <v>108</v>
      </c>
      <c r="Q14" s="685" t="s">
        <v>108</v>
      </c>
      <c r="R14" s="685" t="s">
        <v>108</v>
      </c>
      <c r="S14" s="686"/>
      <c r="T14" s="686"/>
      <c r="U14" s="686"/>
      <c r="V14" s="686"/>
      <c r="W14" s="687"/>
      <c r="X14" s="688" t="s">
        <v>612</v>
      </c>
      <c r="Y14" s="689" t="s">
        <v>108</v>
      </c>
      <c r="Z14" s="690" t="s">
        <v>108</v>
      </c>
      <c r="AA14" s="685" t="s">
        <v>108</v>
      </c>
      <c r="AB14" s="685" t="s">
        <v>108</v>
      </c>
      <c r="AC14" s="691" t="s">
        <v>108</v>
      </c>
      <c r="AD14" s="691" t="s">
        <v>108</v>
      </c>
      <c r="AE14" s="691" t="s">
        <v>108</v>
      </c>
      <c r="AF14" s="691" t="s">
        <v>108</v>
      </c>
      <c r="AG14" s="692" t="s">
        <v>108</v>
      </c>
      <c r="AH14" s="692" t="s">
        <v>108</v>
      </c>
      <c r="AI14" s="692" t="s">
        <v>108</v>
      </c>
      <c r="AJ14" s="692" t="s">
        <v>108</v>
      </c>
      <c r="AK14" s="693" t="s">
        <v>108</v>
      </c>
      <c r="AL14" s="693" t="s">
        <v>108</v>
      </c>
      <c r="AM14" s="693" t="s">
        <v>108</v>
      </c>
      <c r="AN14" s="693" t="s">
        <v>108</v>
      </c>
    </row>
    <row r="15" spans="1:46" ht="15.8" customHeight="1" thickBot="1" x14ac:dyDescent="0.3">
      <c r="A15" s="438"/>
      <c r="B15" s="439"/>
      <c r="C15" s="1040" t="s">
        <v>613</v>
      </c>
      <c r="D15" s="1041"/>
      <c r="E15" s="1042"/>
      <c r="F15" s="685">
        <f>SUM(F13:F14)</f>
        <v>58</v>
      </c>
      <c r="G15" s="685">
        <f t="shared" ref="G15:R15" si="6">SUM(G13:G14)</f>
        <v>128</v>
      </c>
      <c r="H15" s="685">
        <f t="shared" si="6"/>
        <v>1</v>
      </c>
      <c r="I15" s="685">
        <f t="shared" si="6"/>
        <v>0</v>
      </c>
      <c r="J15" s="685">
        <f t="shared" si="6"/>
        <v>8</v>
      </c>
      <c r="K15" s="685">
        <f t="shared" si="6"/>
        <v>3</v>
      </c>
      <c r="L15" s="685">
        <f t="shared" si="6"/>
        <v>0</v>
      </c>
      <c r="M15" s="685">
        <f t="shared" si="6"/>
        <v>4</v>
      </c>
      <c r="N15" s="685">
        <f t="shared" si="6"/>
        <v>6</v>
      </c>
      <c r="O15" s="685">
        <f t="shared" si="6"/>
        <v>1</v>
      </c>
      <c r="P15" s="685">
        <f t="shared" si="6"/>
        <v>3</v>
      </c>
      <c r="Q15" s="685">
        <f t="shared" si="6"/>
        <v>0</v>
      </c>
      <c r="R15" s="685">
        <f t="shared" si="6"/>
        <v>15</v>
      </c>
      <c r="S15" s="686"/>
      <c r="T15" s="686"/>
      <c r="U15" s="686"/>
      <c r="V15" s="686"/>
      <c r="W15" s="687"/>
      <c r="X15" s="688" t="s">
        <v>613</v>
      </c>
      <c r="Y15" s="689">
        <f t="shared" ref="Y15:AN15" si="7">SUM(Y13:Y14)</f>
        <v>4</v>
      </c>
      <c r="Z15" s="690">
        <f t="shared" si="7"/>
        <v>1</v>
      </c>
      <c r="AA15" s="685">
        <f t="shared" si="7"/>
        <v>0</v>
      </c>
      <c r="AB15" s="685">
        <f t="shared" si="7"/>
        <v>3</v>
      </c>
      <c r="AC15" s="691">
        <f t="shared" si="7"/>
        <v>0</v>
      </c>
      <c r="AD15" s="691">
        <f t="shared" si="7"/>
        <v>0</v>
      </c>
      <c r="AE15" s="691">
        <f t="shared" si="7"/>
        <v>0</v>
      </c>
      <c r="AF15" s="691">
        <f t="shared" si="7"/>
        <v>0</v>
      </c>
      <c r="AG15" s="692">
        <f t="shared" si="7"/>
        <v>1</v>
      </c>
      <c r="AH15" s="692">
        <f t="shared" si="7"/>
        <v>0</v>
      </c>
      <c r="AI15" s="692">
        <f t="shared" si="7"/>
        <v>0</v>
      </c>
      <c r="AJ15" s="692">
        <f t="shared" si="7"/>
        <v>1</v>
      </c>
      <c r="AK15" s="693">
        <f t="shared" si="7"/>
        <v>3</v>
      </c>
      <c r="AL15" s="693">
        <f t="shared" si="7"/>
        <v>1</v>
      </c>
      <c r="AM15" s="693">
        <f t="shared" si="7"/>
        <v>0</v>
      </c>
      <c r="AN15" s="693">
        <f t="shared" si="7"/>
        <v>2</v>
      </c>
    </row>
    <row r="16" spans="1:46" ht="14.95" thickBot="1" x14ac:dyDescent="0.3">
      <c r="A16" s="438"/>
      <c r="B16" s="439"/>
      <c r="C16" s="1034" t="s">
        <v>112</v>
      </c>
      <c r="D16" s="1035"/>
      <c r="E16" s="1036"/>
      <c r="F16" s="453">
        <f t="shared" ref="F16:R16" si="8">SUM(F3:F10)</f>
        <v>111</v>
      </c>
      <c r="G16" s="453">
        <f t="shared" si="8"/>
        <v>202</v>
      </c>
      <c r="H16" s="453">
        <f t="shared" si="8"/>
        <v>1</v>
      </c>
      <c r="I16" s="453">
        <f t="shared" si="8"/>
        <v>2</v>
      </c>
      <c r="J16" s="453">
        <f t="shared" si="8"/>
        <v>14</v>
      </c>
      <c r="K16" s="453">
        <f t="shared" si="8"/>
        <v>7</v>
      </c>
      <c r="L16" s="453">
        <f t="shared" si="8"/>
        <v>0</v>
      </c>
      <c r="M16" s="453">
        <f t="shared" si="8"/>
        <v>9</v>
      </c>
      <c r="N16" s="453">
        <f t="shared" si="8"/>
        <v>6</v>
      </c>
      <c r="O16" s="453">
        <f t="shared" si="8"/>
        <v>1</v>
      </c>
      <c r="P16" s="453">
        <f t="shared" si="8"/>
        <v>3</v>
      </c>
      <c r="Q16" s="453">
        <f t="shared" si="8"/>
        <v>0</v>
      </c>
      <c r="R16" s="453">
        <f t="shared" si="8"/>
        <v>26</v>
      </c>
      <c r="S16" s="454"/>
      <c r="T16" s="454"/>
      <c r="U16" s="454"/>
      <c r="V16" s="454"/>
      <c r="W16" s="455"/>
      <c r="X16" s="462" t="s">
        <v>112</v>
      </c>
      <c r="Y16" s="453">
        <f t="shared" ref="Y16:AN16" si="9">SUM(Y3:Y10)</f>
        <v>8</v>
      </c>
      <c r="Z16" s="453">
        <f t="shared" si="9"/>
        <v>2</v>
      </c>
      <c r="AA16" s="453">
        <f t="shared" si="9"/>
        <v>0</v>
      </c>
      <c r="AB16" s="453">
        <f t="shared" si="9"/>
        <v>6</v>
      </c>
      <c r="AC16" s="456">
        <f t="shared" si="9"/>
        <v>1</v>
      </c>
      <c r="AD16" s="456">
        <f t="shared" si="9"/>
        <v>1</v>
      </c>
      <c r="AE16" s="456">
        <f t="shared" si="9"/>
        <v>0</v>
      </c>
      <c r="AF16" s="456">
        <f t="shared" si="9"/>
        <v>0</v>
      </c>
      <c r="AG16" s="457">
        <f t="shared" si="9"/>
        <v>3</v>
      </c>
      <c r="AH16" s="457">
        <f t="shared" si="9"/>
        <v>0</v>
      </c>
      <c r="AI16" s="457">
        <f t="shared" si="9"/>
        <v>0</v>
      </c>
      <c r="AJ16" s="457">
        <f t="shared" si="9"/>
        <v>3</v>
      </c>
      <c r="AK16" s="458">
        <f t="shared" si="9"/>
        <v>4</v>
      </c>
      <c r="AL16" s="458">
        <f t="shared" si="9"/>
        <v>1</v>
      </c>
      <c r="AM16" s="458">
        <f t="shared" si="9"/>
        <v>0</v>
      </c>
      <c r="AN16" s="458">
        <f t="shared" si="9"/>
        <v>3</v>
      </c>
    </row>
    <row r="17" spans="1:40" x14ac:dyDescent="0.25">
      <c r="A17" s="1067" t="s">
        <v>688</v>
      </c>
      <c r="B17" s="988"/>
      <c r="C17" s="988"/>
      <c r="D17" s="988"/>
      <c r="E17" s="988"/>
      <c r="F17" s="988"/>
      <c r="G17" s="988"/>
      <c r="H17" s="988"/>
      <c r="I17" s="988"/>
      <c r="J17" s="988"/>
      <c r="K17" s="988"/>
      <c r="L17" s="988"/>
      <c r="M17" s="988"/>
      <c r="N17" s="988"/>
      <c r="O17" s="988"/>
      <c r="P17" s="988"/>
      <c r="Q17" s="988"/>
      <c r="R17" s="988"/>
      <c r="S17" s="988"/>
      <c r="T17" s="988"/>
      <c r="U17" s="988"/>
      <c r="V17" s="988"/>
      <c r="W17" s="988"/>
      <c r="X17" s="988"/>
      <c r="Y17" s="988"/>
      <c r="Z17" s="988"/>
      <c r="AA17" s="988"/>
      <c r="AB17" s="988"/>
      <c r="AC17" s="988"/>
      <c r="AD17" s="988"/>
      <c r="AE17" s="988"/>
      <c r="AF17" s="988"/>
      <c r="AG17" s="988"/>
      <c r="AH17" s="988"/>
      <c r="AI17" s="988"/>
      <c r="AJ17" s="988"/>
      <c r="AK17" s="988"/>
      <c r="AL17" s="988"/>
      <c r="AM17" s="988"/>
      <c r="AN17" s="988"/>
    </row>
    <row r="18" spans="1:40" x14ac:dyDescent="0.25">
      <c r="A18" s="899" t="s">
        <v>710</v>
      </c>
      <c r="F18" s="14"/>
      <c r="G18" s="14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40" x14ac:dyDescent="0.25">
      <c r="A19" s="884" t="s">
        <v>689</v>
      </c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40" x14ac:dyDescent="0.25">
      <c r="A20" s="884" t="s">
        <v>690</v>
      </c>
      <c r="F20" s="14"/>
      <c r="G20" s="14"/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40" x14ac:dyDescent="0.25">
      <c r="A21" s="884" t="s">
        <v>681</v>
      </c>
      <c r="F21" s="14"/>
      <c r="G21" s="14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40" x14ac:dyDescent="0.25">
      <c r="A22" s="159"/>
      <c r="B22" t="s">
        <v>44</v>
      </c>
    </row>
    <row r="23" spans="1:40" x14ac:dyDescent="0.25">
      <c r="A23" s="157"/>
      <c r="B23" t="s">
        <v>42</v>
      </c>
    </row>
    <row r="24" spans="1:40" x14ac:dyDescent="0.25">
      <c r="A24" s="158"/>
      <c r="B24" t="s">
        <v>43</v>
      </c>
    </row>
    <row r="25" spans="1:40" x14ac:dyDescent="0.25">
      <c r="A25" s="15" t="s">
        <v>28</v>
      </c>
    </row>
  </sheetData>
  <mergeCells count="17">
    <mergeCell ref="AK1:AN1"/>
    <mergeCell ref="A17:AN17"/>
    <mergeCell ref="C11:E11"/>
    <mergeCell ref="C12:E12"/>
    <mergeCell ref="C16:E16"/>
    <mergeCell ref="P1:R1"/>
    <mergeCell ref="A1:C1"/>
    <mergeCell ref="E1:G1"/>
    <mergeCell ref="H1:I1"/>
    <mergeCell ref="J1:M1"/>
    <mergeCell ref="N1:O1"/>
    <mergeCell ref="C13:E13"/>
    <mergeCell ref="C14:E14"/>
    <mergeCell ref="C15:E15"/>
    <mergeCell ref="Y1:AB1"/>
    <mergeCell ref="AC1:AF1"/>
    <mergeCell ref="AG1:AJ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T30"/>
  <sheetViews>
    <sheetView workbookViewId="0">
      <selection activeCell="U20" sqref="U20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75" customWidth="1"/>
    <col min="19" max="20" width="6.25" customWidth="1"/>
    <col min="21" max="21" width="19.125" customWidth="1"/>
    <col min="22" max="22" width="20.5" customWidth="1"/>
    <col min="23" max="23" width="21.5" bestFit="1" customWidth="1"/>
    <col min="24" max="24" width="21.75" bestFit="1" customWidth="1"/>
    <col min="25" max="40" width="3.7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1203" t="s">
        <v>183</v>
      </c>
      <c r="B1" s="1204"/>
      <c r="C1" s="1204"/>
      <c r="D1" s="162"/>
      <c r="E1" s="1205" t="s">
        <v>24</v>
      </c>
      <c r="F1" s="1206"/>
      <c r="G1" s="1207"/>
      <c r="H1" s="1205" t="s">
        <v>23</v>
      </c>
      <c r="I1" s="1207"/>
      <c r="J1" s="1209" t="s">
        <v>6</v>
      </c>
      <c r="K1" s="1210"/>
      <c r="L1" s="1210"/>
      <c r="M1" s="1211"/>
      <c r="N1" s="1209" t="s">
        <v>7</v>
      </c>
      <c r="O1" s="1211"/>
      <c r="P1" s="1209" t="s">
        <v>25</v>
      </c>
      <c r="Q1" s="1210"/>
      <c r="R1" s="1211"/>
      <c r="S1" s="118" t="s">
        <v>8</v>
      </c>
      <c r="T1" s="118" t="s">
        <v>9</v>
      </c>
      <c r="U1" s="119" t="s">
        <v>10</v>
      </c>
      <c r="V1" s="118" t="s">
        <v>11</v>
      </c>
      <c r="W1" s="120" t="s">
        <v>26</v>
      </c>
      <c r="X1" s="121" t="s">
        <v>27</v>
      </c>
      <c r="Y1" s="1208" t="s">
        <v>20</v>
      </c>
      <c r="Z1" s="1044"/>
      <c r="AA1" s="1044"/>
      <c r="AB1" s="1045"/>
      <c r="AC1" s="1208" t="s">
        <v>61</v>
      </c>
      <c r="AD1" s="1044"/>
      <c r="AE1" s="1044"/>
      <c r="AF1" s="1045"/>
      <c r="AG1" s="1208" t="s">
        <v>62</v>
      </c>
      <c r="AH1" s="1044"/>
      <c r="AI1" s="1044"/>
      <c r="AJ1" s="1045"/>
      <c r="AK1" s="1208" t="s">
        <v>63</v>
      </c>
      <c r="AL1" s="1044"/>
      <c r="AM1" s="1044"/>
      <c r="AN1" s="1045"/>
      <c r="AP1" s="893" t="s">
        <v>696</v>
      </c>
      <c r="AQ1" s="868"/>
      <c r="AR1" s="868"/>
      <c r="AS1" s="893" t="s">
        <v>696</v>
      </c>
    </row>
    <row r="2" spans="1:46" ht="14.95" customHeight="1" thickBot="1" x14ac:dyDescent="0.3">
      <c r="A2" s="122" t="s">
        <v>19</v>
      </c>
      <c r="B2" s="123" t="s">
        <v>18</v>
      </c>
      <c r="C2" s="124" t="s">
        <v>17</v>
      </c>
      <c r="D2" s="125" t="s">
        <v>41</v>
      </c>
      <c r="E2" s="125" t="s">
        <v>16</v>
      </c>
      <c r="F2" s="125" t="s">
        <v>4</v>
      </c>
      <c r="G2" s="125" t="s">
        <v>5</v>
      </c>
      <c r="H2" s="126" t="s">
        <v>12</v>
      </c>
      <c r="I2" s="126" t="s">
        <v>3</v>
      </c>
      <c r="J2" s="126" t="s">
        <v>12</v>
      </c>
      <c r="K2" s="126" t="s">
        <v>13</v>
      </c>
      <c r="L2" s="126" t="s">
        <v>2</v>
      </c>
      <c r="M2" s="126" t="s">
        <v>14</v>
      </c>
      <c r="N2" s="126" t="s">
        <v>15</v>
      </c>
      <c r="O2" s="126" t="s">
        <v>16</v>
      </c>
      <c r="P2" s="126" t="s">
        <v>21</v>
      </c>
      <c r="Q2" s="126" t="s">
        <v>22</v>
      </c>
      <c r="R2" s="126" t="s">
        <v>12</v>
      </c>
      <c r="S2" s="127"/>
      <c r="T2" s="128"/>
      <c r="U2" s="129"/>
      <c r="V2" s="127"/>
      <c r="W2" s="130"/>
      <c r="X2" s="131"/>
      <c r="Y2" s="522" t="s">
        <v>0</v>
      </c>
      <c r="Z2" s="522" t="s">
        <v>1</v>
      </c>
      <c r="AA2" s="522" t="s">
        <v>2</v>
      </c>
      <c r="AB2" s="522" t="s">
        <v>3</v>
      </c>
      <c r="AC2" s="522" t="s">
        <v>0</v>
      </c>
      <c r="AD2" s="522" t="s">
        <v>1</v>
      </c>
      <c r="AE2" s="522" t="s">
        <v>2</v>
      </c>
      <c r="AF2" s="522" t="s">
        <v>3</v>
      </c>
      <c r="AG2" s="522" t="s">
        <v>0</v>
      </c>
      <c r="AH2" s="522" t="s">
        <v>1</v>
      </c>
      <c r="AI2" s="522" t="s">
        <v>2</v>
      </c>
      <c r="AJ2" s="522" t="s">
        <v>3</v>
      </c>
      <c r="AK2" s="522" t="s">
        <v>0</v>
      </c>
      <c r="AL2" s="522" t="s">
        <v>1</v>
      </c>
      <c r="AM2" s="522" t="s">
        <v>2</v>
      </c>
      <c r="AN2" s="522" t="s">
        <v>3</v>
      </c>
      <c r="AP2" s="592" t="s">
        <v>112</v>
      </c>
      <c r="AQ2" s="253"/>
      <c r="AS2" s="672" t="s">
        <v>610</v>
      </c>
      <c r="AT2" s="253"/>
    </row>
    <row r="3" spans="1:46" ht="14.95" customHeight="1" thickBot="1" x14ac:dyDescent="0.35">
      <c r="A3" s="195">
        <v>43498</v>
      </c>
      <c r="B3" s="196" t="s">
        <v>46</v>
      </c>
      <c r="C3" s="196" t="s">
        <v>33</v>
      </c>
      <c r="D3" s="197" t="s">
        <v>125</v>
      </c>
      <c r="E3" s="197" t="s">
        <v>1</v>
      </c>
      <c r="F3" s="197">
        <v>33</v>
      </c>
      <c r="G3" s="197">
        <v>20</v>
      </c>
      <c r="H3" s="197">
        <v>1</v>
      </c>
      <c r="I3" s="197">
        <v>0</v>
      </c>
      <c r="J3" s="197">
        <v>5</v>
      </c>
      <c r="K3" s="197">
        <v>4</v>
      </c>
      <c r="L3" s="197">
        <v>0</v>
      </c>
      <c r="M3" s="197">
        <v>0</v>
      </c>
      <c r="N3" s="197">
        <v>1</v>
      </c>
      <c r="O3" s="197">
        <v>0</v>
      </c>
      <c r="P3" s="197">
        <v>0</v>
      </c>
      <c r="Q3" s="197">
        <v>0</v>
      </c>
      <c r="R3" s="197">
        <v>3</v>
      </c>
      <c r="S3" s="209">
        <v>67144</v>
      </c>
      <c r="T3" s="346" t="s">
        <v>142</v>
      </c>
      <c r="U3" s="210" t="s">
        <v>133</v>
      </c>
      <c r="V3" s="209" t="s">
        <v>144</v>
      </c>
      <c r="W3" s="198" t="s">
        <v>136</v>
      </c>
      <c r="X3" s="211" t="s">
        <v>149</v>
      </c>
      <c r="Y3" s="212">
        <v>1</v>
      </c>
      <c r="Z3" s="212">
        <v>1</v>
      </c>
      <c r="AA3" s="212">
        <v>0</v>
      </c>
      <c r="AB3" s="213">
        <v>0</v>
      </c>
      <c r="AC3" s="212">
        <v>1</v>
      </c>
      <c r="AD3" s="212">
        <v>1</v>
      </c>
      <c r="AE3" s="212">
        <v>0</v>
      </c>
      <c r="AF3" s="213">
        <v>0</v>
      </c>
      <c r="AG3" s="254">
        <v>0</v>
      </c>
      <c r="AH3" s="254">
        <v>0</v>
      </c>
      <c r="AI3" s="254">
        <v>0</v>
      </c>
      <c r="AJ3" s="254">
        <v>0</v>
      </c>
      <c r="AK3" s="254">
        <v>0</v>
      </c>
      <c r="AL3" s="254">
        <v>0</v>
      </c>
      <c r="AM3" s="254">
        <v>0</v>
      </c>
      <c r="AN3" s="254">
        <v>0</v>
      </c>
      <c r="AP3" s="849" t="s">
        <v>627</v>
      </c>
      <c r="AQ3" s="850">
        <f>Scotlandalltestshistplayed</f>
        <v>700</v>
      </c>
      <c r="AS3" s="849" t="s">
        <v>627</v>
      </c>
      <c r="AT3" s="850">
        <f>ScotlandRWChistplayed</f>
        <v>42</v>
      </c>
    </row>
    <row r="4" spans="1:46" ht="14.95" customHeight="1" thickBot="1" x14ac:dyDescent="0.3">
      <c r="A4" s="195">
        <v>43505</v>
      </c>
      <c r="B4" s="196" t="s">
        <v>46</v>
      </c>
      <c r="C4" s="196" t="s">
        <v>39</v>
      </c>
      <c r="D4" s="197" t="s">
        <v>125</v>
      </c>
      <c r="E4" s="197" t="s">
        <v>3</v>
      </c>
      <c r="F4" s="197">
        <v>13</v>
      </c>
      <c r="G4" s="197">
        <v>22</v>
      </c>
      <c r="H4" s="197">
        <v>0</v>
      </c>
      <c r="I4" s="197">
        <v>0</v>
      </c>
      <c r="J4" s="197">
        <v>1</v>
      </c>
      <c r="K4" s="197">
        <v>1</v>
      </c>
      <c r="L4" s="197">
        <v>0</v>
      </c>
      <c r="M4" s="197">
        <v>2</v>
      </c>
      <c r="N4" s="197">
        <v>0</v>
      </c>
      <c r="O4" s="197">
        <v>0</v>
      </c>
      <c r="P4" s="197">
        <v>0</v>
      </c>
      <c r="Q4" s="197">
        <v>0</v>
      </c>
      <c r="R4" s="197">
        <v>3</v>
      </c>
      <c r="S4" s="209">
        <v>67500</v>
      </c>
      <c r="T4" s="222" t="s">
        <v>210</v>
      </c>
      <c r="U4" s="210" t="s">
        <v>130</v>
      </c>
      <c r="V4" s="209" t="s">
        <v>131</v>
      </c>
      <c r="W4" s="198" t="s">
        <v>211</v>
      </c>
      <c r="X4" s="211" t="s">
        <v>212</v>
      </c>
      <c r="Y4" s="212">
        <v>1</v>
      </c>
      <c r="Z4" s="212">
        <v>0</v>
      </c>
      <c r="AA4" s="212">
        <v>0</v>
      </c>
      <c r="AB4" s="213">
        <v>1</v>
      </c>
      <c r="AC4" s="212">
        <v>1</v>
      </c>
      <c r="AD4" s="212">
        <v>0</v>
      </c>
      <c r="AE4" s="212">
        <v>0</v>
      </c>
      <c r="AF4" s="212">
        <v>1</v>
      </c>
      <c r="AG4" s="212">
        <v>0</v>
      </c>
      <c r="AH4" s="212">
        <v>0</v>
      </c>
      <c r="AI4" s="212">
        <v>0</v>
      </c>
      <c r="AJ4" s="213">
        <v>0</v>
      </c>
      <c r="AK4" s="212">
        <v>0</v>
      </c>
      <c r="AL4" s="212">
        <v>0</v>
      </c>
      <c r="AM4" s="212">
        <v>0</v>
      </c>
      <c r="AN4" s="212">
        <v>0</v>
      </c>
      <c r="AP4" s="851" t="s">
        <v>628</v>
      </c>
      <c r="AQ4" s="852">
        <f>Scotlandalltestshistwon</f>
        <v>302</v>
      </c>
      <c r="AS4" s="851" t="s">
        <v>628</v>
      </c>
      <c r="AT4" s="852">
        <f>ScotlandRWChistwon</f>
        <v>24</v>
      </c>
    </row>
    <row r="5" spans="1:46" ht="14.95" customHeight="1" thickBot="1" x14ac:dyDescent="0.3">
      <c r="A5" s="187">
        <v>43519</v>
      </c>
      <c r="B5" s="178" t="s">
        <v>46</v>
      </c>
      <c r="C5" s="178" t="s">
        <v>34</v>
      </c>
      <c r="D5" s="179" t="s">
        <v>121</v>
      </c>
      <c r="E5" s="179" t="s">
        <v>3</v>
      </c>
      <c r="F5" s="179">
        <v>10</v>
      </c>
      <c r="G5" s="179">
        <v>27</v>
      </c>
      <c r="H5" s="179">
        <v>0</v>
      </c>
      <c r="I5" s="179">
        <v>0</v>
      </c>
      <c r="J5" s="179">
        <v>1</v>
      </c>
      <c r="K5" s="179">
        <v>1</v>
      </c>
      <c r="L5" s="179">
        <v>0</v>
      </c>
      <c r="M5" s="179">
        <v>1</v>
      </c>
      <c r="N5" s="179">
        <v>0</v>
      </c>
      <c r="O5" s="179">
        <v>0</v>
      </c>
      <c r="P5" s="179">
        <v>1</v>
      </c>
      <c r="Q5" s="179">
        <v>0</v>
      </c>
      <c r="R5" s="179">
        <v>4</v>
      </c>
      <c r="S5" s="180">
        <v>80000</v>
      </c>
      <c r="T5" s="223" t="s">
        <v>228</v>
      </c>
      <c r="U5" s="181" t="s">
        <v>227</v>
      </c>
      <c r="V5" s="180" t="s">
        <v>131</v>
      </c>
      <c r="W5" s="181" t="s">
        <v>219</v>
      </c>
      <c r="X5" s="182" t="s">
        <v>129</v>
      </c>
      <c r="Y5" s="184">
        <v>1</v>
      </c>
      <c r="Z5" s="184">
        <v>0</v>
      </c>
      <c r="AA5" s="184">
        <v>0</v>
      </c>
      <c r="AB5" s="185">
        <v>1</v>
      </c>
      <c r="AC5" s="255">
        <v>0</v>
      </c>
      <c r="AD5" s="523">
        <v>0</v>
      </c>
      <c r="AE5" s="184">
        <v>0</v>
      </c>
      <c r="AF5" s="410">
        <v>0</v>
      </c>
      <c r="AG5" s="184">
        <v>1</v>
      </c>
      <c r="AH5" s="184">
        <v>0</v>
      </c>
      <c r="AI5" s="184">
        <v>0</v>
      </c>
      <c r="AJ5" s="185">
        <v>1</v>
      </c>
      <c r="AK5" s="184">
        <v>0</v>
      </c>
      <c r="AL5" s="184">
        <v>0</v>
      </c>
      <c r="AM5" s="184">
        <v>0</v>
      </c>
      <c r="AN5" s="184">
        <v>0</v>
      </c>
      <c r="AP5" s="851" t="s">
        <v>634</v>
      </c>
      <c r="AQ5" s="852">
        <f>Scotlandalltestshistdrawn</f>
        <v>33</v>
      </c>
      <c r="AS5" s="851" t="s">
        <v>634</v>
      </c>
      <c r="AT5" s="852">
        <f>ScotlandRWChistdrawn</f>
        <v>1</v>
      </c>
    </row>
    <row r="6" spans="1:46" ht="14.95" customHeight="1" thickBot="1" x14ac:dyDescent="0.3">
      <c r="A6" s="195">
        <v>43533</v>
      </c>
      <c r="B6" s="196" t="s">
        <v>46</v>
      </c>
      <c r="C6" s="196" t="s">
        <v>32</v>
      </c>
      <c r="D6" s="197" t="s">
        <v>125</v>
      </c>
      <c r="E6" s="197" t="s">
        <v>3</v>
      </c>
      <c r="F6" s="197">
        <v>11</v>
      </c>
      <c r="G6" s="197">
        <v>18</v>
      </c>
      <c r="H6" s="197">
        <v>0</v>
      </c>
      <c r="I6" s="197">
        <v>1</v>
      </c>
      <c r="J6" s="197">
        <v>1</v>
      </c>
      <c r="K6" s="197">
        <v>0</v>
      </c>
      <c r="L6" s="197">
        <v>0</v>
      </c>
      <c r="M6" s="197">
        <v>2</v>
      </c>
      <c r="N6" s="197">
        <v>0</v>
      </c>
      <c r="O6" s="197">
        <v>0</v>
      </c>
      <c r="P6" s="197">
        <v>0</v>
      </c>
      <c r="Q6" s="197">
        <v>0</v>
      </c>
      <c r="R6" s="197">
        <v>2</v>
      </c>
      <c r="S6" s="209">
        <v>67000</v>
      </c>
      <c r="T6" s="222" t="s">
        <v>269</v>
      </c>
      <c r="U6" s="210" t="s">
        <v>211</v>
      </c>
      <c r="V6" s="209" t="s">
        <v>270</v>
      </c>
      <c r="W6" s="198" t="s">
        <v>133</v>
      </c>
      <c r="X6" s="211" t="s">
        <v>134</v>
      </c>
      <c r="Y6" s="212">
        <v>1</v>
      </c>
      <c r="Z6" s="212">
        <v>0</v>
      </c>
      <c r="AA6" s="212">
        <v>0</v>
      </c>
      <c r="AB6" s="213">
        <v>1</v>
      </c>
      <c r="AC6" s="212">
        <v>1</v>
      </c>
      <c r="AD6" s="212">
        <v>0</v>
      </c>
      <c r="AE6" s="212">
        <v>0</v>
      </c>
      <c r="AF6" s="213">
        <v>1</v>
      </c>
      <c r="AG6" s="254">
        <v>0</v>
      </c>
      <c r="AH6" s="254">
        <v>0</v>
      </c>
      <c r="AI6" s="254">
        <v>0</v>
      </c>
      <c r="AJ6" s="254">
        <v>0</v>
      </c>
      <c r="AK6" s="212">
        <v>0</v>
      </c>
      <c r="AL6" s="212">
        <v>0</v>
      </c>
      <c r="AM6" s="212">
        <v>0</v>
      </c>
      <c r="AN6" s="212">
        <v>0</v>
      </c>
      <c r="AP6" s="851" t="s">
        <v>629</v>
      </c>
      <c r="AQ6" s="852">
        <f>Scotlandalltestshistlost</f>
        <v>365</v>
      </c>
      <c r="AS6" s="851" t="s">
        <v>629</v>
      </c>
      <c r="AT6" s="852">
        <f>ScotlandRWChistlost</f>
        <v>17</v>
      </c>
    </row>
    <row r="7" spans="1:46" ht="14.95" customHeight="1" thickBot="1" x14ac:dyDescent="0.3">
      <c r="A7" s="187">
        <v>43540</v>
      </c>
      <c r="B7" s="178" t="s">
        <v>46</v>
      </c>
      <c r="C7" s="178" t="s">
        <v>30</v>
      </c>
      <c r="D7" s="179" t="s">
        <v>124</v>
      </c>
      <c r="E7" s="179" t="s">
        <v>2</v>
      </c>
      <c r="F7" s="179">
        <v>38</v>
      </c>
      <c r="G7" s="179">
        <v>38</v>
      </c>
      <c r="H7" s="179">
        <v>1</v>
      </c>
      <c r="I7" s="179">
        <v>0</v>
      </c>
      <c r="J7" s="179">
        <v>6</v>
      </c>
      <c r="K7" s="179">
        <v>4</v>
      </c>
      <c r="L7" s="179">
        <v>0</v>
      </c>
      <c r="M7" s="179">
        <v>0</v>
      </c>
      <c r="N7" s="179">
        <v>0</v>
      </c>
      <c r="O7" s="179">
        <v>0</v>
      </c>
      <c r="P7" s="179">
        <v>1</v>
      </c>
      <c r="Q7" s="179">
        <v>0</v>
      </c>
      <c r="R7" s="179">
        <v>5</v>
      </c>
      <c r="S7" s="180">
        <v>82000</v>
      </c>
      <c r="T7" s="223" t="s">
        <v>274</v>
      </c>
      <c r="U7" s="181" t="s">
        <v>273</v>
      </c>
      <c r="V7" s="180" t="s">
        <v>277</v>
      </c>
      <c r="W7" s="182" t="s">
        <v>138</v>
      </c>
      <c r="X7" s="183" t="s">
        <v>134</v>
      </c>
      <c r="Y7" s="184">
        <v>1</v>
      </c>
      <c r="Z7" s="184">
        <v>0</v>
      </c>
      <c r="AA7" s="184">
        <v>1</v>
      </c>
      <c r="AB7" s="185">
        <v>0</v>
      </c>
      <c r="AC7" s="184">
        <v>0</v>
      </c>
      <c r="AD7" s="184">
        <v>0</v>
      </c>
      <c r="AE7" s="184">
        <v>0</v>
      </c>
      <c r="AF7" s="184">
        <v>0</v>
      </c>
      <c r="AG7" s="184">
        <v>1</v>
      </c>
      <c r="AH7" s="184">
        <v>0</v>
      </c>
      <c r="AI7" s="184">
        <v>1</v>
      </c>
      <c r="AJ7" s="185">
        <v>0</v>
      </c>
      <c r="AK7" s="184">
        <v>0</v>
      </c>
      <c r="AL7" s="184">
        <v>0</v>
      </c>
      <c r="AM7" s="184">
        <v>0</v>
      </c>
      <c r="AN7" s="184">
        <v>0</v>
      </c>
      <c r="AP7" s="851" t="s">
        <v>635</v>
      </c>
      <c r="AQ7" s="852">
        <f>Scotlandalltestshistptsscored</f>
        <v>9927</v>
      </c>
      <c r="AS7" s="851" t="s">
        <v>635</v>
      </c>
      <c r="AT7" s="852">
        <f>ScotlandRWChistptsscored</f>
        <v>1261</v>
      </c>
    </row>
    <row r="8" spans="1:46" ht="14.95" customHeight="1" thickBot="1" x14ac:dyDescent="0.3">
      <c r="A8" s="187">
        <v>43694</v>
      </c>
      <c r="B8" s="178" t="s">
        <v>45</v>
      </c>
      <c r="C8" s="178" t="s">
        <v>34</v>
      </c>
      <c r="D8" s="178" t="s">
        <v>596</v>
      </c>
      <c r="E8" s="179" t="s">
        <v>3</v>
      </c>
      <c r="F8" s="179">
        <v>3</v>
      </c>
      <c r="G8" s="179">
        <v>32</v>
      </c>
      <c r="H8" s="179" t="s">
        <v>108</v>
      </c>
      <c r="I8" s="179" t="s">
        <v>108</v>
      </c>
      <c r="J8" s="179">
        <v>0</v>
      </c>
      <c r="K8" s="179">
        <v>0</v>
      </c>
      <c r="L8" s="179">
        <v>0</v>
      </c>
      <c r="M8" s="179">
        <v>1</v>
      </c>
      <c r="N8" s="179">
        <v>1</v>
      </c>
      <c r="O8" s="179">
        <v>0</v>
      </c>
      <c r="P8" s="179" t="s">
        <v>108</v>
      </c>
      <c r="Q8" s="179" t="s">
        <v>108</v>
      </c>
      <c r="R8" s="179">
        <v>5</v>
      </c>
      <c r="S8" s="180">
        <v>35624</v>
      </c>
      <c r="T8" s="223" t="s">
        <v>802</v>
      </c>
      <c r="U8" s="181" t="s">
        <v>219</v>
      </c>
      <c r="V8" s="180" t="s">
        <v>232</v>
      </c>
      <c r="W8" s="180" t="s">
        <v>132</v>
      </c>
      <c r="X8" s="180" t="s">
        <v>134</v>
      </c>
      <c r="Y8" s="184">
        <v>1</v>
      </c>
      <c r="Z8" s="184">
        <v>0</v>
      </c>
      <c r="AA8" s="184">
        <v>0</v>
      </c>
      <c r="AB8" s="185">
        <v>1</v>
      </c>
      <c r="AC8" s="184">
        <v>0</v>
      </c>
      <c r="AD8" s="184">
        <v>0</v>
      </c>
      <c r="AE8" s="184">
        <v>0</v>
      </c>
      <c r="AF8" s="185">
        <v>0</v>
      </c>
      <c r="AG8" s="184">
        <v>1</v>
      </c>
      <c r="AH8" s="184">
        <v>0</v>
      </c>
      <c r="AI8" s="184">
        <v>0</v>
      </c>
      <c r="AJ8" s="185">
        <v>1</v>
      </c>
      <c r="AK8" s="184">
        <v>0</v>
      </c>
      <c r="AL8" s="184">
        <v>0</v>
      </c>
      <c r="AM8" s="184">
        <v>0</v>
      </c>
      <c r="AN8" s="185">
        <v>0</v>
      </c>
      <c r="AP8" s="851" t="s">
        <v>636</v>
      </c>
      <c r="AQ8" s="852">
        <f>Scotlandalltestshistptscon</f>
        <v>10609</v>
      </c>
      <c r="AS8" s="851" t="s">
        <v>636</v>
      </c>
      <c r="AT8" s="852">
        <f>ScotlandRWChistptscon</f>
        <v>803</v>
      </c>
    </row>
    <row r="9" spans="1:46" ht="14.95" customHeight="1" thickBot="1" x14ac:dyDescent="0.3">
      <c r="A9" s="524">
        <v>43701</v>
      </c>
      <c r="B9" s="525" t="s">
        <v>45</v>
      </c>
      <c r="C9" s="525" t="s">
        <v>34</v>
      </c>
      <c r="D9" s="525" t="s">
        <v>125</v>
      </c>
      <c r="E9" s="526" t="s">
        <v>1</v>
      </c>
      <c r="F9" s="526">
        <v>17</v>
      </c>
      <c r="G9" s="526">
        <v>14</v>
      </c>
      <c r="H9" s="526" t="s">
        <v>108</v>
      </c>
      <c r="I9" s="526" t="s">
        <v>108</v>
      </c>
      <c r="J9" s="526">
        <v>2</v>
      </c>
      <c r="K9" s="526">
        <v>2</v>
      </c>
      <c r="L9" s="526">
        <v>0</v>
      </c>
      <c r="M9" s="526">
        <v>1</v>
      </c>
      <c r="N9" s="526">
        <v>0</v>
      </c>
      <c r="O9" s="526">
        <v>0</v>
      </c>
      <c r="P9" s="526" t="s">
        <v>108</v>
      </c>
      <c r="Q9" s="526" t="s">
        <v>108</v>
      </c>
      <c r="R9" s="526">
        <v>2</v>
      </c>
      <c r="S9" s="527">
        <v>66181</v>
      </c>
      <c r="T9" s="918" t="s">
        <v>719</v>
      </c>
      <c r="U9" s="529" t="s">
        <v>132</v>
      </c>
      <c r="V9" s="527" t="s">
        <v>232</v>
      </c>
      <c r="W9" s="527" t="s">
        <v>129</v>
      </c>
      <c r="X9" s="530" t="s">
        <v>134</v>
      </c>
      <c r="Y9" s="531">
        <v>1</v>
      </c>
      <c r="Z9" s="531">
        <v>1</v>
      </c>
      <c r="AA9" s="531">
        <v>0</v>
      </c>
      <c r="AB9" s="532">
        <v>0</v>
      </c>
      <c r="AC9" s="531">
        <v>1</v>
      </c>
      <c r="AD9" s="531">
        <v>1</v>
      </c>
      <c r="AE9" s="531">
        <v>0</v>
      </c>
      <c r="AF9" s="532">
        <v>0</v>
      </c>
      <c r="AG9" s="531">
        <v>0</v>
      </c>
      <c r="AH9" s="531">
        <v>0</v>
      </c>
      <c r="AI9" s="531">
        <v>0</v>
      </c>
      <c r="AJ9" s="532">
        <v>0</v>
      </c>
      <c r="AK9" s="531">
        <v>0</v>
      </c>
      <c r="AL9" s="531">
        <v>0</v>
      </c>
      <c r="AM9" s="531">
        <v>0</v>
      </c>
      <c r="AN9" s="532">
        <v>0</v>
      </c>
      <c r="AP9" s="851" t="s">
        <v>623</v>
      </c>
      <c r="AQ9" s="852">
        <f>Scotlandalltestshisttriesscored</f>
        <v>1268</v>
      </c>
      <c r="AS9" s="851" t="s">
        <v>623</v>
      </c>
      <c r="AT9" s="852">
        <f>ScotlandRWChisttriesscored</f>
        <v>146</v>
      </c>
    </row>
    <row r="10" spans="1:46" ht="14.95" customHeight="1" thickBot="1" x14ac:dyDescent="0.35">
      <c r="A10" s="187">
        <v>43708</v>
      </c>
      <c r="B10" s="178" t="s">
        <v>45</v>
      </c>
      <c r="C10" s="178" t="s">
        <v>38</v>
      </c>
      <c r="D10" s="178" t="s">
        <v>140</v>
      </c>
      <c r="E10" s="179" t="s">
        <v>1</v>
      </c>
      <c r="F10" s="179">
        <v>44</v>
      </c>
      <c r="G10" s="179">
        <v>10</v>
      </c>
      <c r="H10" s="179" t="s">
        <v>108</v>
      </c>
      <c r="I10" s="179" t="s">
        <v>108</v>
      </c>
      <c r="J10" s="179">
        <v>5</v>
      </c>
      <c r="K10" s="179">
        <v>5</v>
      </c>
      <c r="L10" s="179">
        <v>0</v>
      </c>
      <c r="M10" s="179">
        <v>3</v>
      </c>
      <c r="N10" s="179">
        <v>0</v>
      </c>
      <c r="O10" s="179">
        <v>0</v>
      </c>
      <c r="P10" s="179" t="s">
        <v>108</v>
      </c>
      <c r="Q10" s="179" t="s">
        <v>108</v>
      </c>
      <c r="R10" s="179">
        <v>1</v>
      </c>
      <c r="S10" s="180">
        <v>45000</v>
      </c>
      <c r="T10" s="396" t="s">
        <v>825</v>
      </c>
      <c r="U10" s="181" t="s">
        <v>136</v>
      </c>
      <c r="V10" s="180" t="s">
        <v>824</v>
      </c>
      <c r="W10" s="181" t="s">
        <v>427</v>
      </c>
      <c r="X10" s="180" t="s">
        <v>384</v>
      </c>
      <c r="Y10" s="184">
        <v>1</v>
      </c>
      <c r="Z10" s="184">
        <v>1</v>
      </c>
      <c r="AA10" s="184">
        <v>0</v>
      </c>
      <c r="AB10" s="185">
        <v>0</v>
      </c>
      <c r="AC10" s="184">
        <v>0</v>
      </c>
      <c r="AD10" s="184">
        <v>0</v>
      </c>
      <c r="AE10" s="184">
        <v>0</v>
      </c>
      <c r="AF10" s="185">
        <v>0</v>
      </c>
      <c r="AG10" s="184">
        <v>1</v>
      </c>
      <c r="AH10" s="184">
        <v>1</v>
      </c>
      <c r="AI10" s="184">
        <v>0</v>
      </c>
      <c r="AJ10" s="185">
        <v>0</v>
      </c>
      <c r="AK10" s="184">
        <v>0</v>
      </c>
      <c r="AL10" s="184">
        <v>0</v>
      </c>
      <c r="AM10" s="184">
        <v>0</v>
      </c>
      <c r="AN10" s="185">
        <v>0</v>
      </c>
    </row>
    <row r="11" spans="1:46" ht="14.95" customHeight="1" thickBot="1" x14ac:dyDescent="0.35">
      <c r="A11" s="195">
        <v>43714</v>
      </c>
      <c r="B11" s="196" t="s">
        <v>45</v>
      </c>
      <c r="C11" s="196" t="s">
        <v>38</v>
      </c>
      <c r="D11" s="196" t="s">
        <v>125</v>
      </c>
      <c r="E11" s="197" t="s">
        <v>1</v>
      </c>
      <c r="F11" s="197">
        <v>36</v>
      </c>
      <c r="G11" s="197">
        <v>9</v>
      </c>
      <c r="H11" s="197" t="s">
        <v>108</v>
      </c>
      <c r="I11" s="197" t="s">
        <v>108</v>
      </c>
      <c r="J11" s="197">
        <v>6</v>
      </c>
      <c r="K11" s="197">
        <v>3</v>
      </c>
      <c r="L11" s="197">
        <v>0</v>
      </c>
      <c r="M11" s="197">
        <v>0</v>
      </c>
      <c r="N11" s="197">
        <v>1</v>
      </c>
      <c r="O11" s="197">
        <v>0</v>
      </c>
      <c r="P11" s="197" t="s">
        <v>108</v>
      </c>
      <c r="Q11" s="197" t="s">
        <v>108</v>
      </c>
      <c r="R11" s="197">
        <v>0</v>
      </c>
      <c r="S11" s="209">
        <v>53406</v>
      </c>
      <c r="T11" s="346" t="s">
        <v>319</v>
      </c>
      <c r="U11" s="210" t="s">
        <v>130</v>
      </c>
      <c r="V11" s="209" t="s">
        <v>131</v>
      </c>
      <c r="W11" s="198" t="s">
        <v>129</v>
      </c>
      <c r="X11" s="211" t="s">
        <v>233</v>
      </c>
      <c r="Y11" s="212">
        <v>1</v>
      </c>
      <c r="Z11" s="212">
        <v>1</v>
      </c>
      <c r="AA11" s="212">
        <v>0</v>
      </c>
      <c r="AB11" s="213">
        <v>0</v>
      </c>
      <c r="AC11" s="212">
        <v>1</v>
      </c>
      <c r="AD11" s="212">
        <v>1</v>
      </c>
      <c r="AE11" s="212">
        <v>0</v>
      </c>
      <c r="AF11" s="213">
        <v>0</v>
      </c>
      <c r="AG11" s="212">
        <v>0</v>
      </c>
      <c r="AH11" s="212">
        <v>0</v>
      </c>
      <c r="AI11" s="212">
        <v>0</v>
      </c>
      <c r="AJ11" s="213">
        <v>0</v>
      </c>
      <c r="AK11" s="212">
        <v>0</v>
      </c>
      <c r="AL11" s="212">
        <v>0</v>
      </c>
      <c r="AM11" s="212">
        <v>0</v>
      </c>
      <c r="AN11" s="213">
        <v>0</v>
      </c>
    </row>
    <row r="12" spans="1:46" ht="14.95" customHeight="1" thickBot="1" x14ac:dyDescent="0.3">
      <c r="A12" s="188">
        <v>43730</v>
      </c>
      <c r="B12" s="189" t="s">
        <v>158</v>
      </c>
      <c r="C12" s="189" t="s">
        <v>39</v>
      </c>
      <c r="D12" s="189" t="s">
        <v>141</v>
      </c>
      <c r="E12" s="190" t="s">
        <v>3</v>
      </c>
      <c r="F12" s="190">
        <v>3</v>
      </c>
      <c r="G12" s="190">
        <v>27</v>
      </c>
      <c r="H12" s="190">
        <v>0</v>
      </c>
      <c r="I12" s="190">
        <v>0</v>
      </c>
      <c r="J12" s="190">
        <v>0</v>
      </c>
      <c r="K12" s="190">
        <v>0</v>
      </c>
      <c r="L12" s="190">
        <v>0</v>
      </c>
      <c r="M12" s="190">
        <v>1</v>
      </c>
      <c r="N12" s="190">
        <v>0</v>
      </c>
      <c r="O12" s="190">
        <v>0</v>
      </c>
      <c r="P12" s="190">
        <v>1</v>
      </c>
      <c r="Q12" s="190">
        <v>0</v>
      </c>
      <c r="R12" s="190">
        <v>4</v>
      </c>
      <c r="S12" s="203">
        <v>63731</v>
      </c>
      <c r="T12" s="406" t="s">
        <v>877</v>
      </c>
      <c r="U12" s="204" t="s">
        <v>132</v>
      </c>
      <c r="V12" s="203" t="s">
        <v>232</v>
      </c>
      <c r="W12" s="191" t="s">
        <v>211</v>
      </c>
      <c r="X12" s="205" t="s">
        <v>212</v>
      </c>
      <c r="Y12" s="206">
        <v>1</v>
      </c>
      <c r="Z12" s="206">
        <v>0</v>
      </c>
      <c r="AA12" s="206">
        <v>0</v>
      </c>
      <c r="AB12" s="207">
        <v>1</v>
      </c>
      <c r="AC12" s="206">
        <v>0</v>
      </c>
      <c r="AD12" s="206">
        <v>0</v>
      </c>
      <c r="AE12" s="206">
        <v>0</v>
      </c>
      <c r="AF12" s="207">
        <v>0</v>
      </c>
      <c r="AG12" s="206">
        <v>0</v>
      </c>
      <c r="AH12" s="206">
        <v>0</v>
      </c>
      <c r="AI12" s="206">
        <v>0</v>
      </c>
      <c r="AJ12" s="207">
        <v>0</v>
      </c>
      <c r="AK12" s="206">
        <v>1</v>
      </c>
      <c r="AL12" s="206">
        <v>0</v>
      </c>
      <c r="AM12" s="206">
        <v>0</v>
      </c>
      <c r="AN12" s="207">
        <v>1</v>
      </c>
    </row>
    <row r="13" spans="1:46" ht="14.95" customHeight="1" thickBot="1" x14ac:dyDescent="0.35">
      <c r="A13" s="188">
        <v>43738</v>
      </c>
      <c r="B13" s="483" t="s">
        <v>158</v>
      </c>
      <c r="C13" s="189" t="s">
        <v>148</v>
      </c>
      <c r="D13" s="189" t="s">
        <v>127</v>
      </c>
      <c r="E13" s="190" t="s">
        <v>1</v>
      </c>
      <c r="F13" s="190">
        <v>34</v>
      </c>
      <c r="G13" s="484">
        <v>0</v>
      </c>
      <c r="H13" s="484">
        <v>1</v>
      </c>
      <c r="I13" s="190">
        <v>0</v>
      </c>
      <c r="J13" s="190">
        <v>4</v>
      </c>
      <c r="K13" s="190">
        <v>2</v>
      </c>
      <c r="L13" s="190">
        <v>1</v>
      </c>
      <c r="M13" s="190">
        <v>1</v>
      </c>
      <c r="N13" s="190">
        <v>0</v>
      </c>
      <c r="O13" s="190">
        <v>0</v>
      </c>
      <c r="P13" s="190">
        <v>0</v>
      </c>
      <c r="Q13" s="190">
        <v>0</v>
      </c>
      <c r="R13" s="190">
        <v>0</v>
      </c>
      <c r="S13" s="203">
        <v>27586</v>
      </c>
      <c r="T13" s="411" t="s">
        <v>742</v>
      </c>
      <c r="U13" s="204" t="s">
        <v>211</v>
      </c>
      <c r="V13" s="203" t="s">
        <v>232</v>
      </c>
      <c r="W13" s="191" t="s">
        <v>219</v>
      </c>
      <c r="X13" s="205" t="s">
        <v>134</v>
      </c>
      <c r="Y13" s="206">
        <v>1</v>
      </c>
      <c r="Z13" s="206">
        <v>1</v>
      </c>
      <c r="AA13" s="206">
        <v>0</v>
      </c>
      <c r="AB13" s="207">
        <v>0</v>
      </c>
      <c r="AC13" s="206">
        <v>0</v>
      </c>
      <c r="AD13" s="206">
        <v>0</v>
      </c>
      <c r="AE13" s="206">
        <v>0</v>
      </c>
      <c r="AF13" s="207">
        <v>0</v>
      </c>
      <c r="AG13" s="206">
        <v>0</v>
      </c>
      <c r="AH13" s="206">
        <v>0</v>
      </c>
      <c r="AI13" s="206">
        <v>0</v>
      </c>
      <c r="AJ13" s="207">
        <v>0</v>
      </c>
      <c r="AK13" s="206">
        <v>1</v>
      </c>
      <c r="AL13" s="206">
        <v>1</v>
      </c>
      <c r="AM13" s="206">
        <v>0</v>
      </c>
      <c r="AN13" s="207">
        <v>0</v>
      </c>
    </row>
    <row r="14" spans="1:46" ht="14.95" customHeight="1" thickBot="1" x14ac:dyDescent="0.35">
      <c r="A14" s="188">
        <v>43747</v>
      </c>
      <c r="B14" s="483" t="s">
        <v>158</v>
      </c>
      <c r="C14" s="189" t="s">
        <v>105</v>
      </c>
      <c r="D14" s="189" t="s">
        <v>172</v>
      </c>
      <c r="E14" s="190" t="s">
        <v>1</v>
      </c>
      <c r="F14" s="190">
        <v>61</v>
      </c>
      <c r="G14" s="484">
        <v>0</v>
      </c>
      <c r="H14" s="484">
        <v>1</v>
      </c>
      <c r="I14" s="190">
        <v>0</v>
      </c>
      <c r="J14" s="190">
        <v>9</v>
      </c>
      <c r="K14" s="190">
        <v>8</v>
      </c>
      <c r="L14" s="190">
        <v>0</v>
      </c>
      <c r="M14" s="190">
        <v>0</v>
      </c>
      <c r="N14" s="190">
        <v>0</v>
      </c>
      <c r="O14" s="190">
        <v>0</v>
      </c>
      <c r="P14" s="190">
        <v>0</v>
      </c>
      <c r="Q14" s="190">
        <v>0</v>
      </c>
      <c r="R14" s="190">
        <v>0</v>
      </c>
      <c r="S14" s="203">
        <v>44123</v>
      </c>
      <c r="T14" s="411" t="s">
        <v>749</v>
      </c>
      <c r="U14" s="204" t="s">
        <v>132</v>
      </c>
      <c r="V14" s="203" t="s">
        <v>270</v>
      </c>
      <c r="W14" s="191" t="s">
        <v>212</v>
      </c>
      <c r="X14" s="205" t="s">
        <v>134</v>
      </c>
      <c r="Y14" s="206">
        <v>1</v>
      </c>
      <c r="Z14" s="206">
        <v>1</v>
      </c>
      <c r="AA14" s="206">
        <v>0</v>
      </c>
      <c r="AB14" s="207">
        <v>0</v>
      </c>
      <c r="AC14" s="206">
        <v>0</v>
      </c>
      <c r="AD14" s="206">
        <v>0</v>
      </c>
      <c r="AE14" s="206">
        <v>0</v>
      </c>
      <c r="AF14" s="207">
        <v>0</v>
      </c>
      <c r="AG14" s="206">
        <v>0</v>
      </c>
      <c r="AH14" s="206">
        <v>0</v>
      </c>
      <c r="AI14" s="206">
        <v>0</v>
      </c>
      <c r="AJ14" s="207">
        <v>0</v>
      </c>
      <c r="AK14" s="206">
        <v>1</v>
      </c>
      <c r="AL14" s="206">
        <v>1</v>
      </c>
      <c r="AM14" s="206">
        <v>0</v>
      </c>
      <c r="AN14" s="207">
        <v>0</v>
      </c>
    </row>
    <row r="15" spans="1:46" ht="14.95" thickBot="1" x14ac:dyDescent="0.3">
      <c r="A15" s="187">
        <v>43751</v>
      </c>
      <c r="B15" s="192" t="s">
        <v>158</v>
      </c>
      <c r="C15" s="178" t="s">
        <v>36</v>
      </c>
      <c r="D15" s="178" t="s">
        <v>141</v>
      </c>
      <c r="E15" s="179" t="s">
        <v>3</v>
      </c>
      <c r="F15" s="179">
        <v>21</v>
      </c>
      <c r="G15" s="193">
        <v>28</v>
      </c>
      <c r="H15" s="193">
        <v>0</v>
      </c>
      <c r="I15" s="179">
        <v>1</v>
      </c>
      <c r="J15" s="179">
        <v>3</v>
      </c>
      <c r="K15" s="179">
        <v>3</v>
      </c>
      <c r="L15" s="179">
        <v>0</v>
      </c>
      <c r="M15" s="179">
        <v>0</v>
      </c>
      <c r="N15" s="179">
        <v>0</v>
      </c>
      <c r="O15" s="179">
        <v>0</v>
      </c>
      <c r="P15" s="179">
        <v>1</v>
      </c>
      <c r="Q15" s="179">
        <v>0</v>
      </c>
      <c r="R15" s="179">
        <v>4</v>
      </c>
      <c r="S15" s="182">
        <v>67666</v>
      </c>
      <c r="T15" s="432" t="s">
        <v>772</v>
      </c>
      <c r="U15" s="194" t="s">
        <v>276</v>
      </c>
      <c r="V15" s="182" t="s">
        <v>270</v>
      </c>
      <c r="W15" s="182" t="s">
        <v>136</v>
      </c>
      <c r="X15" s="183" t="s">
        <v>295</v>
      </c>
      <c r="Y15" s="184">
        <v>1</v>
      </c>
      <c r="Z15" s="184">
        <v>0</v>
      </c>
      <c r="AA15" s="184">
        <v>0</v>
      </c>
      <c r="AB15" s="185">
        <v>1</v>
      </c>
      <c r="AC15" s="184">
        <v>0</v>
      </c>
      <c r="AD15" s="184">
        <v>0</v>
      </c>
      <c r="AE15" s="184">
        <v>0</v>
      </c>
      <c r="AF15" s="185">
        <v>0</v>
      </c>
      <c r="AG15" s="184">
        <v>1</v>
      </c>
      <c r="AH15" s="184">
        <v>0</v>
      </c>
      <c r="AI15" s="184">
        <v>0</v>
      </c>
      <c r="AJ15" s="185">
        <v>1</v>
      </c>
      <c r="AK15" s="184">
        <v>0</v>
      </c>
      <c r="AL15" s="184">
        <v>0</v>
      </c>
      <c r="AM15" s="184">
        <v>0</v>
      </c>
      <c r="AN15" s="185">
        <v>0</v>
      </c>
    </row>
    <row r="16" spans="1:46" ht="15.8" customHeight="1" thickBot="1" x14ac:dyDescent="0.3">
      <c r="A16" s="438"/>
      <c r="B16" s="439"/>
      <c r="C16" s="1069" t="s">
        <v>116</v>
      </c>
      <c r="D16" s="1070"/>
      <c r="E16" s="1071"/>
      <c r="F16" s="433">
        <f t="shared" ref="F16:R16" si="0">SUM(F3:F7)</f>
        <v>105</v>
      </c>
      <c r="G16" s="433">
        <f t="shared" si="0"/>
        <v>125</v>
      </c>
      <c r="H16" s="433">
        <f t="shared" si="0"/>
        <v>2</v>
      </c>
      <c r="I16" s="433">
        <f t="shared" si="0"/>
        <v>1</v>
      </c>
      <c r="J16" s="433">
        <f t="shared" si="0"/>
        <v>14</v>
      </c>
      <c r="K16" s="433">
        <f t="shared" si="0"/>
        <v>10</v>
      </c>
      <c r="L16" s="433">
        <f t="shared" si="0"/>
        <v>0</v>
      </c>
      <c r="M16" s="433">
        <f t="shared" si="0"/>
        <v>5</v>
      </c>
      <c r="N16" s="433">
        <f t="shared" si="0"/>
        <v>1</v>
      </c>
      <c r="O16" s="433">
        <f t="shared" si="0"/>
        <v>0</v>
      </c>
      <c r="P16" s="433">
        <f t="shared" si="0"/>
        <v>2</v>
      </c>
      <c r="Q16" s="433">
        <f t="shared" si="0"/>
        <v>0</v>
      </c>
      <c r="R16" s="433">
        <f t="shared" si="0"/>
        <v>17</v>
      </c>
      <c r="W16" s="434"/>
      <c r="X16" s="459" t="s">
        <v>116</v>
      </c>
      <c r="Y16" s="433">
        <f t="shared" ref="Y16:AN16" si="1">SUM(Y3:Y7)</f>
        <v>5</v>
      </c>
      <c r="Z16" s="433">
        <f t="shared" si="1"/>
        <v>1</v>
      </c>
      <c r="AA16" s="433">
        <f t="shared" si="1"/>
        <v>1</v>
      </c>
      <c r="AB16" s="433">
        <f t="shared" si="1"/>
        <v>3</v>
      </c>
      <c r="AC16" s="435">
        <f t="shared" si="1"/>
        <v>3</v>
      </c>
      <c r="AD16" s="435">
        <f t="shared" si="1"/>
        <v>1</v>
      </c>
      <c r="AE16" s="435">
        <f t="shared" si="1"/>
        <v>0</v>
      </c>
      <c r="AF16" s="435">
        <f t="shared" si="1"/>
        <v>2</v>
      </c>
      <c r="AG16" s="436">
        <f t="shared" si="1"/>
        <v>2</v>
      </c>
      <c r="AH16" s="436">
        <f t="shared" si="1"/>
        <v>0</v>
      </c>
      <c r="AI16" s="436">
        <f t="shared" si="1"/>
        <v>1</v>
      </c>
      <c r="AJ16" s="436">
        <f t="shared" si="1"/>
        <v>1</v>
      </c>
      <c r="AK16" s="437">
        <f t="shared" si="1"/>
        <v>0</v>
      </c>
      <c r="AL16" s="437">
        <f t="shared" si="1"/>
        <v>0</v>
      </c>
      <c r="AM16" s="437">
        <f t="shared" si="1"/>
        <v>0</v>
      </c>
      <c r="AN16" s="437">
        <f t="shared" si="1"/>
        <v>0</v>
      </c>
    </row>
    <row r="17" spans="1:40" ht="15.8" customHeight="1" thickBot="1" x14ac:dyDescent="0.3">
      <c r="A17" s="438"/>
      <c r="B17" s="439"/>
      <c r="C17" s="1037" t="s">
        <v>163</v>
      </c>
      <c r="D17" s="1091"/>
      <c r="E17" s="1092"/>
      <c r="F17" s="446">
        <f>SUM(F8:F11)</f>
        <v>100</v>
      </c>
      <c r="G17" s="446">
        <f>SUM(G8:G11)</f>
        <v>65</v>
      </c>
      <c r="H17" s="446" t="s">
        <v>108</v>
      </c>
      <c r="I17" s="446" t="s">
        <v>108</v>
      </c>
      <c r="J17" s="446">
        <f t="shared" ref="J17:O17" si="2">SUM(J8:J11)</f>
        <v>13</v>
      </c>
      <c r="K17" s="446">
        <f t="shared" si="2"/>
        <v>10</v>
      </c>
      <c r="L17" s="446">
        <f t="shared" si="2"/>
        <v>0</v>
      </c>
      <c r="M17" s="446">
        <f t="shared" si="2"/>
        <v>5</v>
      </c>
      <c r="N17" s="446">
        <f t="shared" si="2"/>
        <v>2</v>
      </c>
      <c r="O17" s="446">
        <f t="shared" si="2"/>
        <v>0</v>
      </c>
      <c r="P17" s="446" t="s">
        <v>108</v>
      </c>
      <c r="Q17" s="446" t="s">
        <v>108</v>
      </c>
      <c r="R17" s="446">
        <f>SUM(R8:R11)</f>
        <v>8</v>
      </c>
      <c r="S17" s="447"/>
      <c r="T17" s="447"/>
      <c r="U17" s="447"/>
      <c r="V17" s="447"/>
      <c r="W17" s="448"/>
      <c r="X17" s="461" t="s">
        <v>163</v>
      </c>
      <c r="Y17" s="446">
        <f t="shared" ref="Y17:AN17" si="3">SUM(Y8:Y11)</f>
        <v>4</v>
      </c>
      <c r="Z17" s="446">
        <f t="shared" si="3"/>
        <v>3</v>
      </c>
      <c r="AA17" s="446">
        <f t="shared" si="3"/>
        <v>0</v>
      </c>
      <c r="AB17" s="446">
        <f t="shared" si="3"/>
        <v>1</v>
      </c>
      <c r="AC17" s="450">
        <f t="shared" si="3"/>
        <v>2</v>
      </c>
      <c r="AD17" s="450">
        <f t="shared" si="3"/>
        <v>2</v>
      </c>
      <c r="AE17" s="450">
        <f t="shared" si="3"/>
        <v>0</v>
      </c>
      <c r="AF17" s="450">
        <f t="shared" si="3"/>
        <v>0</v>
      </c>
      <c r="AG17" s="451">
        <f t="shared" si="3"/>
        <v>2</v>
      </c>
      <c r="AH17" s="451">
        <f t="shared" si="3"/>
        <v>1</v>
      </c>
      <c r="AI17" s="451">
        <f t="shared" si="3"/>
        <v>0</v>
      </c>
      <c r="AJ17" s="451">
        <f t="shared" si="3"/>
        <v>1</v>
      </c>
      <c r="AK17" s="452">
        <f t="shared" si="3"/>
        <v>0</v>
      </c>
      <c r="AL17" s="452">
        <f t="shared" si="3"/>
        <v>0</v>
      </c>
      <c r="AM17" s="452">
        <f t="shared" si="3"/>
        <v>0</v>
      </c>
      <c r="AN17" s="452">
        <f t="shared" si="3"/>
        <v>0</v>
      </c>
    </row>
    <row r="18" spans="1:40" ht="15.8" customHeight="1" thickBot="1" x14ac:dyDescent="0.3">
      <c r="A18" s="438"/>
      <c r="B18" s="439"/>
      <c r="C18" s="1040" t="s">
        <v>611</v>
      </c>
      <c r="D18" s="1041"/>
      <c r="E18" s="1042"/>
      <c r="F18" s="685">
        <f t="shared" ref="F18:R18" si="4">SUM(F12:F15)</f>
        <v>119</v>
      </c>
      <c r="G18" s="685">
        <f t="shared" si="4"/>
        <v>55</v>
      </c>
      <c r="H18" s="685">
        <f t="shared" si="4"/>
        <v>2</v>
      </c>
      <c r="I18" s="685">
        <f t="shared" si="4"/>
        <v>1</v>
      </c>
      <c r="J18" s="685">
        <f t="shared" si="4"/>
        <v>16</v>
      </c>
      <c r="K18" s="685">
        <f t="shared" si="4"/>
        <v>13</v>
      </c>
      <c r="L18" s="685">
        <f t="shared" si="4"/>
        <v>1</v>
      </c>
      <c r="M18" s="685">
        <f t="shared" si="4"/>
        <v>2</v>
      </c>
      <c r="N18" s="685">
        <f t="shared" si="4"/>
        <v>0</v>
      </c>
      <c r="O18" s="685">
        <f t="shared" si="4"/>
        <v>0</v>
      </c>
      <c r="P18" s="685">
        <f t="shared" si="4"/>
        <v>2</v>
      </c>
      <c r="Q18" s="685">
        <f t="shared" si="4"/>
        <v>0</v>
      </c>
      <c r="R18" s="685">
        <f t="shared" si="4"/>
        <v>8</v>
      </c>
      <c r="S18" s="686"/>
      <c r="T18" s="686"/>
      <c r="U18" s="686"/>
      <c r="V18" s="686"/>
      <c r="W18" s="687"/>
      <c r="X18" s="688" t="s">
        <v>611</v>
      </c>
      <c r="Y18" s="689">
        <f t="shared" ref="Y18:AN18" si="5">SUM(Y12:Y15)</f>
        <v>4</v>
      </c>
      <c r="Z18" s="690">
        <f t="shared" si="5"/>
        <v>2</v>
      </c>
      <c r="AA18" s="685">
        <f t="shared" si="5"/>
        <v>0</v>
      </c>
      <c r="AB18" s="685">
        <f t="shared" si="5"/>
        <v>2</v>
      </c>
      <c r="AC18" s="691">
        <f t="shared" si="5"/>
        <v>0</v>
      </c>
      <c r="AD18" s="691">
        <f t="shared" si="5"/>
        <v>0</v>
      </c>
      <c r="AE18" s="691">
        <f t="shared" si="5"/>
        <v>0</v>
      </c>
      <c r="AF18" s="691">
        <f t="shared" si="5"/>
        <v>0</v>
      </c>
      <c r="AG18" s="692">
        <f t="shared" si="5"/>
        <v>1</v>
      </c>
      <c r="AH18" s="692">
        <f t="shared" si="5"/>
        <v>0</v>
      </c>
      <c r="AI18" s="692">
        <f t="shared" si="5"/>
        <v>0</v>
      </c>
      <c r="AJ18" s="692">
        <f t="shared" si="5"/>
        <v>1</v>
      </c>
      <c r="AK18" s="693">
        <f t="shared" si="5"/>
        <v>3</v>
      </c>
      <c r="AL18" s="693">
        <f t="shared" si="5"/>
        <v>2</v>
      </c>
      <c r="AM18" s="693">
        <f t="shared" si="5"/>
        <v>0</v>
      </c>
      <c r="AN18" s="693">
        <f t="shared" si="5"/>
        <v>1</v>
      </c>
    </row>
    <row r="19" spans="1:40" ht="15.8" customHeight="1" thickBot="1" x14ac:dyDescent="0.3">
      <c r="A19" s="438"/>
      <c r="B19" s="439"/>
      <c r="C19" s="1040" t="s">
        <v>612</v>
      </c>
      <c r="D19" s="1041"/>
      <c r="E19" s="1042"/>
      <c r="F19" s="694">
        <v>0</v>
      </c>
      <c r="G19" s="685">
        <v>0</v>
      </c>
      <c r="H19" s="685" t="s">
        <v>108</v>
      </c>
      <c r="I19" s="685" t="s">
        <v>108</v>
      </c>
      <c r="J19" s="685">
        <v>0</v>
      </c>
      <c r="K19" s="685">
        <v>0</v>
      </c>
      <c r="L19" s="685">
        <v>0</v>
      </c>
      <c r="M19" s="685">
        <v>0</v>
      </c>
      <c r="N19" s="685">
        <v>0</v>
      </c>
      <c r="O19" s="685">
        <v>0</v>
      </c>
      <c r="P19" s="685" t="s">
        <v>108</v>
      </c>
      <c r="Q19" s="685" t="s">
        <v>108</v>
      </c>
      <c r="R19" s="685">
        <v>0</v>
      </c>
      <c r="S19" s="686"/>
      <c r="T19" s="686"/>
      <c r="U19" s="686"/>
      <c r="V19" s="686"/>
      <c r="W19" s="687"/>
      <c r="X19" s="688" t="s">
        <v>612</v>
      </c>
      <c r="Y19" s="689">
        <v>0</v>
      </c>
      <c r="Z19" s="690">
        <v>0</v>
      </c>
      <c r="AA19" s="685">
        <v>0</v>
      </c>
      <c r="AB19" s="685">
        <v>0</v>
      </c>
      <c r="AC19" s="691">
        <v>0</v>
      </c>
      <c r="AD19" s="691">
        <v>0</v>
      </c>
      <c r="AE19" s="691">
        <v>0</v>
      </c>
      <c r="AF19" s="691">
        <v>0</v>
      </c>
      <c r="AG19" s="692">
        <v>0</v>
      </c>
      <c r="AH19" s="692">
        <v>0</v>
      </c>
      <c r="AI19" s="692">
        <v>0</v>
      </c>
      <c r="AJ19" s="692">
        <v>0</v>
      </c>
      <c r="AK19" s="693">
        <v>0</v>
      </c>
      <c r="AL19" s="693">
        <v>0</v>
      </c>
      <c r="AM19" s="693">
        <v>0</v>
      </c>
      <c r="AN19" s="693">
        <v>0</v>
      </c>
    </row>
    <row r="20" spans="1:40" ht="15.8" customHeight="1" thickBot="1" x14ac:dyDescent="0.3">
      <c r="A20" s="438"/>
      <c r="B20" s="439"/>
      <c r="C20" s="1040" t="s">
        <v>613</v>
      </c>
      <c r="D20" s="1041"/>
      <c r="E20" s="1042"/>
      <c r="F20" s="685">
        <f>SUM(F18:F19)</f>
        <v>119</v>
      </c>
      <c r="G20" s="685">
        <f t="shared" ref="G20:R20" si="6">SUM(G18:G19)</f>
        <v>55</v>
      </c>
      <c r="H20" s="685">
        <f t="shared" si="6"/>
        <v>2</v>
      </c>
      <c r="I20" s="685">
        <f t="shared" si="6"/>
        <v>1</v>
      </c>
      <c r="J20" s="685">
        <f t="shared" si="6"/>
        <v>16</v>
      </c>
      <c r="K20" s="685">
        <f t="shared" si="6"/>
        <v>13</v>
      </c>
      <c r="L20" s="685">
        <f t="shared" si="6"/>
        <v>1</v>
      </c>
      <c r="M20" s="685">
        <f t="shared" si="6"/>
        <v>2</v>
      </c>
      <c r="N20" s="685">
        <f t="shared" si="6"/>
        <v>0</v>
      </c>
      <c r="O20" s="685">
        <f t="shared" si="6"/>
        <v>0</v>
      </c>
      <c r="P20" s="685">
        <f t="shared" si="6"/>
        <v>2</v>
      </c>
      <c r="Q20" s="685">
        <f t="shared" si="6"/>
        <v>0</v>
      </c>
      <c r="R20" s="685">
        <f t="shared" si="6"/>
        <v>8</v>
      </c>
      <c r="S20" s="686"/>
      <c r="T20" s="686"/>
      <c r="U20" s="686"/>
      <c r="V20" s="686"/>
      <c r="W20" s="687"/>
      <c r="X20" s="688" t="s">
        <v>613</v>
      </c>
      <c r="Y20" s="689">
        <f t="shared" ref="Y20:AN20" si="7">SUM(Y18:Y19)</f>
        <v>4</v>
      </c>
      <c r="Z20" s="690">
        <f t="shared" si="7"/>
        <v>2</v>
      </c>
      <c r="AA20" s="685">
        <f t="shared" si="7"/>
        <v>0</v>
      </c>
      <c r="AB20" s="685">
        <f t="shared" si="7"/>
        <v>2</v>
      </c>
      <c r="AC20" s="691">
        <f t="shared" si="7"/>
        <v>0</v>
      </c>
      <c r="AD20" s="691">
        <f t="shared" si="7"/>
        <v>0</v>
      </c>
      <c r="AE20" s="691">
        <f t="shared" si="7"/>
        <v>0</v>
      </c>
      <c r="AF20" s="691">
        <f t="shared" si="7"/>
        <v>0</v>
      </c>
      <c r="AG20" s="692">
        <f t="shared" si="7"/>
        <v>1</v>
      </c>
      <c r="AH20" s="692">
        <f t="shared" si="7"/>
        <v>0</v>
      </c>
      <c r="AI20" s="692">
        <f t="shared" si="7"/>
        <v>0</v>
      </c>
      <c r="AJ20" s="692">
        <f t="shared" si="7"/>
        <v>1</v>
      </c>
      <c r="AK20" s="693">
        <f t="shared" si="7"/>
        <v>3</v>
      </c>
      <c r="AL20" s="693">
        <f t="shared" si="7"/>
        <v>2</v>
      </c>
      <c r="AM20" s="693">
        <f t="shared" si="7"/>
        <v>0</v>
      </c>
      <c r="AN20" s="693">
        <f t="shared" si="7"/>
        <v>1</v>
      </c>
    </row>
    <row r="21" spans="1:40" ht="14.95" thickBot="1" x14ac:dyDescent="0.3">
      <c r="A21" s="438"/>
      <c r="B21" s="439"/>
      <c r="C21" s="1034" t="s">
        <v>112</v>
      </c>
      <c r="D21" s="1035"/>
      <c r="E21" s="1036"/>
      <c r="F21" s="453">
        <f t="shared" ref="F21:R21" si="8">SUM(F3:F15)</f>
        <v>324</v>
      </c>
      <c r="G21" s="453">
        <f t="shared" si="8"/>
        <v>245</v>
      </c>
      <c r="H21" s="453">
        <f t="shared" si="8"/>
        <v>4</v>
      </c>
      <c r="I21" s="453">
        <f t="shared" si="8"/>
        <v>2</v>
      </c>
      <c r="J21" s="453">
        <f t="shared" si="8"/>
        <v>43</v>
      </c>
      <c r="K21" s="453">
        <f t="shared" si="8"/>
        <v>33</v>
      </c>
      <c r="L21" s="453">
        <f t="shared" si="8"/>
        <v>1</v>
      </c>
      <c r="M21" s="453">
        <f t="shared" si="8"/>
        <v>12</v>
      </c>
      <c r="N21" s="453">
        <f t="shared" si="8"/>
        <v>3</v>
      </c>
      <c r="O21" s="453">
        <f t="shared" si="8"/>
        <v>0</v>
      </c>
      <c r="P21" s="453">
        <f t="shared" si="8"/>
        <v>4</v>
      </c>
      <c r="Q21" s="453">
        <f t="shared" si="8"/>
        <v>0</v>
      </c>
      <c r="R21" s="453">
        <f t="shared" si="8"/>
        <v>33</v>
      </c>
      <c r="S21" s="454"/>
      <c r="T21" s="454"/>
      <c r="U21" s="454"/>
      <c r="V21" s="454"/>
      <c r="W21" s="455"/>
      <c r="X21" s="462" t="s">
        <v>112</v>
      </c>
      <c r="Y21" s="957">
        <f t="shared" ref="Y21:AN21" si="9">SUM(Y3:Y15)</f>
        <v>13</v>
      </c>
      <c r="Z21" s="957">
        <f t="shared" si="9"/>
        <v>6</v>
      </c>
      <c r="AA21" s="957">
        <f t="shared" si="9"/>
        <v>1</v>
      </c>
      <c r="AB21" s="957">
        <f t="shared" si="9"/>
        <v>6</v>
      </c>
      <c r="AC21" s="958">
        <f t="shared" si="9"/>
        <v>5</v>
      </c>
      <c r="AD21" s="958">
        <f t="shared" si="9"/>
        <v>3</v>
      </c>
      <c r="AE21" s="958">
        <f t="shared" si="9"/>
        <v>0</v>
      </c>
      <c r="AF21" s="958">
        <f t="shared" si="9"/>
        <v>2</v>
      </c>
      <c r="AG21" s="959">
        <f t="shared" si="9"/>
        <v>5</v>
      </c>
      <c r="AH21" s="959">
        <f t="shared" si="9"/>
        <v>1</v>
      </c>
      <c r="AI21" s="959">
        <f t="shared" si="9"/>
        <v>1</v>
      </c>
      <c r="AJ21" s="959">
        <f t="shared" si="9"/>
        <v>3</v>
      </c>
      <c r="AK21" s="960">
        <f t="shared" si="9"/>
        <v>3</v>
      </c>
      <c r="AL21" s="960">
        <f t="shared" si="9"/>
        <v>2</v>
      </c>
      <c r="AM21" s="960">
        <f t="shared" si="9"/>
        <v>0</v>
      </c>
      <c r="AN21" s="960">
        <f t="shared" si="9"/>
        <v>1</v>
      </c>
    </row>
    <row r="22" spans="1:40" x14ac:dyDescent="0.25">
      <c r="A22" s="624" t="s">
        <v>185</v>
      </c>
      <c r="F22" s="51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</row>
    <row r="23" spans="1:40" x14ac:dyDescent="0.25">
      <c r="A23" s="624" t="s">
        <v>186</v>
      </c>
    </row>
    <row r="24" spans="1:40" x14ac:dyDescent="0.25">
      <c r="A24" s="884" t="s">
        <v>187</v>
      </c>
    </row>
    <row r="25" spans="1:40" x14ac:dyDescent="0.25">
      <c r="A25" s="884" t="s">
        <v>189</v>
      </c>
    </row>
    <row r="26" spans="1:40" x14ac:dyDescent="0.25">
      <c r="A26" s="884" t="s">
        <v>682</v>
      </c>
    </row>
    <row r="27" spans="1:40" x14ac:dyDescent="0.25">
      <c r="A27" s="159"/>
      <c r="B27" t="s">
        <v>44</v>
      </c>
    </row>
    <row r="28" spans="1:40" x14ac:dyDescent="0.25">
      <c r="A28" s="157"/>
      <c r="B28" t="s">
        <v>42</v>
      </c>
    </row>
    <row r="29" spans="1:40" x14ac:dyDescent="0.25">
      <c r="A29" s="158"/>
      <c r="B29" t="s">
        <v>43</v>
      </c>
    </row>
    <row r="30" spans="1:40" x14ac:dyDescent="0.25">
      <c r="A30" s="15" t="s">
        <v>28</v>
      </c>
    </row>
  </sheetData>
  <mergeCells count="16">
    <mergeCell ref="AG1:AJ1"/>
    <mergeCell ref="AK1:AN1"/>
    <mergeCell ref="P1:R1"/>
    <mergeCell ref="H1:I1"/>
    <mergeCell ref="J1:M1"/>
    <mergeCell ref="N1:O1"/>
    <mergeCell ref="Y1:AB1"/>
    <mergeCell ref="AC1:AF1"/>
    <mergeCell ref="C16:E16"/>
    <mergeCell ref="C17:E17"/>
    <mergeCell ref="C18:E18"/>
    <mergeCell ref="C21:E21"/>
    <mergeCell ref="A1:C1"/>
    <mergeCell ref="E1:G1"/>
    <mergeCell ref="C19:E19"/>
    <mergeCell ref="C20:E20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T30"/>
  <sheetViews>
    <sheetView zoomScaleNormal="100" workbookViewId="0">
      <selection activeCell="V14" sqref="V14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875" bestFit="1" customWidth="1"/>
    <col min="5" max="18" width="3.75" customWidth="1"/>
    <col min="19" max="20" width="6.25" customWidth="1"/>
    <col min="21" max="21" width="19.125" customWidth="1"/>
    <col min="22" max="22" width="20.5" bestFit="1" customWidth="1"/>
    <col min="23" max="24" width="20.25" bestFit="1" customWidth="1"/>
    <col min="25" max="40" width="3.7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1212" t="s">
        <v>204</v>
      </c>
      <c r="B1" s="1213"/>
      <c r="C1" s="1213"/>
      <c r="D1" s="163"/>
      <c r="E1" s="1214" t="s">
        <v>24</v>
      </c>
      <c r="F1" s="1215"/>
      <c r="G1" s="1216"/>
      <c r="H1" s="1214" t="s">
        <v>23</v>
      </c>
      <c r="I1" s="1216"/>
      <c r="J1" s="1217" t="s">
        <v>6</v>
      </c>
      <c r="K1" s="1218"/>
      <c r="L1" s="1218"/>
      <c r="M1" s="1219"/>
      <c r="N1" s="1217" t="s">
        <v>7</v>
      </c>
      <c r="O1" s="1219"/>
      <c r="P1" s="1217" t="s">
        <v>25</v>
      </c>
      <c r="Q1" s="1218"/>
      <c r="R1" s="1219"/>
      <c r="S1" s="930" t="s">
        <v>8</v>
      </c>
      <c r="T1" s="930" t="s">
        <v>9</v>
      </c>
      <c r="U1" s="68" t="s">
        <v>10</v>
      </c>
      <c r="V1" s="67" t="s">
        <v>11</v>
      </c>
      <c r="W1" s="69" t="s">
        <v>26</v>
      </c>
      <c r="X1" s="170" t="s">
        <v>27</v>
      </c>
      <c r="Y1" s="1220" t="s">
        <v>20</v>
      </c>
      <c r="Z1" s="1044"/>
      <c r="AA1" s="1044"/>
      <c r="AB1" s="1045"/>
      <c r="AC1" s="1220" t="s">
        <v>61</v>
      </c>
      <c r="AD1" s="1044"/>
      <c r="AE1" s="1044"/>
      <c r="AF1" s="1045"/>
      <c r="AG1" s="1220" t="s">
        <v>62</v>
      </c>
      <c r="AH1" s="1044"/>
      <c r="AI1" s="1044"/>
      <c r="AJ1" s="1045"/>
      <c r="AK1" s="1220" t="s">
        <v>63</v>
      </c>
      <c r="AL1" s="1044"/>
      <c r="AM1" s="1044"/>
      <c r="AN1" s="1045"/>
      <c r="AP1" s="895" t="s">
        <v>699</v>
      </c>
      <c r="AQ1" s="868"/>
      <c r="AR1" s="868"/>
      <c r="AS1" s="895" t="s">
        <v>699</v>
      </c>
    </row>
    <row r="2" spans="1:46" ht="14.95" customHeight="1" thickBot="1" x14ac:dyDescent="0.3">
      <c r="A2" s="70" t="s">
        <v>19</v>
      </c>
      <c r="B2" s="71" t="s">
        <v>18</v>
      </c>
      <c r="C2" s="72" t="s">
        <v>17</v>
      </c>
      <c r="D2" s="73" t="s">
        <v>41</v>
      </c>
      <c r="E2" s="73" t="s">
        <v>16</v>
      </c>
      <c r="F2" s="73" t="s">
        <v>4</v>
      </c>
      <c r="G2" s="73" t="s">
        <v>5</v>
      </c>
      <c r="H2" s="74" t="s">
        <v>12</v>
      </c>
      <c r="I2" s="74" t="s">
        <v>3</v>
      </c>
      <c r="J2" s="74" t="s">
        <v>12</v>
      </c>
      <c r="K2" s="74" t="s">
        <v>13</v>
      </c>
      <c r="L2" s="74" t="s">
        <v>2</v>
      </c>
      <c r="M2" s="74" t="s">
        <v>14</v>
      </c>
      <c r="N2" s="74" t="s">
        <v>15</v>
      </c>
      <c r="O2" s="74" t="s">
        <v>16</v>
      </c>
      <c r="P2" s="74" t="s">
        <v>21</v>
      </c>
      <c r="Q2" s="74" t="s">
        <v>22</v>
      </c>
      <c r="R2" s="74" t="s">
        <v>12</v>
      </c>
      <c r="S2" s="75"/>
      <c r="T2" s="76"/>
      <c r="U2" s="77"/>
      <c r="V2" s="75"/>
      <c r="W2" s="78"/>
      <c r="X2" s="79"/>
      <c r="Y2" s="498" t="s">
        <v>0</v>
      </c>
      <c r="Z2" s="498" t="s">
        <v>1</v>
      </c>
      <c r="AA2" s="498" t="s">
        <v>2</v>
      </c>
      <c r="AB2" s="498" t="s">
        <v>3</v>
      </c>
      <c r="AC2" s="498" t="s">
        <v>0</v>
      </c>
      <c r="AD2" s="498" t="s">
        <v>1</v>
      </c>
      <c r="AE2" s="498" t="s">
        <v>2</v>
      </c>
      <c r="AF2" s="498" t="s">
        <v>3</v>
      </c>
      <c r="AG2" s="498" t="s">
        <v>0</v>
      </c>
      <c r="AH2" s="498" t="s">
        <v>1</v>
      </c>
      <c r="AI2" s="498" t="s">
        <v>2</v>
      </c>
      <c r="AJ2" s="498" t="s">
        <v>3</v>
      </c>
      <c r="AK2" s="498" t="s">
        <v>0</v>
      </c>
      <c r="AL2" s="498" t="s">
        <v>1</v>
      </c>
      <c r="AM2" s="498" t="s">
        <v>2</v>
      </c>
      <c r="AN2" s="498" t="s">
        <v>3</v>
      </c>
      <c r="AP2" s="592" t="s">
        <v>112</v>
      </c>
      <c r="AQ2" s="253"/>
      <c r="AS2" s="672" t="s">
        <v>610</v>
      </c>
      <c r="AT2" s="253"/>
    </row>
    <row r="3" spans="1:46" ht="14.95" customHeight="1" thickBot="1" x14ac:dyDescent="0.35">
      <c r="A3" s="195">
        <v>43666</v>
      </c>
      <c r="B3" s="214" t="s">
        <v>109</v>
      </c>
      <c r="C3" s="196" t="s">
        <v>29</v>
      </c>
      <c r="D3" s="230" t="s">
        <v>580</v>
      </c>
      <c r="E3" s="197" t="s">
        <v>1</v>
      </c>
      <c r="F3" s="197">
        <v>35</v>
      </c>
      <c r="G3" s="197">
        <v>17</v>
      </c>
      <c r="H3" s="197">
        <v>1</v>
      </c>
      <c r="I3" s="197">
        <v>0</v>
      </c>
      <c r="J3" s="197">
        <v>5</v>
      </c>
      <c r="K3" s="197">
        <v>5</v>
      </c>
      <c r="L3" s="197">
        <v>0</v>
      </c>
      <c r="M3" s="197">
        <v>0</v>
      </c>
      <c r="N3" s="197">
        <v>1</v>
      </c>
      <c r="O3" s="197">
        <v>0</v>
      </c>
      <c r="P3" s="197">
        <v>0</v>
      </c>
      <c r="Q3" s="197">
        <v>0</v>
      </c>
      <c r="R3" s="197">
        <v>2</v>
      </c>
      <c r="S3" s="209">
        <v>51206</v>
      </c>
      <c r="T3" s="346" t="s">
        <v>718</v>
      </c>
      <c r="U3" s="210" t="s">
        <v>273</v>
      </c>
      <c r="V3" s="209" t="s">
        <v>131</v>
      </c>
      <c r="W3" s="198" t="s">
        <v>295</v>
      </c>
      <c r="X3" s="211" t="s">
        <v>233</v>
      </c>
      <c r="Y3" s="212">
        <v>1</v>
      </c>
      <c r="Z3" s="212">
        <v>1</v>
      </c>
      <c r="AA3" s="212">
        <v>0</v>
      </c>
      <c r="AB3" s="213">
        <v>0</v>
      </c>
      <c r="AC3" s="212">
        <v>1</v>
      </c>
      <c r="AD3" s="212">
        <v>1</v>
      </c>
      <c r="AE3" s="212">
        <v>0</v>
      </c>
      <c r="AF3" s="213">
        <v>0</v>
      </c>
      <c r="AG3" s="212">
        <v>0</v>
      </c>
      <c r="AH3" s="212">
        <v>0</v>
      </c>
      <c r="AI3" s="212">
        <v>0</v>
      </c>
      <c r="AJ3" s="213">
        <v>0</v>
      </c>
      <c r="AK3" s="212">
        <v>0</v>
      </c>
      <c r="AL3" s="212">
        <v>0</v>
      </c>
      <c r="AM3" s="212">
        <v>0</v>
      </c>
      <c r="AN3" s="213">
        <v>0</v>
      </c>
      <c r="AP3" s="849" t="s">
        <v>627</v>
      </c>
      <c r="AQ3" s="850">
        <f>Rsaalltestshistplayed</f>
        <v>503</v>
      </c>
      <c r="AS3" s="849" t="s">
        <v>627</v>
      </c>
      <c r="AT3" s="850">
        <f>RsaRWChistplayed</f>
        <v>43</v>
      </c>
    </row>
    <row r="4" spans="1:46" ht="14.95" customHeight="1" thickBot="1" x14ac:dyDescent="0.3">
      <c r="A4" s="187">
        <v>43673</v>
      </c>
      <c r="B4" s="192" t="s">
        <v>109</v>
      </c>
      <c r="C4" s="178" t="s">
        <v>126</v>
      </c>
      <c r="D4" s="192" t="s">
        <v>583</v>
      </c>
      <c r="E4" s="179" t="s">
        <v>2</v>
      </c>
      <c r="F4" s="179">
        <v>16</v>
      </c>
      <c r="G4" s="193">
        <v>16</v>
      </c>
      <c r="H4" s="193">
        <v>0</v>
      </c>
      <c r="I4" s="179">
        <v>0</v>
      </c>
      <c r="J4" s="179">
        <v>1</v>
      </c>
      <c r="K4" s="179">
        <v>1</v>
      </c>
      <c r="L4" s="179">
        <v>0</v>
      </c>
      <c r="M4" s="179">
        <v>3</v>
      </c>
      <c r="N4" s="179">
        <v>0</v>
      </c>
      <c r="O4" s="179">
        <v>0</v>
      </c>
      <c r="P4" s="179">
        <v>0</v>
      </c>
      <c r="Q4" s="179">
        <v>0</v>
      </c>
      <c r="R4" s="179">
        <v>1</v>
      </c>
      <c r="S4" s="397">
        <v>35213</v>
      </c>
      <c r="T4" s="398" t="s">
        <v>738</v>
      </c>
      <c r="U4" s="399" t="s">
        <v>227</v>
      </c>
      <c r="V4" s="397" t="s">
        <v>131</v>
      </c>
      <c r="W4" s="400" t="s">
        <v>278</v>
      </c>
      <c r="X4" s="401" t="s">
        <v>149</v>
      </c>
      <c r="Y4" s="182">
        <v>1</v>
      </c>
      <c r="Z4" s="182">
        <v>0</v>
      </c>
      <c r="AA4" s="182">
        <v>1</v>
      </c>
      <c r="AB4" s="186">
        <v>0</v>
      </c>
      <c r="AC4" s="182">
        <v>0</v>
      </c>
      <c r="AD4" s="182">
        <v>0</v>
      </c>
      <c r="AE4" s="182">
        <v>0</v>
      </c>
      <c r="AF4" s="186">
        <v>0</v>
      </c>
      <c r="AG4" s="182">
        <v>1</v>
      </c>
      <c r="AH4" s="182">
        <v>0</v>
      </c>
      <c r="AI4" s="182">
        <v>1</v>
      </c>
      <c r="AJ4" s="186">
        <v>0</v>
      </c>
      <c r="AK4" s="182">
        <v>0</v>
      </c>
      <c r="AL4" s="182">
        <v>0</v>
      </c>
      <c r="AM4" s="182">
        <v>0</v>
      </c>
      <c r="AN4" s="186">
        <v>0</v>
      </c>
      <c r="AP4" s="851" t="s">
        <v>628</v>
      </c>
      <c r="AQ4" s="852">
        <f>Rsaalltestshistwon</f>
        <v>315</v>
      </c>
      <c r="AS4" s="851" t="s">
        <v>628</v>
      </c>
      <c r="AT4" s="852">
        <f>RsaRWChistwon</f>
        <v>36</v>
      </c>
    </row>
    <row r="5" spans="1:46" ht="14.95" customHeight="1" thickBot="1" x14ac:dyDescent="0.35">
      <c r="A5" s="187">
        <v>43687</v>
      </c>
      <c r="B5" s="192" t="s">
        <v>109</v>
      </c>
      <c r="C5" s="178" t="s">
        <v>37</v>
      </c>
      <c r="D5" s="192" t="s">
        <v>594</v>
      </c>
      <c r="E5" s="179" t="s">
        <v>1</v>
      </c>
      <c r="F5" s="179">
        <v>46</v>
      </c>
      <c r="G5" s="193">
        <v>13</v>
      </c>
      <c r="H5" s="193">
        <v>1</v>
      </c>
      <c r="I5" s="179">
        <v>0</v>
      </c>
      <c r="J5" s="179">
        <v>5</v>
      </c>
      <c r="K5" s="179">
        <v>3</v>
      </c>
      <c r="L5" s="179">
        <v>0</v>
      </c>
      <c r="M5" s="179">
        <v>5</v>
      </c>
      <c r="N5" s="179">
        <v>1</v>
      </c>
      <c r="O5" s="179">
        <v>0</v>
      </c>
      <c r="P5" s="179">
        <v>0</v>
      </c>
      <c r="Q5" s="179">
        <v>0</v>
      </c>
      <c r="R5" s="179">
        <v>1</v>
      </c>
      <c r="S5" s="182">
        <v>22190</v>
      </c>
      <c r="T5" s="473" t="s">
        <v>767</v>
      </c>
      <c r="U5" s="194" t="s">
        <v>130</v>
      </c>
      <c r="V5" s="182" t="s">
        <v>131</v>
      </c>
      <c r="W5" s="182" t="s">
        <v>766</v>
      </c>
      <c r="X5" s="200" t="s">
        <v>233</v>
      </c>
      <c r="Y5" s="182">
        <v>1</v>
      </c>
      <c r="Z5" s="182">
        <v>1</v>
      </c>
      <c r="AA5" s="182">
        <v>0</v>
      </c>
      <c r="AB5" s="186">
        <v>0</v>
      </c>
      <c r="AC5" s="182">
        <v>0</v>
      </c>
      <c r="AD5" s="182">
        <v>0</v>
      </c>
      <c r="AE5" s="182">
        <v>0</v>
      </c>
      <c r="AF5" s="186">
        <v>0</v>
      </c>
      <c r="AG5" s="182">
        <v>1</v>
      </c>
      <c r="AH5" s="182">
        <v>1</v>
      </c>
      <c r="AI5" s="182">
        <v>0</v>
      </c>
      <c r="AJ5" s="186">
        <v>0</v>
      </c>
      <c r="AK5" s="182">
        <v>0</v>
      </c>
      <c r="AL5" s="182">
        <v>0</v>
      </c>
      <c r="AM5" s="182">
        <v>0</v>
      </c>
      <c r="AN5" s="186">
        <v>0</v>
      </c>
      <c r="AP5" s="851" t="s">
        <v>634</v>
      </c>
      <c r="AQ5" s="852">
        <f>Rsaalltestshistdrawn</f>
        <v>24</v>
      </c>
      <c r="AS5" s="851" t="s">
        <v>634</v>
      </c>
      <c r="AT5" s="852">
        <f>RsaRWChistdrawn</f>
        <v>0</v>
      </c>
    </row>
    <row r="6" spans="1:46" ht="14.95" customHeight="1" thickBot="1" x14ac:dyDescent="0.35">
      <c r="A6" s="195">
        <v>43694</v>
      </c>
      <c r="B6" s="230" t="s">
        <v>45</v>
      </c>
      <c r="C6" s="196" t="s">
        <v>37</v>
      </c>
      <c r="D6" s="196" t="s">
        <v>598</v>
      </c>
      <c r="E6" s="197" t="s">
        <v>1</v>
      </c>
      <c r="F6" s="197">
        <v>24</v>
      </c>
      <c r="G6" s="231">
        <v>18</v>
      </c>
      <c r="H6" s="412" t="s">
        <v>108</v>
      </c>
      <c r="I6" s="231" t="s">
        <v>108</v>
      </c>
      <c r="J6" s="197">
        <v>2</v>
      </c>
      <c r="K6" s="197">
        <v>1</v>
      </c>
      <c r="L6" s="197">
        <v>0</v>
      </c>
      <c r="M6" s="197">
        <v>4</v>
      </c>
      <c r="N6" s="197">
        <v>0</v>
      </c>
      <c r="O6" s="197">
        <v>0</v>
      </c>
      <c r="P6" s="197" t="s">
        <v>108</v>
      </c>
      <c r="Q6" s="197" t="s">
        <v>108</v>
      </c>
      <c r="R6" s="197">
        <v>2</v>
      </c>
      <c r="S6" s="198">
        <v>51762</v>
      </c>
      <c r="T6" s="413" t="s">
        <v>796</v>
      </c>
      <c r="U6" s="232" t="s">
        <v>133</v>
      </c>
      <c r="V6" s="198" t="s">
        <v>144</v>
      </c>
      <c r="W6" s="198" t="s">
        <v>129</v>
      </c>
      <c r="X6" s="199" t="s">
        <v>384</v>
      </c>
      <c r="Y6" s="198">
        <v>1</v>
      </c>
      <c r="Z6" s="198">
        <v>1</v>
      </c>
      <c r="AA6" s="198">
        <v>0</v>
      </c>
      <c r="AB6" s="233">
        <v>0</v>
      </c>
      <c r="AC6" s="198">
        <v>1</v>
      </c>
      <c r="AD6" s="198">
        <v>1</v>
      </c>
      <c r="AE6" s="198">
        <v>0</v>
      </c>
      <c r="AF6" s="233">
        <v>0</v>
      </c>
      <c r="AG6" s="198">
        <v>0</v>
      </c>
      <c r="AH6" s="198">
        <v>0</v>
      </c>
      <c r="AI6" s="198">
        <v>0</v>
      </c>
      <c r="AJ6" s="233">
        <v>0</v>
      </c>
      <c r="AK6" s="198">
        <v>0</v>
      </c>
      <c r="AL6" s="198">
        <v>0</v>
      </c>
      <c r="AM6" s="198">
        <v>0</v>
      </c>
      <c r="AN6" s="233">
        <v>0</v>
      </c>
      <c r="AP6" s="851" t="s">
        <v>629</v>
      </c>
      <c r="AQ6" s="852">
        <f>Rsaalltestshistlost</f>
        <v>164</v>
      </c>
      <c r="AS6" s="851" t="s">
        <v>629</v>
      </c>
      <c r="AT6" s="852">
        <f>RsaRWChistlost</f>
        <v>7</v>
      </c>
    </row>
    <row r="7" spans="1:46" ht="14.95" customHeight="1" thickBot="1" x14ac:dyDescent="0.35">
      <c r="A7" s="187">
        <v>43714</v>
      </c>
      <c r="B7" s="192" t="s">
        <v>45</v>
      </c>
      <c r="C7" s="178" t="s">
        <v>36</v>
      </c>
      <c r="D7" s="178" t="s">
        <v>603</v>
      </c>
      <c r="E7" s="179" t="s">
        <v>1</v>
      </c>
      <c r="F7" s="179">
        <v>41</v>
      </c>
      <c r="G7" s="193">
        <v>7</v>
      </c>
      <c r="H7" s="193" t="s">
        <v>108</v>
      </c>
      <c r="I7" s="179" t="s">
        <v>108</v>
      </c>
      <c r="J7" s="179">
        <v>6</v>
      </c>
      <c r="K7" s="179">
        <v>4</v>
      </c>
      <c r="L7" s="179">
        <v>0</v>
      </c>
      <c r="M7" s="179">
        <v>1</v>
      </c>
      <c r="N7" s="179">
        <v>1</v>
      </c>
      <c r="O7" s="179">
        <v>0</v>
      </c>
      <c r="P7" s="179" t="s">
        <v>108</v>
      </c>
      <c r="Q7" s="179" t="s">
        <v>108</v>
      </c>
      <c r="R7" s="179">
        <v>1</v>
      </c>
      <c r="S7" s="182">
        <v>22258</v>
      </c>
      <c r="T7" s="473" t="s">
        <v>836</v>
      </c>
      <c r="U7" s="194" t="s">
        <v>227</v>
      </c>
      <c r="V7" s="182" t="s">
        <v>144</v>
      </c>
      <c r="W7" s="182" t="s">
        <v>730</v>
      </c>
      <c r="X7" s="200" t="s">
        <v>731</v>
      </c>
      <c r="Y7" s="182">
        <v>1</v>
      </c>
      <c r="Z7" s="182">
        <v>1</v>
      </c>
      <c r="AA7" s="182">
        <v>0</v>
      </c>
      <c r="AB7" s="186">
        <v>0</v>
      </c>
      <c r="AC7" s="182">
        <v>0</v>
      </c>
      <c r="AD7" s="182">
        <v>0</v>
      </c>
      <c r="AE7" s="182">
        <v>0</v>
      </c>
      <c r="AF7" s="186">
        <v>0</v>
      </c>
      <c r="AG7" s="182">
        <v>1</v>
      </c>
      <c r="AH7" s="182">
        <v>1</v>
      </c>
      <c r="AI7" s="182">
        <v>0</v>
      </c>
      <c r="AJ7" s="186">
        <v>0</v>
      </c>
      <c r="AK7" s="182">
        <v>0</v>
      </c>
      <c r="AL7" s="182">
        <v>0</v>
      </c>
      <c r="AM7" s="182">
        <v>0</v>
      </c>
      <c r="AN7" s="186">
        <v>0</v>
      </c>
      <c r="AP7" s="851" t="s">
        <v>635</v>
      </c>
      <c r="AQ7" s="852">
        <f>Rsaalltestshistptsscored</f>
        <v>11815</v>
      </c>
      <c r="AS7" s="851" t="s">
        <v>635</v>
      </c>
      <c r="AT7" s="852">
        <f>RsaRWChistptsscored</f>
        <v>1512</v>
      </c>
    </row>
    <row r="8" spans="1:46" ht="14.95" customHeight="1" thickBot="1" x14ac:dyDescent="0.3">
      <c r="A8" s="188">
        <v>43729</v>
      </c>
      <c r="B8" s="483" t="s">
        <v>158</v>
      </c>
      <c r="C8" s="189" t="s">
        <v>126</v>
      </c>
      <c r="D8" s="483" t="s">
        <v>141</v>
      </c>
      <c r="E8" s="190" t="s">
        <v>3</v>
      </c>
      <c r="F8" s="190">
        <v>13</v>
      </c>
      <c r="G8" s="484">
        <v>23</v>
      </c>
      <c r="H8" s="484">
        <v>0</v>
      </c>
      <c r="I8" s="190">
        <v>0</v>
      </c>
      <c r="J8" s="190">
        <v>1</v>
      </c>
      <c r="K8" s="190">
        <v>1</v>
      </c>
      <c r="L8" s="190">
        <v>0</v>
      </c>
      <c r="M8" s="190">
        <v>2</v>
      </c>
      <c r="N8" s="190">
        <v>0</v>
      </c>
      <c r="O8" s="190">
        <v>0</v>
      </c>
      <c r="P8" s="190">
        <v>0</v>
      </c>
      <c r="Q8" s="190">
        <v>0</v>
      </c>
      <c r="R8" s="190">
        <v>2</v>
      </c>
      <c r="S8" s="191">
        <v>63649</v>
      </c>
      <c r="T8" s="926" t="s">
        <v>864</v>
      </c>
      <c r="U8" s="191" t="s">
        <v>138</v>
      </c>
      <c r="V8" s="191" t="s">
        <v>232</v>
      </c>
      <c r="W8" s="191" t="s">
        <v>130</v>
      </c>
      <c r="X8" s="486" t="s">
        <v>233</v>
      </c>
      <c r="Y8" s="191">
        <v>1</v>
      </c>
      <c r="Z8" s="191">
        <v>0</v>
      </c>
      <c r="AA8" s="191">
        <v>0</v>
      </c>
      <c r="AB8" s="487">
        <v>1</v>
      </c>
      <c r="AC8" s="191">
        <v>0</v>
      </c>
      <c r="AD8" s="191">
        <v>0</v>
      </c>
      <c r="AE8" s="191">
        <v>0</v>
      </c>
      <c r="AF8" s="487">
        <v>0</v>
      </c>
      <c r="AG8" s="191">
        <v>0</v>
      </c>
      <c r="AH8" s="191">
        <v>0</v>
      </c>
      <c r="AI8" s="191">
        <v>0</v>
      </c>
      <c r="AJ8" s="487">
        <v>0</v>
      </c>
      <c r="AK8" s="191">
        <v>1</v>
      </c>
      <c r="AL8" s="191">
        <v>0</v>
      </c>
      <c r="AM8" s="191">
        <v>0</v>
      </c>
      <c r="AN8" s="487">
        <v>1</v>
      </c>
      <c r="AP8" s="851" t="s">
        <v>636</v>
      </c>
      <c r="AQ8" s="852">
        <f>Rsaalltestshistptscon</f>
        <v>8132</v>
      </c>
      <c r="AS8" s="851" t="s">
        <v>636</v>
      </c>
      <c r="AT8" s="852">
        <f>RsaRWChistptscon</f>
        <v>553</v>
      </c>
    </row>
    <row r="9" spans="1:46" ht="14.95" customHeight="1" thickBot="1" x14ac:dyDescent="0.3">
      <c r="A9" s="579">
        <v>43736</v>
      </c>
      <c r="B9" s="513" t="s">
        <v>158</v>
      </c>
      <c r="C9" s="513" t="s">
        <v>193</v>
      </c>
      <c r="D9" s="513" t="s">
        <v>128</v>
      </c>
      <c r="E9" s="190" t="s">
        <v>1</v>
      </c>
      <c r="F9" s="190">
        <v>57</v>
      </c>
      <c r="G9" s="484">
        <v>3</v>
      </c>
      <c r="H9" s="484">
        <v>1</v>
      </c>
      <c r="I9" s="190">
        <v>0</v>
      </c>
      <c r="J9" s="190">
        <v>9</v>
      </c>
      <c r="K9" s="190">
        <v>6</v>
      </c>
      <c r="L9" s="190">
        <v>0</v>
      </c>
      <c r="M9" s="190">
        <v>0</v>
      </c>
      <c r="N9" s="190">
        <v>0</v>
      </c>
      <c r="O9" s="190">
        <v>0</v>
      </c>
      <c r="P9" s="190">
        <v>0</v>
      </c>
      <c r="Q9" s="190">
        <v>0</v>
      </c>
      <c r="R9" s="190">
        <v>0</v>
      </c>
      <c r="S9" s="203">
        <v>36449</v>
      </c>
      <c r="T9" s="947" t="s">
        <v>911</v>
      </c>
      <c r="U9" s="204" t="s">
        <v>136</v>
      </c>
      <c r="V9" s="203" t="s">
        <v>232</v>
      </c>
      <c r="W9" s="191" t="s">
        <v>227</v>
      </c>
      <c r="X9" s="205" t="s">
        <v>129</v>
      </c>
      <c r="Y9" s="191">
        <v>1</v>
      </c>
      <c r="Z9" s="191">
        <v>1</v>
      </c>
      <c r="AA9" s="191">
        <v>0</v>
      </c>
      <c r="AB9" s="487">
        <v>0</v>
      </c>
      <c r="AC9" s="191">
        <v>0</v>
      </c>
      <c r="AD9" s="191">
        <v>0</v>
      </c>
      <c r="AE9" s="191">
        <v>0</v>
      </c>
      <c r="AF9" s="487">
        <v>0</v>
      </c>
      <c r="AG9" s="191">
        <v>0</v>
      </c>
      <c r="AH9" s="191">
        <v>0</v>
      </c>
      <c r="AI9" s="191">
        <v>0</v>
      </c>
      <c r="AJ9" s="487">
        <v>0</v>
      </c>
      <c r="AK9" s="191">
        <v>0</v>
      </c>
      <c r="AL9" s="191">
        <v>0</v>
      </c>
      <c r="AM9" s="191">
        <v>0</v>
      </c>
      <c r="AN9" s="487">
        <v>0</v>
      </c>
      <c r="AP9" s="851" t="s">
        <v>623</v>
      </c>
      <c r="AQ9" s="852">
        <f>Rsaalltestshisttriesscored</f>
        <v>1428</v>
      </c>
      <c r="AS9" s="851" t="s">
        <v>623</v>
      </c>
      <c r="AT9" s="852">
        <f>RsaRWChisttriesscored</f>
        <v>174</v>
      </c>
    </row>
    <row r="10" spans="1:46" ht="14.95" customHeight="1" thickBot="1" x14ac:dyDescent="0.35">
      <c r="A10" s="188">
        <v>43742</v>
      </c>
      <c r="B10" s="483" t="s">
        <v>158</v>
      </c>
      <c r="C10" s="189" t="s">
        <v>33</v>
      </c>
      <c r="D10" s="189" t="s">
        <v>172</v>
      </c>
      <c r="E10" s="190" t="s">
        <v>1</v>
      </c>
      <c r="F10" s="190">
        <v>49</v>
      </c>
      <c r="G10" s="484">
        <v>3</v>
      </c>
      <c r="H10" s="634">
        <v>1</v>
      </c>
      <c r="I10" s="484">
        <v>0</v>
      </c>
      <c r="J10" s="190">
        <v>7</v>
      </c>
      <c r="K10" s="190">
        <v>4</v>
      </c>
      <c r="L10" s="190">
        <v>0</v>
      </c>
      <c r="M10" s="190">
        <v>2</v>
      </c>
      <c r="N10" s="190">
        <v>0</v>
      </c>
      <c r="O10" s="190">
        <v>0</v>
      </c>
      <c r="P10" s="190">
        <v>0</v>
      </c>
      <c r="Q10" s="190">
        <v>0</v>
      </c>
      <c r="R10" s="190">
        <v>0</v>
      </c>
      <c r="S10" s="203">
        <v>44148</v>
      </c>
      <c r="T10" s="411" t="s">
        <v>330</v>
      </c>
      <c r="U10" s="204" t="s">
        <v>132</v>
      </c>
      <c r="V10" s="203" t="s">
        <v>131</v>
      </c>
      <c r="W10" s="191" t="s">
        <v>130</v>
      </c>
      <c r="X10" s="205" t="s">
        <v>212</v>
      </c>
      <c r="Y10" s="191">
        <v>1</v>
      </c>
      <c r="Z10" s="191">
        <v>1</v>
      </c>
      <c r="AA10" s="191">
        <v>0</v>
      </c>
      <c r="AB10" s="487">
        <v>0</v>
      </c>
      <c r="AC10" s="191">
        <v>0</v>
      </c>
      <c r="AD10" s="191">
        <v>0</v>
      </c>
      <c r="AE10" s="191">
        <v>0</v>
      </c>
      <c r="AF10" s="487">
        <v>0</v>
      </c>
      <c r="AG10" s="191">
        <v>0</v>
      </c>
      <c r="AH10" s="191">
        <v>0</v>
      </c>
      <c r="AI10" s="191">
        <v>0</v>
      </c>
      <c r="AJ10" s="487">
        <v>0</v>
      </c>
      <c r="AK10" s="191">
        <v>1</v>
      </c>
      <c r="AL10" s="191">
        <v>1</v>
      </c>
      <c r="AM10" s="191">
        <v>0</v>
      </c>
      <c r="AN10" s="487">
        <v>0</v>
      </c>
    </row>
    <row r="11" spans="1:46" ht="14.95" customHeight="1" thickBot="1" x14ac:dyDescent="0.3">
      <c r="A11" s="579">
        <v>43746</v>
      </c>
      <c r="B11" s="513" t="s">
        <v>158</v>
      </c>
      <c r="C11" s="513" t="s">
        <v>40</v>
      </c>
      <c r="D11" s="513" t="s">
        <v>127</v>
      </c>
      <c r="E11" s="190" t="s">
        <v>1</v>
      </c>
      <c r="F11" s="190">
        <v>66</v>
      </c>
      <c r="G11" s="484">
        <v>7</v>
      </c>
      <c r="H11" s="484">
        <v>1</v>
      </c>
      <c r="I11" s="190">
        <v>0</v>
      </c>
      <c r="J11" s="190">
        <v>10</v>
      </c>
      <c r="K11" s="190">
        <v>8</v>
      </c>
      <c r="L11" s="190">
        <v>0</v>
      </c>
      <c r="M11" s="190">
        <v>0</v>
      </c>
      <c r="N11" s="190">
        <v>0</v>
      </c>
      <c r="O11" s="190">
        <v>0</v>
      </c>
      <c r="P11" s="190">
        <v>0</v>
      </c>
      <c r="Q11" s="190">
        <v>0</v>
      </c>
      <c r="R11" s="190">
        <v>1</v>
      </c>
      <c r="S11" s="191">
        <v>28014</v>
      </c>
      <c r="T11" s="518" t="s">
        <v>940</v>
      </c>
      <c r="U11" s="191" t="s">
        <v>133</v>
      </c>
      <c r="V11" s="191" t="s">
        <v>131</v>
      </c>
      <c r="W11" s="191" t="s">
        <v>278</v>
      </c>
      <c r="X11" s="191" t="s">
        <v>129</v>
      </c>
      <c r="Y11" s="191">
        <v>1</v>
      </c>
      <c r="Z11" s="191">
        <v>1</v>
      </c>
      <c r="AA11" s="191">
        <v>0</v>
      </c>
      <c r="AB11" s="487">
        <v>0</v>
      </c>
      <c r="AC11" s="191">
        <v>0</v>
      </c>
      <c r="AD11" s="191">
        <v>0</v>
      </c>
      <c r="AE11" s="191">
        <v>0</v>
      </c>
      <c r="AF11" s="487">
        <v>0</v>
      </c>
      <c r="AG11" s="191">
        <v>0</v>
      </c>
      <c r="AH11" s="191">
        <v>0</v>
      </c>
      <c r="AI11" s="191">
        <v>0</v>
      </c>
      <c r="AJ11" s="487">
        <v>0</v>
      </c>
      <c r="AK11" s="191">
        <v>1</v>
      </c>
      <c r="AL11" s="191">
        <v>1</v>
      </c>
      <c r="AM11" s="191">
        <v>0</v>
      </c>
      <c r="AN11" s="487">
        <v>0</v>
      </c>
    </row>
    <row r="12" spans="1:46" ht="14.95" customHeight="1" thickBot="1" x14ac:dyDescent="0.35">
      <c r="A12" s="969">
        <v>43758</v>
      </c>
      <c r="B12" s="970" t="s">
        <v>110</v>
      </c>
      <c r="C12" s="971" t="s">
        <v>36</v>
      </c>
      <c r="D12" s="971" t="s">
        <v>160</v>
      </c>
      <c r="E12" s="972" t="s">
        <v>1</v>
      </c>
      <c r="F12" s="978">
        <v>26</v>
      </c>
      <c r="G12" s="978">
        <v>3</v>
      </c>
      <c r="H12" s="978" t="s">
        <v>108</v>
      </c>
      <c r="I12" s="978" t="s">
        <v>108</v>
      </c>
      <c r="J12" s="978">
        <v>3</v>
      </c>
      <c r="K12" s="978">
        <v>1</v>
      </c>
      <c r="L12" s="978">
        <v>0</v>
      </c>
      <c r="M12" s="978">
        <v>3</v>
      </c>
      <c r="N12" s="978">
        <v>1</v>
      </c>
      <c r="O12" s="978">
        <v>0</v>
      </c>
      <c r="P12" s="978" t="s">
        <v>108</v>
      </c>
      <c r="Q12" s="978" t="s">
        <v>108</v>
      </c>
      <c r="R12" s="978">
        <v>0</v>
      </c>
      <c r="S12" s="973">
        <v>48831</v>
      </c>
      <c r="T12" s="974" t="s">
        <v>980</v>
      </c>
      <c r="U12" s="975" t="s">
        <v>132</v>
      </c>
      <c r="V12" s="975" t="s">
        <v>131</v>
      </c>
      <c r="W12" s="975" t="s">
        <v>276</v>
      </c>
      <c r="X12" s="976" t="s">
        <v>133</v>
      </c>
      <c r="Y12" s="976">
        <v>1</v>
      </c>
      <c r="Z12" s="977">
        <v>1</v>
      </c>
      <c r="AA12" s="977">
        <v>0</v>
      </c>
      <c r="AB12" s="977">
        <v>0</v>
      </c>
      <c r="AC12" s="977">
        <v>0</v>
      </c>
      <c r="AD12" s="977">
        <v>0</v>
      </c>
      <c r="AE12" s="977">
        <v>0</v>
      </c>
      <c r="AF12" s="977">
        <v>0</v>
      </c>
      <c r="AG12" s="977">
        <v>1</v>
      </c>
      <c r="AH12" s="977">
        <v>1</v>
      </c>
      <c r="AI12" s="977">
        <v>0</v>
      </c>
      <c r="AJ12" s="977">
        <v>0</v>
      </c>
      <c r="AK12" s="977">
        <v>0</v>
      </c>
      <c r="AL12" s="977">
        <v>0</v>
      </c>
      <c r="AM12" s="977">
        <v>0</v>
      </c>
      <c r="AN12" s="977">
        <v>0</v>
      </c>
    </row>
    <row r="13" spans="1:46" ht="14.95" customHeight="1" thickBot="1" x14ac:dyDescent="0.3">
      <c r="A13" s="188">
        <v>43765</v>
      </c>
      <c r="B13" s="483" t="s">
        <v>161</v>
      </c>
      <c r="C13" s="189" t="s">
        <v>32</v>
      </c>
      <c r="D13" s="189" t="s">
        <v>141</v>
      </c>
      <c r="E13" s="964" t="s">
        <v>1</v>
      </c>
      <c r="F13" s="965">
        <v>19</v>
      </c>
      <c r="G13" s="965">
        <v>16</v>
      </c>
      <c r="H13" s="965" t="s">
        <v>108</v>
      </c>
      <c r="I13" s="965" t="s">
        <v>108</v>
      </c>
      <c r="J13" s="965">
        <v>1</v>
      </c>
      <c r="K13" s="965">
        <v>1</v>
      </c>
      <c r="L13" s="965">
        <v>0</v>
      </c>
      <c r="M13" s="965">
        <v>4</v>
      </c>
      <c r="N13" s="965">
        <v>0</v>
      </c>
      <c r="O13" s="965">
        <v>0</v>
      </c>
      <c r="P13" s="965" t="s">
        <v>108</v>
      </c>
      <c r="Q13" s="965" t="s">
        <v>108</v>
      </c>
      <c r="R13" s="965">
        <v>1</v>
      </c>
      <c r="S13" s="981">
        <v>67750</v>
      </c>
      <c r="T13" s="518" t="s">
        <v>989</v>
      </c>
      <c r="U13" s="933" t="s">
        <v>138</v>
      </c>
      <c r="V13" s="933" t="s">
        <v>277</v>
      </c>
      <c r="W13" s="933" t="s">
        <v>132</v>
      </c>
      <c r="X13" s="191" t="s">
        <v>276</v>
      </c>
      <c r="Y13" s="191">
        <v>1</v>
      </c>
      <c r="Z13" s="487">
        <v>1</v>
      </c>
      <c r="AA13" s="487">
        <v>0</v>
      </c>
      <c r="AB13" s="487">
        <v>0</v>
      </c>
      <c r="AC13" s="487">
        <v>0</v>
      </c>
      <c r="AD13" s="487">
        <v>0</v>
      </c>
      <c r="AE13" s="487">
        <v>0</v>
      </c>
      <c r="AF13" s="487">
        <v>0</v>
      </c>
      <c r="AG13" s="487">
        <v>0</v>
      </c>
      <c r="AH13" s="487">
        <v>0</v>
      </c>
      <c r="AI13" s="487">
        <v>0</v>
      </c>
      <c r="AJ13" s="487">
        <v>0</v>
      </c>
      <c r="AK13" s="487">
        <v>1</v>
      </c>
      <c r="AL13" s="487">
        <v>1</v>
      </c>
      <c r="AM13" s="487">
        <v>0</v>
      </c>
      <c r="AN13" s="487">
        <v>0</v>
      </c>
    </row>
    <row r="14" spans="1:46" ht="14.95" customHeight="1" thickBot="1" x14ac:dyDescent="0.3">
      <c r="A14" s="188">
        <v>43771</v>
      </c>
      <c r="B14" s="483" t="s">
        <v>162</v>
      </c>
      <c r="C14" s="189" t="s">
        <v>30</v>
      </c>
      <c r="D14" s="189" t="s">
        <v>141</v>
      </c>
      <c r="E14" s="964" t="s">
        <v>1</v>
      </c>
      <c r="F14" s="965">
        <v>32</v>
      </c>
      <c r="G14" s="965">
        <v>12</v>
      </c>
      <c r="H14" s="965" t="s">
        <v>108</v>
      </c>
      <c r="I14" s="965" t="s">
        <v>108</v>
      </c>
      <c r="J14" s="965">
        <v>2</v>
      </c>
      <c r="K14" s="965">
        <v>2</v>
      </c>
      <c r="L14" s="965">
        <v>0</v>
      </c>
      <c r="M14" s="965">
        <v>6</v>
      </c>
      <c r="N14" s="965">
        <v>0</v>
      </c>
      <c r="O14" s="965">
        <v>0</v>
      </c>
      <c r="P14" s="965" t="s">
        <v>108</v>
      </c>
      <c r="Q14" s="965" t="s">
        <v>108</v>
      </c>
      <c r="R14" s="965">
        <v>0</v>
      </c>
      <c r="S14" s="982">
        <v>70103</v>
      </c>
      <c r="T14" s="518" t="s">
        <v>356</v>
      </c>
      <c r="U14" s="933" t="s">
        <v>138</v>
      </c>
      <c r="V14" s="933" t="s">
        <v>277</v>
      </c>
      <c r="W14" s="933" t="s">
        <v>130</v>
      </c>
      <c r="X14" s="191" t="s">
        <v>993</v>
      </c>
      <c r="Y14" s="191">
        <v>1</v>
      </c>
      <c r="Z14" s="487">
        <v>1</v>
      </c>
      <c r="AA14" s="487">
        <v>0</v>
      </c>
      <c r="AB14" s="487">
        <v>0</v>
      </c>
      <c r="AC14" s="487">
        <v>0</v>
      </c>
      <c r="AD14" s="487">
        <v>0</v>
      </c>
      <c r="AE14" s="487">
        <v>0</v>
      </c>
      <c r="AF14" s="487">
        <v>0</v>
      </c>
      <c r="AG14" s="487">
        <v>0</v>
      </c>
      <c r="AH14" s="487">
        <v>0</v>
      </c>
      <c r="AI14" s="487">
        <v>0</v>
      </c>
      <c r="AJ14" s="487">
        <v>0</v>
      </c>
      <c r="AK14" s="487">
        <v>1</v>
      </c>
      <c r="AL14" s="487">
        <v>1</v>
      </c>
      <c r="AM14" s="487">
        <v>0</v>
      </c>
      <c r="AN14" s="487">
        <v>0</v>
      </c>
    </row>
    <row r="15" spans="1:46" ht="14.95" thickBot="1" x14ac:dyDescent="0.3">
      <c r="A15" s="438"/>
      <c r="B15" s="439"/>
      <c r="C15" s="1031" t="s">
        <v>113</v>
      </c>
      <c r="D15" s="1032"/>
      <c r="E15" s="1033"/>
      <c r="F15" s="465">
        <f>SUM(F3:F5)</f>
        <v>97</v>
      </c>
      <c r="G15" s="465">
        <f t="shared" ref="G15:R15" si="0">SUM(G3:G5)</f>
        <v>46</v>
      </c>
      <c r="H15" s="465">
        <f t="shared" si="0"/>
        <v>2</v>
      </c>
      <c r="I15" s="465">
        <f t="shared" si="0"/>
        <v>0</v>
      </c>
      <c r="J15" s="465">
        <f t="shared" si="0"/>
        <v>11</v>
      </c>
      <c r="K15" s="465">
        <f t="shared" si="0"/>
        <v>9</v>
      </c>
      <c r="L15" s="465">
        <f t="shared" si="0"/>
        <v>0</v>
      </c>
      <c r="M15" s="465">
        <f t="shared" si="0"/>
        <v>8</v>
      </c>
      <c r="N15" s="465">
        <f t="shared" si="0"/>
        <v>2</v>
      </c>
      <c r="O15" s="465">
        <f t="shared" si="0"/>
        <v>0</v>
      </c>
      <c r="P15" s="465">
        <f t="shared" si="0"/>
        <v>0</v>
      </c>
      <c r="Q15" s="465">
        <f t="shared" si="0"/>
        <v>0</v>
      </c>
      <c r="R15" s="465">
        <f t="shared" si="0"/>
        <v>4</v>
      </c>
      <c r="S15" s="466"/>
      <c r="T15" s="466"/>
      <c r="U15" s="466"/>
      <c r="V15" s="466"/>
      <c r="W15" s="467"/>
      <c r="X15" s="468" t="s">
        <v>113</v>
      </c>
      <c r="Y15" s="465">
        <f t="shared" ref="Y15:AN15" si="1">SUM(Y3:Y5)</f>
        <v>3</v>
      </c>
      <c r="Z15" s="465">
        <f t="shared" si="1"/>
        <v>2</v>
      </c>
      <c r="AA15" s="465">
        <f t="shared" si="1"/>
        <v>1</v>
      </c>
      <c r="AB15" s="465">
        <f t="shared" si="1"/>
        <v>0</v>
      </c>
      <c r="AC15" s="469">
        <f t="shared" si="1"/>
        <v>1</v>
      </c>
      <c r="AD15" s="469">
        <f t="shared" si="1"/>
        <v>1</v>
      </c>
      <c r="AE15" s="469">
        <f t="shared" si="1"/>
        <v>0</v>
      </c>
      <c r="AF15" s="469">
        <f t="shared" si="1"/>
        <v>0</v>
      </c>
      <c r="AG15" s="470">
        <f t="shared" si="1"/>
        <v>2</v>
      </c>
      <c r="AH15" s="470">
        <f t="shared" si="1"/>
        <v>1</v>
      </c>
      <c r="AI15" s="470">
        <f t="shared" si="1"/>
        <v>1</v>
      </c>
      <c r="AJ15" s="470">
        <f t="shared" si="1"/>
        <v>0</v>
      </c>
      <c r="AK15" s="471">
        <f t="shared" si="1"/>
        <v>0</v>
      </c>
      <c r="AL15" s="471">
        <f t="shared" si="1"/>
        <v>0</v>
      </c>
      <c r="AM15" s="471">
        <f t="shared" si="1"/>
        <v>0</v>
      </c>
      <c r="AN15" s="471">
        <f t="shared" si="1"/>
        <v>0</v>
      </c>
    </row>
    <row r="16" spans="1:46" ht="14.95" thickBot="1" x14ac:dyDescent="0.3">
      <c r="A16" s="438"/>
      <c r="B16" s="439"/>
      <c r="C16" s="1037" t="s">
        <v>163</v>
      </c>
      <c r="D16" s="1038"/>
      <c r="E16" s="1039"/>
      <c r="F16" s="446">
        <f>SUM(F6:F7)</f>
        <v>65</v>
      </c>
      <c r="G16" s="446">
        <f>SUM(G6:G7)</f>
        <v>25</v>
      </c>
      <c r="H16" s="446" t="s">
        <v>108</v>
      </c>
      <c r="I16" s="446" t="s">
        <v>108</v>
      </c>
      <c r="J16" s="446">
        <f t="shared" ref="J16:O16" si="2">SUM(J6:J7)</f>
        <v>8</v>
      </c>
      <c r="K16" s="446">
        <f t="shared" si="2"/>
        <v>5</v>
      </c>
      <c r="L16" s="446">
        <f t="shared" si="2"/>
        <v>0</v>
      </c>
      <c r="M16" s="446">
        <f t="shared" si="2"/>
        <v>5</v>
      </c>
      <c r="N16" s="446">
        <f t="shared" si="2"/>
        <v>1</v>
      </c>
      <c r="O16" s="446">
        <f t="shared" si="2"/>
        <v>0</v>
      </c>
      <c r="P16" s="446" t="s">
        <v>108</v>
      </c>
      <c r="Q16" s="446" t="s">
        <v>108</v>
      </c>
      <c r="R16" s="446">
        <f>SUM(R6:R7)</f>
        <v>3</v>
      </c>
      <c r="S16" s="447"/>
      <c r="T16" s="447"/>
      <c r="U16" s="447"/>
      <c r="V16" s="447"/>
      <c r="W16" s="448"/>
      <c r="X16" s="623" t="s">
        <v>163</v>
      </c>
      <c r="Y16" s="638">
        <f t="shared" ref="Y16:AN16" si="3">SUM(Y6:Y7)</f>
        <v>2</v>
      </c>
      <c r="Z16" s="639">
        <f t="shared" si="3"/>
        <v>2</v>
      </c>
      <c r="AA16" s="446">
        <f t="shared" si="3"/>
        <v>0</v>
      </c>
      <c r="AB16" s="446">
        <f t="shared" si="3"/>
        <v>0</v>
      </c>
      <c r="AC16" s="450">
        <f t="shared" si="3"/>
        <v>1</v>
      </c>
      <c r="AD16" s="450">
        <f t="shared" si="3"/>
        <v>1</v>
      </c>
      <c r="AE16" s="450">
        <f t="shared" si="3"/>
        <v>0</v>
      </c>
      <c r="AF16" s="450">
        <f t="shared" si="3"/>
        <v>0</v>
      </c>
      <c r="AG16" s="451">
        <f t="shared" si="3"/>
        <v>1</v>
      </c>
      <c r="AH16" s="451">
        <f t="shared" si="3"/>
        <v>1</v>
      </c>
      <c r="AI16" s="451">
        <f t="shared" si="3"/>
        <v>0</v>
      </c>
      <c r="AJ16" s="451">
        <f t="shared" si="3"/>
        <v>0</v>
      </c>
      <c r="AK16" s="452">
        <f t="shared" si="3"/>
        <v>0</v>
      </c>
      <c r="AL16" s="452">
        <f t="shared" si="3"/>
        <v>0</v>
      </c>
      <c r="AM16" s="452">
        <f t="shared" si="3"/>
        <v>0</v>
      </c>
      <c r="AN16" s="452">
        <f t="shared" si="3"/>
        <v>0</v>
      </c>
    </row>
    <row r="17" spans="1:40" ht="14.95" thickBot="1" x14ac:dyDescent="0.3">
      <c r="A17" s="438"/>
      <c r="B17" s="439"/>
      <c r="C17" s="1040" t="s">
        <v>611</v>
      </c>
      <c r="D17" s="1041"/>
      <c r="E17" s="1042"/>
      <c r="F17" s="685">
        <f>SUM(F8:F11)</f>
        <v>185</v>
      </c>
      <c r="G17" s="685">
        <f t="shared" ref="G17:R17" si="4">SUM(G8:G11)</f>
        <v>36</v>
      </c>
      <c r="H17" s="685">
        <f t="shared" si="4"/>
        <v>3</v>
      </c>
      <c r="I17" s="685">
        <f t="shared" si="4"/>
        <v>0</v>
      </c>
      <c r="J17" s="685">
        <f t="shared" si="4"/>
        <v>27</v>
      </c>
      <c r="K17" s="685">
        <f t="shared" si="4"/>
        <v>19</v>
      </c>
      <c r="L17" s="685">
        <f t="shared" si="4"/>
        <v>0</v>
      </c>
      <c r="M17" s="685">
        <f t="shared" si="4"/>
        <v>4</v>
      </c>
      <c r="N17" s="685">
        <f t="shared" si="4"/>
        <v>0</v>
      </c>
      <c r="O17" s="685">
        <f t="shared" si="4"/>
        <v>0</v>
      </c>
      <c r="P17" s="685">
        <f t="shared" si="4"/>
        <v>0</v>
      </c>
      <c r="Q17" s="685">
        <f t="shared" si="4"/>
        <v>0</v>
      </c>
      <c r="R17" s="685">
        <f t="shared" si="4"/>
        <v>3</v>
      </c>
      <c r="S17" s="686"/>
      <c r="T17" s="686"/>
      <c r="U17" s="686"/>
      <c r="V17" s="686"/>
      <c r="W17" s="687"/>
      <c r="X17" s="688" t="s">
        <v>611</v>
      </c>
      <c r="Y17" s="689">
        <f t="shared" ref="Y17:AN17" si="5">SUM(Y8:Y11)</f>
        <v>4</v>
      </c>
      <c r="Z17" s="690">
        <f t="shared" si="5"/>
        <v>3</v>
      </c>
      <c r="AA17" s="685">
        <f t="shared" si="5"/>
        <v>0</v>
      </c>
      <c r="AB17" s="685">
        <f t="shared" si="5"/>
        <v>1</v>
      </c>
      <c r="AC17" s="691">
        <f t="shared" si="5"/>
        <v>0</v>
      </c>
      <c r="AD17" s="691">
        <f t="shared" si="5"/>
        <v>0</v>
      </c>
      <c r="AE17" s="691">
        <f t="shared" si="5"/>
        <v>0</v>
      </c>
      <c r="AF17" s="691">
        <f t="shared" si="5"/>
        <v>0</v>
      </c>
      <c r="AG17" s="692">
        <f t="shared" si="5"/>
        <v>0</v>
      </c>
      <c r="AH17" s="692">
        <f t="shared" si="5"/>
        <v>0</v>
      </c>
      <c r="AI17" s="692">
        <f t="shared" si="5"/>
        <v>0</v>
      </c>
      <c r="AJ17" s="692">
        <f t="shared" si="5"/>
        <v>0</v>
      </c>
      <c r="AK17" s="693">
        <f t="shared" si="5"/>
        <v>3</v>
      </c>
      <c r="AL17" s="693">
        <f t="shared" si="5"/>
        <v>2</v>
      </c>
      <c r="AM17" s="693">
        <f t="shared" si="5"/>
        <v>0</v>
      </c>
      <c r="AN17" s="693">
        <f t="shared" si="5"/>
        <v>1</v>
      </c>
    </row>
    <row r="18" spans="1:40" ht="14.95" thickBot="1" x14ac:dyDescent="0.3">
      <c r="A18" s="438"/>
      <c r="B18" s="439"/>
      <c r="C18" s="1040" t="s">
        <v>612</v>
      </c>
      <c r="D18" s="1041"/>
      <c r="E18" s="1042"/>
      <c r="F18" s="694">
        <f>SUM(F12:F14)</f>
        <v>77</v>
      </c>
      <c r="G18" s="685">
        <f t="shared" ref="G18:O18" si="6">SUM(G12:G14)</f>
        <v>31</v>
      </c>
      <c r="H18" s="685" t="s">
        <v>108</v>
      </c>
      <c r="I18" s="685" t="s">
        <v>108</v>
      </c>
      <c r="J18" s="685">
        <f t="shared" si="6"/>
        <v>6</v>
      </c>
      <c r="K18" s="685">
        <f t="shared" si="6"/>
        <v>4</v>
      </c>
      <c r="L18" s="685">
        <f t="shared" si="6"/>
        <v>0</v>
      </c>
      <c r="M18" s="685">
        <f t="shared" si="6"/>
        <v>13</v>
      </c>
      <c r="N18" s="685">
        <f t="shared" si="6"/>
        <v>1</v>
      </c>
      <c r="O18" s="685">
        <f t="shared" si="6"/>
        <v>0</v>
      </c>
      <c r="P18" s="685" t="s">
        <v>108</v>
      </c>
      <c r="Q18" s="685" t="s">
        <v>108</v>
      </c>
      <c r="R18" s="685">
        <f t="shared" ref="R18" si="7">SUM(R12:R14)</f>
        <v>1</v>
      </c>
      <c r="S18" s="686"/>
      <c r="T18" s="686"/>
      <c r="U18" s="686"/>
      <c r="V18" s="686"/>
      <c r="W18" s="687"/>
      <c r="X18" s="688" t="s">
        <v>612</v>
      </c>
      <c r="Y18" s="689">
        <f t="shared" ref="Y18:AN18" si="8">SUM(Y12:Y14)</f>
        <v>3</v>
      </c>
      <c r="Z18" s="690">
        <f t="shared" si="8"/>
        <v>3</v>
      </c>
      <c r="AA18" s="685">
        <f t="shared" si="8"/>
        <v>0</v>
      </c>
      <c r="AB18" s="685">
        <f t="shared" si="8"/>
        <v>0</v>
      </c>
      <c r="AC18" s="691">
        <f t="shared" si="8"/>
        <v>0</v>
      </c>
      <c r="AD18" s="691">
        <f t="shared" si="8"/>
        <v>0</v>
      </c>
      <c r="AE18" s="691">
        <f t="shared" si="8"/>
        <v>0</v>
      </c>
      <c r="AF18" s="691">
        <f t="shared" si="8"/>
        <v>0</v>
      </c>
      <c r="AG18" s="692">
        <f t="shared" si="8"/>
        <v>1</v>
      </c>
      <c r="AH18" s="692">
        <f t="shared" si="8"/>
        <v>1</v>
      </c>
      <c r="AI18" s="692">
        <f t="shared" si="8"/>
        <v>0</v>
      </c>
      <c r="AJ18" s="692">
        <f t="shared" si="8"/>
        <v>0</v>
      </c>
      <c r="AK18" s="693">
        <f t="shared" si="8"/>
        <v>2</v>
      </c>
      <c r="AL18" s="693">
        <f t="shared" si="8"/>
        <v>2</v>
      </c>
      <c r="AM18" s="693">
        <f t="shared" si="8"/>
        <v>0</v>
      </c>
      <c r="AN18" s="693">
        <f t="shared" si="8"/>
        <v>0</v>
      </c>
    </row>
    <row r="19" spans="1:40" ht="14.95" thickBot="1" x14ac:dyDescent="0.3">
      <c r="A19" s="438"/>
      <c r="B19" s="439"/>
      <c r="C19" s="1040" t="s">
        <v>613</v>
      </c>
      <c r="D19" s="1041"/>
      <c r="E19" s="1042"/>
      <c r="F19" s="685">
        <f>SUM(F17:F18)</f>
        <v>262</v>
      </c>
      <c r="G19" s="685">
        <f t="shared" ref="G19:R19" si="9">SUM(G17:G18)</f>
        <v>67</v>
      </c>
      <c r="H19" s="685">
        <f t="shared" si="9"/>
        <v>3</v>
      </c>
      <c r="I19" s="685">
        <f t="shared" si="9"/>
        <v>0</v>
      </c>
      <c r="J19" s="685">
        <f t="shared" si="9"/>
        <v>33</v>
      </c>
      <c r="K19" s="685">
        <f t="shared" si="9"/>
        <v>23</v>
      </c>
      <c r="L19" s="685">
        <f t="shared" si="9"/>
        <v>0</v>
      </c>
      <c r="M19" s="685">
        <f t="shared" si="9"/>
        <v>17</v>
      </c>
      <c r="N19" s="685">
        <f t="shared" si="9"/>
        <v>1</v>
      </c>
      <c r="O19" s="685">
        <f t="shared" si="9"/>
        <v>0</v>
      </c>
      <c r="P19" s="685">
        <f t="shared" si="9"/>
        <v>0</v>
      </c>
      <c r="Q19" s="685">
        <f t="shared" si="9"/>
        <v>0</v>
      </c>
      <c r="R19" s="685">
        <f t="shared" si="9"/>
        <v>4</v>
      </c>
      <c r="S19" s="686"/>
      <c r="T19" s="686"/>
      <c r="U19" s="686"/>
      <c r="V19" s="686"/>
      <c r="W19" s="687"/>
      <c r="X19" s="688" t="s">
        <v>613</v>
      </c>
      <c r="Y19" s="689">
        <f t="shared" ref="Y19:AN19" si="10">SUM(Y17:Y18)</f>
        <v>7</v>
      </c>
      <c r="Z19" s="690">
        <f t="shared" si="10"/>
        <v>6</v>
      </c>
      <c r="AA19" s="685">
        <f t="shared" si="10"/>
        <v>0</v>
      </c>
      <c r="AB19" s="685">
        <f t="shared" si="10"/>
        <v>1</v>
      </c>
      <c r="AC19" s="691">
        <f t="shared" si="10"/>
        <v>0</v>
      </c>
      <c r="AD19" s="691">
        <f t="shared" si="10"/>
        <v>0</v>
      </c>
      <c r="AE19" s="691">
        <f t="shared" si="10"/>
        <v>0</v>
      </c>
      <c r="AF19" s="691">
        <f t="shared" si="10"/>
        <v>0</v>
      </c>
      <c r="AG19" s="692">
        <f t="shared" si="10"/>
        <v>1</v>
      </c>
      <c r="AH19" s="692">
        <f t="shared" si="10"/>
        <v>1</v>
      </c>
      <c r="AI19" s="692">
        <f t="shared" si="10"/>
        <v>0</v>
      </c>
      <c r="AJ19" s="692">
        <f t="shared" si="10"/>
        <v>0</v>
      </c>
      <c r="AK19" s="693">
        <f t="shared" si="10"/>
        <v>5</v>
      </c>
      <c r="AL19" s="693">
        <f t="shared" si="10"/>
        <v>4</v>
      </c>
      <c r="AM19" s="693">
        <f t="shared" si="10"/>
        <v>0</v>
      </c>
      <c r="AN19" s="693">
        <f t="shared" si="10"/>
        <v>1</v>
      </c>
    </row>
    <row r="20" spans="1:40" ht="14.95" thickBot="1" x14ac:dyDescent="0.3">
      <c r="A20" s="438"/>
      <c r="B20" s="439"/>
      <c r="C20" s="1034" t="s">
        <v>112</v>
      </c>
      <c r="D20" s="1035"/>
      <c r="E20" s="1036"/>
      <c r="F20" s="453">
        <f>SUM(F3:F14)</f>
        <v>424</v>
      </c>
      <c r="G20" s="453">
        <f t="shared" ref="G20:R20" si="11">SUM(G3:G14)</f>
        <v>138</v>
      </c>
      <c r="H20" s="453">
        <f t="shared" si="11"/>
        <v>5</v>
      </c>
      <c r="I20" s="453">
        <f t="shared" si="11"/>
        <v>0</v>
      </c>
      <c r="J20" s="453">
        <f t="shared" si="11"/>
        <v>52</v>
      </c>
      <c r="K20" s="453">
        <f t="shared" si="11"/>
        <v>37</v>
      </c>
      <c r="L20" s="453">
        <f t="shared" si="11"/>
        <v>0</v>
      </c>
      <c r="M20" s="453">
        <f t="shared" si="11"/>
        <v>30</v>
      </c>
      <c r="N20" s="453">
        <f t="shared" si="11"/>
        <v>4</v>
      </c>
      <c r="O20" s="453">
        <f t="shared" si="11"/>
        <v>0</v>
      </c>
      <c r="P20" s="453">
        <f t="shared" si="11"/>
        <v>0</v>
      </c>
      <c r="Q20" s="453">
        <f t="shared" si="11"/>
        <v>0</v>
      </c>
      <c r="R20" s="453">
        <f t="shared" si="11"/>
        <v>11</v>
      </c>
      <c r="S20" s="454"/>
      <c r="T20" s="454"/>
      <c r="U20" s="454"/>
      <c r="V20" s="454"/>
      <c r="W20" s="455"/>
      <c r="X20" s="462" t="s">
        <v>112</v>
      </c>
      <c r="Y20" s="453">
        <f t="shared" ref="Y20:AN20" si="12">SUM(Y3:Y14)</f>
        <v>12</v>
      </c>
      <c r="Z20" s="453">
        <f t="shared" si="12"/>
        <v>10</v>
      </c>
      <c r="AA20" s="453">
        <f t="shared" si="12"/>
        <v>1</v>
      </c>
      <c r="AB20" s="453">
        <f t="shared" si="12"/>
        <v>1</v>
      </c>
      <c r="AC20" s="456">
        <f t="shared" si="12"/>
        <v>2</v>
      </c>
      <c r="AD20" s="456">
        <f t="shared" si="12"/>
        <v>2</v>
      </c>
      <c r="AE20" s="456">
        <f t="shared" si="12"/>
        <v>0</v>
      </c>
      <c r="AF20" s="456">
        <f t="shared" si="12"/>
        <v>0</v>
      </c>
      <c r="AG20" s="457">
        <f t="shared" si="12"/>
        <v>4</v>
      </c>
      <c r="AH20" s="457">
        <f t="shared" si="12"/>
        <v>3</v>
      </c>
      <c r="AI20" s="457">
        <f t="shared" si="12"/>
        <v>1</v>
      </c>
      <c r="AJ20" s="457">
        <f t="shared" si="12"/>
        <v>0</v>
      </c>
      <c r="AK20" s="458">
        <f t="shared" si="12"/>
        <v>5</v>
      </c>
      <c r="AL20" s="458">
        <f t="shared" si="12"/>
        <v>4</v>
      </c>
      <c r="AM20" s="458">
        <f t="shared" si="12"/>
        <v>0</v>
      </c>
      <c r="AN20" s="458">
        <f t="shared" si="12"/>
        <v>1</v>
      </c>
    </row>
    <row r="21" spans="1:40" x14ac:dyDescent="0.25">
      <c r="A21" s="1067" t="s">
        <v>584</v>
      </c>
      <c r="B21" s="988"/>
      <c r="C21" s="988"/>
      <c r="D21" s="988"/>
      <c r="E21" s="988"/>
      <c r="F21" s="988"/>
      <c r="G21" s="988"/>
      <c r="H21" s="988"/>
      <c r="I21" s="988"/>
      <c r="J21" s="988"/>
      <c r="K21" s="988"/>
      <c r="L21" s="988"/>
      <c r="M21" s="988"/>
      <c r="N21" s="988"/>
      <c r="O21" s="988"/>
      <c r="P21" s="988"/>
      <c r="Q21" s="988"/>
      <c r="R21" s="988"/>
      <c r="S21" s="988"/>
      <c r="T21" s="988"/>
      <c r="U21" s="988"/>
      <c r="V21" s="988"/>
      <c r="W21" s="988"/>
    </row>
    <row r="22" spans="1:40" x14ac:dyDescent="0.25">
      <c r="A22" s="1067" t="s">
        <v>599</v>
      </c>
      <c r="B22" s="988"/>
      <c r="C22" s="988"/>
      <c r="D22" s="988"/>
      <c r="E22" s="988"/>
      <c r="F22" s="988"/>
      <c r="G22" s="988"/>
      <c r="H22" s="988"/>
      <c r="I22" s="988"/>
      <c r="J22" s="988"/>
      <c r="K22" s="988"/>
      <c r="L22" s="988"/>
      <c r="M22" s="988"/>
      <c r="N22" s="988"/>
      <c r="O22" s="988"/>
      <c r="P22" s="988"/>
      <c r="Q22" s="988"/>
      <c r="R22" s="988"/>
    </row>
    <row r="23" spans="1:40" x14ac:dyDescent="0.25">
      <c r="A23" s="899" t="s">
        <v>714</v>
      </c>
      <c r="F23" s="14"/>
      <c r="G23" s="14"/>
      <c r="H23" s="13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40" x14ac:dyDescent="0.25">
      <c r="A24" s="894" t="s">
        <v>697</v>
      </c>
      <c r="F24" s="14"/>
      <c r="G24" s="14"/>
      <c r="H24" s="13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40" x14ac:dyDescent="0.25">
      <c r="A25" t="s">
        <v>698</v>
      </c>
      <c r="F25" s="14"/>
      <c r="G25" s="14"/>
      <c r="H25" s="13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40" x14ac:dyDescent="0.25">
      <c r="A26" t="s">
        <v>181</v>
      </c>
      <c r="F26" s="14"/>
      <c r="G26" s="14"/>
      <c r="H26" s="13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40" x14ac:dyDescent="0.25">
      <c r="A27" s="159"/>
      <c r="B27" t="s">
        <v>44</v>
      </c>
    </row>
    <row r="28" spans="1:40" x14ac:dyDescent="0.25">
      <c r="A28" s="157"/>
      <c r="B28" t="s">
        <v>42</v>
      </c>
    </row>
    <row r="29" spans="1:40" x14ac:dyDescent="0.25">
      <c r="A29" s="158"/>
      <c r="B29" t="s">
        <v>43</v>
      </c>
    </row>
    <row r="30" spans="1:40" x14ac:dyDescent="0.25">
      <c r="A30" s="15" t="s">
        <v>28</v>
      </c>
    </row>
  </sheetData>
  <mergeCells count="18">
    <mergeCell ref="AC1:AF1"/>
    <mergeCell ref="AG1:AJ1"/>
    <mergeCell ref="AK1:AN1"/>
    <mergeCell ref="P1:R1"/>
    <mergeCell ref="Y1:AB1"/>
    <mergeCell ref="A22:R22"/>
    <mergeCell ref="A1:C1"/>
    <mergeCell ref="E1:G1"/>
    <mergeCell ref="H1:I1"/>
    <mergeCell ref="J1:M1"/>
    <mergeCell ref="N1:O1"/>
    <mergeCell ref="A21:W21"/>
    <mergeCell ref="C15:E15"/>
    <mergeCell ref="C16:E16"/>
    <mergeCell ref="C20:E20"/>
    <mergeCell ref="C17:E17"/>
    <mergeCell ref="C18:E18"/>
    <mergeCell ref="C19:E19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T26"/>
  <sheetViews>
    <sheetView workbookViewId="0">
      <selection activeCell="A17" sqref="A17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25" customWidth="1"/>
    <col min="5" max="18" width="3.75" customWidth="1"/>
    <col min="19" max="20" width="6.25" customWidth="1"/>
    <col min="21" max="22" width="19.125" customWidth="1"/>
    <col min="23" max="23" width="21.125" customWidth="1"/>
    <col min="24" max="24" width="24" bestFit="1" customWidth="1"/>
    <col min="25" max="28" width="4.25" customWidth="1"/>
    <col min="29" max="40" width="3.7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1224" t="s">
        <v>205</v>
      </c>
      <c r="B1" s="1225"/>
      <c r="C1" s="1225"/>
      <c r="D1" s="166"/>
      <c r="E1" s="1226" t="s">
        <v>24</v>
      </c>
      <c r="F1" s="1227"/>
      <c r="G1" s="1228"/>
      <c r="H1" s="1226" t="s">
        <v>23</v>
      </c>
      <c r="I1" s="1228"/>
      <c r="J1" s="1221" t="s">
        <v>6</v>
      </c>
      <c r="K1" s="1222"/>
      <c r="L1" s="1222"/>
      <c r="M1" s="1223"/>
      <c r="N1" s="1221" t="s">
        <v>7</v>
      </c>
      <c r="O1" s="1223"/>
      <c r="P1" s="1221" t="s">
        <v>25</v>
      </c>
      <c r="Q1" s="1222"/>
      <c r="R1" s="1223"/>
      <c r="S1" s="928" t="s">
        <v>8</v>
      </c>
      <c r="T1" s="928" t="s">
        <v>9</v>
      </c>
      <c r="U1" s="1" t="s">
        <v>10</v>
      </c>
      <c r="V1" s="6" t="s">
        <v>11</v>
      </c>
      <c r="W1" s="52" t="s">
        <v>26</v>
      </c>
      <c r="X1" s="167" t="s">
        <v>27</v>
      </c>
      <c r="Y1" s="1229" t="s">
        <v>20</v>
      </c>
      <c r="Z1" s="1230"/>
      <c r="AA1" s="1230"/>
      <c r="AB1" s="1231"/>
      <c r="AC1" s="1229" t="s">
        <v>61</v>
      </c>
      <c r="AD1" s="1230"/>
      <c r="AE1" s="1230"/>
      <c r="AF1" s="1231"/>
      <c r="AG1" s="1229" t="s">
        <v>62</v>
      </c>
      <c r="AH1" s="1230"/>
      <c r="AI1" s="1230"/>
      <c r="AJ1" s="1231"/>
      <c r="AK1" s="1229" t="s">
        <v>63</v>
      </c>
      <c r="AL1" s="1230"/>
      <c r="AM1" s="1230"/>
      <c r="AN1" s="1231"/>
      <c r="AP1" s="898" t="s">
        <v>702</v>
      </c>
      <c r="AQ1" s="868"/>
      <c r="AR1" s="868"/>
      <c r="AS1" s="898" t="s">
        <v>702</v>
      </c>
    </row>
    <row r="2" spans="1:46" ht="14.95" customHeight="1" thickBot="1" x14ac:dyDescent="0.3">
      <c r="A2" s="7" t="s">
        <v>19</v>
      </c>
      <c r="B2" s="8" t="s">
        <v>18</v>
      </c>
      <c r="C2" s="9" t="s">
        <v>17</v>
      </c>
      <c r="D2" s="10" t="s">
        <v>41</v>
      </c>
      <c r="E2" s="10" t="s">
        <v>16</v>
      </c>
      <c r="F2" s="10" t="s">
        <v>4</v>
      </c>
      <c r="G2" s="10" t="s">
        <v>5</v>
      </c>
      <c r="H2" s="11" t="s">
        <v>12</v>
      </c>
      <c r="I2" s="11" t="s">
        <v>3</v>
      </c>
      <c r="J2" s="11" t="s">
        <v>12</v>
      </c>
      <c r="K2" s="11" t="s">
        <v>13</v>
      </c>
      <c r="L2" s="11" t="s">
        <v>2</v>
      </c>
      <c r="M2" s="11" t="s">
        <v>14</v>
      </c>
      <c r="N2" s="11" t="s">
        <v>15</v>
      </c>
      <c r="O2" s="11" t="s">
        <v>16</v>
      </c>
      <c r="P2" s="11" t="s">
        <v>21</v>
      </c>
      <c r="Q2" s="11" t="s">
        <v>22</v>
      </c>
      <c r="R2" s="11" t="s">
        <v>12</v>
      </c>
      <c r="S2" s="2"/>
      <c r="T2" s="3"/>
      <c r="U2" s="4"/>
      <c r="V2" s="2"/>
      <c r="W2" s="53"/>
      <c r="X2" s="5"/>
      <c r="Y2" s="520" t="s">
        <v>0</v>
      </c>
      <c r="Z2" s="520" t="s">
        <v>1</v>
      </c>
      <c r="AA2" s="520" t="s">
        <v>2</v>
      </c>
      <c r="AB2" s="520" t="s">
        <v>3</v>
      </c>
      <c r="AC2" s="520" t="s">
        <v>0</v>
      </c>
      <c r="AD2" s="520" t="s">
        <v>1</v>
      </c>
      <c r="AE2" s="520" t="s">
        <v>2</v>
      </c>
      <c r="AF2" s="520" t="s">
        <v>3</v>
      </c>
      <c r="AG2" s="520" t="s">
        <v>0</v>
      </c>
      <c r="AH2" s="520" t="s">
        <v>1</v>
      </c>
      <c r="AI2" s="520" t="s">
        <v>2</v>
      </c>
      <c r="AJ2" s="520" t="s">
        <v>3</v>
      </c>
      <c r="AK2" s="520" t="s">
        <v>0</v>
      </c>
      <c r="AL2" s="520" t="s">
        <v>1</v>
      </c>
      <c r="AM2" s="520" t="s">
        <v>2</v>
      </c>
      <c r="AN2" s="520" t="s">
        <v>3</v>
      </c>
      <c r="AP2" s="592" t="s">
        <v>112</v>
      </c>
      <c r="AQ2" s="253"/>
      <c r="AS2" s="672" t="s">
        <v>610</v>
      </c>
      <c r="AT2" s="253"/>
    </row>
    <row r="3" spans="1:46" ht="14.95" customHeight="1" thickBot="1" x14ac:dyDescent="0.35">
      <c r="A3" s="187">
        <v>43673</v>
      </c>
      <c r="B3" s="178" t="s">
        <v>147</v>
      </c>
      <c r="C3" s="178" t="s">
        <v>148</v>
      </c>
      <c r="D3" s="179" t="s">
        <v>581</v>
      </c>
      <c r="E3" s="179" t="s">
        <v>3</v>
      </c>
      <c r="F3" s="179">
        <v>17</v>
      </c>
      <c r="G3" s="179">
        <v>25</v>
      </c>
      <c r="H3" s="179">
        <v>0</v>
      </c>
      <c r="I3" s="179">
        <v>0</v>
      </c>
      <c r="J3" s="179">
        <v>3</v>
      </c>
      <c r="K3" s="179">
        <v>1</v>
      </c>
      <c r="L3" s="179">
        <v>0</v>
      </c>
      <c r="M3" s="179">
        <v>0</v>
      </c>
      <c r="N3" s="179">
        <v>2</v>
      </c>
      <c r="O3" s="179">
        <v>0</v>
      </c>
      <c r="P3" s="179">
        <v>0</v>
      </c>
      <c r="Q3" s="179">
        <v>0</v>
      </c>
      <c r="R3" s="179">
        <v>3</v>
      </c>
      <c r="S3" s="180"/>
      <c r="T3" s="464" t="s">
        <v>226</v>
      </c>
      <c r="U3" s="181" t="s">
        <v>730</v>
      </c>
      <c r="V3" s="180" t="s">
        <v>314</v>
      </c>
      <c r="W3" s="182" t="s">
        <v>731</v>
      </c>
      <c r="X3" s="183" t="s">
        <v>732</v>
      </c>
      <c r="Y3" s="184">
        <v>1</v>
      </c>
      <c r="Z3" s="184">
        <v>0</v>
      </c>
      <c r="AA3" s="184">
        <v>0</v>
      </c>
      <c r="AB3" s="185">
        <v>1</v>
      </c>
      <c r="AC3" s="255">
        <v>0</v>
      </c>
      <c r="AD3" s="255">
        <v>0</v>
      </c>
      <c r="AE3" s="255">
        <v>0</v>
      </c>
      <c r="AF3" s="255">
        <v>0</v>
      </c>
      <c r="AG3" s="255">
        <v>1</v>
      </c>
      <c r="AH3" s="255">
        <v>0</v>
      </c>
      <c r="AI3" s="255">
        <v>0</v>
      </c>
      <c r="AJ3" s="255">
        <v>1</v>
      </c>
      <c r="AK3" s="255">
        <v>0</v>
      </c>
      <c r="AL3" s="255">
        <v>0</v>
      </c>
      <c r="AM3" s="255">
        <v>0</v>
      </c>
      <c r="AN3" s="255">
        <v>0</v>
      </c>
      <c r="AP3" s="849" t="s">
        <v>627</v>
      </c>
      <c r="AQ3" s="850">
        <f>Tongaalltestshistplayed</f>
        <v>284</v>
      </c>
      <c r="AS3" s="849" t="s">
        <v>627</v>
      </c>
      <c r="AT3" s="850">
        <f>TongaRWChistplayed</f>
        <v>29</v>
      </c>
    </row>
    <row r="4" spans="1:46" ht="14.95" customHeight="1" thickBot="1" x14ac:dyDescent="0.3">
      <c r="A4" s="187">
        <v>43680</v>
      </c>
      <c r="B4" s="178" t="s">
        <v>147</v>
      </c>
      <c r="C4" s="178" t="s">
        <v>36</v>
      </c>
      <c r="D4" s="179" t="s">
        <v>872</v>
      </c>
      <c r="E4" s="179" t="s">
        <v>3</v>
      </c>
      <c r="F4" s="179">
        <v>7</v>
      </c>
      <c r="G4" s="179">
        <v>41</v>
      </c>
      <c r="H4" s="179">
        <v>0</v>
      </c>
      <c r="I4" s="179">
        <v>0</v>
      </c>
      <c r="J4" s="179">
        <v>1</v>
      </c>
      <c r="K4" s="179">
        <v>1</v>
      </c>
      <c r="L4" s="179">
        <v>0</v>
      </c>
      <c r="M4" s="179">
        <v>0</v>
      </c>
      <c r="N4" s="179">
        <v>0</v>
      </c>
      <c r="O4" s="179">
        <v>0</v>
      </c>
      <c r="P4" s="179">
        <v>1</v>
      </c>
      <c r="Q4" s="179">
        <v>0</v>
      </c>
      <c r="R4" s="179">
        <v>5</v>
      </c>
      <c r="S4" s="180">
        <v>20940</v>
      </c>
      <c r="T4" s="223" t="s">
        <v>750</v>
      </c>
      <c r="U4" s="181" t="s">
        <v>138</v>
      </c>
      <c r="V4" s="180" t="s">
        <v>137</v>
      </c>
      <c r="W4" s="182" t="s">
        <v>133</v>
      </c>
      <c r="X4" s="183" t="s">
        <v>146</v>
      </c>
      <c r="Y4" s="184">
        <v>1</v>
      </c>
      <c r="Z4" s="184">
        <v>0</v>
      </c>
      <c r="AA4" s="184">
        <v>0</v>
      </c>
      <c r="AB4" s="185">
        <v>1</v>
      </c>
      <c r="AC4" s="410">
        <v>0</v>
      </c>
      <c r="AD4" s="410">
        <v>0</v>
      </c>
      <c r="AE4" s="410">
        <v>0</v>
      </c>
      <c r="AF4" s="410">
        <v>0</v>
      </c>
      <c r="AG4" s="410">
        <v>1</v>
      </c>
      <c r="AH4" s="410">
        <v>0</v>
      </c>
      <c r="AI4" s="410">
        <v>0</v>
      </c>
      <c r="AJ4" s="410">
        <v>1</v>
      </c>
      <c r="AK4" s="410">
        <v>0</v>
      </c>
      <c r="AL4" s="410">
        <v>0</v>
      </c>
      <c r="AM4" s="410">
        <v>0</v>
      </c>
      <c r="AN4" s="410">
        <v>0</v>
      </c>
      <c r="AP4" s="851" t="s">
        <v>628</v>
      </c>
      <c r="AQ4" s="852">
        <f>Tongaalltestshistwon</f>
        <v>108</v>
      </c>
      <c r="AS4" s="851" t="s">
        <v>628</v>
      </c>
      <c r="AT4" s="852">
        <f>TongaRWChistwon</f>
        <v>8</v>
      </c>
    </row>
    <row r="5" spans="1:46" ht="14.95" customHeight="1" thickBot="1" x14ac:dyDescent="0.35">
      <c r="A5" s="188">
        <v>43686</v>
      </c>
      <c r="B5" s="189" t="s">
        <v>147</v>
      </c>
      <c r="C5" s="189" t="s">
        <v>40</v>
      </c>
      <c r="D5" s="190" t="s">
        <v>588</v>
      </c>
      <c r="E5" s="190" t="s">
        <v>1</v>
      </c>
      <c r="F5" s="190">
        <v>33</v>
      </c>
      <c r="G5" s="190">
        <v>23</v>
      </c>
      <c r="H5" s="190">
        <v>1</v>
      </c>
      <c r="I5" s="190">
        <v>0</v>
      </c>
      <c r="J5" s="190">
        <v>5</v>
      </c>
      <c r="K5" s="190">
        <v>4</v>
      </c>
      <c r="L5" s="190">
        <v>0</v>
      </c>
      <c r="M5" s="190">
        <v>0</v>
      </c>
      <c r="N5" s="190">
        <v>0</v>
      </c>
      <c r="O5" s="190">
        <v>0</v>
      </c>
      <c r="P5" s="190">
        <v>1</v>
      </c>
      <c r="Q5" s="190">
        <v>0</v>
      </c>
      <c r="R5" s="190">
        <v>4</v>
      </c>
      <c r="S5" s="203"/>
      <c r="T5" s="411" t="s">
        <v>760</v>
      </c>
      <c r="U5" s="204" t="s">
        <v>219</v>
      </c>
      <c r="V5" s="203" t="s">
        <v>314</v>
      </c>
      <c r="W5" s="191" t="s">
        <v>758</v>
      </c>
      <c r="X5" s="205" t="s">
        <v>759</v>
      </c>
      <c r="Y5" s="206">
        <v>1</v>
      </c>
      <c r="Z5" s="206">
        <v>1</v>
      </c>
      <c r="AA5" s="206">
        <v>0</v>
      </c>
      <c r="AB5" s="207">
        <v>0</v>
      </c>
      <c r="AC5" s="369">
        <v>0</v>
      </c>
      <c r="AD5" s="369">
        <v>0</v>
      </c>
      <c r="AE5" s="369">
        <v>0</v>
      </c>
      <c r="AF5" s="369">
        <v>0</v>
      </c>
      <c r="AG5" s="369">
        <v>0</v>
      </c>
      <c r="AH5" s="369">
        <v>0</v>
      </c>
      <c r="AI5" s="369">
        <v>0</v>
      </c>
      <c r="AJ5" s="369">
        <v>0</v>
      </c>
      <c r="AK5" s="369">
        <v>1</v>
      </c>
      <c r="AL5" s="369">
        <v>1</v>
      </c>
      <c r="AM5" s="369">
        <v>0</v>
      </c>
      <c r="AN5" s="369">
        <v>0</v>
      </c>
      <c r="AP5" s="851" t="s">
        <v>634</v>
      </c>
      <c r="AQ5" s="852">
        <f>Tongaalltestshistdrawn</f>
        <v>7</v>
      </c>
      <c r="AS5" s="851" t="s">
        <v>634</v>
      </c>
      <c r="AT5" s="852">
        <f>TongaRWChistdrawn</f>
        <v>0</v>
      </c>
    </row>
    <row r="6" spans="1:46" ht="14.95" thickBot="1" x14ac:dyDescent="0.3">
      <c r="A6" s="188">
        <v>43708</v>
      </c>
      <c r="B6" s="189" t="s">
        <v>45</v>
      </c>
      <c r="C6" s="189" t="s">
        <v>31</v>
      </c>
      <c r="D6" s="189" t="s">
        <v>595</v>
      </c>
      <c r="E6" s="190" t="s">
        <v>3</v>
      </c>
      <c r="F6" s="190">
        <v>19</v>
      </c>
      <c r="G6" s="190">
        <v>29</v>
      </c>
      <c r="H6" s="190" t="s">
        <v>108</v>
      </c>
      <c r="I6" s="190" t="s">
        <v>108</v>
      </c>
      <c r="J6" s="190">
        <v>3</v>
      </c>
      <c r="K6" s="190">
        <v>2</v>
      </c>
      <c r="L6" s="190">
        <v>0</v>
      </c>
      <c r="M6" s="190">
        <v>0</v>
      </c>
      <c r="N6" s="190">
        <v>1</v>
      </c>
      <c r="O6" s="190">
        <v>0</v>
      </c>
      <c r="P6" s="190" t="s">
        <v>108</v>
      </c>
      <c r="Q6" s="190" t="s">
        <v>108</v>
      </c>
      <c r="R6" s="190">
        <v>5</v>
      </c>
      <c r="S6" s="203"/>
      <c r="T6" s="406" t="s">
        <v>822</v>
      </c>
      <c r="U6" s="204" t="s">
        <v>276</v>
      </c>
      <c r="V6" s="203" t="s">
        <v>819</v>
      </c>
      <c r="W6" s="191" t="s">
        <v>748</v>
      </c>
      <c r="X6" s="205" t="s">
        <v>735</v>
      </c>
      <c r="Y6" s="206">
        <v>1</v>
      </c>
      <c r="Z6" s="206">
        <v>0</v>
      </c>
      <c r="AA6" s="206">
        <v>0</v>
      </c>
      <c r="AB6" s="207">
        <v>1</v>
      </c>
      <c r="AC6" s="206">
        <v>0</v>
      </c>
      <c r="AD6" s="206">
        <v>0</v>
      </c>
      <c r="AE6" s="206">
        <v>0</v>
      </c>
      <c r="AF6" s="207">
        <v>0</v>
      </c>
      <c r="AG6" s="206">
        <v>0</v>
      </c>
      <c r="AH6" s="206">
        <v>0</v>
      </c>
      <c r="AI6" s="206">
        <v>0</v>
      </c>
      <c r="AJ6" s="207">
        <v>0</v>
      </c>
      <c r="AK6" s="206">
        <v>1</v>
      </c>
      <c r="AL6" s="206">
        <v>0</v>
      </c>
      <c r="AM6" s="206">
        <v>0</v>
      </c>
      <c r="AN6" s="207">
        <v>1</v>
      </c>
      <c r="AP6" s="851" t="s">
        <v>629</v>
      </c>
      <c r="AQ6" s="852">
        <f>Tongaalltestshistlost</f>
        <v>169</v>
      </c>
      <c r="AS6" s="851" t="s">
        <v>629</v>
      </c>
      <c r="AT6" s="852">
        <f>TongaRWChistlost</f>
        <v>21</v>
      </c>
    </row>
    <row r="7" spans="1:46" ht="14.95" customHeight="1" thickBot="1" x14ac:dyDescent="0.3">
      <c r="A7" s="407">
        <v>43715</v>
      </c>
      <c r="B7" s="208" t="s">
        <v>45</v>
      </c>
      <c r="C7" s="208" t="s">
        <v>126</v>
      </c>
      <c r="D7" s="474" t="s">
        <v>606</v>
      </c>
      <c r="E7" s="474" t="s">
        <v>3</v>
      </c>
      <c r="F7" s="474">
        <v>7</v>
      </c>
      <c r="G7" s="474">
        <v>92</v>
      </c>
      <c r="H7" s="179" t="s">
        <v>108</v>
      </c>
      <c r="I7" s="179" t="s">
        <v>108</v>
      </c>
      <c r="J7" s="179">
        <v>1</v>
      </c>
      <c r="K7" s="179">
        <v>1</v>
      </c>
      <c r="L7" s="179">
        <v>0</v>
      </c>
      <c r="M7" s="179">
        <v>0</v>
      </c>
      <c r="N7" s="179">
        <v>1</v>
      </c>
      <c r="O7" s="179">
        <v>0</v>
      </c>
      <c r="P7" s="179" t="s">
        <v>108</v>
      </c>
      <c r="Q7" s="179" t="s">
        <v>108</v>
      </c>
      <c r="R7" s="179">
        <v>14</v>
      </c>
      <c r="S7" s="182">
        <v>22349</v>
      </c>
      <c r="T7" s="432" t="s">
        <v>842</v>
      </c>
      <c r="U7" s="182" t="s">
        <v>278</v>
      </c>
      <c r="V7" s="182" t="s">
        <v>841</v>
      </c>
      <c r="W7" s="182" t="s">
        <v>746</v>
      </c>
      <c r="X7" s="182" t="s">
        <v>764</v>
      </c>
      <c r="Y7" s="184">
        <v>1</v>
      </c>
      <c r="Z7" s="184">
        <v>0</v>
      </c>
      <c r="AA7" s="184">
        <v>0</v>
      </c>
      <c r="AB7" s="185">
        <v>1</v>
      </c>
      <c r="AC7" s="184">
        <v>0</v>
      </c>
      <c r="AD7" s="184">
        <v>0</v>
      </c>
      <c r="AE7" s="184">
        <v>0</v>
      </c>
      <c r="AF7" s="185">
        <v>0</v>
      </c>
      <c r="AG7" s="184">
        <v>1</v>
      </c>
      <c r="AH7" s="184">
        <v>0</v>
      </c>
      <c r="AI7" s="184">
        <v>0</v>
      </c>
      <c r="AJ7" s="185">
        <v>1</v>
      </c>
      <c r="AK7" s="184">
        <v>0</v>
      </c>
      <c r="AL7" s="184">
        <v>0</v>
      </c>
      <c r="AM7" s="184">
        <v>0</v>
      </c>
      <c r="AN7" s="185">
        <v>0</v>
      </c>
      <c r="AP7" s="851" t="s">
        <v>635</v>
      </c>
      <c r="AQ7" s="852">
        <f>Tongaalltestshistptsscored</f>
        <v>5160</v>
      </c>
      <c r="AS7" s="851" t="s">
        <v>635</v>
      </c>
      <c r="AT7" s="852">
        <f>TongaRWChistptsscored</f>
        <v>472</v>
      </c>
    </row>
    <row r="8" spans="1:46" ht="14.95" customHeight="1" thickBot="1" x14ac:dyDescent="0.3">
      <c r="A8" s="188">
        <v>43730</v>
      </c>
      <c r="B8" s="189" t="s">
        <v>158</v>
      </c>
      <c r="C8" s="189" t="s">
        <v>30</v>
      </c>
      <c r="D8" s="189" t="s">
        <v>159</v>
      </c>
      <c r="E8" s="637" t="s">
        <v>3</v>
      </c>
      <c r="F8" s="580">
        <v>3</v>
      </c>
      <c r="G8" s="580">
        <v>35</v>
      </c>
      <c r="H8" s="637">
        <v>0</v>
      </c>
      <c r="I8" s="637">
        <v>0</v>
      </c>
      <c r="J8" s="637">
        <v>0</v>
      </c>
      <c r="K8" s="637">
        <v>0</v>
      </c>
      <c r="L8" s="637">
        <v>0</v>
      </c>
      <c r="M8" s="637">
        <v>1</v>
      </c>
      <c r="N8" s="637">
        <v>0</v>
      </c>
      <c r="O8" s="637">
        <v>0</v>
      </c>
      <c r="P8" s="637">
        <v>1</v>
      </c>
      <c r="Q8" s="637">
        <v>0</v>
      </c>
      <c r="R8" s="637">
        <v>4</v>
      </c>
      <c r="S8" s="932">
        <v>35923</v>
      </c>
      <c r="T8" s="934" t="s">
        <v>880</v>
      </c>
      <c r="U8" s="933" t="s">
        <v>273</v>
      </c>
      <c r="V8" s="933" t="s">
        <v>277</v>
      </c>
      <c r="W8" s="933" t="s">
        <v>136</v>
      </c>
      <c r="X8" s="191" t="s">
        <v>149</v>
      </c>
      <c r="Y8" s="206">
        <v>1</v>
      </c>
      <c r="Z8" s="206">
        <v>0</v>
      </c>
      <c r="AA8" s="206">
        <v>0</v>
      </c>
      <c r="AB8" s="207">
        <v>1</v>
      </c>
      <c r="AC8" s="206">
        <v>0</v>
      </c>
      <c r="AD8" s="206">
        <v>0</v>
      </c>
      <c r="AE8" s="206">
        <v>0</v>
      </c>
      <c r="AF8" s="207">
        <v>0</v>
      </c>
      <c r="AG8" s="206">
        <v>0</v>
      </c>
      <c r="AH8" s="206">
        <v>0</v>
      </c>
      <c r="AI8" s="206">
        <v>0</v>
      </c>
      <c r="AJ8" s="207">
        <v>0</v>
      </c>
      <c r="AK8" s="206">
        <v>1</v>
      </c>
      <c r="AL8" s="206">
        <v>0</v>
      </c>
      <c r="AM8" s="206">
        <v>0</v>
      </c>
      <c r="AN8" s="207">
        <v>1</v>
      </c>
      <c r="AP8" s="851" t="s">
        <v>636</v>
      </c>
      <c r="AQ8" s="852">
        <f>Tongaalltestshistptsagainst</f>
        <v>6545</v>
      </c>
      <c r="AS8" s="851" t="s">
        <v>636</v>
      </c>
      <c r="AT8" s="852">
        <f>TongaRWChistptscon</f>
        <v>966</v>
      </c>
    </row>
    <row r="9" spans="1:46" ht="14.95" customHeight="1" thickBot="1" x14ac:dyDescent="0.3">
      <c r="A9" s="188">
        <v>43736</v>
      </c>
      <c r="B9" s="483" t="s">
        <v>158</v>
      </c>
      <c r="C9" s="189" t="s">
        <v>37</v>
      </c>
      <c r="D9" s="483" t="s">
        <v>872</v>
      </c>
      <c r="E9" s="637" t="s">
        <v>3</v>
      </c>
      <c r="F9" s="580">
        <v>12</v>
      </c>
      <c r="G9" s="580">
        <v>28</v>
      </c>
      <c r="H9" s="190">
        <v>0</v>
      </c>
      <c r="I9" s="190">
        <v>0</v>
      </c>
      <c r="J9" s="190">
        <v>2</v>
      </c>
      <c r="K9" s="190">
        <v>1</v>
      </c>
      <c r="L9" s="190">
        <v>0</v>
      </c>
      <c r="M9" s="190">
        <v>0</v>
      </c>
      <c r="N9" s="190">
        <v>0</v>
      </c>
      <c r="O9" s="190">
        <v>0</v>
      </c>
      <c r="P9" s="190">
        <v>1</v>
      </c>
      <c r="Q9" s="190">
        <v>0</v>
      </c>
      <c r="R9" s="190">
        <v>4</v>
      </c>
      <c r="S9" s="932">
        <v>21971</v>
      </c>
      <c r="T9" s="938" t="s">
        <v>898</v>
      </c>
      <c r="U9" s="933" t="s">
        <v>229</v>
      </c>
      <c r="V9" s="933" t="s">
        <v>131</v>
      </c>
      <c r="W9" s="933" t="s">
        <v>276</v>
      </c>
      <c r="X9" s="191" t="s">
        <v>146</v>
      </c>
      <c r="Y9" s="206">
        <v>1</v>
      </c>
      <c r="Z9" s="206">
        <v>0</v>
      </c>
      <c r="AA9" s="206">
        <v>0</v>
      </c>
      <c r="AB9" s="207">
        <v>1</v>
      </c>
      <c r="AC9" s="206">
        <v>0</v>
      </c>
      <c r="AD9" s="206">
        <v>0</v>
      </c>
      <c r="AE9" s="206">
        <v>0</v>
      </c>
      <c r="AF9" s="207">
        <v>0</v>
      </c>
      <c r="AG9" s="206">
        <v>0</v>
      </c>
      <c r="AH9" s="206">
        <v>0</v>
      </c>
      <c r="AI9" s="206">
        <v>0</v>
      </c>
      <c r="AJ9" s="207">
        <v>0</v>
      </c>
      <c r="AK9" s="206">
        <v>1</v>
      </c>
      <c r="AL9" s="206">
        <v>0</v>
      </c>
      <c r="AM9" s="206">
        <v>0</v>
      </c>
      <c r="AN9" s="207">
        <v>1</v>
      </c>
      <c r="AP9" s="851" t="s">
        <v>623</v>
      </c>
      <c r="AQ9" s="852">
        <f>Tongaalltestshisttriesscored</f>
        <v>616</v>
      </c>
      <c r="AS9" s="851" t="s">
        <v>623</v>
      </c>
      <c r="AT9" s="852">
        <f>TongaRWChisttriesscored</f>
        <v>53</v>
      </c>
    </row>
    <row r="10" spans="1:46" ht="14.95" customHeight="1" thickBot="1" x14ac:dyDescent="0.3">
      <c r="A10" s="188">
        <v>43744</v>
      </c>
      <c r="B10" s="483" t="s">
        <v>158</v>
      </c>
      <c r="C10" s="189" t="s">
        <v>34</v>
      </c>
      <c r="D10" s="189" t="s">
        <v>705</v>
      </c>
      <c r="E10" s="637" t="s">
        <v>3</v>
      </c>
      <c r="F10" s="580">
        <v>21</v>
      </c>
      <c r="G10" s="580">
        <v>23</v>
      </c>
      <c r="H10" s="190">
        <v>0</v>
      </c>
      <c r="I10" s="190">
        <v>1</v>
      </c>
      <c r="J10" s="190">
        <v>3</v>
      </c>
      <c r="K10" s="190">
        <v>3</v>
      </c>
      <c r="L10" s="190">
        <v>0</v>
      </c>
      <c r="M10" s="190">
        <v>0</v>
      </c>
      <c r="N10" s="190">
        <v>0</v>
      </c>
      <c r="O10" s="190">
        <v>0</v>
      </c>
      <c r="P10" s="190">
        <v>0</v>
      </c>
      <c r="Q10" s="190">
        <v>0</v>
      </c>
      <c r="R10" s="190">
        <v>2</v>
      </c>
      <c r="S10" s="932">
        <v>28477</v>
      </c>
      <c r="T10" s="934" t="s">
        <v>426</v>
      </c>
      <c r="U10" s="933" t="s">
        <v>227</v>
      </c>
      <c r="V10" s="933" t="s">
        <v>277</v>
      </c>
      <c r="W10" s="933" t="s">
        <v>273</v>
      </c>
      <c r="X10" s="191" t="s">
        <v>295</v>
      </c>
      <c r="Y10" s="206">
        <v>1</v>
      </c>
      <c r="Z10" s="206">
        <v>0</v>
      </c>
      <c r="AA10" s="206">
        <v>0</v>
      </c>
      <c r="AB10" s="207">
        <v>1</v>
      </c>
      <c r="AC10" s="206">
        <v>0</v>
      </c>
      <c r="AD10" s="206">
        <v>0</v>
      </c>
      <c r="AE10" s="206">
        <v>0</v>
      </c>
      <c r="AF10" s="207">
        <v>0</v>
      </c>
      <c r="AG10" s="206">
        <v>0</v>
      </c>
      <c r="AH10" s="206">
        <v>0</v>
      </c>
      <c r="AI10" s="206">
        <v>0</v>
      </c>
      <c r="AJ10" s="207">
        <v>0</v>
      </c>
      <c r="AK10" s="206">
        <v>1</v>
      </c>
      <c r="AL10" s="206">
        <v>0</v>
      </c>
      <c r="AM10" s="206">
        <v>0</v>
      </c>
      <c r="AN10" s="207">
        <v>1</v>
      </c>
    </row>
    <row r="11" spans="1:46" ht="14.95" customHeight="1" thickBot="1" x14ac:dyDescent="0.3">
      <c r="A11" s="188">
        <v>43751</v>
      </c>
      <c r="B11" s="483" t="s">
        <v>158</v>
      </c>
      <c r="C11" s="189" t="s">
        <v>60</v>
      </c>
      <c r="D11" s="189" t="s">
        <v>872</v>
      </c>
      <c r="E11" s="637" t="s">
        <v>1</v>
      </c>
      <c r="F11" s="580">
        <v>31</v>
      </c>
      <c r="G11" s="580">
        <v>19</v>
      </c>
      <c r="H11" s="190">
        <v>1</v>
      </c>
      <c r="I11" s="190">
        <v>0</v>
      </c>
      <c r="J11" s="190">
        <v>4</v>
      </c>
      <c r="K11" s="190">
        <v>4</v>
      </c>
      <c r="L11" s="190">
        <v>0</v>
      </c>
      <c r="M11" s="190">
        <v>1</v>
      </c>
      <c r="N11" s="190">
        <v>0</v>
      </c>
      <c r="O11" s="190">
        <v>0</v>
      </c>
      <c r="P11" s="190">
        <v>0</v>
      </c>
      <c r="Q11" s="190">
        <v>0</v>
      </c>
      <c r="R11" s="190">
        <v>3</v>
      </c>
      <c r="S11" s="932">
        <v>22012</v>
      </c>
      <c r="T11" s="963" t="s">
        <v>214</v>
      </c>
      <c r="U11" s="933" t="s">
        <v>219</v>
      </c>
      <c r="V11" s="933" t="s">
        <v>232</v>
      </c>
      <c r="W11" s="933" t="s">
        <v>132</v>
      </c>
      <c r="X11" s="191" t="s">
        <v>212</v>
      </c>
      <c r="Y11" s="206">
        <v>1</v>
      </c>
      <c r="Z11" s="206">
        <v>1</v>
      </c>
      <c r="AA11" s="206">
        <v>0</v>
      </c>
      <c r="AB11" s="207">
        <v>0</v>
      </c>
      <c r="AC11" s="206">
        <v>0</v>
      </c>
      <c r="AD11" s="206">
        <v>0</v>
      </c>
      <c r="AE11" s="206">
        <v>0</v>
      </c>
      <c r="AF11" s="207">
        <v>0</v>
      </c>
      <c r="AG11" s="206">
        <v>0</v>
      </c>
      <c r="AH11" s="206">
        <v>0</v>
      </c>
      <c r="AI11" s="206">
        <v>0</v>
      </c>
      <c r="AJ11" s="207">
        <v>0</v>
      </c>
      <c r="AK11" s="206">
        <v>1</v>
      </c>
      <c r="AL11" s="206">
        <v>1</v>
      </c>
      <c r="AM11" s="206">
        <v>0</v>
      </c>
      <c r="AN11" s="207">
        <v>0</v>
      </c>
    </row>
    <row r="12" spans="1:46" ht="14.95" thickBot="1" x14ac:dyDescent="0.3">
      <c r="A12" s="438"/>
      <c r="B12" s="439"/>
      <c r="C12" s="1232" t="s">
        <v>642</v>
      </c>
      <c r="D12" s="1233"/>
      <c r="E12" s="1234"/>
      <c r="F12" s="896">
        <f t="shared" ref="F12:R12" si="0">SUM(F3:F5)</f>
        <v>57</v>
      </c>
      <c r="G12" s="896">
        <f t="shared" si="0"/>
        <v>89</v>
      </c>
      <c r="H12" s="896">
        <f t="shared" si="0"/>
        <v>1</v>
      </c>
      <c r="I12" s="896">
        <f t="shared" si="0"/>
        <v>0</v>
      </c>
      <c r="J12" s="896">
        <f t="shared" si="0"/>
        <v>9</v>
      </c>
      <c r="K12" s="896">
        <f t="shared" si="0"/>
        <v>6</v>
      </c>
      <c r="L12" s="896">
        <f t="shared" si="0"/>
        <v>0</v>
      </c>
      <c r="M12" s="896">
        <f t="shared" si="0"/>
        <v>0</v>
      </c>
      <c r="N12" s="896">
        <f t="shared" si="0"/>
        <v>2</v>
      </c>
      <c r="O12" s="896">
        <f t="shared" si="0"/>
        <v>0</v>
      </c>
      <c r="P12" s="896">
        <f t="shared" si="0"/>
        <v>2</v>
      </c>
      <c r="Q12" s="896">
        <f t="shared" si="0"/>
        <v>0</v>
      </c>
      <c r="R12" s="896">
        <f t="shared" si="0"/>
        <v>12</v>
      </c>
      <c r="S12" s="441"/>
      <c r="T12" s="441"/>
      <c r="U12" s="441"/>
      <c r="V12" s="441"/>
      <c r="W12" s="442"/>
      <c r="X12" s="897" t="s">
        <v>642</v>
      </c>
      <c r="Y12" s="896">
        <f t="shared" ref="Y12:AN12" si="1">SUM(Y3:Y5)</f>
        <v>3</v>
      </c>
      <c r="Z12" s="896">
        <f t="shared" si="1"/>
        <v>1</v>
      </c>
      <c r="AA12" s="888">
        <f t="shared" si="1"/>
        <v>0</v>
      </c>
      <c r="AB12" s="888">
        <f t="shared" si="1"/>
        <v>2</v>
      </c>
      <c r="AC12" s="889">
        <f t="shared" si="1"/>
        <v>0</v>
      </c>
      <c r="AD12" s="889">
        <f t="shared" si="1"/>
        <v>0</v>
      </c>
      <c r="AE12" s="889">
        <f t="shared" si="1"/>
        <v>0</v>
      </c>
      <c r="AF12" s="889">
        <f t="shared" si="1"/>
        <v>0</v>
      </c>
      <c r="AG12" s="890">
        <f t="shared" si="1"/>
        <v>2</v>
      </c>
      <c r="AH12" s="890">
        <f t="shared" si="1"/>
        <v>0</v>
      </c>
      <c r="AI12" s="890">
        <f t="shared" si="1"/>
        <v>0</v>
      </c>
      <c r="AJ12" s="890">
        <f t="shared" si="1"/>
        <v>2</v>
      </c>
      <c r="AK12" s="891">
        <f t="shared" si="1"/>
        <v>1</v>
      </c>
      <c r="AL12" s="891">
        <f t="shared" si="1"/>
        <v>1</v>
      </c>
      <c r="AM12" s="891">
        <f t="shared" si="1"/>
        <v>0</v>
      </c>
      <c r="AN12" s="891">
        <f t="shared" si="1"/>
        <v>0</v>
      </c>
    </row>
    <row r="13" spans="1:46" ht="14.95" thickBot="1" x14ac:dyDescent="0.3">
      <c r="A13" s="438"/>
      <c r="B13" s="439"/>
      <c r="C13" s="1037" t="s">
        <v>163</v>
      </c>
      <c r="D13" s="1038"/>
      <c r="E13" s="1039"/>
      <c r="F13" s="446">
        <f>SUM(F6:F7)</f>
        <v>26</v>
      </c>
      <c r="G13" s="446">
        <f>SUM(G6:G7)</f>
        <v>121</v>
      </c>
      <c r="H13" s="446" t="s">
        <v>108</v>
      </c>
      <c r="I13" s="446" t="s">
        <v>108</v>
      </c>
      <c r="J13" s="446">
        <f t="shared" ref="J13:O13" si="2">SUM(J6:J7)</f>
        <v>4</v>
      </c>
      <c r="K13" s="446">
        <f t="shared" si="2"/>
        <v>3</v>
      </c>
      <c r="L13" s="446">
        <f t="shared" si="2"/>
        <v>0</v>
      </c>
      <c r="M13" s="446">
        <f t="shared" si="2"/>
        <v>0</v>
      </c>
      <c r="N13" s="446">
        <f t="shared" si="2"/>
        <v>2</v>
      </c>
      <c r="O13" s="446">
        <f t="shared" si="2"/>
        <v>0</v>
      </c>
      <c r="P13" s="446" t="s">
        <v>108</v>
      </c>
      <c r="Q13" s="446" t="s">
        <v>108</v>
      </c>
      <c r="R13" s="446">
        <f>SUM(R6:R7)</f>
        <v>19</v>
      </c>
      <c r="S13" s="447"/>
      <c r="T13" s="447"/>
      <c r="U13" s="447"/>
      <c r="V13" s="447"/>
      <c r="W13" s="448"/>
      <c r="X13" s="623" t="s">
        <v>163</v>
      </c>
      <c r="Y13" s="638">
        <f t="shared" ref="Y13:AN13" si="3">SUM(Y6:Y7)</f>
        <v>2</v>
      </c>
      <c r="Z13" s="639">
        <f t="shared" si="3"/>
        <v>0</v>
      </c>
      <c r="AA13" s="446">
        <f t="shared" si="3"/>
        <v>0</v>
      </c>
      <c r="AB13" s="446">
        <f t="shared" si="3"/>
        <v>2</v>
      </c>
      <c r="AC13" s="450">
        <f t="shared" si="3"/>
        <v>0</v>
      </c>
      <c r="AD13" s="450">
        <f t="shared" si="3"/>
        <v>0</v>
      </c>
      <c r="AE13" s="450">
        <f t="shared" si="3"/>
        <v>0</v>
      </c>
      <c r="AF13" s="450">
        <f t="shared" si="3"/>
        <v>0</v>
      </c>
      <c r="AG13" s="451">
        <f t="shared" si="3"/>
        <v>1</v>
      </c>
      <c r="AH13" s="451">
        <f t="shared" si="3"/>
        <v>0</v>
      </c>
      <c r="AI13" s="451">
        <f t="shared" si="3"/>
        <v>0</v>
      </c>
      <c r="AJ13" s="451">
        <f t="shared" si="3"/>
        <v>1</v>
      </c>
      <c r="AK13" s="452">
        <f t="shared" si="3"/>
        <v>1</v>
      </c>
      <c r="AL13" s="452">
        <f t="shared" si="3"/>
        <v>0</v>
      </c>
      <c r="AM13" s="452">
        <f t="shared" si="3"/>
        <v>0</v>
      </c>
      <c r="AN13" s="452">
        <f t="shared" si="3"/>
        <v>1</v>
      </c>
    </row>
    <row r="14" spans="1:46" ht="14.95" thickBot="1" x14ac:dyDescent="0.3">
      <c r="A14" s="438"/>
      <c r="B14" s="439"/>
      <c r="C14" s="1040" t="s">
        <v>611</v>
      </c>
      <c r="D14" s="1041"/>
      <c r="E14" s="1042"/>
      <c r="F14" s="685">
        <f t="shared" ref="F14:R14" si="4">SUM(F8:F11)</f>
        <v>67</v>
      </c>
      <c r="G14" s="685">
        <f t="shared" si="4"/>
        <v>105</v>
      </c>
      <c r="H14" s="685">
        <f t="shared" si="4"/>
        <v>1</v>
      </c>
      <c r="I14" s="685">
        <f t="shared" si="4"/>
        <v>1</v>
      </c>
      <c r="J14" s="685">
        <f t="shared" si="4"/>
        <v>9</v>
      </c>
      <c r="K14" s="685">
        <f t="shared" si="4"/>
        <v>8</v>
      </c>
      <c r="L14" s="685">
        <f t="shared" si="4"/>
        <v>0</v>
      </c>
      <c r="M14" s="685">
        <f t="shared" si="4"/>
        <v>2</v>
      </c>
      <c r="N14" s="685">
        <f t="shared" si="4"/>
        <v>0</v>
      </c>
      <c r="O14" s="685">
        <f t="shared" si="4"/>
        <v>0</v>
      </c>
      <c r="P14" s="685">
        <f t="shared" si="4"/>
        <v>2</v>
      </c>
      <c r="Q14" s="685">
        <f t="shared" si="4"/>
        <v>0</v>
      </c>
      <c r="R14" s="685">
        <f t="shared" si="4"/>
        <v>13</v>
      </c>
      <c r="S14" s="686"/>
      <c r="T14" s="686"/>
      <c r="U14" s="686"/>
      <c r="V14" s="686"/>
      <c r="W14" s="687"/>
      <c r="X14" s="688" t="s">
        <v>611</v>
      </c>
      <c r="Y14" s="689">
        <f t="shared" ref="Y14:AN14" si="5">SUM(Y8:Y11)</f>
        <v>4</v>
      </c>
      <c r="Z14" s="690">
        <f t="shared" si="5"/>
        <v>1</v>
      </c>
      <c r="AA14" s="685">
        <f t="shared" si="5"/>
        <v>0</v>
      </c>
      <c r="AB14" s="685">
        <f t="shared" si="5"/>
        <v>3</v>
      </c>
      <c r="AC14" s="691">
        <f t="shared" si="5"/>
        <v>0</v>
      </c>
      <c r="AD14" s="691">
        <f t="shared" si="5"/>
        <v>0</v>
      </c>
      <c r="AE14" s="691">
        <f t="shared" si="5"/>
        <v>0</v>
      </c>
      <c r="AF14" s="691">
        <f t="shared" si="5"/>
        <v>0</v>
      </c>
      <c r="AG14" s="692">
        <f t="shared" si="5"/>
        <v>0</v>
      </c>
      <c r="AH14" s="692">
        <f t="shared" si="5"/>
        <v>0</v>
      </c>
      <c r="AI14" s="692">
        <f t="shared" si="5"/>
        <v>0</v>
      </c>
      <c r="AJ14" s="692">
        <f t="shared" si="5"/>
        <v>0</v>
      </c>
      <c r="AK14" s="693">
        <f t="shared" si="5"/>
        <v>4</v>
      </c>
      <c r="AL14" s="693">
        <f t="shared" si="5"/>
        <v>1</v>
      </c>
      <c r="AM14" s="693">
        <f t="shared" si="5"/>
        <v>0</v>
      </c>
      <c r="AN14" s="693">
        <f t="shared" si="5"/>
        <v>3</v>
      </c>
    </row>
    <row r="15" spans="1:46" ht="14.95" thickBot="1" x14ac:dyDescent="0.3">
      <c r="A15" s="438"/>
      <c r="B15" s="439"/>
      <c r="C15" s="1040" t="s">
        <v>612</v>
      </c>
      <c r="D15" s="1041"/>
      <c r="E15" s="1042"/>
      <c r="F15" s="694" t="s">
        <v>108</v>
      </c>
      <c r="G15" s="685" t="s">
        <v>108</v>
      </c>
      <c r="H15" s="685" t="s">
        <v>108</v>
      </c>
      <c r="I15" s="685" t="s">
        <v>108</v>
      </c>
      <c r="J15" s="685" t="s">
        <v>108</v>
      </c>
      <c r="K15" s="685" t="s">
        <v>108</v>
      </c>
      <c r="L15" s="685" t="s">
        <v>108</v>
      </c>
      <c r="M15" s="685" t="s">
        <v>108</v>
      </c>
      <c r="N15" s="685" t="s">
        <v>108</v>
      </c>
      <c r="O15" s="685" t="s">
        <v>108</v>
      </c>
      <c r="P15" s="685" t="s">
        <v>108</v>
      </c>
      <c r="Q15" s="685" t="s">
        <v>108</v>
      </c>
      <c r="R15" s="685" t="s">
        <v>108</v>
      </c>
      <c r="S15" s="686"/>
      <c r="T15" s="686"/>
      <c r="U15" s="686"/>
      <c r="V15" s="686"/>
      <c r="W15" s="687"/>
      <c r="X15" s="688" t="s">
        <v>612</v>
      </c>
      <c r="Y15" s="689" t="s">
        <v>108</v>
      </c>
      <c r="Z15" s="690" t="s">
        <v>108</v>
      </c>
      <c r="AA15" s="685" t="s">
        <v>108</v>
      </c>
      <c r="AB15" s="685" t="s">
        <v>108</v>
      </c>
      <c r="AC15" s="691" t="s">
        <v>108</v>
      </c>
      <c r="AD15" s="691" t="s">
        <v>108</v>
      </c>
      <c r="AE15" s="691" t="s">
        <v>108</v>
      </c>
      <c r="AF15" s="691" t="s">
        <v>108</v>
      </c>
      <c r="AG15" s="692" t="s">
        <v>108</v>
      </c>
      <c r="AH15" s="692" t="s">
        <v>108</v>
      </c>
      <c r="AI15" s="692" t="s">
        <v>108</v>
      </c>
      <c r="AJ15" s="692" t="s">
        <v>108</v>
      </c>
      <c r="AK15" s="693" t="s">
        <v>108</v>
      </c>
      <c r="AL15" s="693" t="s">
        <v>108</v>
      </c>
      <c r="AM15" s="693" t="s">
        <v>108</v>
      </c>
      <c r="AN15" s="693" t="s">
        <v>108</v>
      </c>
    </row>
    <row r="16" spans="1:46" ht="14.95" thickBot="1" x14ac:dyDescent="0.3">
      <c r="A16" s="438"/>
      <c r="B16" s="439"/>
      <c r="C16" s="1040" t="s">
        <v>613</v>
      </c>
      <c r="D16" s="1041"/>
      <c r="E16" s="1042"/>
      <c r="F16" s="685">
        <f>SUM(F14:F15)</f>
        <v>67</v>
      </c>
      <c r="G16" s="685">
        <f t="shared" ref="G16:R16" si="6">SUM(G14:G15)</f>
        <v>105</v>
      </c>
      <c r="H16" s="685">
        <f t="shared" si="6"/>
        <v>1</v>
      </c>
      <c r="I16" s="685">
        <f t="shared" si="6"/>
        <v>1</v>
      </c>
      <c r="J16" s="685">
        <f t="shared" si="6"/>
        <v>9</v>
      </c>
      <c r="K16" s="685">
        <f t="shared" si="6"/>
        <v>8</v>
      </c>
      <c r="L16" s="685">
        <f t="shared" si="6"/>
        <v>0</v>
      </c>
      <c r="M16" s="685">
        <f t="shared" si="6"/>
        <v>2</v>
      </c>
      <c r="N16" s="685">
        <f t="shared" si="6"/>
        <v>0</v>
      </c>
      <c r="O16" s="685">
        <f t="shared" si="6"/>
        <v>0</v>
      </c>
      <c r="P16" s="685">
        <f t="shared" si="6"/>
        <v>2</v>
      </c>
      <c r="Q16" s="685">
        <f t="shared" si="6"/>
        <v>0</v>
      </c>
      <c r="R16" s="685">
        <f t="shared" si="6"/>
        <v>13</v>
      </c>
      <c r="S16" s="686"/>
      <c r="T16" s="686"/>
      <c r="U16" s="686"/>
      <c r="V16" s="686"/>
      <c r="W16" s="687"/>
      <c r="X16" s="688" t="s">
        <v>613</v>
      </c>
      <c r="Y16" s="689">
        <f t="shared" ref="Y16:AN16" si="7">SUM(Y14:Y15)</f>
        <v>4</v>
      </c>
      <c r="Z16" s="690">
        <f t="shared" si="7"/>
        <v>1</v>
      </c>
      <c r="AA16" s="685">
        <f t="shared" si="7"/>
        <v>0</v>
      </c>
      <c r="AB16" s="685">
        <f t="shared" si="7"/>
        <v>3</v>
      </c>
      <c r="AC16" s="691">
        <f t="shared" si="7"/>
        <v>0</v>
      </c>
      <c r="AD16" s="691">
        <f t="shared" si="7"/>
        <v>0</v>
      </c>
      <c r="AE16" s="691">
        <f t="shared" si="7"/>
        <v>0</v>
      </c>
      <c r="AF16" s="691">
        <f t="shared" si="7"/>
        <v>0</v>
      </c>
      <c r="AG16" s="692">
        <f t="shared" si="7"/>
        <v>0</v>
      </c>
      <c r="AH16" s="692">
        <f t="shared" si="7"/>
        <v>0</v>
      </c>
      <c r="AI16" s="692">
        <f t="shared" si="7"/>
        <v>0</v>
      </c>
      <c r="AJ16" s="692">
        <f t="shared" si="7"/>
        <v>0</v>
      </c>
      <c r="AK16" s="693">
        <f t="shared" si="7"/>
        <v>4</v>
      </c>
      <c r="AL16" s="693">
        <f t="shared" si="7"/>
        <v>1</v>
      </c>
      <c r="AM16" s="693">
        <f t="shared" si="7"/>
        <v>0</v>
      </c>
      <c r="AN16" s="693">
        <f t="shared" si="7"/>
        <v>3</v>
      </c>
    </row>
    <row r="17" spans="1:40" ht="15.8" customHeight="1" thickBot="1" x14ac:dyDescent="0.3">
      <c r="A17" s="438"/>
      <c r="B17" s="439"/>
      <c r="C17" s="1034" t="s">
        <v>112</v>
      </c>
      <c r="D17" s="1035"/>
      <c r="E17" s="1036"/>
      <c r="F17" s="453">
        <f t="shared" ref="F17:R17" si="8">SUM(F3:F11)</f>
        <v>150</v>
      </c>
      <c r="G17" s="453">
        <f t="shared" si="8"/>
        <v>315</v>
      </c>
      <c r="H17" s="453">
        <f t="shared" si="8"/>
        <v>2</v>
      </c>
      <c r="I17" s="453">
        <f t="shared" si="8"/>
        <v>1</v>
      </c>
      <c r="J17" s="453">
        <f t="shared" si="8"/>
        <v>22</v>
      </c>
      <c r="K17" s="453">
        <f t="shared" si="8"/>
        <v>17</v>
      </c>
      <c r="L17" s="453">
        <f t="shared" si="8"/>
        <v>0</v>
      </c>
      <c r="M17" s="453">
        <f t="shared" si="8"/>
        <v>2</v>
      </c>
      <c r="N17" s="453">
        <f t="shared" si="8"/>
        <v>4</v>
      </c>
      <c r="O17" s="453">
        <f t="shared" si="8"/>
        <v>0</v>
      </c>
      <c r="P17" s="453">
        <f t="shared" si="8"/>
        <v>4</v>
      </c>
      <c r="Q17" s="453">
        <f t="shared" si="8"/>
        <v>0</v>
      </c>
      <c r="R17" s="453">
        <f t="shared" si="8"/>
        <v>44</v>
      </c>
      <c r="S17" s="454"/>
      <c r="T17" s="454"/>
      <c r="U17" s="454"/>
      <c r="V17" s="454"/>
      <c r="W17" s="455"/>
      <c r="X17" s="462" t="s">
        <v>112</v>
      </c>
      <c r="Y17" s="453">
        <f t="shared" ref="Y17:AN17" si="9">SUM(Y3:Y11)</f>
        <v>9</v>
      </c>
      <c r="Z17" s="453">
        <f t="shared" si="9"/>
        <v>2</v>
      </c>
      <c r="AA17" s="453">
        <f t="shared" si="9"/>
        <v>0</v>
      </c>
      <c r="AB17" s="453">
        <f t="shared" si="9"/>
        <v>7</v>
      </c>
      <c r="AC17" s="456">
        <f t="shared" si="9"/>
        <v>0</v>
      </c>
      <c r="AD17" s="456">
        <f t="shared" si="9"/>
        <v>0</v>
      </c>
      <c r="AE17" s="456">
        <f t="shared" si="9"/>
        <v>0</v>
      </c>
      <c r="AF17" s="456">
        <f t="shared" si="9"/>
        <v>0</v>
      </c>
      <c r="AG17" s="457">
        <f t="shared" si="9"/>
        <v>3</v>
      </c>
      <c r="AH17" s="457">
        <f t="shared" si="9"/>
        <v>0</v>
      </c>
      <c r="AI17" s="457">
        <f t="shared" si="9"/>
        <v>0</v>
      </c>
      <c r="AJ17" s="457">
        <f t="shared" si="9"/>
        <v>3</v>
      </c>
      <c r="AK17" s="458">
        <f t="shared" si="9"/>
        <v>6</v>
      </c>
      <c r="AL17" s="458">
        <f t="shared" si="9"/>
        <v>2</v>
      </c>
      <c r="AM17" s="458">
        <f t="shared" si="9"/>
        <v>0</v>
      </c>
      <c r="AN17" s="458">
        <f t="shared" si="9"/>
        <v>4</v>
      </c>
    </row>
    <row r="18" spans="1:40" x14ac:dyDescent="0.25">
      <c r="A18" s="636" t="s">
        <v>871</v>
      </c>
      <c r="F18" s="14"/>
      <c r="G18" s="14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40" x14ac:dyDescent="0.25">
      <c r="A19" s="919" t="s">
        <v>821</v>
      </c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40" x14ac:dyDescent="0.25">
      <c r="A20" s="931" t="s">
        <v>873</v>
      </c>
      <c r="F20" s="14"/>
      <c r="G20" s="14"/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40" x14ac:dyDescent="0.25">
      <c r="A21" s="894" t="s">
        <v>641</v>
      </c>
      <c r="F21" s="14"/>
      <c r="G21" s="14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40" x14ac:dyDescent="0.25">
      <c r="A22" s="502" t="s">
        <v>181</v>
      </c>
      <c r="F22" s="14"/>
      <c r="G22" s="14"/>
      <c r="H22" s="13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40" x14ac:dyDescent="0.25">
      <c r="A23" s="159"/>
      <c r="B23" t="s">
        <v>44</v>
      </c>
    </row>
    <row r="24" spans="1:40" x14ac:dyDescent="0.25">
      <c r="A24" s="157"/>
      <c r="B24" t="s">
        <v>42</v>
      </c>
    </row>
    <row r="25" spans="1:40" x14ac:dyDescent="0.25">
      <c r="A25" s="158"/>
      <c r="B25" t="s">
        <v>43</v>
      </c>
    </row>
    <row r="26" spans="1:40" x14ac:dyDescent="0.25">
      <c r="A26" s="15" t="s">
        <v>28</v>
      </c>
    </row>
  </sheetData>
  <mergeCells count="16">
    <mergeCell ref="AG1:AJ1"/>
    <mergeCell ref="AK1:AN1"/>
    <mergeCell ref="AC1:AF1"/>
    <mergeCell ref="C12:E12"/>
    <mergeCell ref="Y1:AB1"/>
    <mergeCell ref="C17:E17"/>
    <mergeCell ref="P1:R1"/>
    <mergeCell ref="A1:C1"/>
    <mergeCell ref="E1:G1"/>
    <mergeCell ref="H1:I1"/>
    <mergeCell ref="J1:M1"/>
    <mergeCell ref="N1:O1"/>
    <mergeCell ref="C13:E13"/>
    <mergeCell ref="C14:E14"/>
    <mergeCell ref="C15:E15"/>
    <mergeCell ref="C16:E16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T32"/>
  <sheetViews>
    <sheetView workbookViewId="0">
      <selection activeCell="V23" sqref="V23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5" customWidth="1"/>
    <col min="5" max="18" width="3.75" customWidth="1"/>
    <col min="19" max="20" width="6.25" customWidth="1"/>
    <col min="21" max="21" width="27.5" customWidth="1"/>
    <col min="22" max="22" width="24.125" bestFit="1" customWidth="1"/>
    <col min="23" max="23" width="27.5" customWidth="1"/>
    <col min="24" max="24" width="25.875" bestFit="1" customWidth="1"/>
    <col min="25" max="28" width="4.25" customWidth="1"/>
    <col min="29" max="40" width="3.7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1240" t="s">
        <v>206</v>
      </c>
      <c r="B1" s="1241"/>
      <c r="C1" s="1241"/>
      <c r="D1" s="164"/>
      <c r="E1" s="1242" t="s">
        <v>24</v>
      </c>
      <c r="F1" s="1243"/>
      <c r="G1" s="1244"/>
      <c r="H1" s="1242" t="s">
        <v>23</v>
      </c>
      <c r="I1" s="1244"/>
      <c r="J1" s="1237" t="s">
        <v>6</v>
      </c>
      <c r="K1" s="1238"/>
      <c r="L1" s="1238"/>
      <c r="M1" s="1239"/>
      <c r="N1" s="1237" t="s">
        <v>7</v>
      </c>
      <c r="O1" s="1239"/>
      <c r="P1" s="1237" t="s">
        <v>25</v>
      </c>
      <c r="Q1" s="1238"/>
      <c r="R1" s="1239"/>
      <c r="S1" s="132" t="s">
        <v>8</v>
      </c>
      <c r="T1" s="132" t="s">
        <v>9</v>
      </c>
      <c r="U1" s="133" t="s">
        <v>10</v>
      </c>
      <c r="V1" s="132" t="s">
        <v>11</v>
      </c>
      <c r="W1" s="134" t="s">
        <v>26</v>
      </c>
      <c r="X1" s="169" t="s">
        <v>27</v>
      </c>
      <c r="Y1" s="1235" t="s">
        <v>20</v>
      </c>
      <c r="Z1" s="1044"/>
      <c r="AA1" s="1044"/>
      <c r="AB1" s="1045"/>
      <c r="AC1" s="1236" t="s">
        <v>61</v>
      </c>
      <c r="AD1" s="1047"/>
      <c r="AE1" s="1047"/>
      <c r="AF1" s="1047"/>
      <c r="AG1" s="1235" t="s">
        <v>62</v>
      </c>
      <c r="AH1" s="1044"/>
      <c r="AI1" s="1044"/>
      <c r="AJ1" s="1045"/>
      <c r="AK1" s="1235" t="s">
        <v>63</v>
      </c>
      <c r="AL1" s="1044"/>
      <c r="AM1" s="1044"/>
      <c r="AN1" s="1045"/>
      <c r="AP1" s="900" t="s">
        <v>60</v>
      </c>
      <c r="AQ1" s="868"/>
      <c r="AR1" s="868"/>
      <c r="AS1" s="900" t="s">
        <v>60</v>
      </c>
    </row>
    <row r="2" spans="1:46" ht="14.95" customHeight="1" thickBot="1" x14ac:dyDescent="0.3">
      <c r="A2" s="135" t="s">
        <v>19</v>
      </c>
      <c r="B2" s="136" t="s">
        <v>18</v>
      </c>
      <c r="C2" s="137" t="s">
        <v>17</v>
      </c>
      <c r="D2" s="138" t="s">
        <v>41</v>
      </c>
      <c r="E2" s="138" t="s">
        <v>16</v>
      </c>
      <c r="F2" s="138" t="s">
        <v>4</v>
      </c>
      <c r="G2" s="138" t="s">
        <v>5</v>
      </c>
      <c r="H2" s="139" t="s">
        <v>12</v>
      </c>
      <c r="I2" s="139" t="s">
        <v>3</v>
      </c>
      <c r="J2" s="139" t="s">
        <v>12</v>
      </c>
      <c r="K2" s="139" t="s">
        <v>13</v>
      </c>
      <c r="L2" s="139" t="s">
        <v>2</v>
      </c>
      <c r="M2" s="139" t="s">
        <v>14</v>
      </c>
      <c r="N2" s="139" t="s">
        <v>15</v>
      </c>
      <c r="O2" s="139" t="s">
        <v>16</v>
      </c>
      <c r="P2" s="139" t="s">
        <v>21</v>
      </c>
      <c r="Q2" s="139" t="s">
        <v>22</v>
      </c>
      <c r="R2" s="139" t="s">
        <v>12</v>
      </c>
      <c r="S2" s="140"/>
      <c r="T2" s="141"/>
      <c r="U2" s="142"/>
      <c r="V2" s="140"/>
      <c r="W2" s="217"/>
      <c r="X2" s="143"/>
      <c r="Y2" s="910" t="s">
        <v>0</v>
      </c>
      <c r="Z2" s="910" t="s">
        <v>1</v>
      </c>
      <c r="AA2" s="910" t="s">
        <v>2</v>
      </c>
      <c r="AB2" s="910" t="s">
        <v>3</v>
      </c>
      <c r="AC2" s="910" t="s">
        <v>0</v>
      </c>
      <c r="AD2" s="910" t="s">
        <v>1</v>
      </c>
      <c r="AE2" s="910" t="s">
        <v>2</v>
      </c>
      <c r="AF2" s="910" t="s">
        <v>3</v>
      </c>
      <c r="AG2" s="910" t="s">
        <v>0</v>
      </c>
      <c r="AH2" s="910" t="s">
        <v>1</v>
      </c>
      <c r="AI2" s="910" t="s">
        <v>2</v>
      </c>
      <c r="AJ2" s="910" t="s">
        <v>3</v>
      </c>
      <c r="AK2" s="910" t="s">
        <v>0</v>
      </c>
      <c r="AL2" s="910" t="s">
        <v>1</v>
      </c>
      <c r="AM2" s="910" t="s">
        <v>2</v>
      </c>
      <c r="AN2" s="910" t="s">
        <v>3</v>
      </c>
      <c r="AP2" s="592" t="s">
        <v>112</v>
      </c>
      <c r="AQ2" s="253"/>
      <c r="AS2" s="672" t="s">
        <v>610</v>
      </c>
      <c r="AT2" s="253"/>
    </row>
    <row r="3" spans="1:46" ht="14.95" customHeight="1" thickBot="1" x14ac:dyDescent="0.35">
      <c r="A3" s="313">
        <v>43498</v>
      </c>
      <c r="B3" s="314" t="s">
        <v>106</v>
      </c>
      <c r="C3" s="315" t="s">
        <v>237</v>
      </c>
      <c r="D3" s="316" t="s">
        <v>299</v>
      </c>
      <c r="E3" s="316" t="s">
        <v>1</v>
      </c>
      <c r="F3" s="316">
        <v>71</v>
      </c>
      <c r="G3" s="316">
        <v>8</v>
      </c>
      <c r="H3" s="316">
        <v>1</v>
      </c>
      <c r="I3" s="316">
        <v>0</v>
      </c>
      <c r="J3" s="316">
        <v>11</v>
      </c>
      <c r="K3" s="316">
        <v>8</v>
      </c>
      <c r="L3" s="316">
        <v>0</v>
      </c>
      <c r="M3" s="316">
        <v>0</v>
      </c>
      <c r="N3" s="316">
        <v>0</v>
      </c>
      <c r="O3" s="316">
        <v>0</v>
      </c>
      <c r="P3" s="316">
        <v>0</v>
      </c>
      <c r="Q3" s="316">
        <v>0</v>
      </c>
      <c r="R3" s="316">
        <v>1</v>
      </c>
      <c r="S3" s="317">
        <v>2000</v>
      </c>
      <c r="T3" s="550" t="s">
        <v>300</v>
      </c>
      <c r="U3" s="318" t="s">
        <v>301</v>
      </c>
      <c r="V3" s="317" t="s">
        <v>302</v>
      </c>
      <c r="W3" s="319" t="s">
        <v>304</v>
      </c>
      <c r="X3" s="320" t="s">
        <v>303</v>
      </c>
      <c r="Y3" s="321">
        <v>1</v>
      </c>
      <c r="Z3" s="321">
        <v>1</v>
      </c>
      <c r="AA3" s="321">
        <v>0</v>
      </c>
      <c r="AB3" s="322">
        <v>0</v>
      </c>
      <c r="AC3" s="321">
        <v>0</v>
      </c>
      <c r="AD3" s="321">
        <v>0</v>
      </c>
      <c r="AE3" s="321">
        <v>0</v>
      </c>
      <c r="AF3" s="322">
        <v>0</v>
      </c>
      <c r="AG3" s="321">
        <v>1</v>
      </c>
      <c r="AH3" s="321">
        <v>1</v>
      </c>
      <c r="AI3" s="321">
        <v>0</v>
      </c>
      <c r="AJ3" s="322">
        <v>0</v>
      </c>
      <c r="AK3" s="321">
        <v>0</v>
      </c>
      <c r="AL3" s="321">
        <v>0</v>
      </c>
      <c r="AM3" s="321">
        <v>0</v>
      </c>
      <c r="AN3" s="322">
        <v>0</v>
      </c>
      <c r="AP3" s="849" t="s">
        <v>627</v>
      </c>
      <c r="AQ3" s="850">
        <f>United_Statesalltestshistplayed</f>
        <v>260</v>
      </c>
      <c r="AS3" s="849" t="s">
        <v>627</v>
      </c>
      <c r="AT3" s="850">
        <f>United_StatesRWChistplayed</f>
        <v>29</v>
      </c>
    </row>
    <row r="4" spans="1:46" ht="14.95" customHeight="1" thickBot="1" x14ac:dyDescent="0.35">
      <c r="A4" s="303">
        <v>43519</v>
      </c>
      <c r="B4" s="304" t="s">
        <v>106</v>
      </c>
      <c r="C4" s="305" t="s">
        <v>251</v>
      </c>
      <c r="D4" s="306" t="s">
        <v>351</v>
      </c>
      <c r="E4" s="306" t="s">
        <v>1</v>
      </c>
      <c r="F4" s="306">
        <v>33</v>
      </c>
      <c r="G4" s="306">
        <v>28</v>
      </c>
      <c r="H4" s="306">
        <v>1</v>
      </c>
      <c r="I4" s="306">
        <v>0</v>
      </c>
      <c r="J4" s="306">
        <v>4</v>
      </c>
      <c r="K4" s="306">
        <v>2</v>
      </c>
      <c r="L4" s="306">
        <v>0</v>
      </c>
      <c r="M4" s="306">
        <v>3</v>
      </c>
      <c r="N4" s="306">
        <v>1</v>
      </c>
      <c r="O4" s="306">
        <v>0</v>
      </c>
      <c r="P4" s="306">
        <v>0</v>
      </c>
      <c r="Q4" s="306">
        <v>1</v>
      </c>
      <c r="R4" s="306">
        <v>3</v>
      </c>
      <c r="S4" s="307"/>
      <c r="T4" s="415" t="s">
        <v>352</v>
      </c>
      <c r="U4" s="308" t="s">
        <v>301</v>
      </c>
      <c r="V4" s="307" t="s">
        <v>314</v>
      </c>
      <c r="W4" s="309" t="s">
        <v>354</v>
      </c>
      <c r="X4" s="310" t="s">
        <v>353</v>
      </c>
      <c r="Y4" s="311">
        <v>1</v>
      </c>
      <c r="Z4" s="311">
        <v>1</v>
      </c>
      <c r="AA4" s="311">
        <v>0</v>
      </c>
      <c r="AB4" s="312">
        <v>0</v>
      </c>
      <c r="AC4" s="311">
        <v>1</v>
      </c>
      <c r="AD4" s="311">
        <v>1</v>
      </c>
      <c r="AE4" s="311">
        <v>0</v>
      </c>
      <c r="AF4" s="312">
        <v>0</v>
      </c>
      <c r="AG4" s="311">
        <v>0</v>
      </c>
      <c r="AH4" s="311">
        <v>0</v>
      </c>
      <c r="AI4" s="311">
        <v>0</v>
      </c>
      <c r="AJ4" s="312">
        <v>0</v>
      </c>
      <c r="AK4" s="311">
        <v>0</v>
      </c>
      <c r="AL4" s="311">
        <v>0</v>
      </c>
      <c r="AM4" s="311">
        <v>0</v>
      </c>
      <c r="AN4" s="312">
        <v>0</v>
      </c>
      <c r="AP4" s="851" t="s">
        <v>628</v>
      </c>
      <c r="AQ4" s="852">
        <f>United_Statesalltestshistwon</f>
        <v>95</v>
      </c>
      <c r="AS4" s="851" t="s">
        <v>628</v>
      </c>
      <c r="AT4" s="852">
        <f>United_StatesRWChistwon</f>
        <v>3</v>
      </c>
    </row>
    <row r="5" spans="1:46" ht="14.95" customHeight="1" thickBot="1" x14ac:dyDescent="0.3">
      <c r="A5" s="303">
        <v>43526</v>
      </c>
      <c r="B5" s="304" t="s">
        <v>106</v>
      </c>
      <c r="C5" s="305" t="s">
        <v>107</v>
      </c>
      <c r="D5" s="306" t="s">
        <v>366</v>
      </c>
      <c r="E5" s="306" t="s">
        <v>3</v>
      </c>
      <c r="F5" s="306">
        <v>25</v>
      </c>
      <c r="G5" s="306">
        <v>32</v>
      </c>
      <c r="H5" s="306">
        <v>1</v>
      </c>
      <c r="I5" s="306">
        <v>1</v>
      </c>
      <c r="J5" s="306">
        <v>4</v>
      </c>
      <c r="K5" s="306">
        <v>1</v>
      </c>
      <c r="L5" s="306">
        <v>0</v>
      </c>
      <c r="M5" s="306">
        <v>1</v>
      </c>
      <c r="N5" s="306">
        <v>0</v>
      </c>
      <c r="O5" s="306">
        <v>0</v>
      </c>
      <c r="P5" s="306">
        <v>1</v>
      </c>
      <c r="Q5" s="306">
        <v>0</v>
      </c>
      <c r="R5" s="306">
        <v>5</v>
      </c>
      <c r="S5" s="209"/>
      <c r="T5" s="222" t="s">
        <v>367</v>
      </c>
      <c r="U5" s="210" t="s">
        <v>382</v>
      </c>
      <c r="V5" s="209" t="s">
        <v>380</v>
      </c>
      <c r="W5" s="210" t="s">
        <v>379</v>
      </c>
      <c r="X5" s="198" t="s">
        <v>370</v>
      </c>
      <c r="Y5" s="311">
        <v>1</v>
      </c>
      <c r="Z5" s="311">
        <v>0</v>
      </c>
      <c r="AA5" s="311">
        <v>0</v>
      </c>
      <c r="AB5" s="312">
        <v>1</v>
      </c>
      <c r="AC5" s="311">
        <v>1</v>
      </c>
      <c r="AD5" s="311">
        <v>0</v>
      </c>
      <c r="AE5" s="311">
        <v>0</v>
      </c>
      <c r="AF5" s="312">
        <v>1</v>
      </c>
      <c r="AG5" s="311">
        <v>0</v>
      </c>
      <c r="AH5" s="311">
        <v>0</v>
      </c>
      <c r="AI5" s="311">
        <v>0</v>
      </c>
      <c r="AJ5" s="312">
        <v>0</v>
      </c>
      <c r="AK5" s="311">
        <v>0</v>
      </c>
      <c r="AL5" s="311">
        <v>0</v>
      </c>
      <c r="AM5" s="311">
        <v>0</v>
      </c>
      <c r="AN5" s="312">
        <v>0</v>
      </c>
      <c r="AP5" s="851" t="s">
        <v>634</v>
      </c>
      <c r="AQ5" s="852">
        <f>United_Statesalltestshistdrawn</f>
        <v>4</v>
      </c>
      <c r="AS5" s="851" t="s">
        <v>634</v>
      </c>
      <c r="AT5" s="852">
        <f>United_StatesRWChistdrawn</f>
        <v>0</v>
      </c>
    </row>
    <row r="6" spans="1:46" ht="14.95" customHeight="1" thickBot="1" x14ac:dyDescent="0.35">
      <c r="A6" s="303">
        <v>43532</v>
      </c>
      <c r="B6" s="304" t="s">
        <v>106</v>
      </c>
      <c r="C6" s="305" t="s">
        <v>40</v>
      </c>
      <c r="D6" s="306" t="s">
        <v>366</v>
      </c>
      <c r="E6" s="306" t="s">
        <v>1</v>
      </c>
      <c r="F6" s="306">
        <v>30</v>
      </c>
      <c r="G6" s="306">
        <v>25</v>
      </c>
      <c r="H6" s="306">
        <v>1</v>
      </c>
      <c r="I6" s="306">
        <v>0</v>
      </c>
      <c r="J6" s="306">
        <v>4</v>
      </c>
      <c r="K6" s="306">
        <v>2</v>
      </c>
      <c r="L6" s="306">
        <v>0</v>
      </c>
      <c r="M6" s="306">
        <v>2</v>
      </c>
      <c r="N6" s="306">
        <v>0</v>
      </c>
      <c r="O6" s="306">
        <v>0</v>
      </c>
      <c r="P6" s="306">
        <v>0</v>
      </c>
      <c r="Q6" s="306">
        <v>1</v>
      </c>
      <c r="R6" s="306">
        <v>3</v>
      </c>
      <c r="S6" s="209"/>
      <c r="T6" s="346" t="s">
        <v>377</v>
      </c>
      <c r="U6" s="210" t="s">
        <v>382</v>
      </c>
      <c r="V6" s="209" t="s">
        <v>368</v>
      </c>
      <c r="W6" s="198" t="s">
        <v>354</v>
      </c>
      <c r="X6" s="211" t="s">
        <v>378</v>
      </c>
      <c r="Y6" s="311">
        <v>1</v>
      </c>
      <c r="Z6" s="311">
        <v>1</v>
      </c>
      <c r="AA6" s="311">
        <v>0</v>
      </c>
      <c r="AB6" s="312">
        <v>0</v>
      </c>
      <c r="AC6" s="311">
        <v>1</v>
      </c>
      <c r="AD6" s="311">
        <v>1</v>
      </c>
      <c r="AE6" s="311">
        <v>0</v>
      </c>
      <c r="AF6" s="312">
        <v>0</v>
      </c>
      <c r="AG6" s="311">
        <v>0</v>
      </c>
      <c r="AH6" s="311">
        <v>0</v>
      </c>
      <c r="AI6" s="311">
        <v>0</v>
      </c>
      <c r="AJ6" s="312">
        <v>0</v>
      </c>
      <c r="AK6" s="311">
        <v>0</v>
      </c>
      <c r="AL6" s="311">
        <v>0</v>
      </c>
      <c r="AM6" s="311">
        <v>0</v>
      </c>
      <c r="AN6" s="312">
        <v>0</v>
      </c>
      <c r="AP6" s="851" t="s">
        <v>629</v>
      </c>
      <c r="AQ6" s="852">
        <f>United_Statesalltestshistlost</f>
        <v>161</v>
      </c>
      <c r="AS6" s="851" t="s">
        <v>629</v>
      </c>
      <c r="AT6" s="852">
        <f>United_StatesRWChistlost</f>
        <v>26</v>
      </c>
    </row>
    <row r="7" spans="1:46" ht="14.95" customHeight="1" thickBot="1" x14ac:dyDescent="0.35">
      <c r="A7" s="303">
        <v>43673</v>
      </c>
      <c r="B7" s="304" t="s">
        <v>147</v>
      </c>
      <c r="C7" s="305" t="s">
        <v>40</v>
      </c>
      <c r="D7" s="306" t="s">
        <v>739</v>
      </c>
      <c r="E7" s="306" t="s">
        <v>1</v>
      </c>
      <c r="F7" s="306">
        <v>47</v>
      </c>
      <c r="G7" s="306">
        <v>19</v>
      </c>
      <c r="H7" s="306">
        <v>1</v>
      </c>
      <c r="I7" s="306">
        <v>0</v>
      </c>
      <c r="J7" s="306">
        <v>6</v>
      </c>
      <c r="K7" s="306">
        <v>4</v>
      </c>
      <c r="L7" s="306">
        <v>0</v>
      </c>
      <c r="M7" s="306">
        <v>3</v>
      </c>
      <c r="N7" s="306">
        <v>1</v>
      </c>
      <c r="O7" s="306">
        <v>0</v>
      </c>
      <c r="P7" s="306">
        <v>0</v>
      </c>
      <c r="Q7" s="306">
        <v>0</v>
      </c>
      <c r="R7" s="306">
        <v>3</v>
      </c>
      <c r="S7" s="209">
        <v>5000</v>
      </c>
      <c r="T7" s="346" t="s">
        <v>742</v>
      </c>
      <c r="U7" s="210" t="s">
        <v>129</v>
      </c>
      <c r="V7" s="209" t="s">
        <v>215</v>
      </c>
      <c r="W7" s="198" t="s">
        <v>427</v>
      </c>
      <c r="X7" s="211" t="s">
        <v>357</v>
      </c>
      <c r="Y7" s="311">
        <v>1</v>
      </c>
      <c r="Z7" s="311">
        <v>1</v>
      </c>
      <c r="AA7" s="311">
        <v>0</v>
      </c>
      <c r="AB7" s="312">
        <v>0</v>
      </c>
      <c r="AC7" s="311">
        <v>1</v>
      </c>
      <c r="AD7" s="311">
        <v>1</v>
      </c>
      <c r="AE7" s="311">
        <v>0</v>
      </c>
      <c r="AF7" s="312">
        <v>0</v>
      </c>
      <c r="AG7" s="311">
        <v>0</v>
      </c>
      <c r="AH7" s="311">
        <v>0</v>
      </c>
      <c r="AI7" s="311">
        <v>0</v>
      </c>
      <c r="AJ7" s="312">
        <v>0</v>
      </c>
      <c r="AK7" s="311">
        <v>0</v>
      </c>
      <c r="AL7" s="311">
        <v>0</v>
      </c>
      <c r="AM7" s="311">
        <v>0</v>
      </c>
      <c r="AN7" s="312">
        <v>0</v>
      </c>
      <c r="AP7" s="851" t="s">
        <v>635</v>
      </c>
      <c r="AQ7" s="852">
        <f>United_Statesalltestshistptsscored</f>
        <v>5489</v>
      </c>
      <c r="AS7" s="851" t="s">
        <v>635</v>
      </c>
      <c r="AT7" s="852">
        <f>United_StatesRWChistptsscored</f>
        <v>402</v>
      </c>
    </row>
    <row r="8" spans="1:46" ht="14.95" customHeight="1" thickBot="1" x14ac:dyDescent="0.35">
      <c r="A8" s="503">
        <v>43315</v>
      </c>
      <c r="B8" s="504" t="s">
        <v>147</v>
      </c>
      <c r="C8" s="505" t="s">
        <v>148</v>
      </c>
      <c r="D8" s="506" t="s">
        <v>586</v>
      </c>
      <c r="E8" s="506" t="s">
        <v>1</v>
      </c>
      <c r="F8" s="506">
        <v>13</v>
      </c>
      <c r="G8" s="506">
        <v>10</v>
      </c>
      <c r="H8" s="506">
        <v>0</v>
      </c>
      <c r="I8" s="506">
        <v>0</v>
      </c>
      <c r="J8" s="506">
        <v>1</v>
      </c>
      <c r="K8" s="506">
        <v>1</v>
      </c>
      <c r="L8" s="506">
        <v>0</v>
      </c>
      <c r="M8" s="506">
        <v>2</v>
      </c>
      <c r="N8" s="506">
        <v>0</v>
      </c>
      <c r="O8" s="506">
        <v>0</v>
      </c>
      <c r="P8" s="506">
        <v>0</v>
      </c>
      <c r="Q8" s="506">
        <v>1</v>
      </c>
      <c r="R8" s="506">
        <v>1</v>
      </c>
      <c r="S8" s="625"/>
      <c r="T8" s="626" t="s">
        <v>747</v>
      </c>
      <c r="U8" s="627" t="s">
        <v>219</v>
      </c>
      <c r="V8" s="625" t="s">
        <v>314</v>
      </c>
      <c r="W8" s="507" t="s">
        <v>746</v>
      </c>
      <c r="X8" s="628" t="s">
        <v>732</v>
      </c>
      <c r="Y8" s="508">
        <v>1</v>
      </c>
      <c r="Z8" s="508">
        <v>1</v>
      </c>
      <c r="AA8" s="508">
        <v>0</v>
      </c>
      <c r="AB8" s="509">
        <v>0</v>
      </c>
      <c r="AC8" s="508">
        <v>0</v>
      </c>
      <c r="AD8" s="508">
        <v>0</v>
      </c>
      <c r="AE8" s="508">
        <v>0</v>
      </c>
      <c r="AF8" s="509">
        <v>0</v>
      </c>
      <c r="AG8" s="508">
        <v>0</v>
      </c>
      <c r="AH8" s="508">
        <v>0</v>
      </c>
      <c r="AI8" s="508">
        <v>0</v>
      </c>
      <c r="AJ8" s="509">
        <v>0</v>
      </c>
      <c r="AK8" s="508">
        <v>1</v>
      </c>
      <c r="AL8" s="508">
        <v>1</v>
      </c>
      <c r="AM8" s="508">
        <v>0</v>
      </c>
      <c r="AN8" s="509">
        <v>0</v>
      </c>
      <c r="AP8" s="851" t="s">
        <v>636</v>
      </c>
      <c r="AQ8" s="852">
        <f>United_Statesalltestshistptscon</f>
        <v>6984</v>
      </c>
      <c r="AS8" s="851" t="s">
        <v>636</v>
      </c>
      <c r="AT8" s="852">
        <f>United_StatesRWChistptscon</f>
        <v>1048</v>
      </c>
    </row>
    <row r="9" spans="1:46" ht="14.95" customHeight="1" thickBot="1" x14ac:dyDescent="0.3">
      <c r="A9" s="503">
        <v>43687</v>
      </c>
      <c r="B9" s="504" t="s">
        <v>147</v>
      </c>
      <c r="C9" s="505" t="s">
        <v>36</v>
      </c>
      <c r="D9" s="506" t="s">
        <v>586</v>
      </c>
      <c r="E9" s="506" t="s">
        <v>3</v>
      </c>
      <c r="F9" s="506">
        <v>20</v>
      </c>
      <c r="G9" s="506">
        <v>34</v>
      </c>
      <c r="H9" s="506">
        <v>0</v>
      </c>
      <c r="I9" s="506">
        <v>0</v>
      </c>
      <c r="J9" s="506">
        <v>2</v>
      </c>
      <c r="K9" s="506">
        <v>2</v>
      </c>
      <c r="L9" s="506">
        <v>0</v>
      </c>
      <c r="M9" s="506">
        <v>2</v>
      </c>
      <c r="N9" s="506">
        <v>0</v>
      </c>
      <c r="O9" s="506">
        <v>0</v>
      </c>
      <c r="P9" s="506">
        <v>1</v>
      </c>
      <c r="Q9" s="506">
        <v>0</v>
      </c>
      <c r="R9" s="506">
        <v>4</v>
      </c>
      <c r="S9" s="625">
        <v>6500</v>
      </c>
      <c r="T9" s="629" t="s">
        <v>762</v>
      </c>
      <c r="U9" s="627" t="s">
        <v>231</v>
      </c>
      <c r="V9" s="625" t="s">
        <v>314</v>
      </c>
      <c r="W9" s="507" t="s">
        <v>276</v>
      </c>
      <c r="X9" s="628" t="s">
        <v>759</v>
      </c>
      <c r="Y9" s="508">
        <v>1</v>
      </c>
      <c r="Z9" s="508">
        <v>0</v>
      </c>
      <c r="AA9" s="508">
        <v>0</v>
      </c>
      <c r="AB9" s="509">
        <v>1</v>
      </c>
      <c r="AC9" s="508">
        <v>0</v>
      </c>
      <c r="AD9" s="508">
        <v>0</v>
      </c>
      <c r="AE9" s="508">
        <v>0</v>
      </c>
      <c r="AF9" s="509">
        <v>0</v>
      </c>
      <c r="AG9" s="508">
        <v>0</v>
      </c>
      <c r="AH9" s="508">
        <v>0</v>
      </c>
      <c r="AI9" s="508">
        <v>0</v>
      </c>
      <c r="AJ9" s="509">
        <v>0</v>
      </c>
      <c r="AK9" s="508">
        <v>1</v>
      </c>
      <c r="AL9" s="508">
        <v>0</v>
      </c>
      <c r="AM9" s="508">
        <v>0</v>
      </c>
      <c r="AN9" s="509">
        <v>1</v>
      </c>
      <c r="AP9" s="851" t="s">
        <v>623</v>
      </c>
      <c r="AQ9" s="852">
        <f>United_Statesalltestshisttriesscored</f>
        <v>648</v>
      </c>
      <c r="AS9" s="851" t="s">
        <v>623</v>
      </c>
      <c r="AT9" s="852">
        <f>United_StatesRWChisttriesscored</f>
        <v>44</v>
      </c>
    </row>
    <row r="10" spans="1:46" ht="14.95" customHeight="1" thickBot="1" x14ac:dyDescent="0.35">
      <c r="A10" s="313">
        <v>43715</v>
      </c>
      <c r="B10" s="314" t="s">
        <v>45</v>
      </c>
      <c r="C10" s="315" t="s">
        <v>40</v>
      </c>
      <c r="D10" s="316" t="s">
        <v>604</v>
      </c>
      <c r="E10" s="316" t="s">
        <v>1</v>
      </c>
      <c r="F10" s="316">
        <v>20</v>
      </c>
      <c r="G10" s="316">
        <v>15</v>
      </c>
      <c r="H10" s="316" t="s">
        <v>108</v>
      </c>
      <c r="I10" s="316" t="s">
        <v>108</v>
      </c>
      <c r="J10" s="316">
        <v>3</v>
      </c>
      <c r="K10" s="316">
        <v>1</v>
      </c>
      <c r="L10" s="316">
        <v>0</v>
      </c>
      <c r="M10" s="316">
        <v>1</v>
      </c>
      <c r="N10" s="316">
        <v>0</v>
      </c>
      <c r="O10" s="316">
        <v>0</v>
      </c>
      <c r="P10" s="316" t="s">
        <v>108</v>
      </c>
      <c r="Q10" s="316" t="s">
        <v>108</v>
      </c>
      <c r="R10" s="316">
        <v>2</v>
      </c>
      <c r="S10" s="180"/>
      <c r="T10" s="396" t="s">
        <v>213</v>
      </c>
      <c r="U10" s="181" t="s">
        <v>212</v>
      </c>
      <c r="V10" s="180" t="s">
        <v>844</v>
      </c>
      <c r="W10" s="181" t="s">
        <v>734</v>
      </c>
      <c r="X10" s="182" t="s">
        <v>799</v>
      </c>
      <c r="Y10" s="321">
        <v>1</v>
      </c>
      <c r="Z10" s="321">
        <v>1</v>
      </c>
      <c r="AA10" s="321">
        <v>0</v>
      </c>
      <c r="AB10" s="322">
        <v>0</v>
      </c>
      <c r="AC10" s="321">
        <v>0</v>
      </c>
      <c r="AD10" s="321">
        <v>0</v>
      </c>
      <c r="AE10" s="321">
        <v>0</v>
      </c>
      <c r="AF10" s="322">
        <v>0</v>
      </c>
      <c r="AG10" s="321">
        <v>1</v>
      </c>
      <c r="AH10" s="321">
        <v>1</v>
      </c>
      <c r="AI10" s="321">
        <v>0</v>
      </c>
      <c r="AJ10" s="322">
        <v>0</v>
      </c>
      <c r="AK10" s="321">
        <v>0</v>
      </c>
      <c r="AL10" s="321">
        <v>0</v>
      </c>
      <c r="AM10" s="321">
        <v>0</v>
      </c>
      <c r="AN10" s="322">
        <v>0</v>
      </c>
    </row>
    <row r="11" spans="1:46" ht="14.95" customHeight="1" thickBot="1" x14ac:dyDescent="0.3">
      <c r="A11" s="188">
        <v>43734</v>
      </c>
      <c r="B11" s="483" t="s">
        <v>158</v>
      </c>
      <c r="C11" s="189" t="s">
        <v>30</v>
      </c>
      <c r="D11" s="189" t="s">
        <v>127</v>
      </c>
      <c r="E11" s="190" t="s">
        <v>3</v>
      </c>
      <c r="F11" s="190">
        <v>7</v>
      </c>
      <c r="G11" s="190">
        <v>45</v>
      </c>
      <c r="H11" s="190">
        <v>0</v>
      </c>
      <c r="I11" s="190">
        <v>0</v>
      </c>
      <c r="J11" s="190">
        <v>1</v>
      </c>
      <c r="K11" s="190">
        <v>1</v>
      </c>
      <c r="L11" s="190">
        <v>0</v>
      </c>
      <c r="M11" s="190">
        <v>0</v>
      </c>
      <c r="N11" s="190">
        <v>0</v>
      </c>
      <c r="O11" s="190">
        <v>1</v>
      </c>
      <c r="P11" s="190">
        <v>1</v>
      </c>
      <c r="Q11" s="190">
        <v>0</v>
      </c>
      <c r="R11" s="190">
        <v>7</v>
      </c>
      <c r="S11" s="203">
        <v>27194</v>
      </c>
      <c r="T11" s="406" t="s">
        <v>279</v>
      </c>
      <c r="U11" s="204" t="s">
        <v>227</v>
      </c>
      <c r="V11" s="203" t="s">
        <v>277</v>
      </c>
      <c r="W11" s="191" t="s">
        <v>273</v>
      </c>
      <c r="X11" s="205" t="s">
        <v>134</v>
      </c>
      <c r="Y11" s="206">
        <v>1</v>
      </c>
      <c r="Z11" s="206">
        <v>0</v>
      </c>
      <c r="AA11" s="206">
        <v>0</v>
      </c>
      <c r="AB11" s="207">
        <v>1</v>
      </c>
      <c r="AC11" s="206">
        <v>0</v>
      </c>
      <c r="AD11" s="206">
        <v>0</v>
      </c>
      <c r="AE11" s="206">
        <v>0</v>
      </c>
      <c r="AF11" s="207">
        <v>0</v>
      </c>
      <c r="AG11" s="206">
        <v>0</v>
      </c>
      <c r="AH11" s="206">
        <v>0</v>
      </c>
      <c r="AI11" s="206">
        <v>0</v>
      </c>
      <c r="AJ11" s="207">
        <v>0</v>
      </c>
      <c r="AK11" s="206">
        <v>1</v>
      </c>
      <c r="AL11" s="206">
        <v>0</v>
      </c>
      <c r="AM11" s="206">
        <v>0</v>
      </c>
      <c r="AN11" s="207">
        <v>1</v>
      </c>
    </row>
    <row r="12" spans="1:46" ht="14.95" customHeight="1" thickBot="1" x14ac:dyDescent="0.3">
      <c r="A12" s="188">
        <v>43740</v>
      </c>
      <c r="B12" s="483" t="s">
        <v>158</v>
      </c>
      <c r="C12" s="189" t="s">
        <v>34</v>
      </c>
      <c r="D12" s="189" t="s">
        <v>168</v>
      </c>
      <c r="E12" s="190" t="s">
        <v>3</v>
      </c>
      <c r="F12" s="190">
        <v>9</v>
      </c>
      <c r="G12" s="484">
        <v>33</v>
      </c>
      <c r="H12" s="484">
        <v>0</v>
      </c>
      <c r="I12" s="190">
        <v>0</v>
      </c>
      <c r="J12" s="190">
        <v>0</v>
      </c>
      <c r="K12" s="190">
        <v>0</v>
      </c>
      <c r="L12" s="190">
        <v>0</v>
      </c>
      <c r="M12" s="190">
        <v>3</v>
      </c>
      <c r="N12" s="190">
        <v>0</v>
      </c>
      <c r="O12" s="190">
        <v>0</v>
      </c>
      <c r="P12" s="190">
        <v>1</v>
      </c>
      <c r="Q12" s="190">
        <v>0</v>
      </c>
      <c r="R12" s="190">
        <v>5</v>
      </c>
      <c r="S12" s="203">
        <v>17660</v>
      </c>
      <c r="T12" s="406" t="s">
        <v>922</v>
      </c>
      <c r="U12" s="204" t="s">
        <v>276</v>
      </c>
      <c r="V12" s="203" t="s">
        <v>131</v>
      </c>
      <c r="W12" s="191" t="s">
        <v>132</v>
      </c>
      <c r="X12" s="205" t="s">
        <v>149</v>
      </c>
      <c r="Y12" s="206">
        <v>1</v>
      </c>
      <c r="Z12" s="206">
        <v>0</v>
      </c>
      <c r="AA12" s="206">
        <v>0</v>
      </c>
      <c r="AB12" s="207">
        <v>1</v>
      </c>
      <c r="AC12" s="206">
        <v>0</v>
      </c>
      <c r="AD12" s="206">
        <v>0</v>
      </c>
      <c r="AE12" s="206">
        <v>0</v>
      </c>
      <c r="AF12" s="207">
        <v>0</v>
      </c>
      <c r="AG12" s="206">
        <v>0</v>
      </c>
      <c r="AH12" s="206">
        <v>0</v>
      </c>
      <c r="AI12" s="206">
        <v>0</v>
      </c>
      <c r="AJ12" s="207">
        <v>0</v>
      </c>
      <c r="AK12" s="206">
        <v>1</v>
      </c>
      <c r="AL12" s="206">
        <v>0</v>
      </c>
      <c r="AM12" s="206">
        <v>0</v>
      </c>
      <c r="AN12" s="207">
        <v>1</v>
      </c>
    </row>
    <row r="13" spans="1:46" ht="14.95" customHeight="1" thickBot="1" x14ac:dyDescent="0.3">
      <c r="A13" s="188">
        <v>43747</v>
      </c>
      <c r="B13" s="483" t="s">
        <v>158</v>
      </c>
      <c r="C13" s="189" t="s">
        <v>37</v>
      </c>
      <c r="D13" s="483" t="s">
        <v>603</v>
      </c>
      <c r="E13" s="190" t="s">
        <v>3</v>
      </c>
      <c r="F13" s="190">
        <v>17</v>
      </c>
      <c r="G13" s="484">
        <v>47</v>
      </c>
      <c r="H13" s="484">
        <v>0</v>
      </c>
      <c r="I13" s="190">
        <v>0</v>
      </c>
      <c r="J13" s="190">
        <v>3</v>
      </c>
      <c r="K13" s="190">
        <v>1</v>
      </c>
      <c r="L13" s="190">
        <v>0</v>
      </c>
      <c r="M13" s="190">
        <v>0</v>
      </c>
      <c r="N13" s="190">
        <v>0</v>
      </c>
      <c r="O13" s="190">
        <v>0</v>
      </c>
      <c r="P13" s="190">
        <v>1</v>
      </c>
      <c r="Q13" s="190">
        <v>0</v>
      </c>
      <c r="R13" s="190">
        <v>7</v>
      </c>
      <c r="S13" s="203">
        <v>24377</v>
      </c>
      <c r="T13" s="406" t="s">
        <v>947</v>
      </c>
      <c r="U13" s="204" t="s">
        <v>273</v>
      </c>
      <c r="V13" s="203" t="s">
        <v>232</v>
      </c>
      <c r="W13" s="191" t="s">
        <v>229</v>
      </c>
      <c r="X13" s="205" t="s">
        <v>146</v>
      </c>
      <c r="Y13" s="206">
        <v>1</v>
      </c>
      <c r="Z13" s="206">
        <v>0</v>
      </c>
      <c r="AA13" s="206">
        <v>0</v>
      </c>
      <c r="AB13" s="207">
        <v>1</v>
      </c>
      <c r="AC13" s="206">
        <v>0</v>
      </c>
      <c r="AD13" s="206">
        <v>0</v>
      </c>
      <c r="AE13" s="206">
        <v>0</v>
      </c>
      <c r="AF13" s="207">
        <v>0</v>
      </c>
      <c r="AG13" s="206">
        <v>0</v>
      </c>
      <c r="AH13" s="206">
        <v>0</v>
      </c>
      <c r="AI13" s="206">
        <v>0</v>
      </c>
      <c r="AJ13" s="207">
        <v>0</v>
      </c>
      <c r="AK13" s="206">
        <v>1</v>
      </c>
      <c r="AL13" s="206">
        <v>0</v>
      </c>
      <c r="AM13" s="206">
        <v>0</v>
      </c>
      <c r="AN13" s="207">
        <v>1</v>
      </c>
    </row>
    <row r="14" spans="1:46" ht="14.95" customHeight="1" thickBot="1" x14ac:dyDescent="0.35">
      <c r="A14" s="188">
        <v>43751</v>
      </c>
      <c r="B14" s="483" t="s">
        <v>158</v>
      </c>
      <c r="C14" s="189" t="s">
        <v>145</v>
      </c>
      <c r="D14" s="189" t="s">
        <v>872</v>
      </c>
      <c r="E14" s="190" t="s">
        <v>3</v>
      </c>
      <c r="F14" s="190">
        <v>19</v>
      </c>
      <c r="G14" s="484">
        <v>31</v>
      </c>
      <c r="H14" s="484">
        <v>0</v>
      </c>
      <c r="I14" s="190">
        <v>0</v>
      </c>
      <c r="J14" s="190">
        <v>3</v>
      </c>
      <c r="K14" s="190">
        <v>2</v>
      </c>
      <c r="L14" s="190">
        <v>0</v>
      </c>
      <c r="M14" s="190">
        <v>0</v>
      </c>
      <c r="N14" s="190">
        <v>0</v>
      </c>
      <c r="O14" s="190">
        <v>0</v>
      </c>
      <c r="P14" s="190">
        <v>1</v>
      </c>
      <c r="Q14" s="190">
        <v>0</v>
      </c>
      <c r="R14" s="190">
        <v>4</v>
      </c>
      <c r="S14" s="191">
        <v>22012</v>
      </c>
      <c r="T14" s="501" t="s">
        <v>216</v>
      </c>
      <c r="U14" s="191" t="s">
        <v>219</v>
      </c>
      <c r="V14" s="191" t="s">
        <v>232</v>
      </c>
      <c r="W14" s="191" t="s">
        <v>132</v>
      </c>
      <c r="X14" s="205" t="s">
        <v>212</v>
      </c>
      <c r="Y14" s="206">
        <v>1</v>
      </c>
      <c r="Z14" s="206">
        <v>0</v>
      </c>
      <c r="AA14" s="206">
        <v>0</v>
      </c>
      <c r="AB14" s="207">
        <v>1</v>
      </c>
      <c r="AC14" s="206">
        <v>0</v>
      </c>
      <c r="AD14" s="206">
        <v>0</v>
      </c>
      <c r="AE14" s="206">
        <v>0</v>
      </c>
      <c r="AF14" s="207">
        <v>0</v>
      </c>
      <c r="AG14" s="206">
        <v>0</v>
      </c>
      <c r="AH14" s="206">
        <v>0</v>
      </c>
      <c r="AI14" s="206">
        <v>0</v>
      </c>
      <c r="AJ14" s="207">
        <v>0</v>
      </c>
      <c r="AK14" s="206">
        <v>1</v>
      </c>
      <c r="AL14" s="206">
        <v>0</v>
      </c>
      <c r="AM14" s="206">
        <v>0</v>
      </c>
      <c r="AN14" s="207">
        <v>1</v>
      </c>
    </row>
    <row r="15" spans="1:46" ht="14.95" thickBot="1" x14ac:dyDescent="0.3">
      <c r="A15" s="438"/>
      <c r="B15" s="439"/>
      <c r="C15" s="1069" t="s">
        <v>115</v>
      </c>
      <c r="D15" s="1070"/>
      <c r="E15" s="1071"/>
      <c r="F15" s="433">
        <f t="shared" ref="F15:R15" si="0">SUM(F3:F6)</f>
        <v>159</v>
      </c>
      <c r="G15" s="433">
        <f t="shared" si="0"/>
        <v>93</v>
      </c>
      <c r="H15" s="433">
        <f t="shared" si="0"/>
        <v>4</v>
      </c>
      <c r="I15" s="433">
        <f t="shared" si="0"/>
        <v>1</v>
      </c>
      <c r="J15" s="433">
        <f t="shared" si="0"/>
        <v>23</v>
      </c>
      <c r="K15" s="433">
        <f t="shared" si="0"/>
        <v>13</v>
      </c>
      <c r="L15" s="433">
        <f t="shared" si="0"/>
        <v>0</v>
      </c>
      <c r="M15" s="433">
        <f t="shared" si="0"/>
        <v>6</v>
      </c>
      <c r="N15" s="433">
        <f t="shared" si="0"/>
        <v>1</v>
      </c>
      <c r="O15" s="433">
        <f t="shared" si="0"/>
        <v>0</v>
      </c>
      <c r="P15" s="433">
        <f t="shared" si="0"/>
        <v>1</v>
      </c>
      <c r="Q15" s="433">
        <f t="shared" si="0"/>
        <v>2</v>
      </c>
      <c r="R15" s="433">
        <f t="shared" si="0"/>
        <v>12</v>
      </c>
      <c r="W15" s="434"/>
      <c r="X15" s="459" t="s">
        <v>115</v>
      </c>
      <c r="Y15" s="433">
        <f t="shared" ref="Y15:AN15" si="1">SUM(Y3:Y6)</f>
        <v>4</v>
      </c>
      <c r="Z15" s="433">
        <f t="shared" si="1"/>
        <v>3</v>
      </c>
      <c r="AA15" s="433">
        <f t="shared" si="1"/>
        <v>0</v>
      </c>
      <c r="AB15" s="433">
        <f t="shared" si="1"/>
        <v>1</v>
      </c>
      <c r="AC15" s="435">
        <f t="shared" si="1"/>
        <v>3</v>
      </c>
      <c r="AD15" s="435">
        <f t="shared" si="1"/>
        <v>2</v>
      </c>
      <c r="AE15" s="435">
        <f t="shared" si="1"/>
        <v>0</v>
      </c>
      <c r="AF15" s="435">
        <f t="shared" si="1"/>
        <v>1</v>
      </c>
      <c r="AG15" s="436">
        <f t="shared" si="1"/>
        <v>1</v>
      </c>
      <c r="AH15" s="436">
        <f t="shared" si="1"/>
        <v>1</v>
      </c>
      <c r="AI15" s="436">
        <f t="shared" si="1"/>
        <v>0</v>
      </c>
      <c r="AJ15" s="436">
        <f t="shared" si="1"/>
        <v>0</v>
      </c>
      <c r="AK15" s="437">
        <f t="shared" si="1"/>
        <v>0</v>
      </c>
      <c r="AL15" s="437">
        <f t="shared" si="1"/>
        <v>0</v>
      </c>
      <c r="AM15" s="437">
        <f t="shared" si="1"/>
        <v>0</v>
      </c>
      <c r="AN15" s="437">
        <f t="shared" si="1"/>
        <v>0</v>
      </c>
    </row>
    <row r="16" spans="1:46" ht="14.95" thickBot="1" x14ac:dyDescent="0.3">
      <c r="A16" s="438"/>
      <c r="B16" s="439"/>
      <c r="C16" s="1072" t="s">
        <v>642</v>
      </c>
      <c r="D16" s="1073"/>
      <c r="E16" s="1074"/>
      <c r="F16" s="440">
        <f t="shared" ref="F16:R16" si="2">SUM(F7:F9)</f>
        <v>80</v>
      </c>
      <c r="G16" s="440">
        <f t="shared" si="2"/>
        <v>63</v>
      </c>
      <c r="H16" s="440">
        <f t="shared" si="2"/>
        <v>1</v>
      </c>
      <c r="I16" s="440">
        <f t="shared" si="2"/>
        <v>0</v>
      </c>
      <c r="J16" s="440">
        <f t="shared" si="2"/>
        <v>9</v>
      </c>
      <c r="K16" s="440">
        <f t="shared" si="2"/>
        <v>7</v>
      </c>
      <c r="L16" s="440">
        <f t="shared" si="2"/>
        <v>0</v>
      </c>
      <c r="M16" s="440">
        <f t="shared" si="2"/>
        <v>7</v>
      </c>
      <c r="N16" s="440">
        <f t="shared" si="2"/>
        <v>1</v>
      </c>
      <c r="O16" s="440">
        <f t="shared" si="2"/>
        <v>0</v>
      </c>
      <c r="P16" s="440">
        <f t="shared" si="2"/>
        <v>1</v>
      </c>
      <c r="Q16" s="440">
        <f t="shared" si="2"/>
        <v>1</v>
      </c>
      <c r="R16" s="440">
        <f t="shared" si="2"/>
        <v>8</v>
      </c>
      <c r="S16" s="441"/>
      <c r="T16" s="441"/>
      <c r="U16" s="441"/>
      <c r="V16" s="441"/>
      <c r="W16" s="442"/>
      <c r="X16" s="460" t="s">
        <v>642</v>
      </c>
      <c r="Y16" s="440">
        <f t="shared" ref="Y16:AN16" si="3">SUM(Y7:Y9)</f>
        <v>3</v>
      </c>
      <c r="Z16" s="440">
        <f t="shared" si="3"/>
        <v>2</v>
      </c>
      <c r="AA16" s="440">
        <f t="shared" si="3"/>
        <v>0</v>
      </c>
      <c r="AB16" s="440">
        <f t="shared" si="3"/>
        <v>1</v>
      </c>
      <c r="AC16" s="443">
        <f t="shared" si="3"/>
        <v>1</v>
      </c>
      <c r="AD16" s="443">
        <f t="shared" si="3"/>
        <v>1</v>
      </c>
      <c r="AE16" s="443">
        <f t="shared" si="3"/>
        <v>0</v>
      </c>
      <c r="AF16" s="443">
        <f t="shared" si="3"/>
        <v>0</v>
      </c>
      <c r="AG16" s="444">
        <f t="shared" si="3"/>
        <v>0</v>
      </c>
      <c r="AH16" s="444">
        <f t="shared" si="3"/>
        <v>0</v>
      </c>
      <c r="AI16" s="444">
        <f t="shared" si="3"/>
        <v>0</v>
      </c>
      <c r="AJ16" s="444">
        <f t="shared" si="3"/>
        <v>0</v>
      </c>
      <c r="AK16" s="445">
        <f t="shared" si="3"/>
        <v>2</v>
      </c>
      <c r="AL16" s="445">
        <f t="shared" si="3"/>
        <v>1</v>
      </c>
      <c r="AM16" s="445">
        <f t="shared" si="3"/>
        <v>0</v>
      </c>
      <c r="AN16" s="445">
        <f t="shared" si="3"/>
        <v>1</v>
      </c>
    </row>
    <row r="17" spans="1:40" ht="14.95" thickBot="1" x14ac:dyDescent="0.3">
      <c r="A17" s="438"/>
      <c r="B17" s="439"/>
      <c r="C17" s="1037" t="s">
        <v>163</v>
      </c>
      <c r="D17" s="1075"/>
      <c r="E17" s="1076"/>
      <c r="F17" s="446">
        <f>SUM(F10)</f>
        <v>20</v>
      </c>
      <c r="G17" s="446">
        <f>SUM(G10)</f>
        <v>15</v>
      </c>
      <c r="H17" s="446" t="s">
        <v>108</v>
      </c>
      <c r="I17" s="446" t="s">
        <v>108</v>
      </c>
      <c r="J17" s="446">
        <f t="shared" ref="J17:O17" si="4">SUM(J10)</f>
        <v>3</v>
      </c>
      <c r="K17" s="446">
        <f t="shared" si="4"/>
        <v>1</v>
      </c>
      <c r="L17" s="446">
        <f t="shared" si="4"/>
        <v>0</v>
      </c>
      <c r="M17" s="446">
        <f t="shared" si="4"/>
        <v>1</v>
      </c>
      <c r="N17" s="446">
        <f t="shared" si="4"/>
        <v>0</v>
      </c>
      <c r="O17" s="446">
        <f t="shared" si="4"/>
        <v>0</v>
      </c>
      <c r="P17" s="446" t="s">
        <v>108</v>
      </c>
      <c r="Q17" s="446" t="s">
        <v>108</v>
      </c>
      <c r="R17" s="446">
        <f>SUM(R10)</f>
        <v>2</v>
      </c>
      <c r="S17" s="447"/>
      <c r="T17" s="447"/>
      <c r="U17" s="447"/>
      <c r="V17" s="447"/>
      <c r="W17" s="448"/>
      <c r="X17" s="623" t="s">
        <v>163</v>
      </c>
      <c r="Y17" s="638">
        <f t="shared" ref="Y17:AN17" si="5">SUM(Y10)</f>
        <v>1</v>
      </c>
      <c r="Z17" s="639">
        <f t="shared" si="5"/>
        <v>1</v>
      </c>
      <c r="AA17" s="446">
        <f t="shared" si="5"/>
        <v>0</v>
      </c>
      <c r="AB17" s="446">
        <f t="shared" si="5"/>
        <v>0</v>
      </c>
      <c r="AC17" s="450">
        <f t="shared" si="5"/>
        <v>0</v>
      </c>
      <c r="AD17" s="450">
        <f t="shared" si="5"/>
        <v>0</v>
      </c>
      <c r="AE17" s="450">
        <f t="shared" si="5"/>
        <v>0</v>
      </c>
      <c r="AF17" s="450">
        <f t="shared" si="5"/>
        <v>0</v>
      </c>
      <c r="AG17" s="451">
        <f t="shared" si="5"/>
        <v>1</v>
      </c>
      <c r="AH17" s="451">
        <f t="shared" si="5"/>
        <v>1</v>
      </c>
      <c r="AI17" s="451">
        <f t="shared" si="5"/>
        <v>0</v>
      </c>
      <c r="AJ17" s="451">
        <f t="shared" si="5"/>
        <v>0</v>
      </c>
      <c r="AK17" s="452">
        <f t="shared" si="5"/>
        <v>0</v>
      </c>
      <c r="AL17" s="452">
        <f t="shared" si="5"/>
        <v>0</v>
      </c>
      <c r="AM17" s="452">
        <f t="shared" si="5"/>
        <v>0</v>
      </c>
      <c r="AN17" s="452">
        <f t="shared" si="5"/>
        <v>0</v>
      </c>
    </row>
    <row r="18" spans="1:40" ht="14.95" thickBot="1" x14ac:dyDescent="0.3">
      <c r="A18" s="438"/>
      <c r="B18" s="439"/>
      <c r="C18" s="1040" t="s">
        <v>611</v>
      </c>
      <c r="D18" s="1041"/>
      <c r="E18" s="1042"/>
      <c r="F18" s="685">
        <f t="shared" ref="F18:R18" si="6">SUM(F11:F14)</f>
        <v>52</v>
      </c>
      <c r="G18" s="685">
        <f t="shared" si="6"/>
        <v>156</v>
      </c>
      <c r="H18" s="685">
        <f t="shared" si="6"/>
        <v>0</v>
      </c>
      <c r="I18" s="685">
        <f t="shared" si="6"/>
        <v>0</v>
      </c>
      <c r="J18" s="685">
        <f t="shared" si="6"/>
        <v>7</v>
      </c>
      <c r="K18" s="685">
        <f t="shared" si="6"/>
        <v>4</v>
      </c>
      <c r="L18" s="685">
        <f t="shared" si="6"/>
        <v>0</v>
      </c>
      <c r="M18" s="685">
        <f t="shared" si="6"/>
        <v>3</v>
      </c>
      <c r="N18" s="685">
        <f t="shared" si="6"/>
        <v>0</v>
      </c>
      <c r="O18" s="685">
        <f t="shared" si="6"/>
        <v>1</v>
      </c>
      <c r="P18" s="685">
        <f t="shared" si="6"/>
        <v>4</v>
      </c>
      <c r="Q18" s="685">
        <f t="shared" si="6"/>
        <v>0</v>
      </c>
      <c r="R18" s="685">
        <f t="shared" si="6"/>
        <v>23</v>
      </c>
      <c r="S18" s="686"/>
      <c r="T18" s="686"/>
      <c r="U18" s="686"/>
      <c r="V18" s="686"/>
      <c r="W18" s="687"/>
      <c r="X18" s="688" t="s">
        <v>611</v>
      </c>
      <c r="Y18" s="689">
        <f t="shared" ref="Y18:AN18" si="7">SUM(Y11:Y14)</f>
        <v>4</v>
      </c>
      <c r="Z18" s="690">
        <f t="shared" si="7"/>
        <v>0</v>
      </c>
      <c r="AA18" s="685">
        <f t="shared" si="7"/>
        <v>0</v>
      </c>
      <c r="AB18" s="685">
        <f t="shared" si="7"/>
        <v>4</v>
      </c>
      <c r="AC18" s="691">
        <f t="shared" si="7"/>
        <v>0</v>
      </c>
      <c r="AD18" s="691">
        <f t="shared" si="7"/>
        <v>0</v>
      </c>
      <c r="AE18" s="691">
        <f t="shared" si="7"/>
        <v>0</v>
      </c>
      <c r="AF18" s="691">
        <f t="shared" si="7"/>
        <v>0</v>
      </c>
      <c r="AG18" s="692">
        <f t="shared" si="7"/>
        <v>0</v>
      </c>
      <c r="AH18" s="692">
        <f t="shared" si="7"/>
        <v>0</v>
      </c>
      <c r="AI18" s="692">
        <f t="shared" si="7"/>
        <v>0</v>
      </c>
      <c r="AJ18" s="692">
        <f t="shared" si="7"/>
        <v>0</v>
      </c>
      <c r="AK18" s="693">
        <f t="shared" si="7"/>
        <v>4</v>
      </c>
      <c r="AL18" s="693">
        <f t="shared" si="7"/>
        <v>0</v>
      </c>
      <c r="AM18" s="693">
        <f t="shared" si="7"/>
        <v>0</v>
      </c>
      <c r="AN18" s="693">
        <f t="shared" si="7"/>
        <v>4</v>
      </c>
    </row>
    <row r="19" spans="1:40" ht="14.95" thickBot="1" x14ac:dyDescent="0.3">
      <c r="A19" s="438"/>
      <c r="B19" s="439"/>
      <c r="C19" s="1040" t="s">
        <v>612</v>
      </c>
      <c r="D19" s="1041"/>
      <c r="E19" s="1042"/>
      <c r="F19" s="694" t="s">
        <v>108</v>
      </c>
      <c r="G19" s="685" t="s">
        <v>108</v>
      </c>
      <c r="H19" s="685" t="s">
        <v>108</v>
      </c>
      <c r="I19" s="685" t="s">
        <v>108</v>
      </c>
      <c r="J19" s="685" t="s">
        <v>108</v>
      </c>
      <c r="K19" s="685" t="s">
        <v>108</v>
      </c>
      <c r="L19" s="685" t="s">
        <v>108</v>
      </c>
      <c r="M19" s="685" t="s">
        <v>108</v>
      </c>
      <c r="N19" s="685" t="s">
        <v>108</v>
      </c>
      <c r="O19" s="685" t="s">
        <v>108</v>
      </c>
      <c r="P19" s="685" t="s">
        <v>108</v>
      </c>
      <c r="Q19" s="685" t="s">
        <v>108</v>
      </c>
      <c r="R19" s="685" t="s">
        <v>108</v>
      </c>
      <c r="S19" s="686"/>
      <c r="T19" s="686"/>
      <c r="U19" s="686"/>
      <c r="V19" s="686"/>
      <c r="W19" s="687"/>
      <c r="X19" s="688" t="s">
        <v>612</v>
      </c>
      <c r="Y19" s="689" t="s">
        <v>108</v>
      </c>
      <c r="Z19" s="690" t="s">
        <v>108</v>
      </c>
      <c r="AA19" s="685" t="s">
        <v>108</v>
      </c>
      <c r="AB19" s="685" t="s">
        <v>108</v>
      </c>
      <c r="AC19" s="691" t="s">
        <v>108</v>
      </c>
      <c r="AD19" s="691" t="s">
        <v>108</v>
      </c>
      <c r="AE19" s="691" t="s">
        <v>108</v>
      </c>
      <c r="AF19" s="691" t="s">
        <v>108</v>
      </c>
      <c r="AG19" s="692" t="s">
        <v>108</v>
      </c>
      <c r="AH19" s="692" t="s">
        <v>108</v>
      </c>
      <c r="AI19" s="692" t="s">
        <v>108</v>
      </c>
      <c r="AJ19" s="692" t="s">
        <v>108</v>
      </c>
      <c r="AK19" s="693" t="s">
        <v>108</v>
      </c>
      <c r="AL19" s="693" t="s">
        <v>108</v>
      </c>
      <c r="AM19" s="693" t="s">
        <v>108</v>
      </c>
      <c r="AN19" s="693" t="s">
        <v>108</v>
      </c>
    </row>
    <row r="20" spans="1:40" ht="14.95" thickBot="1" x14ac:dyDescent="0.3">
      <c r="A20" s="438"/>
      <c r="B20" s="439"/>
      <c r="C20" s="1040" t="s">
        <v>613</v>
      </c>
      <c r="D20" s="1041"/>
      <c r="E20" s="1042"/>
      <c r="F20" s="685">
        <f>SUM(F18:F19)</f>
        <v>52</v>
      </c>
      <c r="G20" s="685">
        <f t="shared" ref="G20:R20" si="8">SUM(G18:G19)</f>
        <v>156</v>
      </c>
      <c r="H20" s="685">
        <f t="shared" si="8"/>
        <v>0</v>
      </c>
      <c r="I20" s="685">
        <f t="shared" si="8"/>
        <v>0</v>
      </c>
      <c r="J20" s="685">
        <f t="shared" si="8"/>
        <v>7</v>
      </c>
      <c r="K20" s="685">
        <f t="shared" si="8"/>
        <v>4</v>
      </c>
      <c r="L20" s="685">
        <f t="shared" si="8"/>
        <v>0</v>
      </c>
      <c r="M20" s="685">
        <f t="shared" si="8"/>
        <v>3</v>
      </c>
      <c r="N20" s="685">
        <f t="shared" si="8"/>
        <v>0</v>
      </c>
      <c r="O20" s="685">
        <f t="shared" si="8"/>
        <v>1</v>
      </c>
      <c r="P20" s="685">
        <f t="shared" si="8"/>
        <v>4</v>
      </c>
      <c r="Q20" s="685">
        <f t="shared" si="8"/>
        <v>0</v>
      </c>
      <c r="R20" s="685">
        <f t="shared" si="8"/>
        <v>23</v>
      </c>
      <c r="S20" s="686"/>
      <c r="T20" s="686"/>
      <c r="U20" s="686"/>
      <c r="V20" s="686"/>
      <c r="W20" s="687"/>
      <c r="X20" s="688" t="s">
        <v>613</v>
      </c>
      <c r="Y20" s="689">
        <f t="shared" ref="Y20:AM20" si="9">SUM(Y18:Y19)</f>
        <v>4</v>
      </c>
      <c r="Z20" s="690">
        <f t="shared" si="9"/>
        <v>0</v>
      </c>
      <c r="AA20" s="685">
        <f t="shared" si="9"/>
        <v>0</v>
      </c>
      <c r="AB20" s="685">
        <f t="shared" si="9"/>
        <v>4</v>
      </c>
      <c r="AC20" s="691">
        <f t="shared" si="9"/>
        <v>0</v>
      </c>
      <c r="AD20" s="691">
        <f t="shared" si="9"/>
        <v>0</v>
      </c>
      <c r="AE20" s="691">
        <f t="shared" si="9"/>
        <v>0</v>
      </c>
      <c r="AF20" s="691">
        <f t="shared" si="9"/>
        <v>0</v>
      </c>
      <c r="AG20" s="692">
        <f t="shared" si="9"/>
        <v>0</v>
      </c>
      <c r="AH20" s="692">
        <f t="shared" si="9"/>
        <v>0</v>
      </c>
      <c r="AI20" s="692">
        <f t="shared" si="9"/>
        <v>0</v>
      </c>
      <c r="AJ20" s="692">
        <f t="shared" si="9"/>
        <v>0</v>
      </c>
      <c r="AK20" s="693">
        <f t="shared" si="9"/>
        <v>4</v>
      </c>
      <c r="AL20" s="693">
        <f t="shared" si="9"/>
        <v>0</v>
      </c>
      <c r="AM20" s="693">
        <f t="shared" si="9"/>
        <v>0</v>
      </c>
      <c r="AN20" s="693">
        <f t="shared" ref="AN20" si="10">SUM(AN18:AN19)</f>
        <v>4</v>
      </c>
    </row>
    <row r="21" spans="1:40" ht="14.95" thickBot="1" x14ac:dyDescent="0.3">
      <c r="A21" s="438"/>
      <c r="B21" s="439"/>
      <c r="C21" s="1245" t="s">
        <v>112</v>
      </c>
      <c r="D21" s="1246"/>
      <c r="E21" s="1247"/>
      <c r="F21" s="902">
        <f>SUM(F2:F13)</f>
        <v>292</v>
      </c>
      <c r="G21" s="902">
        <f t="shared" ref="G21:R21" si="11">SUM(G2:G13)</f>
        <v>296</v>
      </c>
      <c r="H21" s="902">
        <f t="shared" si="11"/>
        <v>5</v>
      </c>
      <c r="I21" s="902">
        <f t="shared" si="11"/>
        <v>1</v>
      </c>
      <c r="J21" s="902">
        <f t="shared" si="11"/>
        <v>39</v>
      </c>
      <c r="K21" s="902">
        <f t="shared" si="11"/>
        <v>23</v>
      </c>
      <c r="L21" s="902">
        <f t="shared" si="11"/>
        <v>0</v>
      </c>
      <c r="M21" s="902">
        <f t="shared" si="11"/>
        <v>17</v>
      </c>
      <c r="N21" s="902">
        <f t="shared" si="11"/>
        <v>2</v>
      </c>
      <c r="O21" s="902">
        <f t="shared" si="11"/>
        <v>1</v>
      </c>
      <c r="P21" s="902">
        <f t="shared" si="11"/>
        <v>5</v>
      </c>
      <c r="Q21" s="902">
        <f t="shared" si="11"/>
        <v>3</v>
      </c>
      <c r="R21" s="902">
        <f t="shared" si="11"/>
        <v>41</v>
      </c>
      <c r="S21" s="903"/>
      <c r="T21" s="903"/>
      <c r="U21" s="903"/>
      <c r="V21" s="903"/>
      <c r="W21" s="13"/>
      <c r="X21" s="904" t="s">
        <v>112</v>
      </c>
      <c r="Y21" s="902">
        <f t="shared" ref="Y21:AM21" si="12">SUM(Y2:Y13)</f>
        <v>11</v>
      </c>
      <c r="Z21" s="902">
        <f t="shared" si="12"/>
        <v>6</v>
      </c>
      <c r="AA21" s="902">
        <f t="shared" si="12"/>
        <v>0</v>
      </c>
      <c r="AB21" s="902">
        <f t="shared" si="12"/>
        <v>5</v>
      </c>
      <c r="AC21" s="905">
        <f t="shared" si="12"/>
        <v>4</v>
      </c>
      <c r="AD21" s="905">
        <f t="shared" si="12"/>
        <v>3</v>
      </c>
      <c r="AE21" s="905">
        <f t="shared" si="12"/>
        <v>0</v>
      </c>
      <c r="AF21" s="905">
        <f t="shared" si="12"/>
        <v>1</v>
      </c>
      <c r="AG21" s="906">
        <f t="shared" si="12"/>
        <v>2</v>
      </c>
      <c r="AH21" s="906">
        <f t="shared" si="12"/>
        <v>2</v>
      </c>
      <c r="AI21" s="906">
        <f t="shared" si="12"/>
        <v>0</v>
      </c>
      <c r="AJ21" s="906">
        <f t="shared" si="12"/>
        <v>0</v>
      </c>
      <c r="AK21" s="907">
        <f t="shared" si="12"/>
        <v>5</v>
      </c>
      <c r="AL21" s="907">
        <f t="shared" si="12"/>
        <v>1</v>
      </c>
      <c r="AM21" s="907">
        <f t="shared" si="12"/>
        <v>0</v>
      </c>
      <c r="AN21" s="907">
        <f t="shared" ref="AN21" si="13">SUM(AN2:AN13)</f>
        <v>4</v>
      </c>
    </row>
    <row r="22" spans="1:40" x14ac:dyDescent="0.25">
      <c r="A22" s="1067" t="s">
        <v>754</v>
      </c>
      <c r="B22" s="988"/>
      <c r="C22" s="988"/>
      <c r="D22" s="988"/>
      <c r="E22" s="988"/>
      <c r="F22" s="988"/>
      <c r="G22" s="988"/>
      <c r="H22" s="988"/>
      <c r="I22" s="988"/>
      <c r="J22" s="988"/>
      <c r="K22" s="988"/>
      <c r="L22" s="988"/>
      <c r="M22" s="988"/>
      <c r="N22" s="988"/>
      <c r="O22" s="988"/>
      <c r="P22" s="988"/>
      <c r="Q22" s="988"/>
      <c r="R22" s="988"/>
      <c r="S22" s="988"/>
      <c r="T22" s="988"/>
      <c r="U22" s="988"/>
      <c r="V22" s="988"/>
      <c r="W22" s="988"/>
      <c r="X22" s="988"/>
      <c r="Y22" s="988"/>
      <c r="Z22" s="988"/>
      <c r="AA22" s="988"/>
      <c r="AB22" s="988"/>
      <c r="AC22" s="988"/>
      <c r="AD22" s="988"/>
      <c r="AE22" s="988"/>
      <c r="AF22" s="988"/>
      <c r="AG22" s="988"/>
      <c r="AH22" s="988"/>
      <c r="AI22" s="988"/>
      <c r="AJ22" s="988"/>
      <c r="AK22" s="988"/>
      <c r="AL22" s="988"/>
      <c r="AM22" s="988"/>
      <c r="AN22" s="988"/>
    </row>
    <row r="23" spans="1:40" ht="14.95" customHeight="1" x14ac:dyDescent="0.25">
      <c r="A23" s="1067" t="s">
        <v>605</v>
      </c>
      <c r="B23" s="988"/>
      <c r="C23" s="988"/>
      <c r="D23" s="988"/>
      <c r="E23" s="988"/>
      <c r="F23" s="988"/>
      <c r="G23" s="988"/>
      <c r="H23" s="988"/>
      <c r="I23" s="988"/>
      <c r="J23" s="988"/>
      <c r="K23" s="988"/>
      <c r="L23" s="988"/>
      <c r="M23" s="988"/>
      <c r="N23" s="988"/>
      <c r="O23" s="988"/>
      <c r="P23" s="988"/>
      <c r="Q23" s="988"/>
      <c r="R23" s="988"/>
    </row>
    <row r="24" spans="1:40" x14ac:dyDescent="0.25">
      <c r="A24" s="901" t="s">
        <v>740</v>
      </c>
      <c r="F24" s="14"/>
      <c r="G24" s="14"/>
      <c r="H24" s="13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40" x14ac:dyDescent="0.25">
      <c r="A25" s="899" t="s">
        <v>712</v>
      </c>
      <c r="F25" s="14"/>
      <c r="G25" s="14"/>
      <c r="H25" s="13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40" x14ac:dyDescent="0.25">
      <c r="A26" s="931" t="s">
        <v>881</v>
      </c>
      <c r="F26" s="14"/>
      <c r="G26" s="14"/>
      <c r="H26" s="13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40" x14ac:dyDescent="0.25">
      <c r="A27" s="899" t="s">
        <v>681</v>
      </c>
      <c r="F27" s="14"/>
      <c r="G27" s="14"/>
      <c r="H27" s="13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40" x14ac:dyDescent="0.25">
      <c r="A28" s="567" t="s">
        <v>413</v>
      </c>
    </row>
    <row r="29" spans="1:40" x14ac:dyDescent="0.25">
      <c r="A29" s="159"/>
      <c r="B29" t="s">
        <v>44</v>
      </c>
    </row>
    <row r="30" spans="1:40" x14ac:dyDescent="0.25">
      <c r="A30" s="157"/>
      <c r="B30" t="s">
        <v>42</v>
      </c>
    </row>
    <row r="31" spans="1:40" x14ac:dyDescent="0.25">
      <c r="A31" s="158"/>
      <c r="B31" t="s">
        <v>43</v>
      </c>
    </row>
    <row r="32" spans="1:40" x14ac:dyDescent="0.25">
      <c r="A32" s="15" t="s">
        <v>28</v>
      </c>
    </row>
  </sheetData>
  <mergeCells count="19">
    <mergeCell ref="C15:E15"/>
    <mergeCell ref="C16:E16"/>
    <mergeCell ref="C21:E21"/>
    <mergeCell ref="C17:E17"/>
    <mergeCell ref="A23:R23"/>
    <mergeCell ref="A22:AN22"/>
    <mergeCell ref="C18:E18"/>
    <mergeCell ref="C19:E19"/>
    <mergeCell ref="C20:E20"/>
    <mergeCell ref="A1:C1"/>
    <mergeCell ref="E1:G1"/>
    <mergeCell ref="H1:I1"/>
    <mergeCell ref="J1:M1"/>
    <mergeCell ref="N1:O1"/>
    <mergeCell ref="Y1:AB1"/>
    <mergeCell ref="AC1:AF1"/>
    <mergeCell ref="AG1:AJ1"/>
    <mergeCell ref="AK1:AN1"/>
    <mergeCell ref="P1:R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T33"/>
  <sheetViews>
    <sheetView workbookViewId="0">
      <selection activeCell="S15" sqref="S15"/>
    </sheetView>
  </sheetViews>
  <sheetFormatPr defaultRowHeight="14.3" x14ac:dyDescent="0.25"/>
  <cols>
    <col min="1" max="1" width="7.5" customWidth="1"/>
    <col min="2" max="2" width="5.5" customWidth="1"/>
    <col min="3" max="3" width="13.75" customWidth="1"/>
    <col min="4" max="4" width="4.875" bestFit="1" customWidth="1"/>
    <col min="5" max="18" width="3.75" customWidth="1"/>
    <col min="19" max="20" width="6.25" customWidth="1"/>
    <col min="21" max="21" width="25.875" customWidth="1"/>
    <col min="22" max="22" width="22.5" bestFit="1" customWidth="1"/>
    <col min="23" max="23" width="23" bestFit="1" customWidth="1"/>
    <col min="24" max="24" width="23.875" bestFit="1" customWidth="1"/>
    <col min="25" max="40" width="3.7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1252" t="s">
        <v>207</v>
      </c>
      <c r="B1" s="1253"/>
      <c r="C1" s="1253"/>
      <c r="D1" s="165"/>
      <c r="E1" s="1254" t="s">
        <v>24</v>
      </c>
      <c r="F1" s="1255"/>
      <c r="G1" s="1256"/>
      <c r="H1" s="1254" t="s">
        <v>23</v>
      </c>
      <c r="I1" s="1256"/>
      <c r="J1" s="1249" t="s">
        <v>6</v>
      </c>
      <c r="K1" s="1250"/>
      <c r="L1" s="1250"/>
      <c r="M1" s="1251"/>
      <c r="N1" s="1249" t="s">
        <v>7</v>
      </c>
      <c r="O1" s="1251"/>
      <c r="P1" s="1249" t="s">
        <v>25</v>
      </c>
      <c r="Q1" s="1250"/>
      <c r="R1" s="1251"/>
      <c r="S1" s="583" t="s">
        <v>8</v>
      </c>
      <c r="T1" s="583" t="s">
        <v>9</v>
      </c>
      <c r="U1" s="584" t="s">
        <v>10</v>
      </c>
      <c r="V1" s="583" t="s">
        <v>11</v>
      </c>
      <c r="W1" s="585" t="s">
        <v>26</v>
      </c>
      <c r="X1" s="586" t="s">
        <v>27</v>
      </c>
      <c r="Y1" s="1248" t="s">
        <v>20</v>
      </c>
      <c r="Z1" s="1044"/>
      <c r="AA1" s="1044"/>
      <c r="AB1" s="1045"/>
      <c r="AC1" s="1248" t="s">
        <v>61</v>
      </c>
      <c r="AD1" s="1044"/>
      <c r="AE1" s="1044"/>
      <c r="AF1" s="1045"/>
      <c r="AG1" s="1248" t="s">
        <v>62</v>
      </c>
      <c r="AH1" s="1044"/>
      <c r="AI1" s="1044"/>
      <c r="AJ1" s="1045"/>
      <c r="AK1" s="1248" t="s">
        <v>63</v>
      </c>
      <c r="AL1" s="1044"/>
      <c r="AM1" s="1044"/>
      <c r="AN1" s="1045"/>
      <c r="AP1" s="881" t="s">
        <v>715</v>
      </c>
      <c r="AQ1" s="868"/>
      <c r="AR1" s="868"/>
      <c r="AS1" s="881" t="s">
        <v>715</v>
      </c>
    </row>
    <row r="2" spans="1:46" ht="14.95" customHeight="1" thickBot="1" x14ac:dyDescent="0.3">
      <c r="A2" s="145" t="s">
        <v>19</v>
      </c>
      <c r="B2" s="146" t="s">
        <v>18</v>
      </c>
      <c r="C2" s="147" t="s">
        <v>17</v>
      </c>
      <c r="D2" s="148" t="s">
        <v>41</v>
      </c>
      <c r="E2" s="148" t="s">
        <v>16</v>
      </c>
      <c r="F2" s="148" t="s">
        <v>4</v>
      </c>
      <c r="G2" s="148" t="s">
        <v>5</v>
      </c>
      <c r="H2" s="149" t="s">
        <v>12</v>
      </c>
      <c r="I2" s="149" t="s">
        <v>3</v>
      </c>
      <c r="J2" s="149" t="s">
        <v>12</v>
      </c>
      <c r="K2" s="149" t="s">
        <v>13</v>
      </c>
      <c r="L2" s="149" t="s">
        <v>2</v>
      </c>
      <c r="M2" s="149" t="s">
        <v>14</v>
      </c>
      <c r="N2" s="149" t="s">
        <v>15</v>
      </c>
      <c r="O2" s="149" t="s">
        <v>16</v>
      </c>
      <c r="P2" s="149" t="s">
        <v>21</v>
      </c>
      <c r="Q2" s="149" t="s">
        <v>22</v>
      </c>
      <c r="R2" s="149" t="s">
        <v>12</v>
      </c>
      <c r="S2" s="150"/>
      <c r="T2" s="478"/>
      <c r="U2" s="151"/>
      <c r="V2" s="150"/>
      <c r="W2" s="219"/>
      <c r="X2" s="152"/>
      <c r="Y2" s="144" t="s">
        <v>0</v>
      </c>
      <c r="Z2" s="144" t="s">
        <v>1</v>
      </c>
      <c r="AA2" s="144" t="s">
        <v>2</v>
      </c>
      <c r="AB2" s="144" t="s">
        <v>3</v>
      </c>
      <c r="AC2" s="144" t="s">
        <v>0</v>
      </c>
      <c r="AD2" s="144" t="s">
        <v>1</v>
      </c>
      <c r="AE2" s="144" t="s">
        <v>2</v>
      </c>
      <c r="AF2" s="144" t="s">
        <v>3</v>
      </c>
      <c r="AG2" s="144" t="s">
        <v>0</v>
      </c>
      <c r="AH2" s="144" t="s">
        <v>1</v>
      </c>
      <c r="AI2" s="144" t="s">
        <v>2</v>
      </c>
      <c r="AJ2" s="144" t="s">
        <v>3</v>
      </c>
      <c r="AK2" s="144" t="s">
        <v>0</v>
      </c>
      <c r="AL2" s="144" t="s">
        <v>1</v>
      </c>
      <c r="AM2" s="144" t="s">
        <v>2</v>
      </c>
      <c r="AN2" s="144" t="s">
        <v>3</v>
      </c>
      <c r="AP2" s="592" t="s">
        <v>112</v>
      </c>
      <c r="AQ2" s="253"/>
      <c r="AS2" s="672" t="s">
        <v>610</v>
      </c>
      <c r="AT2" s="253"/>
    </row>
    <row r="3" spans="1:46" ht="14.95" customHeight="1" thickBot="1" x14ac:dyDescent="0.3">
      <c r="A3" s="195">
        <v>43498</v>
      </c>
      <c r="B3" s="196" t="s">
        <v>106</v>
      </c>
      <c r="C3" s="196" t="s">
        <v>40</v>
      </c>
      <c r="D3" s="196" t="s">
        <v>305</v>
      </c>
      <c r="E3" s="197" t="s">
        <v>1</v>
      </c>
      <c r="F3" s="197">
        <v>20</v>
      </c>
      <c r="G3" s="197">
        <v>17</v>
      </c>
      <c r="H3" s="197">
        <v>0</v>
      </c>
      <c r="I3" s="197">
        <v>0</v>
      </c>
      <c r="J3" s="197">
        <v>3</v>
      </c>
      <c r="K3" s="197">
        <v>1</v>
      </c>
      <c r="L3" s="197">
        <v>0</v>
      </c>
      <c r="M3" s="197">
        <v>1</v>
      </c>
      <c r="N3" s="197">
        <v>0</v>
      </c>
      <c r="O3" s="197">
        <v>1</v>
      </c>
      <c r="P3" s="197">
        <v>0</v>
      </c>
      <c r="Q3" s="197">
        <v>1</v>
      </c>
      <c r="R3" s="197">
        <v>3</v>
      </c>
      <c r="S3" s="209">
        <v>2000</v>
      </c>
      <c r="T3" s="481" t="s">
        <v>306</v>
      </c>
      <c r="U3" s="210" t="s">
        <v>134</v>
      </c>
      <c r="V3" s="209" t="s">
        <v>307</v>
      </c>
      <c r="W3" s="198" t="s">
        <v>308</v>
      </c>
      <c r="X3" s="211" t="s">
        <v>852</v>
      </c>
      <c r="Y3" s="412">
        <v>1</v>
      </c>
      <c r="Z3" s="412">
        <v>1</v>
      </c>
      <c r="AA3" s="412">
        <v>0</v>
      </c>
      <c r="AB3" s="581">
        <v>0</v>
      </c>
      <c r="AC3" s="412">
        <v>1</v>
      </c>
      <c r="AD3" s="412">
        <v>1</v>
      </c>
      <c r="AE3" s="412">
        <v>0</v>
      </c>
      <c r="AF3" s="581">
        <v>0</v>
      </c>
      <c r="AG3" s="412">
        <v>0</v>
      </c>
      <c r="AH3" s="412">
        <v>0</v>
      </c>
      <c r="AI3" s="412">
        <v>0</v>
      </c>
      <c r="AJ3" s="581">
        <v>0</v>
      </c>
      <c r="AK3" s="412">
        <v>0</v>
      </c>
      <c r="AL3" s="412">
        <v>0</v>
      </c>
      <c r="AM3" s="412">
        <v>0</v>
      </c>
      <c r="AN3" s="581">
        <v>0</v>
      </c>
      <c r="AP3" s="849" t="s">
        <v>627</v>
      </c>
      <c r="AQ3" s="850">
        <f>Urualltestshistplayed</f>
        <v>288</v>
      </c>
      <c r="AS3" s="849" t="s">
        <v>627</v>
      </c>
      <c r="AT3" s="850">
        <f>UruRWChistplayed</f>
        <v>15</v>
      </c>
    </row>
    <row r="4" spans="1:46" ht="14.95" customHeight="1" thickBot="1" x14ac:dyDescent="0.35">
      <c r="A4" s="195">
        <v>43504</v>
      </c>
      <c r="B4" s="196" t="s">
        <v>106</v>
      </c>
      <c r="C4" s="196" t="s">
        <v>237</v>
      </c>
      <c r="D4" s="196" t="s">
        <v>305</v>
      </c>
      <c r="E4" s="197" t="s">
        <v>1</v>
      </c>
      <c r="F4" s="197">
        <v>20</v>
      </c>
      <c r="G4" s="197">
        <v>5</v>
      </c>
      <c r="H4" s="197">
        <v>0</v>
      </c>
      <c r="I4" s="197">
        <v>0</v>
      </c>
      <c r="J4" s="197">
        <v>2</v>
      </c>
      <c r="K4" s="197">
        <v>2</v>
      </c>
      <c r="L4" s="197">
        <v>0</v>
      </c>
      <c r="M4" s="197">
        <v>2</v>
      </c>
      <c r="N4" s="197">
        <v>0</v>
      </c>
      <c r="O4" s="197">
        <v>0</v>
      </c>
      <c r="P4" s="197">
        <v>0</v>
      </c>
      <c r="Q4" s="197">
        <v>0</v>
      </c>
      <c r="R4" s="197">
        <v>1</v>
      </c>
      <c r="S4" s="209">
        <v>3000</v>
      </c>
      <c r="T4" s="346" t="s">
        <v>311</v>
      </c>
      <c r="U4" s="210" t="s">
        <v>134</v>
      </c>
      <c r="V4" s="209" t="s">
        <v>307</v>
      </c>
      <c r="W4" s="198" t="s">
        <v>308</v>
      </c>
      <c r="X4" s="211" t="s">
        <v>852</v>
      </c>
      <c r="Y4" s="412">
        <v>1</v>
      </c>
      <c r="Z4" s="412">
        <v>1</v>
      </c>
      <c r="AA4" s="412">
        <v>0</v>
      </c>
      <c r="AB4" s="581">
        <v>0</v>
      </c>
      <c r="AC4" s="412">
        <v>1</v>
      </c>
      <c r="AD4" s="412">
        <v>1</v>
      </c>
      <c r="AE4" s="412">
        <v>0</v>
      </c>
      <c r="AF4" s="581">
        <v>0</v>
      </c>
      <c r="AG4" s="412">
        <v>0</v>
      </c>
      <c r="AH4" s="412">
        <v>0</v>
      </c>
      <c r="AI4" s="412">
        <v>0</v>
      </c>
      <c r="AJ4" s="581">
        <v>0</v>
      </c>
      <c r="AK4" s="412">
        <v>0</v>
      </c>
      <c r="AL4" s="412">
        <v>0</v>
      </c>
      <c r="AM4" s="412">
        <v>0</v>
      </c>
      <c r="AN4" s="581">
        <v>0</v>
      </c>
      <c r="AP4" s="851" t="s">
        <v>628</v>
      </c>
      <c r="AQ4" s="852">
        <f>Urualltestshistwon</f>
        <v>136</v>
      </c>
      <c r="AS4" s="851" t="s">
        <v>628</v>
      </c>
      <c r="AT4" s="852">
        <f>UruRWChistwon</f>
        <v>3</v>
      </c>
    </row>
    <row r="5" spans="1:46" ht="14.95" customHeight="1" thickBot="1" x14ac:dyDescent="0.3">
      <c r="A5" s="187">
        <v>43519</v>
      </c>
      <c r="B5" s="178" t="s">
        <v>106</v>
      </c>
      <c r="C5" s="178" t="s">
        <v>792</v>
      </c>
      <c r="D5" s="178" t="s">
        <v>411</v>
      </c>
      <c r="E5" s="179" t="s">
        <v>3</v>
      </c>
      <c r="F5" s="179">
        <v>10</v>
      </c>
      <c r="G5" s="179">
        <v>35</v>
      </c>
      <c r="H5" s="179">
        <v>0</v>
      </c>
      <c r="I5" s="179">
        <v>0</v>
      </c>
      <c r="J5" s="179">
        <v>1</v>
      </c>
      <c r="K5" s="179">
        <v>1</v>
      </c>
      <c r="L5" s="179">
        <v>0</v>
      </c>
      <c r="M5" s="179">
        <v>1</v>
      </c>
      <c r="N5" s="179">
        <v>0</v>
      </c>
      <c r="O5" s="179">
        <v>0</v>
      </c>
      <c r="P5" s="179">
        <v>1</v>
      </c>
      <c r="Q5" s="179">
        <v>0</v>
      </c>
      <c r="R5" s="179">
        <v>5</v>
      </c>
      <c r="S5" s="180"/>
      <c r="T5" s="223" t="s">
        <v>848</v>
      </c>
      <c r="U5" s="181" t="s">
        <v>849</v>
      </c>
      <c r="V5" s="180" t="s">
        <v>850</v>
      </c>
      <c r="W5" s="182" t="s">
        <v>851</v>
      </c>
      <c r="X5" s="183" t="s">
        <v>853</v>
      </c>
      <c r="Y5" s="257">
        <v>1</v>
      </c>
      <c r="Z5" s="257">
        <v>0</v>
      </c>
      <c r="AA5" s="257">
        <v>0</v>
      </c>
      <c r="AB5" s="582">
        <v>1</v>
      </c>
      <c r="AC5" s="257">
        <v>0</v>
      </c>
      <c r="AD5" s="257">
        <v>0</v>
      </c>
      <c r="AE5" s="257">
        <v>0</v>
      </c>
      <c r="AF5" s="582">
        <v>0</v>
      </c>
      <c r="AG5" s="257">
        <v>1</v>
      </c>
      <c r="AH5" s="257">
        <v>0</v>
      </c>
      <c r="AI5" s="257">
        <v>0</v>
      </c>
      <c r="AJ5" s="582">
        <v>1</v>
      </c>
      <c r="AK5" s="257">
        <v>0</v>
      </c>
      <c r="AL5" s="257">
        <v>0</v>
      </c>
      <c r="AM5" s="257">
        <v>0</v>
      </c>
      <c r="AN5" s="582">
        <v>0</v>
      </c>
      <c r="AP5" s="851" t="s">
        <v>634</v>
      </c>
      <c r="AQ5" s="852">
        <f>Urualltestshistdrawn</f>
        <v>4</v>
      </c>
      <c r="AS5" s="851" t="s">
        <v>634</v>
      </c>
      <c r="AT5" s="852">
        <f>UruRWChistdrawn</f>
        <v>0</v>
      </c>
    </row>
    <row r="6" spans="1:46" ht="14.95" customHeight="1" thickBot="1" x14ac:dyDescent="0.35">
      <c r="A6" s="187">
        <v>43526</v>
      </c>
      <c r="B6" s="208" t="s">
        <v>106</v>
      </c>
      <c r="C6" s="178" t="s">
        <v>60</v>
      </c>
      <c r="D6" s="178" t="s">
        <v>366</v>
      </c>
      <c r="E6" s="179" t="s">
        <v>1</v>
      </c>
      <c r="F6" s="179">
        <v>32</v>
      </c>
      <c r="G6" s="179">
        <v>25</v>
      </c>
      <c r="H6" s="179">
        <v>1</v>
      </c>
      <c r="I6" s="179">
        <v>0</v>
      </c>
      <c r="J6" s="179">
        <v>5</v>
      </c>
      <c r="K6" s="179">
        <v>2</v>
      </c>
      <c r="L6" s="179">
        <v>0</v>
      </c>
      <c r="M6" s="179">
        <v>1</v>
      </c>
      <c r="N6" s="179">
        <v>1</v>
      </c>
      <c r="O6" s="179">
        <v>0</v>
      </c>
      <c r="P6" s="179">
        <v>1</v>
      </c>
      <c r="Q6" s="179">
        <v>1</v>
      </c>
      <c r="R6" s="179">
        <v>4</v>
      </c>
      <c r="S6" s="180"/>
      <c r="T6" s="396" t="s">
        <v>371</v>
      </c>
      <c r="U6" s="181" t="s">
        <v>382</v>
      </c>
      <c r="V6" s="180" t="s">
        <v>368</v>
      </c>
      <c r="W6" s="182" t="s">
        <v>369</v>
      </c>
      <c r="X6" s="183" t="s">
        <v>370</v>
      </c>
      <c r="Y6" s="257">
        <v>1</v>
      </c>
      <c r="Z6" s="257">
        <v>1</v>
      </c>
      <c r="AA6" s="257">
        <v>0</v>
      </c>
      <c r="AB6" s="582">
        <v>0</v>
      </c>
      <c r="AC6" s="257">
        <v>0</v>
      </c>
      <c r="AD6" s="257">
        <v>0</v>
      </c>
      <c r="AE6" s="257">
        <v>0</v>
      </c>
      <c r="AF6" s="582">
        <v>0</v>
      </c>
      <c r="AG6" s="257">
        <v>1</v>
      </c>
      <c r="AH6" s="257">
        <v>1</v>
      </c>
      <c r="AI6" s="257">
        <v>0</v>
      </c>
      <c r="AJ6" s="582">
        <v>0</v>
      </c>
      <c r="AK6" s="257">
        <v>0</v>
      </c>
      <c r="AL6" s="257">
        <v>0</v>
      </c>
      <c r="AM6" s="257">
        <v>0</v>
      </c>
      <c r="AN6" s="582">
        <v>0</v>
      </c>
      <c r="AP6" s="851" t="s">
        <v>629</v>
      </c>
      <c r="AQ6" s="852">
        <f>Urualltestshistlost</f>
        <v>148</v>
      </c>
      <c r="AS6" s="851" t="s">
        <v>629</v>
      </c>
      <c r="AT6" s="852">
        <f>UruRWChistlost</f>
        <v>12</v>
      </c>
    </row>
    <row r="7" spans="1:46" ht="14.95" customHeight="1" thickBot="1" x14ac:dyDescent="0.3">
      <c r="A7" s="195">
        <v>43533</v>
      </c>
      <c r="B7" s="196" t="s">
        <v>106</v>
      </c>
      <c r="C7" s="196" t="s">
        <v>251</v>
      </c>
      <c r="D7" s="196" t="s">
        <v>305</v>
      </c>
      <c r="E7" s="197" t="s">
        <v>1</v>
      </c>
      <c r="F7" s="197">
        <v>42</v>
      </c>
      <c r="G7" s="197">
        <v>20</v>
      </c>
      <c r="H7" s="197">
        <v>1</v>
      </c>
      <c r="I7" s="197">
        <v>0</v>
      </c>
      <c r="J7" s="197">
        <v>5</v>
      </c>
      <c r="K7" s="197">
        <v>4</v>
      </c>
      <c r="L7" s="197">
        <v>0</v>
      </c>
      <c r="M7" s="197">
        <v>3</v>
      </c>
      <c r="N7" s="197">
        <v>0</v>
      </c>
      <c r="O7" s="197">
        <v>1</v>
      </c>
      <c r="P7" s="197">
        <v>0</v>
      </c>
      <c r="Q7" s="197">
        <v>0</v>
      </c>
      <c r="R7" s="197">
        <v>3</v>
      </c>
      <c r="S7" s="209">
        <v>2500</v>
      </c>
      <c r="T7" s="481" t="s">
        <v>390</v>
      </c>
      <c r="U7" s="210" t="s">
        <v>391</v>
      </c>
      <c r="V7" s="209" t="s">
        <v>392</v>
      </c>
      <c r="W7" s="198" t="s">
        <v>393</v>
      </c>
      <c r="X7" s="211" t="s">
        <v>394</v>
      </c>
      <c r="Y7" s="412">
        <v>1</v>
      </c>
      <c r="Z7" s="412">
        <v>1</v>
      </c>
      <c r="AA7" s="412">
        <v>0</v>
      </c>
      <c r="AB7" s="581">
        <v>0</v>
      </c>
      <c r="AC7" s="412">
        <v>1</v>
      </c>
      <c r="AD7" s="412">
        <v>1</v>
      </c>
      <c r="AE7" s="412">
        <v>0</v>
      </c>
      <c r="AF7" s="581">
        <v>0</v>
      </c>
      <c r="AG7" s="412">
        <v>0</v>
      </c>
      <c r="AH7" s="412">
        <v>0</v>
      </c>
      <c r="AI7" s="412">
        <v>0</v>
      </c>
      <c r="AJ7" s="581">
        <v>0</v>
      </c>
      <c r="AK7" s="412">
        <v>0</v>
      </c>
      <c r="AL7" s="412">
        <v>0</v>
      </c>
      <c r="AM7" s="412">
        <v>0</v>
      </c>
      <c r="AN7" s="581">
        <v>0</v>
      </c>
      <c r="AP7" s="851" t="s">
        <v>635</v>
      </c>
      <c r="AQ7" s="852">
        <f>Urualltestshistptsscored</f>
        <v>6513</v>
      </c>
      <c r="AS7" s="851" t="s">
        <v>635</v>
      </c>
      <c r="AT7" s="852">
        <f>UruRWChistptsscored</f>
        <v>188</v>
      </c>
    </row>
    <row r="8" spans="1:46" ht="14.95" customHeight="1" thickBot="1" x14ac:dyDescent="0.35">
      <c r="A8" s="195">
        <v>43620</v>
      </c>
      <c r="B8" s="196" t="s">
        <v>414</v>
      </c>
      <c r="C8" s="196" t="s">
        <v>105</v>
      </c>
      <c r="D8" s="196" t="s">
        <v>305</v>
      </c>
      <c r="E8" s="197" t="s">
        <v>1</v>
      </c>
      <c r="F8" s="197">
        <v>48</v>
      </c>
      <c r="G8" s="197">
        <v>26</v>
      </c>
      <c r="H8" s="197">
        <v>1</v>
      </c>
      <c r="I8" s="197">
        <v>0</v>
      </c>
      <c r="J8" s="197">
        <v>7</v>
      </c>
      <c r="K8" s="197">
        <v>5</v>
      </c>
      <c r="L8" s="197">
        <v>0</v>
      </c>
      <c r="M8" s="197">
        <v>1</v>
      </c>
      <c r="N8" s="197">
        <v>0</v>
      </c>
      <c r="O8" s="197">
        <v>0</v>
      </c>
      <c r="P8" s="197">
        <v>1</v>
      </c>
      <c r="Q8" s="197">
        <v>0</v>
      </c>
      <c r="R8" s="197">
        <v>4</v>
      </c>
      <c r="S8" s="209">
        <v>1200</v>
      </c>
      <c r="T8" s="346" t="s">
        <v>416</v>
      </c>
      <c r="U8" s="210" t="s">
        <v>327</v>
      </c>
      <c r="V8" s="209" t="s">
        <v>314</v>
      </c>
      <c r="W8" s="198" t="s">
        <v>308</v>
      </c>
      <c r="X8" s="211" t="s">
        <v>417</v>
      </c>
      <c r="Y8" s="412">
        <v>1</v>
      </c>
      <c r="Z8" s="412">
        <v>1</v>
      </c>
      <c r="AA8" s="412">
        <v>0</v>
      </c>
      <c r="AB8" s="581">
        <v>0</v>
      </c>
      <c r="AC8" s="412">
        <v>1</v>
      </c>
      <c r="AD8" s="412">
        <v>1</v>
      </c>
      <c r="AE8" s="412">
        <v>0</v>
      </c>
      <c r="AF8" s="581">
        <v>0</v>
      </c>
      <c r="AG8" s="412">
        <v>0</v>
      </c>
      <c r="AH8" s="412">
        <v>0</v>
      </c>
      <c r="AI8" s="412">
        <v>0</v>
      </c>
      <c r="AJ8" s="581">
        <v>0</v>
      </c>
      <c r="AK8" s="412">
        <v>0</v>
      </c>
      <c r="AL8" s="412">
        <v>0</v>
      </c>
      <c r="AM8" s="412">
        <v>0</v>
      </c>
      <c r="AN8" s="581">
        <v>0</v>
      </c>
      <c r="AP8" s="851" t="s">
        <v>636</v>
      </c>
      <c r="AQ8" s="852">
        <f>Urualltestshistptscon</f>
        <v>7366</v>
      </c>
      <c r="AS8" s="851" t="s">
        <v>636</v>
      </c>
      <c r="AT8" s="852">
        <f>UruRWChistptscon</f>
        <v>718</v>
      </c>
    </row>
    <row r="9" spans="1:46" ht="14.95" customHeight="1" thickBot="1" x14ac:dyDescent="0.3">
      <c r="A9" s="195">
        <v>43625</v>
      </c>
      <c r="B9" s="196" t="s">
        <v>414</v>
      </c>
      <c r="C9" s="196" t="s">
        <v>193</v>
      </c>
      <c r="D9" s="196" t="s">
        <v>305</v>
      </c>
      <c r="E9" s="197" t="s">
        <v>3</v>
      </c>
      <c r="F9" s="197">
        <v>28</v>
      </c>
      <c r="G9" s="197">
        <v>30</v>
      </c>
      <c r="H9" s="197">
        <v>1</v>
      </c>
      <c r="I9" s="197">
        <v>1</v>
      </c>
      <c r="J9" s="197">
        <v>4</v>
      </c>
      <c r="K9" s="197">
        <v>4</v>
      </c>
      <c r="L9" s="197">
        <v>0</v>
      </c>
      <c r="M9" s="197">
        <v>0</v>
      </c>
      <c r="N9" s="197">
        <v>1</v>
      </c>
      <c r="O9" s="197">
        <v>0</v>
      </c>
      <c r="P9" s="197">
        <v>0</v>
      </c>
      <c r="Q9" s="197">
        <v>0</v>
      </c>
      <c r="R9" s="197">
        <v>3</v>
      </c>
      <c r="S9" s="209">
        <v>2000</v>
      </c>
      <c r="T9" s="222" t="s">
        <v>426</v>
      </c>
      <c r="U9" s="210" t="s">
        <v>427</v>
      </c>
      <c r="V9" s="209" t="s">
        <v>314</v>
      </c>
      <c r="W9" s="209" t="s">
        <v>327</v>
      </c>
      <c r="X9" s="199" t="s">
        <v>417</v>
      </c>
      <c r="Y9" s="412">
        <v>1</v>
      </c>
      <c r="Z9" s="412">
        <v>0</v>
      </c>
      <c r="AA9" s="412">
        <v>0</v>
      </c>
      <c r="AB9" s="581">
        <v>1</v>
      </c>
      <c r="AC9" s="412">
        <v>1</v>
      </c>
      <c r="AD9" s="412">
        <v>0</v>
      </c>
      <c r="AE9" s="412">
        <v>0</v>
      </c>
      <c r="AF9" s="581">
        <v>1</v>
      </c>
      <c r="AG9" s="412">
        <v>0</v>
      </c>
      <c r="AH9" s="412">
        <v>0</v>
      </c>
      <c r="AI9" s="412">
        <v>0</v>
      </c>
      <c r="AJ9" s="581">
        <v>0</v>
      </c>
      <c r="AK9" s="412">
        <v>0</v>
      </c>
      <c r="AL9" s="412">
        <v>0</v>
      </c>
      <c r="AM9" s="412">
        <v>0</v>
      </c>
      <c r="AN9" s="581">
        <v>0</v>
      </c>
      <c r="AP9" s="851" t="s">
        <v>623</v>
      </c>
      <c r="AQ9" s="852">
        <f>Urualltestshisttriesscored</f>
        <v>789</v>
      </c>
      <c r="AS9" s="851" t="s">
        <v>623</v>
      </c>
      <c r="AT9" s="852">
        <f>UruRWChisttriesscored</f>
        <v>18</v>
      </c>
    </row>
    <row r="10" spans="1:46" ht="14.95" customHeight="1" thickBot="1" x14ac:dyDescent="0.35">
      <c r="A10" s="195">
        <v>43631</v>
      </c>
      <c r="B10" s="196" t="s">
        <v>414</v>
      </c>
      <c r="C10" s="196" t="s">
        <v>792</v>
      </c>
      <c r="D10" s="196" t="s">
        <v>305</v>
      </c>
      <c r="E10" s="197" t="s">
        <v>1</v>
      </c>
      <c r="F10" s="197">
        <v>28</v>
      </c>
      <c r="G10" s="197">
        <v>15</v>
      </c>
      <c r="H10" s="197">
        <v>0</v>
      </c>
      <c r="I10" s="197">
        <v>0</v>
      </c>
      <c r="J10" s="197">
        <v>3</v>
      </c>
      <c r="K10" s="197">
        <v>2</v>
      </c>
      <c r="L10" s="197">
        <v>0</v>
      </c>
      <c r="M10" s="197">
        <v>3</v>
      </c>
      <c r="N10" s="197">
        <v>3</v>
      </c>
      <c r="O10" s="197">
        <v>0</v>
      </c>
      <c r="P10" s="197">
        <v>0</v>
      </c>
      <c r="Q10" s="197">
        <v>0</v>
      </c>
      <c r="R10" s="197">
        <v>2</v>
      </c>
      <c r="S10" s="209"/>
      <c r="T10" s="346" t="s">
        <v>854</v>
      </c>
      <c r="U10" s="210" t="s">
        <v>327</v>
      </c>
      <c r="V10" s="209" t="s">
        <v>314</v>
      </c>
      <c r="W10" s="209" t="s">
        <v>427</v>
      </c>
      <c r="X10" s="199" t="s">
        <v>417</v>
      </c>
      <c r="Y10" s="412">
        <v>1</v>
      </c>
      <c r="Z10" s="412">
        <v>1</v>
      </c>
      <c r="AA10" s="412">
        <v>0</v>
      </c>
      <c r="AB10" s="581">
        <v>0</v>
      </c>
      <c r="AC10" s="412">
        <v>1</v>
      </c>
      <c r="AD10" s="412">
        <v>1</v>
      </c>
      <c r="AE10" s="412">
        <v>0</v>
      </c>
      <c r="AF10" s="581">
        <v>0</v>
      </c>
      <c r="AG10" s="412">
        <v>0</v>
      </c>
      <c r="AH10" s="412">
        <v>0</v>
      </c>
      <c r="AI10" s="412">
        <v>0</v>
      </c>
      <c r="AJ10" s="581">
        <v>0</v>
      </c>
      <c r="AK10" s="412">
        <v>0</v>
      </c>
      <c r="AL10" s="412">
        <v>0</v>
      </c>
      <c r="AM10" s="412">
        <v>0</v>
      </c>
      <c r="AN10" s="581">
        <v>0</v>
      </c>
    </row>
    <row r="11" spans="1:46" ht="14.95" customHeight="1" thickBot="1" x14ac:dyDescent="0.3">
      <c r="A11" s="475">
        <v>43638</v>
      </c>
      <c r="B11" s="214" t="s">
        <v>45</v>
      </c>
      <c r="C11" s="214" t="s">
        <v>253</v>
      </c>
      <c r="D11" s="214" t="s">
        <v>305</v>
      </c>
      <c r="E11" s="476" t="s">
        <v>3</v>
      </c>
      <c r="F11" s="476">
        <v>21</v>
      </c>
      <c r="G11" s="197">
        <v>41</v>
      </c>
      <c r="H11" s="476" t="s">
        <v>108</v>
      </c>
      <c r="I11" s="476" t="s">
        <v>108</v>
      </c>
      <c r="J11" s="476">
        <v>3</v>
      </c>
      <c r="K11" s="476">
        <v>3</v>
      </c>
      <c r="L11" s="476">
        <v>0</v>
      </c>
      <c r="M11" s="476">
        <v>0</v>
      </c>
      <c r="N11" s="476">
        <v>1</v>
      </c>
      <c r="O11" s="476">
        <v>0</v>
      </c>
      <c r="P11" s="476" t="s">
        <v>108</v>
      </c>
      <c r="Q11" s="476" t="s">
        <v>108</v>
      </c>
      <c r="R11" s="476">
        <v>6</v>
      </c>
      <c r="S11" s="198">
        <v>2200</v>
      </c>
      <c r="T11" s="414" t="s">
        <v>435</v>
      </c>
      <c r="U11" s="198" t="s">
        <v>134</v>
      </c>
      <c r="V11" s="198" t="s">
        <v>424</v>
      </c>
      <c r="W11" s="198" t="s">
        <v>417</v>
      </c>
      <c r="X11" s="198" t="s">
        <v>417</v>
      </c>
      <c r="Y11" s="412">
        <v>1</v>
      </c>
      <c r="Z11" s="412">
        <v>0</v>
      </c>
      <c r="AA11" s="412">
        <v>0</v>
      </c>
      <c r="AB11" s="581">
        <v>1</v>
      </c>
      <c r="AC11" s="412">
        <v>1</v>
      </c>
      <c r="AD11" s="412">
        <v>0</v>
      </c>
      <c r="AE11" s="412">
        <v>0</v>
      </c>
      <c r="AF11" s="581">
        <v>1</v>
      </c>
      <c r="AG11" s="412">
        <v>0</v>
      </c>
      <c r="AH11" s="412">
        <v>0</v>
      </c>
      <c r="AI11" s="412">
        <v>0</v>
      </c>
      <c r="AJ11" s="581">
        <v>0</v>
      </c>
      <c r="AK11" s="412">
        <v>0</v>
      </c>
      <c r="AL11" s="412">
        <v>0</v>
      </c>
      <c r="AM11" s="412">
        <v>0</v>
      </c>
      <c r="AN11" s="581">
        <v>0</v>
      </c>
    </row>
    <row r="12" spans="1:46" ht="14.95" customHeight="1" thickBot="1" x14ac:dyDescent="0.35">
      <c r="A12" s="188">
        <v>43733</v>
      </c>
      <c r="B12" s="483" t="s">
        <v>158</v>
      </c>
      <c r="C12" s="189" t="s">
        <v>31</v>
      </c>
      <c r="D12" s="483" t="s">
        <v>582</v>
      </c>
      <c r="E12" s="190" t="s">
        <v>1</v>
      </c>
      <c r="F12" s="190">
        <v>30</v>
      </c>
      <c r="G12" s="484">
        <v>27</v>
      </c>
      <c r="H12" s="484">
        <v>0</v>
      </c>
      <c r="I12" s="190">
        <v>0</v>
      </c>
      <c r="J12" s="190">
        <v>3</v>
      </c>
      <c r="K12" s="190">
        <v>3</v>
      </c>
      <c r="L12" s="190">
        <v>0</v>
      </c>
      <c r="M12" s="190">
        <v>3</v>
      </c>
      <c r="N12" s="190">
        <v>0</v>
      </c>
      <c r="O12" s="190">
        <v>0</v>
      </c>
      <c r="P12" s="190">
        <v>1</v>
      </c>
      <c r="Q12" s="190">
        <v>1</v>
      </c>
      <c r="R12" s="190">
        <v>5</v>
      </c>
      <c r="S12" s="203">
        <v>14025</v>
      </c>
      <c r="T12" s="501" t="s">
        <v>891</v>
      </c>
      <c r="U12" s="191" t="s">
        <v>211</v>
      </c>
      <c r="V12" s="191" t="s">
        <v>270</v>
      </c>
      <c r="W12" s="191" t="s">
        <v>278</v>
      </c>
      <c r="X12" s="486" t="s">
        <v>129</v>
      </c>
      <c r="Y12" s="936">
        <v>1</v>
      </c>
      <c r="Z12" s="936">
        <v>1</v>
      </c>
      <c r="AA12" s="936">
        <v>0</v>
      </c>
      <c r="AB12" s="937">
        <v>0</v>
      </c>
      <c r="AC12" s="936">
        <v>0</v>
      </c>
      <c r="AD12" s="936">
        <v>0</v>
      </c>
      <c r="AE12" s="936">
        <v>0</v>
      </c>
      <c r="AF12" s="937">
        <v>0</v>
      </c>
      <c r="AG12" s="936">
        <v>0</v>
      </c>
      <c r="AH12" s="936">
        <v>0</v>
      </c>
      <c r="AI12" s="936">
        <v>0</v>
      </c>
      <c r="AJ12" s="937">
        <v>0</v>
      </c>
      <c r="AK12" s="936">
        <v>1</v>
      </c>
      <c r="AL12" s="936">
        <v>1</v>
      </c>
      <c r="AM12" s="936">
        <v>0</v>
      </c>
      <c r="AN12" s="937">
        <v>0</v>
      </c>
    </row>
    <row r="13" spans="1:46" ht="14.95" customHeight="1" thickBot="1" x14ac:dyDescent="0.3">
      <c r="A13" s="579">
        <v>43737</v>
      </c>
      <c r="B13" s="513" t="s">
        <v>158</v>
      </c>
      <c r="C13" s="513" t="s">
        <v>38</v>
      </c>
      <c r="D13" s="513" t="s">
        <v>603</v>
      </c>
      <c r="E13" s="190" t="s">
        <v>3</v>
      </c>
      <c r="F13" s="190">
        <v>7</v>
      </c>
      <c r="G13" s="484">
        <v>33</v>
      </c>
      <c r="H13" s="484">
        <v>0</v>
      </c>
      <c r="I13" s="190">
        <v>0</v>
      </c>
      <c r="J13" s="190">
        <v>1</v>
      </c>
      <c r="K13" s="190">
        <v>1</v>
      </c>
      <c r="L13" s="190">
        <v>0</v>
      </c>
      <c r="M13" s="190">
        <v>0</v>
      </c>
      <c r="N13" s="190">
        <v>0</v>
      </c>
      <c r="O13" s="190">
        <v>1</v>
      </c>
      <c r="P13" s="190">
        <v>1</v>
      </c>
      <c r="Q13" s="190">
        <v>0</v>
      </c>
      <c r="R13" s="190">
        <v>5</v>
      </c>
      <c r="S13" s="203">
        <v>24895</v>
      </c>
      <c r="T13" s="406" t="s">
        <v>214</v>
      </c>
      <c r="U13" s="204" t="s">
        <v>132</v>
      </c>
      <c r="V13" s="203" t="s">
        <v>270</v>
      </c>
      <c r="W13" s="191" t="s">
        <v>273</v>
      </c>
      <c r="X13" s="205" t="s">
        <v>212</v>
      </c>
      <c r="Y13" s="936">
        <v>1</v>
      </c>
      <c r="Z13" s="936">
        <v>0</v>
      </c>
      <c r="AA13" s="936">
        <v>0</v>
      </c>
      <c r="AB13" s="937">
        <v>1</v>
      </c>
      <c r="AC13" s="936">
        <v>0</v>
      </c>
      <c r="AD13" s="936">
        <v>0</v>
      </c>
      <c r="AE13" s="936">
        <v>0</v>
      </c>
      <c r="AF13" s="937">
        <v>0</v>
      </c>
      <c r="AG13" s="936">
        <v>0</v>
      </c>
      <c r="AH13" s="936">
        <v>0</v>
      </c>
      <c r="AI13" s="936">
        <v>0</v>
      </c>
      <c r="AJ13" s="937">
        <v>0</v>
      </c>
      <c r="AK13" s="936">
        <v>1</v>
      </c>
      <c r="AL13" s="936">
        <v>0</v>
      </c>
      <c r="AM13" s="936">
        <v>0</v>
      </c>
      <c r="AN13" s="937">
        <v>1</v>
      </c>
    </row>
    <row r="14" spans="1:46" ht="14.95" customHeight="1" thickBot="1" x14ac:dyDescent="0.3">
      <c r="A14" s="188">
        <v>43743</v>
      </c>
      <c r="B14" s="483" t="s">
        <v>158</v>
      </c>
      <c r="C14" s="189" t="s">
        <v>29</v>
      </c>
      <c r="D14" s="189" t="s">
        <v>180</v>
      </c>
      <c r="E14" s="190" t="s">
        <v>3</v>
      </c>
      <c r="F14" s="190">
        <v>10</v>
      </c>
      <c r="G14" s="484">
        <v>45</v>
      </c>
      <c r="H14" s="634">
        <v>0</v>
      </c>
      <c r="I14" s="484">
        <v>0</v>
      </c>
      <c r="J14" s="190">
        <v>1</v>
      </c>
      <c r="K14" s="190">
        <v>1</v>
      </c>
      <c r="L14" s="190">
        <v>0</v>
      </c>
      <c r="M14" s="190">
        <v>1</v>
      </c>
      <c r="N14" s="190">
        <v>0</v>
      </c>
      <c r="O14" s="190">
        <v>0</v>
      </c>
      <c r="P14" s="190">
        <v>1</v>
      </c>
      <c r="Q14" s="190">
        <v>0</v>
      </c>
      <c r="R14" s="190">
        <v>7</v>
      </c>
      <c r="S14" s="203">
        <v>33781</v>
      </c>
      <c r="T14" s="406" t="s">
        <v>877</v>
      </c>
      <c r="U14" s="204" t="s">
        <v>136</v>
      </c>
      <c r="V14" s="203" t="s">
        <v>277</v>
      </c>
      <c r="W14" s="191" t="s">
        <v>138</v>
      </c>
      <c r="X14" s="205" t="s">
        <v>233</v>
      </c>
      <c r="Y14" s="936">
        <v>1</v>
      </c>
      <c r="Z14" s="936">
        <v>0</v>
      </c>
      <c r="AA14" s="936">
        <v>0</v>
      </c>
      <c r="AB14" s="937">
        <v>1</v>
      </c>
      <c r="AC14" s="936">
        <v>0</v>
      </c>
      <c r="AD14" s="936">
        <v>0</v>
      </c>
      <c r="AE14" s="936">
        <v>0</v>
      </c>
      <c r="AF14" s="937">
        <v>0</v>
      </c>
      <c r="AG14" s="936">
        <v>0</v>
      </c>
      <c r="AH14" s="936">
        <v>0</v>
      </c>
      <c r="AI14" s="936">
        <v>0</v>
      </c>
      <c r="AJ14" s="937">
        <v>0</v>
      </c>
      <c r="AK14" s="936">
        <v>1</v>
      </c>
      <c r="AL14" s="936">
        <v>0</v>
      </c>
      <c r="AM14" s="936">
        <v>0</v>
      </c>
      <c r="AN14" s="937">
        <v>1</v>
      </c>
    </row>
    <row r="15" spans="1:46" ht="14.95" customHeight="1" thickBot="1" x14ac:dyDescent="0.3">
      <c r="A15" s="188">
        <v>43751</v>
      </c>
      <c r="B15" s="483" t="s">
        <v>158</v>
      </c>
      <c r="C15" s="189" t="s">
        <v>32</v>
      </c>
      <c r="D15" s="189" t="s">
        <v>705</v>
      </c>
      <c r="E15" s="190" t="s">
        <v>3</v>
      </c>
      <c r="F15" s="190">
        <v>13</v>
      </c>
      <c r="G15" s="484">
        <v>35</v>
      </c>
      <c r="H15" s="484">
        <v>0</v>
      </c>
      <c r="I15" s="190">
        <v>0</v>
      </c>
      <c r="J15" s="190">
        <v>1</v>
      </c>
      <c r="K15" s="190">
        <v>1</v>
      </c>
      <c r="L15" s="190">
        <v>0</v>
      </c>
      <c r="M15" s="190">
        <v>2</v>
      </c>
      <c r="N15" s="190">
        <v>1</v>
      </c>
      <c r="O15" s="190">
        <v>0</v>
      </c>
      <c r="P15" s="190">
        <v>1</v>
      </c>
      <c r="Q15" s="190">
        <v>0</v>
      </c>
      <c r="R15" s="190">
        <v>5</v>
      </c>
      <c r="S15" s="191">
        <v>27317</v>
      </c>
      <c r="T15" s="926" t="s">
        <v>738</v>
      </c>
      <c r="U15" s="191" t="s">
        <v>278</v>
      </c>
      <c r="V15" s="191" t="s">
        <v>131</v>
      </c>
      <c r="W15" s="191" t="s">
        <v>133</v>
      </c>
      <c r="X15" s="191" t="s">
        <v>233</v>
      </c>
      <c r="Y15" s="936">
        <v>1</v>
      </c>
      <c r="Z15" s="936">
        <v>0</v>
      </c>
      <c r="AA15" s="936">
        <v>0</v>
      </c>
      <c r="AB15" s="937">
        <v>1</v>
      </c>
      <c r="AC15" s="936">
        <v>0</v>
      </c>
      <c r="AD15" s="936">
        <v>0</v>
      </c>
      <c r="AE15" s="936">
        <v>0</v>
      </c>
      <c r="AF15" s="937">
        <v>0</v>
      </c>
      <c r="AG15" s="936">
        <v>0</v>
      </c>
      <c r="AH15" s="936">
        <v>0</v>
      </c>
      <c r="AI15" s="936">
        <v>0</v>
      </c>
      <c r="AJ15" s="937">
        <v>0</v>
      </c>
      <c r="AK15" s="936">
        <v>1</v>
      </c>
      <c r="AL15" s="936">
        <v>0</v>
      </c>
      <c r="AM15" s="936">
        <v>0</v>
      </c>
      <c r="AN15" s="937">
        <v>1</v>
      </c>
    </row>
    <row r="16" spans="1:46" ht="14.95" customHeight="1" thickBot="1" x14ac:dyDescent="0.3">
      <c r="A16" s="438"/>
      <c r="B16" s="439"/>
      <c r="C16" s="1069" t="s">
        <v>115</v>
      </c>
      <c r="D16" s="1070"/>
      <c r="E16" s="1071"/>
      <c r="F16" s="433">
        <f t="shared" ref="F16:R16" si="0">SUM(F3:F7)</f>
        <v>124</v>
      </c>
      <c r="G16" s="433">
        <f t="shared" si="0"/>
        <v>102</v>
      </c>
      <c r="H16" s="433">
        <f t="shared" si="0"/>
        <v>2</v>
      </c>
      <c r="I16" s="433">
        <f t="shared" si="0"/>
        <v>0</v>
      </c>
      <c r="J16" s="433">
        <f t="shared" si="0"/>
        <v>16</v>
      </c>
      <c r="K16" s="433">
        <f t="shared" si="0"/>
        <v>10</v>
      </c>
      <c r="L16" s="433">
        <f t="shared" si="0"/>
        <v>0</v>
      </c>
      <c r="M16" s="433">
        <f t="shared" si="0"/>
        <v>8</v>
      </c>
      <c r="N16" s="433">
        <f t="shared" si="0"/>
        <v>1</v>
      </c>
      <c r="O16" s="433">
        <f t="shared" si="0"/>
        <v>2</v>
      </c>
      <c r="P16" s="433">
        <f t="shared" si="0"/>
        <v>2</v>
      </c>
      <c r="Q16" s="433">
        <f t="shared" si="0"/>
        <v>2</v>
      </c>
      <c r="R16" s="433">
        <f t="shared" si="0"/>
        <v>16</v>
      </c>
      <c r="W16" s="434"/>
      <c r="X16" s="459" t="s">
        <v>115</v>
      </c>
      <c r="Y16" s="433">
        <f t="shared" ref="Y16:AN16" si="1">SUM(Y3:Y7)</f>
        <v>5</v>
      </c>
      <c r="Z16" s="433">
        <f t="shared" si="1"/>
        <v>4</v>
      </c>
      <c r="AA16" s="433">
        <f t="shared" si="1"/>
        <v>0</v>
      </c>
      <c r="AB16" s="433">
        <f t="shared" si="1"/>
        <v>1</v>
      </c>
      <c r="AC16" s="435">
        <f t="shared" si="1"/>
        <v>3</v>
      </c>
      <c r="AD16" s="435">
        <f t="shared" si="1"/>
        <v>3</v>
      </c>
      <c r="AE16" s="435">
        <f t="shared" si="1"/>
        <v>0</v>
      </c>
      <c r="AF16" s="435">
        <f t="shared" si="1"/>
        <v>0</v>
      </c>
      <c r="AG16" s="436">
        <f t="shared" si="1"/>
        <v>2</v>
      </c>
      <c r="AH16" s="436">
        <f t="shared" si="1"/>
        <v>1</v>
      </c>
      <c r="AI16" s="436">
        <f t="shared" si="1"/>
        <v>0</v>
      </c>
      <c r="AJ16" s="436">
        <f t="shared" si="1"/>
        <v>1</v>
      </c>
      <c r="AK16" s="437">
        <f t="shared" si="1"/>
        <v>0</v>
      </c>
      <c r="AL16" s="437">
        <f t="shared" si="1"/>
        <v>0</v>
      </c>
      <c r="AM16" s="437">
        <f t="shared" si="1"/>
        <v>0</v>
      </c>
      <c r="AN16" s="437">
        <f t="shared" si="1"/>
        <v>0</v>
      </c>
    </row>
    <row r="17" spans="1:40" ht="14.95" thickBot="1" x14ac:dyDescent="0.3">
      <c r="A17" s="438"/>
      <c r="B17" s="439"/>
      <c r="C17" s="1157" t="s">
        <v>415</v>
      </c>
      <c r="D17" s="1257"/>
      <c r="E17" s="1258"/>
      <c r="F17" s="568">
        <f t="shared" ref="F17:R17" si="2">SUM(F8:F10)</f>
        <v>104</v>
      </c>
      <c r="G17" s="568">
        <f t="shared" si="2"/>
        <v>71</v>
      </c>
      <c r="H17" s="568">
        <f t="shared" si="2"/>
        <v>2</v>
      </c>
      <c r="I17" s="568">
        <f t="shared" si="2"/>
        <v>1</v>
      </c>
      <c r="J17" s="568">
        <f t="shared" si="2"/>
        <v>14</v>
      </c>
      <c r="K17" s="568">
        <f t="shared" si="2"/>
        <v>11</v>
      </c>
      <c r="L17" s="568">
        <f t="shared" si="2"/>
        <v>0</v>
      </c>
      <c r="M17" s="568">
        <f t="shared" si="2"/>
        <v>4</v>
      </c>
      <c r="N17" s="568">
        <f t="shared" si="2"/>
        <v>4</v>
      </c>
      <c r="O17" s="568">
        <f t="shared" si="2"/>
        <v>0</v>
      </c>
      <c r="P17" s="568">
        <f t="shared" si="2"/>
        <v>1</v>
      </c>
      <c r="Q17" s="568">
        <f t="shared" si="2"/>
        <v>0</v>
      </c>
      <c r="R17" s="568">
        <f t="shared" si="2"/>
        <v>9</v>
      </c>
      <c r="S17" s="569"/>
      <c r="T17" s="569"/>
      <c r="U17" s="569"/>
      <c r="V17" s="569"/>
      <c r="W17" s="570"/>
      <c r="X17" s="571" t="s">
        <v>415</v>
      </c>
      <c r="Y17" s="568">
        <f t="shared" ref="Y17:AN17" si="3">SUM(Y8:Y10)</f>
        <v>3</v>
      </c>
      <c r="Z17" s="568">
        <f t="shared" si="3"/>
        <v>2</v>
      </c>
      <c r="AA17" s="568">
        <f t="shared" si="3"/>
        <v>0</v>
      </c>
      <c r="AB17" s="568">
        <f t="shared" si="3"/>
        <v>1</v>
      </c>
      <c r="AC17" s="572">
        <f t="shared" si="3"/>
        <v>3</v>
      </c>
      <c r="AD17" s="572">
        <f t="shared" si="3"/>
        <v>2</v>
      </c>
      <c r="AE17" s="572">
        <f t="shared" si="3"/>
        <v>0</v>
      </c>
      <c r="AF17" s="572">
        <f t="shared" si="3"/>
        <v>1</v>
      </c>
      <c r="AG17" s="573">
        <f t="shared" si="3"/>
        <v>0</v>
      </c>
      <c r="AH17" s="573">
        <f t="shared" si="3"/>
        <v>0</v>
      </c>
      <c r="AI17" s="573">
        <f t="shared" si="3"/>
        <v>0</v>
      </c>
      <c r="AJ17" s="573">
        <f t="shared" si="3"/>
        <v>0</v>
      </c>
      <c r="AK17" s="574">
        <f t="shared" si="3"/>
        <v>0</v>
      </c>
      <c r="AL17" s="574">
        <f t="shared" si="3"/>
        <v>0</v>
      </c>
      <c r="AM17" s="574">
        <f t="shared" si="3"/>
        <v>0</v>
      </c>
      <c r="AN17" s="574">
        <f t="shared" si="3"/>
        <v>0</v>
      </c>
    </row>
    <row r="18" spans="1:40" ht="14.95" thickBot="1" x14ac:dyDescent="0.3">
      <c r="A18" s="438"/>
      <c r="B18" s="439"/>
      <c r="C18" s="1037" t="s">
        <v>163</v>
      </c>
      <c r="D18" s="1091"/>
      <c r="E18" s="1092"/>
      <c r="F18" s="446">
        <f>F11</f>
        <v>21</v>
      </c>
      <c r="G18" s="446">
        <f>G11</f>
        <v>41</v>
      </c>
      <c r="H18" s="446" t="s">
        <v>108</v>
      </c>
      <c r="I18" s="446" t="s">
        <v>108</v>
      </c>
      <c r="J18" s="446">
        <f t="shared" ref="J18:O18" si="4">J11</f>
        <v>3</v>
      </c>
      <c r="K18" s="446">
        <f t="shared" si="4"/>
        <v>3</v>
      </c>
      <c r="L18" s="446">
        <f t="shared" si="4"/>
        <v>0</v>
      </c>
      <c r="M18" s="446">
        <f t="shared" si="4"/>
        <v>0</v>
      </c>
      <c r="N18" s="446">
        <f t="shared" si="4"/>
        <v>1</v>
      </c>
      <c r="O18" s="446">
        <f t="shared" si="4"/>
        <v>0</v>
      </c>
      <c r="P18" s="446" t="s">
        <v>108</v>
      </c>
      <c r="Q18" s="446" t="s">
        <v>108</v>
      </c>
      <c r="R18" s="446">
        <f>R11</f>
        <v>6</v>
      </c>
      <c r="S18" s="447"/>
      <c r="T18" s="447"/>
      <c r="U18" s="447"/>
      <c r="V18" s="447"/>
      <c r="W18" s="448"/>
      <c r="X18" s="461" t="s">
        <v>163</v>
      </c>
      <c r="Y18" s="446">
        <f t="shared" ref="Y18:AN18" si="5">Y11</f>
        <v>1</v>
      </c>
      <c r="Z18" s="446">
        <f t="shared" si="5"/>
        <v>0</v>
      </c>
      <c r="AA18" s="446">
        <f t="shared" si="5"/>
        <v>0</v>
      </c>
      <c r="AB18" s="446">
        <f t="shared" si="5"/>
        <v>1</v>
      </c>
      <c r="AC18" s="450">
        <f t="shared" si="5"/>
        <v>1</v>
      </c>
      <c r="AD18" s="450">
        <f t="shared" si="5"/>
        <v>0</v>
      </c>
      <c r="AE18" s="450">
        <f t="shared" si="5"/>
        <v>0</v>
      </c>
      <c r="AF18" s="450">
        <f t="shared" si="5"/>
        <v>1</v>
      </c>
      <c r="AG18" s="451">
        <f t="shared" si="5"/>
        <v>0</v>
      </c>
      <c r="AH18" s="451">
        <f t="shared" si="5"/>
        <v>0</v>
      </c>
      <c r="AI18" s="451">
        <f t="shared" si="5"/>
        <v>0</v>
      </c>
      <c r="AJ18" s="451">
        <f t="shared" si="5"/>
        <v>0</v>
      </c>
      <c r="AK18" s="452">
        <f t="shared" si="5"/>
        <v>0</v>
      </c>
      <c r="AL18" s="452">
        <f t="shared" si="5"/>
        <v>0</v>
      </c>
      <c r="AM18" s="452">
        <f t="shared" si="5"/>
        <v>0</v>
      </c>
      <c r="AN18" s="452">
        <f t="shared" si="5"/>
        <v>0</v>
      </c>
    </row>
    <row r="19" spans="1:40" ht="14.95" thickBot="1" x14ac:dyDescent="0.3">
      <c r="A19" s="438"/>
      <c r="B19" s="439"/>
      <c r="C19" s="1040" t="s">
        <v>611</v>
      </c>
      <c r="D19" s="1041"/>
      <c r="E19" s="1042"/>
      <c r="F19" s="685">
        <f t="shared" ref="F19:R19" si="6">SUM(F12:F15)</f>
        <v>60</v>
      </c>
      <c r="G19" s="685">
        <f t="shared" si="6"/>
        <v>140</v>
      </c>
      <c r="H19" s="685">
        <f t="shared" si="6"/>
        <v>0</v>
      </c>
      <c r="I19" s="685">
        <f t="shared" si="6"/>
        <v>0</v>
      </c>
      <c r="J19" s="685">
        <f t="shared" si="6"/>
        <v>6</v>
      </c>
      <c r="K19" s="685">
        <f t="shared" si="6"/>
        <v>6</v>
      </c>
      <c r="L19" s="685">
        <f t="shared" si="6"/>
        <v>0</v>
      </c>
      <c r="M19" s="685">
        <f t="shared" si="6"/>
        <v>6</v>
      </c>
      <c r="N19" s="685">
        <f t="shared" si="6"/>
        <v>1</v>
      </c>
      <c r="O19" s="685">
        <f t="shared" si="6"/>
        <v>1</v>
      </c>
      <c r="P19" s="685">
        <f t="shared" si="6"/>
        <v>4</v>
      </c>
      <c r="Q19" s="685">
        <f t="shared" si="6"/>
        <v>1</v>
      </c>
      <c r="R19" s="685">
        <f t="shared" si="6"/>
        <v>22</v>
      </c>
      <c r="S19" s="686"/>
      <c r="T19" s="686"/>
      <c r="U19" s="686"/>
      <c r="V19" s="686"/>
      <c r="W19" s="687"/>
      <c r="X19" s="688" t="s">
        <v>611</v>
      </c>
      <c r="Y19" s="689">
        <f t="shared" ref="Y19:AN19" si="7">SUM(Y12:Y15)</f>
        <v>4</v>
      </c>
      <c r="Z19" s="690">
        <f t="shared" si="7"/>
        <v>1</v>
      </c>
      <c r="AA19" s="685">
        <f t="shared" si="7"/>
        <v>0</v>
      </c>
      <c r="AB19" s="685">
        <f t="shared" si="7"/>
        <v>3</v>
      </c>
      <c r="AC19" s="691">
        <f t="shared" si="7"/>
        <v>0</v>
      </c>
      <c r="AD19" s="691">
        <f t="shared" si="7"/>
        <v>0</v>
      </c>
      <c r="AE19" s="691">
        <f t="shared" si="7"/>
        <v>0</v>
      </c>
      <c r="AF19" s="691">
        <f t="shared" si="7"/>
        <v>0</v>
      </c>
      <c r="AG19" s="692">
        <f t="shared" si="7"/>
        <v>0</v>
      </c>
      <c r="AH19" s="692">
        <f t="shared" si="7"/>
        <v>0</v>
      </c>
      <c r="AI19" s="692">
        <f t="shared" si="7"/>
        <v>0</v>
      </c>
      <c r="AJ19" s="692">
        <f t="shared" si="7"/>
        <v>0</v>
      </c>
      <c r="AK19" s="693">
        <f t="shared" si="7"/>
        <v>4</v>
      </c>
      <c r="AL19" s="693">
        <f t="shared" si="7"/>
        <v>1</v>
      </c>
      <c r="AM19" s="693">
        <f t="shared" si="7"/>
        <v>0</v>
      </c>
      <c r="AN19" s="693">
        <f t="shared" si="7"/>
        <v>3</v>
      </c>
    </row>
    <row r="20" spans="1:40" ht="14.95" thickBot="1" x14ac:dyDescent="0.3">
      <c r="A20" s="438"/>
      <c r="B20" s="439"/>
      <c r="C20" s="1040" t="s">
        <v>612</v>
      </c>
      <c r="D20" s="1041"/>
      <c r="E20" s="1042"/>
      <c r="F20" s="694" t="s">
        <v>108</v>
      </c>
      <c r="G20" s="685" t="s">
        <v>108</v>
      </c>
      <c r="H20" s="685" t="s">
        <v>108</v>
      </c>
      <c r="I20" s="685" t="s">
        <v>108</v>
      </c>
      <c r="J20" s="685" t="s">
        <v>108</v>
      </c>
      <c r="K20" s="685" t="s">
        <v>108</v>
      </c>
      <c r="L20" s="685" t="s">
        <v>108</v>
      </c>
      <c r="M20" s="685" t="s">
        <v>108</v>
      </c>
      <c r="N20" s="685" t="s">
        <v>108</v>
      </c>
      <c r="O20" s="685" t="s">
        <v>108</v>
      </c>
      <c r="P20" s="685" t="s">
        <v>108</v>
      </c>
      <c r="Q20" s="685" t="s">
        <v>108</v>
      </c>
      <c r="R20" s="685" t="s">
        <v>108</v>
      </c>
      <c r="S20" s="686"/>
      <c r="T20" s="686"/>
      <c r="U20" s="686"/>
      <c r="V20" s="686"/>
      <c r="W20" s="687"/>
      <c r="X20" s="688" t="s">
        <v>612</v>
      </c>
      <c r="Y20" s="689" t="s">
        <v>108</v>
      </c>
      <c r="Z20" s="690" t="s">
        <v>108</v>
      </c>
      <c r="AA20" s="685" t="s">
        <v>108</v>
      </c>
      <c r="AB20" s="685" t="s">
        <v>108</v>
      </c>
      <c r="AC20" s="691" t="s">
        <v>108</v>
      </c>
      <c r="AD20" s="691" t="s">
        <v>108</v>
      </c>
      <c r="AE20" s="691" t="s">
        <v>108</v>
      </c>
      <c r="AF20" s="691" t="s">
        <v>108</v>
      </c>
      <c r="AG20" s="692" t="s">
        <v>108</v>
      </c>
      <c r="AH20" s="692" t="s">
        <v>108</v>
      </c>
      <c r="AI20" s="692" t="s">
        <v>108</v>
      </c>
      <c r="AJ20" s="692" t="s">
        <v>108</v>
      </c>
      <c r="AK20" s="693" t="s">
        <v>108</v>
      </c>
      <c r="AL20" s="693" t="s">
        <v>108</v>
      </c>
      <c r="AM20" s="693" t="s">
        <v>108</v>
      </c>
      <c r="AN20" s="693" t="s">
        <v>108</v>
      </c>
    </row>
    <row r="21" spans="1:40" ht="14.95" customHeight="1" thickBot="1" x14ac:dyDescent="0.3">
      <c r="A21" s="438"/>
      <c r="B21" s="439"/>
      <c r="C21" s="1040" t="s">
        <v>613</v>
      </c>
      <c r="D21" s="1041"/>
      <c r="E21" s="1042"/>
      <c r="F21" s="685">
        <f>SUM(F19:F20)</f>
        <v>60</v>
      </c>
      <c r="G21" s="685">
        <f t="shared" ref="G21:R21" si="8">SUM(G19:G20)</f>
        <v>140</v>
      </c>
      <c r="H21" s="685">
        <f t="shared" si="8"/>
        <v>0</v>
      </c>
      <c r="I21" s="685">
        <f t="shared" si="8"/>
        <v>0</v>
      </c>
      <c r="J21" s="685">
        <f t="shared" si="8"/>
        <v>6</v>
      </c>
      <c r="K21" s="685">
        <f t="shared" si="8"/>
        <v>6</v>
      </c>
      <c r="L21" s="685">
        <f t="shared" si="8"/>
        <v>0</v>
      </c>
      <c r="M21" s="685">
        <f t="shared" si="8"/>
        <v>6</v>
      </c>
      <c r="N21" s="685">
        <f t="shared" si="8"/>
        <v>1</v>
      </c>
      <c r="O21" s="685">
        <f t="shared" si="8"/>
        <v>1</v>
      </c>
      <c r="P21" s="685">
        <f t="shared" si="8"/>
        <v>4</v>
      </c>
      <c r="Q21" s="685">
        <f t="shared" si="8"/>
        <v>1</v>
      </c>
      <c r="R21" s="685">
        <f t="shared" si="8"/>
        <v>22</v>
      </c>
      <c r="S21" s="686"/>
      <c r="T21" s="686"/>
      <c r="U21" s="686"/>
      <c r="V21" s="686"/>
      <c r="W21" s="687"/>
      <c r="X21" s="688" t="s">
        <v>613</v>
      </c>
      <c r="Y21" s="689">
        <f t="shared" ref="Y21:AN21" si="9">SUM(Y19:Y20)</f>
        <v>4</v>
      </c>
      <c r="Z21" s="690">
        <f t="shared" si="9"/>
        <v>1</v>
      </c>
      <c r="AA21" s="685">
        <f t="shared" si="9"/>
        <v>0</v>
      </c>
      <c r="AB21" s="685">
        <f t="shared" si="9"/>
        <v>3</v>
      </c>
      <c r="AC21" s="691">
        <f t="shared" si="9"/>
        <v>0</v>
      </c>
      <c r="AD21" s="691">
        <f t="shared" si="9"/>
        <v>0</v>
      </c>
      <c r="AE21" s="691">
        <f t="shared" si="9"/>
        <v>0</v>
      </c>
      <c r="AF21" s="691">
        <f t="shared" si="9"/>
        <v>0</v>
      </c>
      <c r="AG21" s="692">
        <f t="shared" si="9"/>
        <v>0</v>
      </c>
      <c r="AH21" s="692">
        <f t="shared" si="9"/>
        <v>0</v>
      </c>
      <c r="AI21" s="692">
        <f t="shared" si="9"/>
        <v>0</v>
      </c>
      <c r="AJ21" s="692">
        <f t="shared" si="9"/>
        <v>0</v>
      </c>
      <c r="AK21" s="693">
        <f t="shared" si="9"/>
        <v>4</v>
      </c>
      <c r="AL21" s="693">
        <f t="shared" si="9"/>
        <v>1</v>
      </c>
      <c r="AM21" s="693">
        <f t="shared" si="9"/>
        <v>0</v>
      </c>
      <c r="AN21" s="693">
        <f t="shared" si="9"/>
        <v>3</v>
      </c>
    </row>
    <row r="22" spans="1:40" ht="14.95" thickBot="1" x14ac:dyDescent="0.3">
      <c r="A22" s="438"/>
      <c r="B22" s="439"/>
      <c r="C22" s="1034" t="s">
        <v>112</v>
      </c>
      <c r="D22" s="1035"/>
      <c r="E22" s="1036"/>
      <c r="F22" s="453">
        <f t="shared" ref="F22:R22" si="10">SUM(F3:F15)</f>
        <v>309</v>
      </c>
      <c r="G22" s="453">
        <f t="shared" si="10"/>
        <v>354</v>
      </c>
      <c r="H22" s="453">
        <f t="shared" si="10"/>
        <v>4</v>
      </c>
      <c r="I22" s="453">
        <f t="shared" si="10"/>
        <v>1</v>
      </c>
      <c r="J22" s="453">
        <f t="shared" si="10"/>
        <v>39</v>
      </c>
      <c r="K22" s="453">
        <f t="shared" si="10"/>
        <v>30</v>
      </c>
      <c r="L22" s="453">
        <f t="shared" si="10"/>
        <v>0</v>
      </c>
      <c r="M22" s="453">
        <f t="shared" si="10"/>
        <v>18</v>
      </c>
      <c r="N22" s="453">
        <f t="shared" si="10"/>
        <v>7</v>
      </c>
      <c r="O22" s="453">
        <f t="shared" si="10"/>
        <v>3</v>
      </c>
      <c r="P22" s="453">
        <f t="shared" si="10"/>
        <v>7</v>
      </c>
      <c r="Q22" s="453">
        <f t="shared" si="10"/>
        <v>3</v>
      </c>
      <c r="R22" s="453">
        <f t="shared" si="10"/>
        <v>53</v>
      </c>
      <c r="S22" s="454"/>
      <c r="T22" s="454"/>
      <c r="U22" s="454"/>
      <c r="V22" s="454"/>
      <c r="W22" s="455"/>
      <c r="X22" s="462" t="s">
        <v>112</v>
      </c>
      <c r="Y22" s="453">
        <f t="shared" ref="Y22:AN22" si="11">SUM(Y3:Y15)</f>
        <v>13</v>
      </c>
      <c r="Z22" s="453">
        <f t="shared" si="11"/>
        <v>7</v>
      </c>
      <c r="AA22" s="453">
        <f t="shared" si="11"/>
        <v>0</v>
      </c>
      <c r="AB22" s="453">
        <f t="shared" si="11"/>
        <v>6</v>
      </c>
      <c r="AC22" s="456">
        <f t="shared" si="11"/>
        <v>7</v>
      </c>
      <c r="AD22" s="456">
        <f t="shared" si="11"/>
        <v>5</v>
      </c>
      <c r="AE22" s="456">
        <f t="shared" si="11"/>
        <v>0</v>
      </c>
      <c r="AF22" s="456">
        <f t="shared" si="11"/>
        <v>2</v>
      </c>
      <c r="AG22" s="457">
        <f t="shared" si="11"/>
        <v>2</v>
      </c>
      <c r="AH22" s="457">
        <f t="shared" si="11"/>
        <v>1</v>
      </c>
      <c r="AI22" s="457">
        <f t="shared" si="11"/>
        <v>0</v>
      </c>
      <c r="AJ22" s="457">
        <f t="shared" si="11"/>
        <v>1</v>
      </c>
      <c r="AK22" s="458">
        <f t="shared" si="11"/>
        <v>4</v>
      </c>
      <c r="AL22" s="458">
        <f t="shared" si="11"/>
        <v>1</v>
      </c>
      <c r="AM22" s="458">
        <f t="shared" si="11"/>
        <v>0</v>
      </c>
      <c r="AN22" s="458">
        <f t="shared" si="11"/>
        <v>3</v>
      </c>
    </row>
    <row r="23" spans="1:40" x14ac:dyDescent="0.25">
      <c r="A23" s="1067" t="s">
        <v>372</v>
      </c>
      <c r="B23" s="1067"/>
      <c r="C23" s="1067"/>
      <c r="D23" s="1067"/>
      <c r="E23" s="1067"/>
      <c r="F23" s="1067"/>
      <c r="G23" s="1067"/>
      <c r="H23" s="1067"/>
      <c r="I23" s="1067"/>
      <c r="J23" s="1067"/>
      <c r="K23" s="1067"/>
      <c r="L23" s="1067"/>
      <c r="M23" s="1067"/>
      <c r="N23" s="1067"/>
      <c r="O23" s="1067"/>
      <c r="P23" s="1067"/>
      <c r="Q23" s="1067"/>
      <c r="R23" s="1067"/>
      <c r="S23" s="1067"/>
      <c r="T23" s="1067"/>
      <c r="U23" s="1067"/>
      <c r="V23" s="1067"/>
      <c r="W23" s="1067"/>
      <c r="X23" s="1067"/>
      <c r="Y23" s="1067"/>
      <c r="Z23" s="1067"/>
      <c r="AA23" s="1067"/>
      <c r="AB23" s="1067"/>
      <c r="AC23" s="1067"/>
      <c r="AD23" s="1067"/>
      <c r="AE23" s="1067"/>
      <c r="AF23" s="1067"/>
      <c r="AG23" s="1067"/>
      <c r="AH23" s="1067"/>
      <c r="AI23" s="1067"/>
      <c r="AJ23" s="1067"/>
      <c r="AK23" s="1067"/>
      <c r="AL23" s="1067"/>
      <c r="AM23" s="1067"/>
      <c r="AN23" s="1067"/>
    </row>
    <row r="24" spans="1:40" x14ac:dyDescent="0.25">
      <c r="A24" s="899" t="s">
        <v>704</v>
      </c>
      <c r="F24" s="14"/>
      <c r="G24" s="14"/>
      <c r="H24" s="13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40" x14ac:dyDescent="0.25">
      <c r="A25" s="899" t="s">
        <v>708</v>
      </c>
      <c r="F25" s="14"/>
      <c r="G25" s="14"/>
      <c r="H25" s="13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40" x14ac:dyDescent="0.25">
      <c r="A26" s="899" t="s">
        <v>707</v>
      </c>
      <c r="F26" s="14"/>
      <c r="G26" s="14"/>
      <c r="H26" s="13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40" x14ac:dyDescent="0.25">
      <c r="A27" s="908" t="s">
        <v>755</v>
      </c>
      <c r="F27" s="14"/>
      <c r="G27" s="14"/>
      <c r="H27" s="13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40" x14ac:dyDescent="0.25">
      <c r="A28" s="908" t="s">
        <v>756</v>
      </c>
      <c r="F28" s="14"/>
      <c r="G28" s="14"/>
      <c r="H28" s="13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40" x14ac:dyDescent="0.25">
      <c r="A29" s="899" t="s">
        <v>703</v>
      </c>
      <c r="F29" s="14"/>
      <c r="G29" s="14"/>
      <c r="H29" s="13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1:40" x14ac:dyDescent="0.25">
      <c r="A30" s="159"/>
      <c r="B30" t="s">
        <v>44</v>
      </c>
    </row>
    <row r="31" spans="1:40" x14ac:dyDescent="0.25">
      <c r="A31" s="157"/>
      <c r="B31" t="s">
        <v>42</v>
      </c>
    </row>
    <row r="32" spans="1:40" x14ac:dyDescent="0.25">
      <c r="A32" s="158"/>
      <c r="B32" t="s">
        <v>43</v>
      </c>
    </row>
    <row r="33" spans="1:1" x14ac:dyDescent="0.25">
      <c r="A33" s="15" t="s">
        <v>28</v>
      </c>
    </row>
  </sheetData>
  <mergeCells count="18">
    <mergeCell ref="A23:AN23"/>
    <mergeCell ref="C16:E16"/>
    <mergeCell ref="C22:E22"/>
    <mergeCell ref="C18:E18"/>
    <mergeCell ref="C17:E17"/>
    <mergeCell ref="C19:E19"/>
    <mergeCell ref="C20:E20"/>
    <mergeCell ref="C21:E21"/>
    <mergeCell ref="A1:C1"/>
    <mergeCell ref="E1:G1"/>
    <mergeCell ref="H1:I1"/>
    <mergeCell ref="J1:M1"/>
    <mergeCell ref="N1:O1"/>
    <mergeCell ref="Y1:AB1"/>
    <mergeCell ref="AC1:AF1"/>
    <mergeCell ref="AG1:AJ1"/>
    <mergeCell ref="AK1:AN1"/>
    <mergeCell ref="P1:R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T34"/>
  <sheetViews>
    <sheetView workbookViewId="0">
      <selection activeCell="U18" sqref="U18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5" bestFit="1" customWidth="1"/>
    <col min="5" max="18" width="3.75" customWidth="1"/>
    <col min="19" max="20" width="6.25" customWidth="1"/>
    <col min="21" max="21" width="30.5" customWidth="1"/>
    <col min="22" max="22" width="20.125" customWidth="1"/>
    <col min="23" max="23" width="19.125" customWidth="1"/>
    <col min="24" max="24" width="27.5" customWidth="1"/>
    <col min="25" max="28" width="4.25" customWidth="1"/>
    <col min="29" max="40" width="3.7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1224" t="s">
        <v>176</v>
      </c>
      <c r="B1" s="1225"/>
      <c r="C1" s="1225"/>
      <c r="D1" s="166"/>
      <c r="E1" s="1226" t="s">
        <v>24</v>
      </c>
      <c r="F1" s="1227"/>
      <c r="G1" s="1228"/>
      <c r="H1" s="1226" t="s">
        <v>23</v>
      </c>
      <c r="I1" s="1228"/>
      <c r="J1" s="1221" t="s">
        <v>6</v>
      </c>
      <c r="K1" s="1222"/>
      <c r="L1" s="1222"/>
      <c r="M1" s="1223"/>
      <c r="N1" s="1221" t="s">
        <v>7</v>
      </c>
      <c r="O1" s="1223"/>
      <c r="P1" s="1221" t="s">
        <v>25</v>
      </c>
      <c r="Q1" s="1222"/>
      <c r="R1" s="1223"/>
      <c r="S1" s="6" t="s">
        <v>8</v>
      </c>
      <c r="T1" s="6" t="s">
        <v>9</v>
      </c>
      <c r="U1" s="1" t="s">
        <v>10</v>
      </c>
      <c r="V1" s="6" t="s">
        <v>11</v>
      </c>
      <c r="W1" s="52" t="s">
        <v>26</v>
      </c>
      <c r="X1" s="167" t="s">
        <v>27</v>
      </c>
      <c r="Y1" s="1229" t="s">
        <v>20</v>
      </c>
      <c r="Z1" s="1044"/>
      <c r="AA1" s="1044"/>
      <c r="AB1" s="1045"/>
      <c r="AC1" s="1229" t="s">
        <v>61</v>
      </c>
      <c r="AD1" s="1044"/>
      <c r="AE1" s="1044"/>
      <c r="AF1" s="1045"/>
      <c r="AG1" s="1229" t="s">
        <v>62</v>
      </c>
      <c r="AH1" s="1044"/>
      <c r="AI1" s="1044"/>
      <c r="AJ1" s="1045"/>
      <c r="AK1" s="1229" t="s">
        <v>63</v>
      </c>
      <c r="AL1" s="1044"/>
      <c r="AM1" s="1044"/>
      <c r="AN1" s="1045"/>
      <c r="AP1" s="898" t="s">
        <v>717</v>
      </c>
      <c r="AQ1" s="868"/>
      <c r="AR1" s="868"/>
      <c r="AS1" s="898" t="s">
        <v>717</v>
      </c>
    </row>
    <row r="2" spans="1:46" ht="14.95" customHeight="1" thickBot="1" x14ac:dyDescent="0.3">
      <c r="A2" s="7" t="s">
        <v>19</v>
      </c>
      <c r="B2" s="8" t="s">
        <v>18</v>
      </c>
      <c r="C2" s="9" t="s">
        <v>17</v>
      </c>
      <c r="D2" s="10" t="s">
        <v>41</v>
      </c>
      <c r="E2" s="10" t="s">
        <v>16</v>
      </c>
      <c r="F2" s="10" t="s">
        <v>4</v>
      </c>
      <c r="G2" s="10" t="s">
        <v>5</v>
      </c>
      <c r="H2" s="11" t="s">
        <v>12</v>
      </c>
      <c r="I2" s="11" t="s">
        <v>3</v>
      </c>
      <c r="J2" s="11" t="s">
        <v>12</v>
      </c>
      <c r="K2" s="11" t="s">
        <v>13</v>
      </c>
      <c r="L2" s="11" t="s">
        <v>2</v>
      </c>
      <c r="M2" s="11" t="s">
        <v>14</v>
      </c>
      <c r="N2" s="11" t="s">
        <v>15</v>
      </c>
      <c r="O2" s="11" t="s">
        <v>16</v>
      </c>
      <c r="P2" s="11" t="s">
        <v>21</v>
      </c>
      <c r="Q2" s="11" t="s">
        <v>22</v>
      </c>
      <c r="R2" s="11" t="s">
        <v>12</v>
      </c>
      <c r="S2" s="2"/>
      <c r="T2" s="3"/>
      <c r="U2" s="4"/>
      <c r="V2" s="2"/>
      <c r="W2" s="53"/>
      <c r="X2" s="5"/>
      <c r="Y2" s="520" t="s">
        <v>0</v>
      </c>
      <c r="Z2" s="520" t="s">
        <v>1</v>
      </c>
      <c r="AA2" s="520" t="s">
        <v>2</v>
      </c>
      <c r="AB2" s="520" t="s">
        <v>3</v>
      </c>
      <c r="AC2" s="520" t="s">
        <v>0</v>
      </c>
      <c r="AD2" s="520" t="s">
        <v>1</v>
      </c>
      <c r="AE2" s="520" t="s">
        <v>2</v>
      </c>
      <c r="AF2" s="520" t="s">
        <v>3</v>
      </c>
      <c r="AG2" s="520" t="s">
        <v>0</v>
      </c>
      <c r="AH2" s="520" t="s">
        <v>1</v>
      </c>
      <c r="AI2" s="520" t="s">
        <v>2</v>
      </c>
      <c r="AJ2" s="520" t="s">
        <v>3</v>
      </c>
      <c r="AK2" s="520" t="s">
        <v>0</v>
      </c>
      <c r="AL2" s="520" t="s">
        <v>1</v>
      </c>
      <c r="AM2" s="520" t="s">
        <v>2</v>
      </c>
      <c r="AN2" s="520" t="s">
        <v>3</v>
      </c>
      <c r="AP2" s="592" t="s">
        <v>112</v>
      </c>
      <c r="AQ2" s="253"/>
      <c r="AS2" s="672" t="s">
        <v>610</v>
      </c>
      <c r="AT2" s="253"/>
    </row>
    <row r="3" spans="1:46" ht="14.95" customHeight="1" thickBot="1" x14ac:dyDescent="0.3">
      <c r="A3" s="187">
        <v>43497</v>
      </c>
      <c r="B3" s="178" t="s">
        <v>46</v>
      </c>
      <c r="C3" s="178" t="s">
        <v>34</v>
      </c>
      <c r="D3" s="178" t="s">
        <v>121</v>
      </c>
      <c r="E3" s="179" t="s">
        <v>1</v>
      </c>
      <c r="F3" s="179">
        <v>24</v>
      </c>
      <c r="G3" s="179">
        <v>19</v>
      </c>
      <c r="H3" s="179">
        <v>0</v>
      </c>
      <c r="I3" s="179">
        <v>0</v>
      </c>
      <c r="J3" s="179">
        <v>3</v>
      </c>
      <c r="K3" s="179">
        <v>3</v>
      </c>
      <c r="L3" s="179">
        <v>0</v>
      </c>
      <c r="M3" s="179">
        <v>1</v>
      </c>
      <c r="N3" s="179">
        <v>0</v>
      </c>
      <c r="O3" s="179">
        <v>0</v>
      </c>
      <c r="P3" s="179">
        <v>0</v>
      </c>
      <c r="Q3" s="179">
        <v>1</v>
      </c>
      <c r="R3" s="179">
        <v>2</v>
      </c>
      <c r="S3" s="180">
        <v>60000</v>
      </c>
      <c r="T3" s="488" t="s">
        <v>177</v>
      </c>
      <c r="U3" s="181" t="s">
        <v>132</v>
      </c>
      <c r="V3" s="180" t="s">
        <v>131</v>
      </c>
      <c r="W3" s="182" t="s">
        <v>129</v>
      </c>
      <c r="X3" s="183" t="s">
        <v>146</v>
      </c>
      <c r="Y3" s="184">
        <v>1</v>
      </c>
      <c r="Z3" s="184">
        <v>1</v>
      </c>
      <c r="AA3" s="184">
        <v>0</v>
      </c>
      <c r="AB3" s="185">
        <v>0</v>
      </c>
      <c r="AC3" s="184">
        <v>0</v>
      </c>
      <c r="AD3" s="184">
        <v>0</v>
      </c>
      <c r="AE3" s="184">
        <v>0</v>
      </c>
      <c r="AF3" s="185">
        <v>0</v>
      </c>
      <c r="AG3" s="184">
        <v>1</v>
      </c>
      <c r="AH3" s="184">
        <v>1</v>
      </c>
      <c r="AI3" s="184">
        <v>0</v>
      </c>
      <c r="AJ3" s="185">
        <v>0</v>
      </c>
      <c r="AK3" s="184">
        <v>0</v>
      </c>
      <c r="AL3" s="184">
        <v>0</v>
      </c>
      <c r="AM3" s="184">
        <v>0</v>
      </c>
      <c r="AN3" s="185">
        <v>0</v>
      </c>
      <c r="AP3" s="849" t="s">
        <v>627</v>
      </c>
      <c r="AQ3" s="850">
        <f>Walesalltestshistplayed</f>
        <v>733</v>
      </c>
      <c r="AS3" s="849" t="s">
        <v>627</v>
      </c>
      <c r="AT3" s="850">
        <f>WalesRWChistplayed</f>
        <v>44</v>
      </c>
    </row>
    <row r="4" spans="1:46" ht="14.95" customHeight="1" thickBot="1" x14ac:dyDescent="0.35">
      <c r="A4" s="187">
        <v>43505</v>
      </c>
      <c r="B4" s="178" t="s">
        <v>46</v>
      </c>
      <c r="C4" s="178" t="s">
        <v>33</v>
      </c>
      <c r="D4" s="178" t="s">
        <v>122</v>
      </c>
      <c r="E4" s="179" t="s">
        <v>1</v>
      </c>
      <c r="F4" s="179">
        <v>26</v>
      </c>
      <c r="G4" s="179">
        <v>15</v>
      </c>
      <c r="H4" s="179">
        <v>0</v>
      </c>
      <c r="I4" s="179">
        <v>0</v>
      </c>
      <c r="J4" s="179">
        <v>2</v>
      </c>
      <c r="K4" s="179">
        <v>2</v>
      </c>
      <c r="L4" s="179">
        <v>0</v>
      </c>
      <c r="M4" s="179">
        <v>4</v>
      </c>
      <c r="N4" s="179">
        <v>0</v>
      </c>
      <c r="O4" s="179">
        <v>0</v>
      </c>
      <c r="P4" s="179">
        <v>0</v>
      </c>
      <c r="Q4" s="179">
        <v>0</v>
      </c>
      <c r="R4" s="179">
        <v>2</v>
      </c>
      <c r="S4" s="180">
        <v>38700</v>
      </c>
      <c r="T4" s="396" t="s">
        <v>216</v>
      </c>
      <c r="U4" s="181" t="s">
        <v>136</v>
      </c>
      <c r="V4" s="180" t="s">
        <v>215</v>
      </c>
      <c r="W4" s="182" t="s">
        <v>132</v>
      </c>
      <c r="X4" s="183" t="s">
        <v>149</v>
      </c>
      <c r="Y4" s="184">
        <v>1</v>
      </c>
      <c r="Z4" s="184">
        <v>1</v>
      </c>
      <c r="AA4" s="184">
        <v>0</v>
      </c>
      <c r="AB4" s="185">
        <v>0</v>
      </c>
      <c r="AC4" s="184">
        <v>0</v>
      </c>
      <c r="AD4" s="184">
        <v>0</v>
      </c>
      <c r="AE4" s="184">
        <v>0</v>
      </c>
      <c r="AF4" s="185">
        <v>0</v>
      </c>
      <c r="AG4" s="184">
        <v>1</v>
      </c>
      <c r="AH4" s="184">
        <v>1</v>
      </c>
      <c r="AI4" s="184">
        <v>0</v>
      </c>
      <c r="AJ4" s="185">
        <v>0</v>
      </c>
      <c r="AK4" s="184">
        <v>0</v>
      </c>
      <c r="AL4" s="184">
        <v>0</v>
      </c>
      <c r="AM4" s="184">
        <v>0</v>
      </c>
      <c r="AN4" s="185">
        <v>0</v>
      </c>
      <c r="AP4" s="851" t="s">
        <v>628</v>
      </c>
      <c r="AQ4" s="852">
        <f>Walesalltestshistwon</f>
        <v>385</v>
      </c>
      <c r="AS4" s="851" t="s">
        <v>628</v>
      </c>
      <c r="AT4" s="852">
        <f>WalesRWChistwon</f>
        <v>26</v>
      </c>
    </row>
    <row r="5" spans="1:46" ht="14.95" customHeight="1" thickBot="1" x14ac:dyDescent="0.3">
      <c r="A5" s="195">
        <v>43154</v>
      </c>
      <c r="B5" s="196" t="s">
        <v>46</v>
      </c>
      <c r="C5" s="196" t="s">
        <v>30</v>
      </c>
      <c r="D5" s="196" t="s">
        <v>120</v>
      </c>
      <c r="E5" s="197" t="s">
        <v>1</v>
      </c>
      <c r="F5" s="197">
        <v>21</v>
      </c>
      <c r="G5" s="197">
        <v>13</v>
      </c>
      <c r="H5" s="197">
        <v>0</v>
      </c>
      <c r="I5" s="197">
        <v>0</v>
      </c>
      <c r="J5" s="197">
        <v>2</v>
      </c>
      <c r="K5" s="197">
        <v>1</v>
      </c>
      <c r="L5" s="197">
        <v>0</v>
      </c>
      <c r="M5" s="197">
        <v>3</v>
      </c>
      <c r="N5" s="197">
        <v>0</v>
      </c>
      <c r="O5" s="197">
        <v>0</v>
      </c>
      <c r="P5" s="197">
        <v>0</v>
      </c>
      <c r="Q5" s="197">
        <v>0</v>
      </c>
      <c r="R5" s="197">
        <v>1</v>
      </c>
      <c r="S5" s="209">
        <v>74000</v>
      </c>
      <c r="T5" s="222" t="s">
        <v>228</v>
      </c>
      <c r="U5" s="210" t="s">
        <v>229</v>
      </c>
      <c r="V5" s="209" t="s">
        <v>144</v>
      </c>
      <c r="W5" s="198" t="s">
        <v>138</v>
      </c>
      <c r="X5" s="211" t="s">
        <v>212</v>
      </c>
      <c r="Y5" s="212">
        <v>1</v>
      </c>
      <c r="Z5" s="212">
        <v>1</v>
      </c>
      <c r="AA5" s="212">
        <v>0</v>
      </c>
      <c r="AB5" s="213">
        <v>0</v>
      </c>
      <c r="AC5" s="212">
        <v>1</v>
      </c>
      <c r="AD5" s="212">
        <v>1</v>
      </c>
      <c r="AE5" s="212">
        <v>0</v>
      </c>
      <c r="AF5" s="213">
        <v>0</v>
      </c>
      <c r="AG5" s="212">
        <v>0</v>
      </c>
      <c r="AH5" s="212">
        <v>0</v>
      </c>
      <c r="AI5" s="212">
        <v>0</v>
      </c>
      <c r="AJ5" s="213">
        <v>0</v>
      </c>
      <c r="AK5" s="212">
        <v>0</v>
      </c>
      <c r="AL5" s="212">
        <v>0</v>
      </c>
      <c r="AM5" s="212">
        <v>0</v>
      </c>
      <c r="AN5" s="213">
        <v>0</v>
      </c>
      <c r="AP5" s="851" t="s">
        <v>634</v>
      </c>
      <c r="AQ5" s="852">
        <f>Walesalltestshistdrawn</f>
        <v>29</v>
      </c>
      <c r="AS5" s="851" t="s">
        <v>634</v>
      </c>
      <c r="AT5" s="852">
        <f>WalesRWChistdrawn</f>
        <v>0</v>
      </c>
    </row>
    <row r="6" spans="1:46" ht="14.95" customHeight="1" thickBot="1" x14ac:dyDescent="0.35">
      <c r="A6" s="187">
        <v>43533</v>
      </c>
      <c r="B6" s="178" t="s">
        <v>46</v>
      </c>
      <c r="C6" s="178" t="s">
        <v>35</v>
      </c>
      <c r="D6" s="178" t="s">
        <v>125</v>
      </c>
      <c r="E6" s="179" t="s">
        <v>1</v>
      </c>
      <c r="F6" s="179">
        <v>18</v>
      </c>
      <c r="G6" s="179">
        <v>11</v>
      </c>
      <c r="H6" s="179">
        <v>0</v>
      </c>
      <c r="I6" s="179">
        <v>0</v>
      </c>
      <c r="J6" s="179">
        <v>2</v>
      </c>
      <c r="K6" s="179">
        <v>1</v>
      </c>
      <c r="L6" s="179">
        <v>0</v>
      </c>
      <c r="M6" s="179">
        <v>2</v>
      </c>
      <c r="N6" s="179">
        <v>0</v>
      </c>
      <c r="O6" s="179">
        <v>0</v>
      </c>
      <c r="P6" s="179">
        <v>0</v>
      </c>
      <c r="Q6" s="179">
        <v>1</v>
      </c>
      <c r="R6" s="179">
        <v>1</v>
      </c>
      <c r="S6" s="180">
        <v>67000</v>
      </c>
      <c r="T6" s="396" t="s">
        <v>271</v>
      </c>
      <c r="U6" s="181" t="s">
        <v>211</v>
      </c>
      <c r="V6" s="180" t="s">
        <v>270</v>
      </c>
      <c r="W6" s="182" t="s">
        <v>133</v>
      </c>
      <c r="X6" s="183" t="s">
        <v>134</v>
      </c>
      <c r="Y6" s="184">
        <v>1</v>
      </c>
      <c r="Z6" s="184">
        <v>1</v>
      </c>
      <c r="AA6" s="184">
        <v>0</v>
      </c>
      <c r="AB6" s="185">
        <v>0</v>
      </c>
      <c r="AC6" s="184">
        <v>0</v>
      </c>
      <c r="AD6" s="184">
        <v>0</v>
      </c>
      <c r="AE6" s="184">
        <v>0</v>
      </c>
      <c r="AF6" s="185">
        <v>0</v>
      </c>
      <c r="AG6" s="184">
        <v>1</v>
      </c>
      <c r="AH6" s="184">
        <v>1</v>
      </c>
      <c r="AI6" s="184">
        <v>0</v>
      </c>
      <c r="AJ6" s="185">
        <v>0</v>
      </c>
      <c r="AK6" s="184">
        <v>0</v>
      </c>
      <c r="AL6" s="184">
        <v>0</v>
      </c>
      <c r="AM6" s="184">
        <v>0</v>
      </c>
      <c r="AN6" s="185">
        <v>0</v>
      </c>
      <c r="AP6" s="851" t="s">
        <v>629</v>
      </c>
      <c r="AQ6" s="852">
        <f>Walesalltestshistlost</f>
        <v>319</v>
      </c>
      <c r="AS6" s="851" t="s">
        <v>629</v>
      </c>
      <c r="AT6" s="852">
        <f>WalesRWChistlost</f>
        <v>18</v>
      </c>
    </row>
    <row r="7" spans="1:46" ht="14.95" customHeight="1" thickBot="1" x14ac:dyDescent="0.35">
      <c r="A7" s="195">
        <v>43540</v>
      </c>
      <c r="B7" s="196" t="s">
        <v>46</v>
      </c>
      <c r="C7" s="196" t="s">
        <v>39</v>
      </c>
      <c r="D7" s="196" t="s">
        <v>120</v>
      </c>
      <c r="E7" s="197" t="s">
        <v>1</v>
      </c>
      <c r="F7" s="197">
        <v>25</v>
      </c>
      <c r="G7" s="197">
        <v>7</v>
      </c>
      <c r="H7" s="197">
        <v>0</v>
      </c>
      <c r="I7" s="197">
        <v>0</v>
      </c>
      <c r="J7" s="197">
        <v>1</v>
      </c>
      <c r="K7" s="197">
        <v>1</v>
      </c>
      <c r="L7" s="197">
        <v>0</v>
      </c>
      <c r="M7" s="197">
        <v>6</v>
      </c>
      <c r="N7" s="197">
        <v>0</v>
      </c>
      <c r="O7" s="197">
        <v>0</v>
      </c>
      <c r="P7" s="197">
        <v>0</v>
      </c>
      <c r="Q7" s="197">
        <v>0</v>
      </c>
      <c r="R7" s="197">
        <v>1</v>
      </c>
      <c r="S7" s="209">
        <v>74500</v>
      </c>
      <c r="T7" s="346" t="s">
        <v>175</v>
      </c>
      <c r="U7" s="210" t="s">
        <v>278</v>
      </c>
      <c r="V7" s="209" t="s">
        <v>270</v>
      </c>
      <c r="W7" s="198" t="s">
        <v>276</v>
      </c>
      <c r="X7" s="211" t="s">
        <v>233</v>
      </c>
      <c r="Y7" s="212">
        <v>1</v>
      </c>
      <c r="Z7" s="212">
        <v>1</v>
      </c>
      <c r="AA7" s="212">
        <v>0</v>
      </c>
      <c r="AB7" s="213">
        <v>0</v>
      </c>
      <c r="AC7" s="212">
        <v>1</v>
      </c>
      <c r="AD7" s="212">
        <v>1</v>
      </c>
      <c r="AE7" s="212">
        <v>0</v>
      </c>
      <c r="AF7" s="213">
        <v>0</v>
      </c>
      <c r="AG7" s="212">
        <v>0</v>
      </c>
      <c r="AH7" s="212">
        <v>0</v>
      </c>
      <c r="AI7" s="212">
        <v>0</v>
      </c>
      <c r="AJ7" s="213">
        <v>0</v>
      </c>
      <c r="AK7" s="212">
        <v>0</v>
      </c>
      <c r="AL7" s="212">
        <v>0</v>
      </c>
      <c r="AM7" s="212">
        <v>0</v>
      </c>
      <c r="AN7" s="213">
        <v>0</v>
      </c>
      <c r="AP7" s="851" t="s">
        <v>635</v>
      </c>
      <c r="AQ7" s="852">
        <f>Walesalltestshistptsscored</f>
        <v>12666</v>
      </c>
      <c r="AS7" s="851" t="s">
        <v>635</v>
      </c>
      <c r="AT7" s="852">
        <f>WalesRWChistptsscored</f>
        <v>1238</v>
      </c>
    </row>
    <row r="8" spans="1:46" ht="14.95" customHeight="1" thickBot="1" x14ac:dyDescent="0.3">
      <c r="A8" s="187">
        <v>43688</v>
      </c>
      <c r="B8" s="178" t="s">
        <v>45</v>
      </c>
      <c r="C8" s="178" t="s">
        <v>30</v>
      </c>
      <c r="D8" s="178" t="s">
        <v>124</v>
      </c>
      <c r="E8" s="179" t="s">
        <v>3</v>
      </c>
      <c r="F8" s="179">
        <v>19</v>
      </c>
      <c r="G8" s="179">
        <v>33</v>
      </c>
      <c r="H8" s="179" t="s">
        <v>108</v>
      </c>
      <c r="I8" s="179" t="s">
        <v>108</v>
      </c>
      <c r="J8" s="179">
        <v>3</v>
      </c>
      <c r="K8" s="179">
        <v>2</v>
      </c>
      <c r="L8" s="179">
        <v>0</v>
      </c>
      <c r="M8" s="179">
        <v>0</v>
      </c>
      <c r="N8" s="179">
        <v>0</v>
      </c>
      <c r="O8" s="179">
        <v>0</v>
      </c>
      <c r="P8" s="179" t="s">
        <v>108</v>
      </c>
      <c r="Q8" s="179" t="s">
        <v>108</v>
      </c>
      <c r="R8" s="179">
        <v>3</v>
      </c>
      <c r="S8" s="180">
        <v>80944</v>
      </c>
      <c r="T8" s="223" t="s">
        <v>772</v>
      </c>
      <c r="U8" s="181" t="s">
        <v>136</v>
      </c>
      <c r="V8" s="180" t="s">
        <v>771</v>
      </c>
      <c r="W8" s="180" t="s">
        <v>211</v>
      </c>
      <c r="X8" s="180" t="s">
        <v>212</v>
      </c>
      <c r="Y8" s="184">
        <v>1</v>
      </c>
      <c r="Z8" s="184">
        <v>0</v>
      </c>
      <c r="AA8" s="184">
        <v>0</v>
      </c>
      <c r="AB8" s="185">
        <v>1</v>
      </c>
      <c r="AC8" s="184">
        <v>0</v>
      </c>
      <c r="AD8" s="184">
        <v>0</v>
      </c>
      <c r="AE8" s="184">
        <v>0</v>
      </c>
      <c r="AF8" s="185">
        <v>0</v>
      </c>
      <c r="AG8" s="184">
        <v>1</v>
      </c>
      <c r="AH8" s="184">
        <v>0</v>
      </c>
      <c r="AI8" s="184">
        <v>0</v>
      </c>
      <c r="AJ8" s="185">
        <v>1</v>
      </c>
      <c r="AK8" s="184">
        <v>0</v>
      </c>
      <c r="AL8" s="184">
        <v>0</v>
      </c>
      <c r="AM8" s="184">
        <v>0</v>
      </c>
      <c r="AN8" s="185">
        <v>0</v>
      </c>
      <c r="AP8" s="851" t="s">
        <v>636</v>
      </c>
      <c r="AQ8" s="852">
        <f>Walesalltestshistptscon</f>
        <v>11087</v>
      </c>
      <c r="AS8" s="851" t="s">
        <v>636</v>
      </c>
      <c r="AT8" s="852">
        <f>WalesRWChistptscon</f>
        <v>865</v>
      </c>
    </row>
    <row r="9" spans="1:46" ht="14.95" customHeight="1" thickBot="1" x14ac:dyDescent="0.35">
      <c r="A9" s="195">
        <v>43694</v>
      </c>
      <c r="B9" s="196" t="s">
        <v>45</v>
      </c>
      <c r="C9" s="196" t="s">
        <v>30</v>
      </c>
      <c r="D9" s="196" t="s">
        <v>120</v>
      </c>
      <c r="E9" s="197" t="s">
        <v>1</v>
      </c>
      <c r="F9" s="197">
        <v>13</v>
      </c>
      <c r="G9" s="197">
        <v>6</v>
      </c>
      <c r="H9" s="197" t="s">
        <v>108</v>
      </c>
      <c r="I9" s="197" t="s">
        <v>108</v>
      </c>
      <c r="J9" s="197">
        <v>1</v>
      </c>
      <c r="K9" s="197">
        <v>1</v>
      </c>
      <c r="L9" s="197">
        <v>0</v>
      </c>
      <c r="M9" s="197">
        <v>2</v>
      </c>
      <c r="N9" s="197">
        <v>0</v>
      </c>
      <c r="O9" s="197">
        <v>0</v>
      </c>
      <c r="P9" s="197" t="s">
        <v>108</v>
      </c>
      <c r="Q9" s="197" t="s">
        <v>108</v>
      </c>
      <c r="R9" s="197">
        <v>0</v>
      </c>
      <c r="S9" s="209">
        <v>74000</v>
      </c>
      <c r="T9" s="346" t="s">
        <v>311</v>
      </c>
      <c r="U9" s="210" t="s">
        <v>211</v>
      </c>
      <c r="V9" s="209" t="s">
        <v>771</v>
      </c>
      <c r="W9" s="209" t="s">
        <v>136</v>
      </c>
      <c r="X9" s="199" t="s">
        <v>212</v>
      </c>
      <c r="Y9" s="212">
        <v>1</v>
      </c>
      <c r="Z9" s="212">
        <v>1</v>
      </c>
      <c r="AA9" s="212">
        <v>0</v>
      </c>
      <c r="AB9" s="213">
        <v>0</v>
      </c>
      <c r="AC9" s="212">
        <v>1</v>
      </c>
      <c r="AD9" s="212">
        <v>1</v>
      </c>
      <c r="AE9" s="212">
        <v>0</v>
      </c>
      <c r="AF9" s="213">
        <v>0</v>
      </c>
      <c r="AG9" s="212">
        <v>0</v>
      </c>
      <c r="AH9" s="212">
        <v>0</v>
      </c>
      <c r="AI9" s="212">
        <v>0</v>
      </c>
      <c r="AJ9" s="213">
        <v>0</v>
      </c>
      <c r="AK9" s="212">
        <v>0</v>
      </c>
      <c r="AL9" s="212">
        <v>0</v>
      </c>
      <c r="AM9" s="212">
        <v>0</v>
      </c>
      <c r="AN9" s="213">
        <v>0</v>
      </c>
      <c r="AP9" s="851" t="s">
        <v>623</v>
      </c>
      <c r="AQ9" s="852">
        <f>Walesalltestshisttriesscored</f>
        <v>1595</v>
      </c>
      <c r="AS9" s="851" t="s">
        <v>623</v>
      </c>
      <c r="AT9" s="852">
        <f>WalesRWChisttriesscored</f>
        <v>149</v>
      </c>
    </row>
    <row r="10" spans="1:46" ht="14.95" customHeight="1" thickBot="1" x14ac:dyDescent="0.3">
      <c r="A10" s="195">
        <v>43708</v>
      </c>
      <c r="B10" s="196" t="s">
        <v>45</v>
      </c>
      <c r="C10" s="196" t="s">
        <v>39</v>
      </c>
      <c r="D10" s="196" t="s">
        <v>120</v>
      </c>
      <c r="E10" s="197" t="s">
        <v>3</v>
      </c>
      <c r="F10" s="197">
        <v>17</v>
      </c>
      <c r="G10" s="197">
        <v>22</v>
      </c>
      <c r="H10" s="197" t="s">
        <v>108</v>
      </c>
      <c r="I10" s="197" t="s">
        <v>108</v>
      </c>
      <c r="J10" s="197">
        <v>2</v>
      </c>
      <c r="K10" s="197">
        <v>2</v>
      </c>
      <c r="L10" s="197">
        <v>0</v>
      </c>
      <c r="M10" s="197">
        <v>1</v>
      </c>
      <c r="N10" s="197">
        <v>1</v>
      </c>
      <c r="O10" s="197">
        <v>0</v>
      </c>
      <c r="P10" s="197" t="s">
        <v>108</v>
      </c>
      <c r="Q10" s="197" t="s">
        <v>108</v>
      </c>
      <c r="R10" s="197">
        <v>3</v>
      </c>
      <c r="S10" s="209">
        <v>62905</v>
      </c>
      <c r="T10" s="222" t="s">
        <v>813</v>
      </c>
      <c r="U10" s="210" t="s">
        <v>130</v>
      </c>
      <c r="V10" s="209" t="s">
        <v>131</v>
      </c>
      <c r="W10" s="210" t="s">
        <v>138</v>
      </c>
      <c r="X10" s="209" t="s">
        <v>233</v>
      </c>
      <c r="Y10" s="212">
        <v>1</v>
      </c>
      <c r="Z10" s="212">
        <v>0</v>
      </c>
      <c r="AA10" s="212">
        <v>0</v>
      </c>
      <c r="AB10" s="213">
        <v>1</v>
      </c>
      <c r="AC10" s="212">
        <v>1</v>
      </c>
      <c r="AD10" s="212">
        <v>0</v>
      </c>
      <c r="AE10" s="212">
        <v>0</v>
      </c>
      <c r="AF10" s="213">
        <v>1</v>
      </c>
      <c r="AG10" s="212">
        <v>0</v>
      </c>
      <c r="AH10" s="212">
        <v>0</v>
      </c>
      <c r="AI10" s="212">
        <v>0</v>
      </c>
      <c r="AJ10" s="213">
        <v>0</v>
      </c>
      <c r="AK10" s="212">
        <v>0</v>
      </c>
      <c r="AL10" s="212">
        <v>0</v>
      </c>
      <c r="AM10" s="212">
        <v>0</v>
      </c>
      <c r="AN10" s="213">
        <v>0</v>
      </c>
    </row>
    <row r="11" spans="1:46" ht="14.95" customHeight="1" thickBot="1" x14ac:dyDescent="0.35">
      <c r="A11" s="187">
        <v>43715</v>
      </c>
      <c r="B11" s="178" t="s">
        <v>45</v>
      </c>
      <c r="C11" s="178" t="s">
        <v>39</v>
      </c>
      <c r="D11" s="178" t="s">
        <v>123</v>
      </c>
      <c r="E11" s="179" t="s">
        <v>3</v>
      </c>
      <c r="F11" s="179">
        <v>10</v>
      </c>
      <c r="G11" s="179">
        <v>19</v>
      </c>
      <c r="H11" s="179" t="s">
        <v>108</v>
      </c>
      <c r="I11" s="179" t="s">
        <v>108</v>
      </c>
      <c r="J11" s="179">
        <v>1</v>
      </c>
      <c r="K11" s="179">
        <v>1</v>
      </c>
      <c r="L11" s="179">
        <v>0</v>
      </c>
      <c r="M11" s="179">
        <v>1</v>
      </c>
      <c r="N11" s="179">
        <v>1</v>
      </c>
      <c r="O11" s="179">
        <v>0</v>
      </c>
      <c r="P11" s="179" t="s">
        <v>108</v>
      </c>
      <c r="Q11" s="179" t="s">
        <v>108</v>
      </c>
      <c r="R11" s="179">
        <v>3</v>
      </c>
      <c r="S11" s="180">
        <v>46000</v>
      </c>
      <c r="T11" s="464" t="s">
        <v>747</v>
      </c>
      <c r="U11" s="181" t="s">
        <v>136</v>
      </c>
      <c r="V11" s="180" t="s">
        <v>232</v>
      </c>
      <c r="W11" s="182" t="s">
        <v>132</v>
      </c>
      <c r="X11" s="183" t="s">
        <v>133</v>
      </c>
      <c r="Y11" s="184">
        <v>1</v>
      </c>
      <c r="Z11" s="184">
        <v>0</v>
      </c>
      <c r="AA11" s="184">
        <v>0</v>
      </c>
      <c r="AB11" s="185">
        <v>1</v>
      </c>
      <c r="AC11" s="184">
        <v>0</v>
      </c>
      <c r="AD11" s="184">
        <v>0</v>
      </c>
      <c r="AE11" s="184">
        <v>0</v>
      </c>
      <c r="AF11" s="185">
        <v>0</v>
      </c>
      <c r="AG11" s="184">
        <v>1</v>
      </c>
      <c r="AH11" s="184">
        <v>0</v>
      </c>
      <c r="AI11" s="184">
        <v>0</v>
      </c>
      <c r="AJ11" s="185">
        <v>1</v>
      </c>
      <c r="AK11" s="184">
        <v>0</v>
      </c>
      <c r="AL11" s="184">
        <v>0</v>
      </c>
      <c r="AM11" s="184">
        <v>0</v>
      </c>
      <c r="AN11" s="185">
        <v>0</v>
      </c>
    </row>
    <row r="12" spans="1:46" ht="14.95" customHeight="1" thickBot="1" x14ac:dyDescent="0.35">
      <c r="A12" s="188">
        <v>43731</v>
      </c>
      <c r="B12" s="189" t="s">
        <v>158</v>
      </c>
      <c r="C12" s="189" t="s">
        <v>38</v>
      </c>
      <c r="D12" s="189" t="s">
        <v>128</v>
      </c>
      <c r="E12" s="190" t="s">
        <v>1</v>
      </c>
      <c r="F12" s="190">
        <v>43</v>
      </c>
      <c r="G12" s="190">
        <v>14</v>
      </c>
      <c r="H12" s="190">
        <v>1</v>
      </c>
      <c r="I12" s="190">
        <v>0</v>
      </c>
      <c r="J12" s="190">
        <v>6</v>
      </c>
      <c r="K12" s="190">
        <v>5</v>
      </c>
      <c r="L12" s="190">
        <v>0</v>
      </c>
      <c r="M12" s="190">
        <v>1</v>
      </c>
      <c r="N12" s="190">
        <v>0</v>
      </c>
      <c r="O12" s="190">
        <v>0</v>
      </c>
      <c r="P12" s="190">
        <v>0</v>
      </c>
      <c r="Q12" s="190">
        <v>0</v>
      </c>
      <c r="R12" s="190">
        <v>2</v>
      </c>
      <c r="S12" s="203">
        <v>35000</v>
      </c>
      <c r="T12" s="411" t="s">
        <v>882</v>
      </c>
      <c r="U12" s="204" t="s">
        <v>133</v>
      </c>
      <c r="V12" s="203" t="s">
        <v>131</v>
      </c>
      <c r="W12" s="191" t="s">
        <v>276</v>
      </c>
      <c r="X12" s="205" t="s">
        <v>295</v>
      </c>
      <c r="Y12" s="206">
        <v>1</v>
      </c>
      <c r="Z12" s="206">
        <v>1</v>
      </c>
      <c r="AA12" s="206">
        <v>0</v>
      </c>
      <c r="AB12" s="207">
        <v>0</v>
      </c>
      <c r="AC12" s="206">
        <v>0</v>
      </c>
      <c r="AD12" s="206">
        <v>0</v>
      </c>
      <c r="AE12" s="206">
        <v>0</v>
      </c>
      <c r="AF12" s="207">
        <v>0</v>
      </c>
      <c r="AG12" s="206">
        <v>0</v>
      </c>
      <c r="AH12" s="206">
        <v>0</v>
      </c>
      <c r="AI12" s="206">
        <v>0</v>
      </c>
      <c r="AJ12" s="207">
        <v>0</v>
      </c>
      <c r="AK12" s="206">
        <v>1</v>
      </c>
      <c r="AL12" s="206">
        <v>1</v>
      </c>
      <c r="AM12" s="206">
        <v>0</v>
      </c>
      <c r="AN12" s="207">
        <v>0</v>
      </c>
    </row>
    <row r="13" spans="1:46" ht="14.95" customHeight="1" thickBot="1" x14ac:dyDescent="0.35">
      <c r="A13" s="188">
        <v>43737</v>
      </c>
      <c r="B13" s="483" t="s">
        <v>158</v>
      </c>
      <c r="C13" s="189" t="s">
        <v>29</v>
      </c>
      <c r="D13" s="189" t="s">
        <v>160</v>
      </c>
      <c r="E13" s="190" t="s">
        <v>1</v>
      </c>
      <c r="F13" s="190">
        <v>29</v>
      </c>
      <c r="G13" s="484">
        <v>25</v>
      </c>
      <c r="H13" s="484">
        <v>0</v>
      </c>
      <c r="I13" s="190">
        <v>0</v>
      </c>
      <c r="J13" s="190">
        <v>2</v>
      </c>
      <c r="K13" s="190">
        <v>2</v>
      </c>
      <c r="L13" s="190">
        <v>2</v>
      </c>
      <c r="M13" s="190">
        <v>3</v>
      </c>
      <c r="N13" s="190">
        <v>0</v>
      </c>
      <c r="O13" s="190">
        <v>0</v>
      </c>
      <c r="P13" s="190">
        <v>0</v>
      </c>
      <c r="Q13" s="190">
        <v>1</v>
      </c>
      <c r="R13" s="190">
        <v>3</v>
      </c>
      <c r="S13" s="203">
        <v>47885</v>
      </c>
      <c r="T13" s="411" t="s">
        <v>916</v>
      </c>
      <c r="U13" s="204" t="s">
        <v>130</v>
      </c>
      <c r="V13" s="203" t="s">
        <v>277</v>
      </c>
      <c r="W13" s="191" t="s">
        <v>133</v>
      </c>
      <c r="X13" s="205" t="s">
        <v>233</v>
      </c>
      <c r="Y13" s="206">
        <v>1</v>
      </c>
      <c r="Z13" s="206">
        <v>1</v>
      </c>
      <c r="AA13" s="206">
        <v>0</v>
      </c>
      <c r="AB13" s="207">
        <v>0</v>
      </c>
      <c r="AC13" s="206">
        <v>0</v>
      </c>
      <c r="AD13" s="206">
        <v>0</v>
      </c>
      <c r="AE13" s="206">
        <v>0</v>
      </c>
      <c r="AF13" s="207">
        <v>0</v>
      </c>
      <c r="AG13" s="206">
        <v>0</v>
      </c>
      <c r="AH13" s="206">
        <v>0</v>
      </c>
      <c r="AI13" s="206">
        <v>0</v>
      </c>
      <c r="AJ13" s="207">
        <v>0</v>
      </c>
      <c r="AK13" s="206">
        <v>1</v>
      </c>
      <c r="AL13" s="206">
        <v>1</v>
      </c>
      <c r="AM13" s="206">
        <v>0</v>
      </c>
      <c r="AN13" s="207">
        <v>0</v>
      </c>
    </row>
    <row r="14" spans="1:46" ht="14.95" customHeight="1" thickBot="1" x14ac:dyDescent="0.35">
      <c r="A14" s="188">
        <v>43747</v>
      </c>
      <c r="B14" s="483" t="s">
        <v>158</v>
      </c>
      <c r="C14" s="189" t="s">
        <v>31</v>
      </c>
      <c r="D14" s="189" t="s">
        <v>180</v>
      </c>
      <c r="E14" s="190" t="s">
        <v>1</v>
      </c>
      <c r="F14" s="190">
        <v>29</v>
      </c>
      <c r="G14" s="484">
        <v>17</v>
      </c>
      <c r="H14" s="484">
        <v>1</v>
      </c>
      <c r="I14" s="190">
        <v>0</v>
      </c>
      <c r="J14" s="190">
        <v>4</v>
      </c>
      <c r="K14" s="190">
        <v>3</v>
      </c>
      <c r="L14" s="190">
        <v>0</v>
      </c>
      <c r="M14" s="190">
        <v>1</v>
      </c>
      <c r="N14" s="190">
        <v>2</v>
      </c>
      <c r="O14" s="190">
        <v>0</v>
      </c>
      <c r="P14" s="190">
        <v>0</v>
      </c>
      <c r="Q14" s="190">
        <v>0</v>
      </c>
      <c r="R14" s="190">
        <v>3</v>
      </c>
      <c r="S14" s="203">
        <v>33379</v>
      </c>
      <c r="T14" s="411" t="s">
        <v>718</v>
      </c>
      <c r="U14" s="204" t="s">
        <v>138</v>
      </c>
      <c r="V14" s="203" t="s">
        <v>277</v>
      </c>
      <c r="W14" s="191" t="s">
        <v>130</v>
      </c>
      <c r="X14" s="205" t="s">
        <v>233</v>
      </c>
      <c r="Y14" s="206">
        <v>1</v>
      </c>
      <c r="Z14" s="206">
        <v>1</v>
      </c>
      <c r="AA14" s="206">
        <v>0</v>
      </c>
      <c r="AB14" s="207">
        <v>0</v>
      </c>
      <c r="AC14" s="206">
        <v>0</v>
      </c>
      <c r="AD14" s="206">
        <v>0</v>
      </c>
      <c r="AE14" s="206">
        <v>0</v>
      </c>
      <c r="AF14" s="207">
        <v>0</v>
      </c>
      <c r="AG14" s="206">
        <v>0</v>
      </c>
      <c r="AH14" s="206">
        <v>0</v>
      </c>
      <c r="AI14" s="206">
        <v>0</v>
      </c>
      <c r="AJ14" s="207">
        <v>0</v>
      </c>
      <c r="AK14" s="206">
        <v>1</v>
      </c>
      <c r="AL14" s="206">
        <v>1</v>
      </c>
      <c r="AM14" s="206">
        <v>0</v>
      </c>
      <c r="AN14" s="207">
        <v>0</v>
      </c>
    </row>
    <row r="15" spans="1:46" ht="14.95" customHeight="1" thickBot="1" x14ac:dyDescent="0.35">
      <c r="A15" s="188">
        <v>43751</v>
      </c>
      <c r="B15" s="483" t="s">
        <v>158</v>
      </c>
      <c r="C15" s="189" t="s">
        <v>107</v>
      </c>
      <c r="D15" s="189" t="s">
        <v>705</v>
      </c>
      <c r="E15" s="190" t="s">
        <v>1</v>
      </c>
      <c r="F15" s="190">
        <v>35</v>
      </c>
      <c r="G15" s="484">
        <v>13</v>
      </c>
      <c r="H15" s="484">
        <v>1</v>
      </c>
      <c r="I15" s="190">
        <v>0</v>
      </c>
      <c r="J15" s="190">
        <v>5</v>
      </c>
      <c r="K15" s="190">
        <v>4</v>
      </c>
      <c r="L15" s="190">
        <v>0</v>
      </c>
      <c r="M15" s="190">
        <v>0</v>
      </c>
      <c r="N15" s="190">
        <v>0</v>
      </c>
      <c r="O15" s="190">
        <v>0</v>
      </c>
      <c r="P15" s="190">
        <v>0</v>
      </c>
      <c r="Q15" s="190">
        <v>0</v>
      </c>
      <c r="R15" s="190">
        <v>1</v>
      </c>
      <c r="S15" s="203">
        <v>27317</v>
      </c>
      <c r="T15" s="411" t="s">
        <v>737</v>
      </c>
      <c r="U15" s="204" t="s">
        <v>278</v>
      </c>
      <c r="V15" s="203" t="s">
        <v>131</v>
      </c>
      <c r="W15" s="191" t="s">
        <v>133</v>
      </c>
      <c r="X15" s="205" t="s">
        <v>233</v>
      </c>
      <c r="Y15" s="206">
        <v>1</v>
      </c>
      <c r="Z15" s="206">
        <v>1</v>
      </c>
      <c r="AA15" s="206">
        <v>0</v>
      </c>
      <c r="AB15" s="207">
        <v>0</v>
      </c>
      <c r="AC15" s="206">
        <v>0</v>
      </c>
      <c r="AD15" s="206">
        <v>0</v>
      </c>
      <c r="AE15" s="206">
        <v>0</v>
      </c>
      <c r="AF15" s="207">
        <v>0</v>
      </c>
      <c r="AG15" s="206">
        <v>0</v>
      </c>
      <c r="AH15" s="206">
        <v>0</v>
      </c>
      <c r="AI15" s="206">
        <v>0</v>
      </c>
      <c r="AJ15" s="207">
        <v>0</v>
      </c>
      <c r="AK15" s="206">
        <v>1</v>
      </c>
      <c r="AL15" s="206">
        <v>1</v>
      </c>
      <c r="AM15" s="206">
        <v>0</v>
      </c>
      <c r="AN15" s="207">
        <v>0</v>
      </c>
    </row>
    <row r="16" spans="1:46" ht="14.95" customHeight="1" thickBot="1" x14ac:dyDescent="0.3">
      <c r="A16" s="188">
        <v>43758</v>
      </c>
      <c r="B16" s="483" t="s">
        <v>110</v>
      </c>
      <c r="C16" s="189" t="s">
        <v>34</v>
      </c>
      <c r="D16" s="189" t="s">
        <v>180</v>
      </c>
      <c r="E16" s="190" t="s">
        <v>1</v>
      </c>
      <c r="F16" s="190">
        <v>20</v>
      </c>
      <c r="G16" s="484">
        <v>19</v>
      </c>
      <c r="H16" s="484" t="s">
        <v>108</v>
      </c>
      <c r="I16" s="190" t="s">
        <v>108</v>
      </c>
      <c r="J16" s="190">
        <v>2</v>
      </c>
      <c r="K16" s="190">
        <v>2</v>
      </c>
      <c r="L16" s="190">
        <v>0</v>
      </c>
      <c r="M16" s="190">
        <v>2</v>
      </c>
      <c r="N16" s="190">
        <v>1</v>
      </c>
      <c r="O16" s="190">
        <v>0</v>
      </c>
      <c r="P16" s="190" t="s">
        <v>108</v>
      </c>
      <c r="Q16" s="190" t="s">
        <v>108</v>
      </c>
      <c r="R16" s="190">
        <v>3</v>
      </c>
      <c r="S16" s="203">
        <v>34426</v>
      </c>
      <c r="T16" s="947" t="s">
        <v>769</v>
      </c>
      <c r="U16" s="204" t="s">
        <v>229</v>
      </c>
      <c r="V16" s="203" t="s">
        <v>270</v>
      </c>
      <c r="W16" s="191" t="s">
        <v>227</v>
      </c>
      <c r="X16" s="205" t="s">
        <v>273</v>
      </c>
      <c r="Y16" s="206">
        <v>1</v>
      </c>
      <c r="Z16" s="206">
        <v>1</v>
      </c>
      <c r="AA16" s="206">
        <v>0</v>
      </c>
      <c r="AB16" s="207">
        <v>0</v>
      </c>
      <c r="AC16" s="206">
        <v>0</v>
      </c>
      <c r="AD16" s="206">
        <v>0</v>
      </c>
      <c r="AE16" s="206">
        <v>0</v>
      </c>
      <c r="AF16" s="207">
        <v>0</v>
      </c>
      <c r="AG16" s="206">
        <v>0</v>
      </c>
      <c r="AH16" s="206">
        <v>0</v>
      </c>
      <c r="AI16" s="206">
        <v>0</v>
      </c>
      <c r="AJ16" s="207">
        <v>0</v>
      </c>
      <c r="AK16" s="206">
        <v>1</v>
      </c>
      <c r="AL16" s="206">
        <v>1</v>
      </c>
      <c r="AM16" s="206">
        <v>0</v>
      </c>
      <c r="AN16" s="207">
        <v>0</v>
      </c>
    </row>
    <row r="17" spans="1:40" ht="14.95" customHeight="1" thickBot="1" x14ac:dyDescent="0.3">
      <c r="A17" s="188">
        <v>43765</v>
      </c>
      <c r="B17" s="483" t="s">
        <v>161</v>
      </c>
      <c r="C17" s="189" t="s">
        <v>679</v>
      </c>
      <c r="D17" s="189" t="s">
        <v>141</v>
      </c>
      <c r="E17" s="190" t="s">
        <v>3</v>
      </c>
      <c r="F17" s="190">
        <v>16</v>
      </c>
      <c r="G17" s="484">
        <v>19</v>
      </c>
      <c r="H17" s="484" t="s">
        <v>108</v>
      </c>
      <c r="I17" s="190" t="s">
        <v>108</v>
      </c>
      <c r="J17" s="190">
        <v>1</v>
      </c>
      <c r="K17" s="190">
        <v>1</v>
      </c>
      <c r="L17" s="190">
        <v>0</v>
      </c>
      <c r="M17" s="190">
        <v>3</v>
      </c>
      <c r="N17" s="190">
        <v>0</v>
      </c>
      <c r="O17" s="190">
        <v>0</v>
      </c>
      <c r="P17" s="190" t="s">
        <v>108</v>
      </c>
      <c r="Q17" s="190" t="s">
        <v>108</v>
      </c>
      <c r="R17" s="190">
        <v>1</v>
      </c>
      <c r="S17" s="203">
        <v>67750</v>
      </c>
      <c r="T17" s="406" t="s">
        <v>988</v>
      </c>
      <c r="U17" s="204" t="s">
        <v>138</v>
      </c>
      <c r="V17" s="203" t="s">
        <v>277</v>
      </c>
      <c r="W17" s="191" t="s">
        <v>132</v>
      </c>
      <c r="X17" s="205" t="s">
        <v>276</v>
      </c>
      <c r="Y17" s="206">
        <v>1</v>
      </c>
      <c r="Z17" s="206">
        <v>0</v>
      </c>
      <c r="AA17" s="206">
        <v>0</v>
      </c>
      <c r="AB17" s="207">
        <v>1</v>
      </c>
      <c r="AC17" s="206">
        <v>0</v>
      </c>
      <c r="AD17" s="206">
        <v>0</v>
      </c>
      <c r="AE17" s="206">
        <v>0</v>
      </c>
      <c r="AF17" s="207">
        <v>0</v>
      </c>
      <c r="AG17" s="206">
        <v>0</v>
      </c>
      <c r="AH17" s="206">
        <v>0</v>
      </c>
      <c r="AI17" s="206">
        <v>0</v>
      </c>
      <c r="AJ17" s="207">
        <v>0</v>
      </c>
      <c r="AK17" s="206">
        <v>1</v>
      </c>
      <c r="AL17" s="206">
        <v>0</v>
      </c>
      <c r="AM17" s="206">
        <v>0</v>
      </c>
      <c r="AN17" s="207">
        <v>1</v>
      </c>
    </row>
    <row r="18" spans="1:40" ht="14.95" customHeight="1" thickBot="1" x14ac:dyDescent="0.3">
      <c r="A18" s="188">
        <v>43770</v>
      </c>
      <c r="B18" s="483" t="s">
        <v>983</v>
      </c>
      <c r="C18" s="189" t="s">
        <v>126</v>
      </c>
      <c r="D18" s="189" t="s">
        <v>160</v>
      </c>
      <c r="E18" s="190" t="s">
        <v>3</v>
      </c>
      <c r="F18" s="190">
        <v>17</v>
      </c>
      <c r="G18" s="484">
        <v>40</v>
      </c>
      <c r="H18" s="484" t="s">
        <v>108</v>
      </c>
      <c r="I18" s="190" t="s">
        <v>108</v>
      </c>
      <c r="J18" s="190">
        <v>2</v>
      </c>
      <c r="K18" s="190">
        <v>2</v>
      </c>
      <c r="L18" s="190">
        <v>0</v>
      </c>
      <c r="M18" s="190">
        <v>1</v>
      </c>
      <c r="N18" s="190">
        <v>0</v>
      </c>
      <c r="O18" s="190">
        <v>0</v>
      </c>
      <c r="P18" s="190" t="s">
        <v>108</v>
      </c>
      <c r="Q18" s="190" t="s">
        <v>108</v>
      </c>
      <c r="R18" s="190">
        <v>6</v>
      </c>
      <c r="S18" s="191">
        <v>48842</v>
      </c>
      <c r="T18" s="926" t="s">
        <v>848</v>
      </c>
      <c r="U18" s="485" t="s">
        <v>132</v>
      </c>
      <c r="V18" s="191" t="s">
        <v>270</v>
      </c>
      <c r="W18" s="191" t="s">
        <v>229</v>
      </c>
      <c r="X18" s="486" t="s">
        <v>211</v>
      </c>
      <c r="Y18" s="191">
        <v>1</v>
      </c>
      <c r="Z18" s="191">
        <v>0</v>
      </c>
      <c r="AA18" s="191">
        <v>0</v>
      </c>
      <c r="AB18" s="487">
        <v>1</v>
      </c>
      <c r="AC18" s="191">
        <v>0</v>
      </c>
      <c r="AD18" s="191">
        <v>0</v>
      </c>
      <c r="AE18" s="191">
        <v>0</v>
      </c>
      <c r="AF18" s="487">
        <v>0</v>
      </c>
      <c r="AG18" s="191">
        <v>0</v>
      </c>
      <c r="AH18" s="191">
        <v>0</v>
      </c>
      <c r="AI18" s="191">
        <v>0</v>
      </c>
      <c r="AJ18" s="487">
        <v>0</v>
      </c>
      <c r="AK18" s="191">
        <v>1</v>
      </c>
      <c r="AL18" s="191">
        <v>0</v>
      </c>
      <c r="AM18" s="191">
        <v>0</v>
      </c>
      <c r="AN18" s="487">
        <v>1</v>
      </c>
    </row>
    <row r="19" spans="1:40" ht="15.8" customHeight="1" thickBot="1" x14ac:dyDescent="0.3">
      <c r="A19" s="438"/>
      <c r="B19" s="439"/>
      <c r="C19" s="1069" t="s">
        <v>116</v>
      </c>
      <c r="D19" s="1070"/>
      <c r="E19" s="1071"/>
      <c r="F19" s="433">
        <f>SUM(F3:F7)</f>
        <v>114</v>
      </c>
      <c r="G19" s="433">
        <f t="shared" ref="G19:R19" si="0">SUM(G3:G7)</f>
        <v>65</v>
      </c>
      <c r="H19" s="433">
        <f t="shared" si="0"/>
        <v>0</v>
      </c>
      <c r="I19" s="433">
        <f t="shared" si="0"/>
        <v>0</v>
      </c>
      <c r="J19" s="433">
        <f t="shared" si="0"/>
        <v>10</v>
      </c>
      <c r="K19" s="433">
        <f t="shared" si="0"/>
        <v>8</v>
      </c>
      <c r="L19" s="433">
        <f t="shared" si="0"/>
        <v>0</v>
      </c>
      <c r="M19" s="433">
        <f t="shared" si="0"/>
        <v>16</v>
      </c>
      <c r="N19" s="433">
        <f t="shared" si="0"/>
        <v>0</v>
      </c>
      <c r="O19" s="433">
        <f t="shared" si="0"/>
        <v>0</v>
      </c>
      <c r="P19" s="433">
        <f t="shared" si="0"/>
        <v>0</v>
      </c>
      <c r="Q19" s="433">
        <f t="shared" si="0"/>
        <v>2</v>
      </c>
      <c r="R19" s="433">
        <f t="shared" si="0"/>
        <v>7</v>
      </c>
      <c r="W19" s="434"/>
      <c r="X19" s="459" t="s">
        <v>116</v>
      </c>
      <c r="Y19" s="433">
        <f t="shared" ref="Y19:AN19" si="1">SUM(Y3:Y7)</f>
        <v>5</v>
      </c>
      <c r="Z19" s="433">
        <f t="shared" si="1"/>
        <v>5</v>
      </c>
      <c r="AA19" s="433">
        <f t="shared" si="1"/>
        <v>0</v>
      </c>
      <c r="AB19" s="433">
        <f t="shared" si="1"/>
        <v>0</v>
      </c>
      <c r="AC19" s="435">
        <f t="shared" si="1"/>
        <v>2</v>
      </c>
      <c r="AD19" s="435">
        <f t="shared" si="1"/>
        <v>2</v>
      </c>
      <c r="AE19" s="435">
        <f t="shared" si="1"/>
        <v>0</v>
      </c>
      <c r="AF19" s="435">
        <f t="shared" si="1"/>
        <v>0</v>
      </c>
      <c r="AG19" s="436">
        <f t="shared" si="1"/>
        <v>3</v>
      </c>
      <c r="AH19" s="436">
        <f t="shared" si="1"/>
        <v>3</v>
      </c>
      <c r="AI19" s="436">
        <f t="shared" si="1"/>
        <v>0</v>
      </c>
      <c r="AJ19" s="436">
        <f t="shared" si="1"/>
        <v>0</v>
      </c>
      <c r="AK19" s="437">
        <f t="shared" si="1"/>
        <v>0</v>
      </c>
      <c r="AL19" s="437">
        <f t="shared" si="1"/>
        <v>0</v>
      </c>
      <c r="AM19" s="437">
        <f t="shared" si="1"/>
        <v>0</v>
      </c>
      <c r="AN19" s="437">
        <f t="shared" si="1"/>
        <v>0</v>
      </c>
    </row>
    <row r="20" spans="1:40" ht="15.8" customHeight="1" thickBot="1" x14ac:dyDescent="0.3">
      <c r="A20" s="438"/>
      <c r="B20" s="439"/>
      <c r="C20" s="1037" t="s">
        <v>163</v>
      </c>
      <c r="D20" s="1091"/>
      <c r="E20" s="1092"/>
      <c r="F20" s="446">
        <f>SUM(F8:F11)</f>
        <v>59</v>
      </c>
      <c r="G20" s="446">
        <f>SUM(G8:G11)</f>
        <v>80</v>
      </c>
      <c r="H20" s="446" t="s">
        <v>108</v>
      </c>
      <c r="I20" s="446" t="s">
        <v>108</v>
      </c>
      <c r="J20" s="446">
        <f t="shared" ref="J20:O20" si="2">SUM(J8:J11)</f>
        <v>7</v>
      </c>
      <c r="K20" s="446">
        <f t="shared" si="2"/>
        <v>6</v>
      </c>
      <c r="L20" s="446">
        <f t="shared" si="2"/>
        <v>0</v>
      </c>
      <c r="M20" s="446">
        <f t="shared" si="2"/>
        <v>4</v>
      </c>
      <c r="N20" s="446">
        <f t="shared" si="2"/>
        <v>2</v>
      </c>
      <c r="O20" s="446">
        <f t="shared" si="2"/>
        <v>0</v>
      </c>
      <c r="P20" s="446" t="s">
        <v>108</v>
      </c>
      <c r="Q20" s="446" t="s">
        <v>108</v>
      </c>
      <c r="R20" s="446">
        <f>SUM(R8:R11)</f>
        <v>9</v>
      </c>
      <c r="S20" s="447"/>
      <c r="T20" s="447"/>
      <c r="U20" s="447"/>
      <c r="V20" s="447"/>
      <c r="W20" s="448"/>
      <c r="X20" s="461" t="s">
        <v>163</v>
      </c>
      <c r="Y20" s="446">
        <f t="shared" ref="Y20:AN20" si="3">SUM(Y8:Y11)</f>
        <v>4</v>
      </c>
      <c r="Z20" s="446">
        <f t="shared" si="3"/>
        <v>1</v>
      </c>
      <c r="AA20" s="446">
        <f t="shared" si="3"/>
        <v>0</v>
      </c>
      <c r="AB20" s="446">
        <f t="shared" si="3"/>
        <v>3</v>
      </c>
      <c r="AC20" s="450">
        <f t="shared" si="3"/>
        <v>2</v>
      </c>
      <c r="AD20" s="450">
        <f t="shared" si="3"/>
        <v>1</v>
      </c>
      <c r="AE20" s="450">
        <f t="shared" si="3"/>
        <v>0</v>
      </c>
      <c r="AF20" s="450">
        <f t="shared" si="3"/>
        <v>1</v>
      </c>
      <c r="AG20" s="451">
        <f t="shared" si="3"/>
        <v>2</v>
      </c>
      <c r="AH20" s="451">
        <f t="shared" si="3"/>
        <v>0</v>
      </c>
      <c r="AI20" s="451">
        <f t="shared" si="3"/>
        <v>0</v>
      </c>
      <c r="AJ20" s="451">
        <f t="shared" si="3"/>
        <v>2</v>
      </c>
      <c r="AK20" s="452">
        <f t="shared" si="3"/>
        <v>0</v>
      </c>
      <c r="AL20" s="452">
        <f t="shared" si="3"/>
        <v>0</v>
      </c>
      <c r="AM20" s="452">
        <f t="shared" si="3"/>
        <v>0</v>
      </c>
      <c r="AN20" s="452">
        <f t="shared" si="3"/>
        <v>0</v>
      </c>
    </row>
    <row r="21" spans="1:40" ht="15.8" customHeight="1" thickBot="1" x14ac:dyDescent="0.3">
      <c r="A21" s="438"/>
      <c r="B21" s="439"/>
      <c r="C21" s="1040" t="s">
        <v>611</v>
      </c>
      <c r="D21" s="1041"/>
      <c r="E21" s="1042"/>
      <c r="F21" s="685">
        <f>SUM(F12:F15)</f>
        <v>136</v>
      </c>
      <c r="G21" s="685">
        <f t="shared" ref="G21:R21" si="4">SUM(G12:G15)</f>
        <v>69</v>
      </c>
      <c r="H21" s="685">
        <f t="shared" si="4"/>
        <v>3</v>
      </c>
      <c r="I21" s="685">
        <f t="shared" si="4"/>
        <v>0</v>
      </c>
      <c r="J21" s="685">
        <f t="shared" si="4"/>
        <v>17</v>
      </c>
      <c r="K21" s="685">
        <f t="shared" si="4"/>
        <v>14</v>
      </c>
      <c r="L21" s="685">
        <f t="shared" si="4"/>
        <v>2</v>
      </c>
      <c r="M21" s="685">
        <f t="shared" si="4"/>
        <v>5</v>
      </c>
      <c r="N21" s="685">
        <f t="shared" si="4"/>
        <v>2</v>
      </c>
      <c r="O21" s="685">
        <f t="shared" si="4"/>
        <v>0</v>
      </c>
      <c r="P21" s="685">
        <f t="shared" si="4"/>
        <v>0</v>
      </c>
      <c r="Q21" s="685">
        <f t="shared" si="4"/>
        <v>1</v>
      </c>
      <c r="R21" s="685">
        <f t="shared" si="4"/>
        <v>9</v>
      </c>
      <c r="S21" s="686"/>
      <c r="T21" s="686"/>
      <c r="U21" s="686"/>
      <c r="V21" s="686"/>
      <c r="W21" s="687"/>
      <c r="X21" s="688" t="s">
        <v>611</v>
      </c>
      <c r="Y21" s="689">
        <f t="shared" ref="Y21:AN21" si="5">SUM(Y12:Y15)</f>
        <v>4</v>
      </c>
      <c r="Z21" s="690">
        <f t="shared" si="5"/>
        <v>4</v>
      </c>
      <c r="AA21" s="685">
        <f t="shared" si="5"/>
        <v>0</v>
      </c>
      <c r="AB21" s="685">
        <f t="shared" si="5"/>
        <v>0</v>
      </c>
      <c r="AC21" s="691">
        <f t="shared" si="5"/>
        <v>0</v>
      </c>
      <c r="AD21" s="691">
        <f t="shared" si="5"/>
        <v>0</v>
      </c>
      <c r="AE21" s="691">
        <f t="shared" si="5"/>
        <v>0</v>
      </c>
      <c r="AF21" s="691">
        <f t="shared" si="5"/>
        <v>0</v>
      </c>
      <c r="AG21" s="692">
        <f t="shared" si="5"/>
        <v>0</v>
      </c>
      <c r="AH21" s="692">
        <f t="shared" si="5"/>
        <v>0</v>
      </c>
      <c r="AI21" s="692">
        <f t="shared" si="5"/>
        <v>0</v>
      </c>
      <c r="AJ21" s="692">
        <f t="shared" si="5"/>
        <v>0</v>
      </c>
      <c r="AK21" s="693">
        <f t="shared" si="5"/>
        <v>4</v>
      </c>
      <c r="AL21" s="693">
        <f t="shared" si="5"/>
        <v>4</v>
      </c>
      <c r="AM21" s="693">
        <f t="shared" si="5"/>
        <v>0</v>
      </c>
      <c r="AN21" s="693">
        <f t="shared" si="5"/>
        <v>0</v>
      </c>
    </row>
    <row r="22" spans="1:40" ht="15.8" customHeight="1" thickBot="1" x14ac:dyDescent="0.3">
      <c r="A22" s="438"/>
      <c r="B22" s="439"/>
      <c r="C22" s="1040" t="s">
        <v>612</v>
      </c>
      <c r="D22" s="1041"/>
      <c r="E22" s="1042"/>
      <c r="F22" s="694">
        <f>SUM(F16:F18)</f>
        <v>53</v>
      </c>
      <c r="G22" s="685">
        <f>SUM(G16:G18)</f>
        <v>78</v>
      </c>
      <c r="H22" s="685" t="s">
        <v>108</v>
      </c>
      <c r="I22" s="685" t="s">
        <v>108</v>
      </c>
      <c r="J22" s="685">
        <f t="shared" ref="J22:O22" si="6">SUM(J16:J18)</f>
        <v>5</v>
      </c>
      <c r="K22" s="685">
        <f t="shared" si="6"/>
        <v>5</v>
      </c>
      <c r="L22" s="685">
        <f t="shared" si="6"/>
        <v>0</v>
      </c>
      <c r="M22" s="685">
        <f t="shared" si="6"/>
        <v>6</v>
      </c>
      <c r="N22" s="685">
        <f t="shared" si="6"/>
        <v>1</v>
      </c>
      <c r="O22" s="685">
        <f t="shared" si="6"/>
        <v>0</v>
      </c>
      <c r="P22" s="685" t="s">
        <v>108</v>
      </c>
      <c r="Q22" s="685" t="s">
        <v>108</v>
      </c>
      <c r="R22" s="685">
        <f>SUM(R16:R18)</f>
        <v>10</v>
      </c>
      <c r="S22" s="686"/>
      <c r="T22" s="686"/>
      <c r="U22" s="686"/>
      <c r="V22" s="686"/>
      <c r="W22" s="687"/>
      <c r="X22" s="688" t="s">
        <v>612</v>
      </c>
      <c r="Y22" s="689">
        <f t="shared" ref="Y22:AN22" si="7">SUM(Y16:Y18)</f>
        <v>3</v>
      </c>
      <c r="Z22" s="690">
        <f t="shared" si="7"/>
        <v>1</v>
      </c>
      <c r="AA22" s="685">
        <f t="shared" si="7"/>
        <v>0</v>
      </c>
      <c r="AB22" s="685">
        <f t="shared" si="7"/>
        <v>2</v>
      </c>
      <c r="AC22" s="691">
        <f t="shared" si="7"/>
        <v>0</v>
      </c>
      <c r="AD22" s="691">
        <f t="shared" si="7"/>
        <v>0</v>
      </c>
      <c r="AE22" s="691">
        <f t="shared" si="7"/>
        <v>0</v>
      </c>
      <c r="AF22" s="691">
        <f t="shared" si="7"/>
        <v>0</v>
      </c>
      <c r="AG22" s="692">
        <f t="shared" si="7"/>
        <v>0</v>
      </c>
      <c r="AH22" s="692">
        <f t="shared" si="7"/>
        <v>0</v>
      </c>
      <c r="AI22" s="692">
        <f t="shared" si="7"/>
        <v>0</v>
      </c>
      <c r="AJ22" s="692">
        <f t="shared" si="7"/>
        <v>0</v>
      </c>
      <c r="AK22" s="693">
        <f t="shared" si="7"/>
        <v>3</v>
      </c>
      <c r="AL22" s="693">
        <f t="shared" si="7"/>
        <v>1</v>
      </c>
      <c r="AM22" s="693">
        <f t="shared" si="7"/>
        <v>0</v>
      </c>
      <c r="AN22" s="693">
        <f t="shared" si="7"/>
        <v>2</v>
      </c>
    </row>
    <row r="23" spans="1:40" ht="15.8" customHeight="1" thickBot="1" x14ac:dyDescent="0.3">
      <c r="A23" s="438"/>
      <c r="B23" s="439"/>
      <c r="C23" s="1040" t="s">
        <v>613</v>
      </c>
      <c r="D23" s="1041"/>
      <c r="E23" s="1042"/>
      <c r="F23" s="685">
        <f>SUM(F21:F22)</f>
        <v>189</v>
      </c>
      <c r="G23" s="685">
        <f t="shared" ref="G23:R23" si="8">SUM(G21:G22)</f>
        <v>147</v>
      </c>
      <c r="H23" s="685">
        <f t="shared" si="8"/>
        <v>3</v>
      </c>
      <c r="I23" s="685">
        <f t="shared" si="8"/>
        <v>0</v>
      </c>
      <c r="J23" s="685">
        <f t="shared" si="8"/>
        <v>22</v>
      </c>
      <c r="K23" s="685">
        <f t="shared" si="8"/>
        <v>19</v>
      </c>
      <c r="L23" s="685">
        <f t="shared" si="8"/>
        <v>2</v>
      </c>
      <c r="M23" s="685">
        <f t="shared" si="8"/>
        <v>11</v>
      </c>
      <c r="N23" s="685">
        <f t="shared" si="8"/>
        <v>3</v>
      </c>
      <c r="O23" s="685">
        <f t="shared" si="8"/>
        <v>0</v>
      </c>
      <c r="P23" s="685">
        <f t="shared" si="8"/>
        <v>0</v>
      </c>
      <c r="Q23" s="685">
        <f t="shared" si="8"/>
        <v>1</v>
      </c>
      <c r="R23" s="685">
        <f t="shared" si="8"/>
        <v>19</v>
      </c>
      <c r="S23" s="686"/>
      <c r="T23" s="686"/>
      <c r="U23" s="686"/>
      <c r="V23" s="686"/>
      <c r="W23" s="687"/>
      <c r="X23" s="688" t="s">
        <v>613</v>
      </c>
      <c r="Y23" s="689">
        <f t="shared" ref="Y23:AN23" si="9">SUM(Y21:Y22)</f>
        <v>7</v>
      </c>
      <c r="Z23" s="690">
        <f t="shared" si="9"/>
        <v>5</v>
      </c>
      <c r="AA23" s="685">
        <f t="shared" si="9"/>
        <v>0</v>
      </c>
      <c r="AB23" s="685">
        <f t="shared" si="9"/>
        <v>2</v>
      </c>
      <c r="AC23" s="691">
        <f t="shared" si="9"/>
        <v>0</v>
      </c>
      <c r="AD23" s="691">
        <f t="shared" si="9"/>
        <v>0</v>
      </c>
      <c r="AE23" s="691">
        <f t="shared" si="9"/>
        <v>0</v>
      </c>
      <c r="AF23" s="691">
        <f t="shared" si="9"/>
        <v>0</v>
      </c>
      <c r="AG23" s="692">
        <f t="shared" si="9"/>
        <v>0</v>
      </c>
      <c r="AH23" s="692">
        <f t="shared" si="9"/>
        <v>0</v>
      </c>
      <c r="AI23" s="692">
        <f t="shared" si="9"/>
        <v>0</v>
      </c>
      <c r="AJ23" s="692">
        <f t="shared" si="9"/>
        <v>0</v>
      </c>
      <c r="AK23" s="693">
        <f t="shared" si="9"/>
        <v>7</v>
      </c>
      <c r="AL23" s="693">
        <f t="shared" si="9"/>
        <v>5</v>
      </c>
      <c r="AM23" s="693">
        <f t="shared" si="9"/>
        <v>0</v>
      </c>
      <c r="AN23" s="693">
        <f t="shared" si="9"/>
        <v>2</v>
      </c>
    </row>
    <row r="24" spans="1:40" ht="14.95" thickBot="1" x14ac:dyDescent="0.3">
      <c r="A24" s="438"/>
      <c r="B24" s="439"/>
      <c r="C24" s="1034" t="s">
        <v>112</v>
      </c>
      <c r="D24" s="1035"/>
      <c r="E24" s="1036"/>
      <c r="F24" s="453">
        <f>SUM(F3:F18)</f>
        <v>362</v>
      </c>
      <c r="G24" s="453">
        <f t="shared" ref="G24:R24" si="10">SUM(G3:G18)</f>
        <v>292</v>
      </c>
      <c r="H24" s="453">
        <f t="shared" si="10"/>
        <v>3</v>
      </c>
      <c r="I24" s="453">
        <f t="shared" si="10"/>
        <v>0</v>
      </c>
      <c r="J24" s="453">
        <f t="shared" si="10"/>
        <v>39</v>
      </c>
      <c r="K24" s="453">
        <f t="shared" si="10"/>
        <v>33</v>
      </c>
      <c r="L24" s="453">
        <f t="shared" si="10"/>
        <v>2</v>
      </c>
      <c r="M24" s="453">
        <f t="shared" si="10"/>
        <v>31</v>
      </c>
      <c r="N24" s="453">
        <f t="shared" si="10"/>
        <v>5</v>
      </c>
      <c r="O24" s="453">
        <f t="shared" si="10"/>
        <v>0</v>
      </c>
      <c r="P24" s="453">
        <f t="shared" si="10"/>
        <v>0</v>
      </c>
      <c r="Q24" s="453">
        <f t="shared" si="10"/>
        <v>3</v>
      </c>
      <c r="R24" s="453">
        <f t="shared" si="10"/>
        <v>35</v>
      </c>
      <c r="S24" s="454"/>
      <c r="T24" s="454"/>
      <c r="U24" s="454"/>
      <c r="V24" s="454"/>
      <c r="W24" s="455"/>
      <c r="X24" s="462" t="s">
        <v>112</v>
      </c>
      <c r="Y24" s="453">
        <f t="shared" ref="Y24:AN24" si="11">SUM(Y3:Y18)</f>
        <v>16</v>
      </c>
      <c r="Z24" s="453">
        <f t="shared" si="11"/>
        <v>11</v>
      </c>
      <c r="AA24" s="453">
        <f t="shared" si="11"/>
        <v>0</v>
      </c>
      <c r="AB24" s="453">
        <f t="shared" si="11"/>
        <v>5</v>
      </c>
      <c r="AC24" s="456">
        <f t="shared" si="11"/>
        <v>4</v>
      </c>
      <c r="AD24" s="456">
        <f t="shared" si="11"/>
        <v>3</v>
      </c>
      <c r="AE24" s="456">
        <f t="shared" si="11"/>
        <v>0</v>
      </c>
      <c r="AF24" s="456">
        <f t="shared" si="11"/>
        <v>1</v>
      </c>
      <c r="AG24" s="457">
        <f t="shared" si="11"/>
        <v>5</v>
      </c>
      <c r="AH24" s="457">
        <f t="shared" si="11"/>
        <v>3</v>
      </c>
      <c r="AI24" s="457">
        <f t="shared" si="11"/>
        <v>0</v>
      </c>
      <c r="AJ24" s="457">
        <f t="shared" si="11"/>
        <v>2</v>
      </c>
      <c r="AK24" s="458">
        <f t="shared" si="11"/>
        <v>7</v>
      </c>
      <c r="AL24" s="458">
        <f t="shared" si="11"/>
        <v>5</v>
      </c>
      <c r="AM24" s="458">
        <f t="shared" si="11"/>
        <v>0</v>
      </c>
      <c r="AN24" s="458">
        <f t="shared" si="11"/>
        <v>2</v>
      </c>
    </row>
    <row r="25" spans="1:40" x14ac:dyDescent="0.25">
      <c r="A25" s="521" t="s">
        <v>178</v>
      </c>
      <c r="F25" s="14"/>
      <c r="G25" s="14"/>
      <c r="H25" s="13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40" x14ac:dyDescent="0.25">
      <c r="A26" s="521" t="s">
        <v>179</v>
      </c>
      <c r="F26" s="14"/>
    </row>
    <row r="27" spans="1:40" x14ac:dyDescent="0.25">
      <c r="A27" s="899" t="s">
        <v>716</v>
      </c>
    </row>
    <row r="28" spans="1:40" x14ac:dyDescent="0.25">
      <c r="A28" s="899" t="s">
        <v>707</v>
      </c>
    </row>
    <row r="29" spans="1:40" x14ac:dyDescent="0.25">
      <c r="A29" s="482" t="s">
        <v>970</v>
      </c>
    </row>
    <row r="30" spans="1:40" x14ac:dyDescent="0.25">
      <c r="A30" s="980" t="s">
        <v>58</v>
      </c>
    </row>
    <row r="31" spans="1:40" x14ac:dyDescent="0.25">
      <c r="A31" s="159"/>
      <c r="B31" t="s">
        <v>44</v>
      </c>
    </row>
    <row r="32" spans="1:40" x14ac:dyDescent="0.25">
      <c r="A32" s="157"/>
      <c r="B32" t="s">
        <v>42</v>
      </c>
    </row>
    <row r="33" spans="1:2" x14ac:dyDescent="0.25">
      <c r="A33" s="158"/>
      <c r="B33" t="s">
        <v>43</v>
      </c>
    </row>
    <row r="34" spans="1:2" x14ac:dyDescent="0.25">
      <c r="A34" s="15" t="s">
        <v>28</v>
      </c>
    </row>
  </sheetData>
  <mergeCells count="16">
    <mergeCell ref="Y1:AB1"/>
    <mergeCell ref="AC1:AF1"/>
    <mergeCell ref="AG1:AJ1"/>
    <mergeCell ref="AK1:AN1"/>
    <mergeCell ref="C19:E19"/>
    <mergeCell ref="C20:E20"/>
    <mergeCell ref="C21:E21"/>
    <mergeCell ref="C24:E24"/>
    <mergeCell ref="P1:R1"/>
    <mergeCell ref="A1:C1"/>
    <mergeCell ref="E1:G1"/>
    <mergeCell ref="H1:I1"/>
    <mergeCell ref="J1:M1"/>
    <mergeCell ref="N1:O1"/>
    <mergeCell ref="C22:E22"/>
    <mergeCell ref="C23:E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79C8E-15FD-48F6-A58C-064BF91566CB}">
  <dimension ref="A1:R120"/>
  <sheetViews>
    <sheetView topLeftCell="A76" workbookViewId="0">
      <selection activeCell="G94" sqref="G94"/>
    </sheetView>
  </sheetViews>
  <sheetFormatPr defaultRowHeight="14.3" x14ac:dyDescent="0.25"/>
  <cols>
    <col min="1" max="1" width="14.75" customWidth="1"/>
    <col min="2" max="2" width="7.75" customWidth="1"/>
    <col min="3" max="13" width="5.75" customWidth="1"/>
    <col min="14" max="14" width="8" customWidth="1"/>
    <col min="15" max="15" width="9.125" bestFit="1" customWidth="1"/>
  </cols>
  <sheetData>
    <row r="1" spans="1:15" x14ac:dyDescent="0.25">
      <c r="A1" s="621" t="s">
        <v>555</v>
      </c>
      <c r="B1" s="621" t="s">
        <v>665</v>
      </c>
      <c r="C1" s="592"/>
      <c r="D1" s="592"/>
      <c r="E1" s="592"/>
      <c r="F1" s="592"/>
      <c r="G1" s="592"/>
      <c r="H1" s="157"/>
      <c r="I1" s="157"/>
      <c r="J1" s="157"/>
      <c r="K1" s="157"/>
      <c r="L1" s="157"/>
      <c r="M1" s="157"/>
      <c r="N1" s="873" t="s">
        <v>8</v>
      </c>
      <c r="O1" s="490" t="s">
        <v>556</v>
      </c>
    </row>
    <row r="2" spans="1:15" x14ac:dyDescent="0.25">
      <c r="A2" s="593">
        <v>43728</v>
      </c>
      <c r="B2" s="989">
        <v>0.48958333333333331</v>
      </c>
      <c r="C2" s="990"/>
      <c r="D2" s="620"/>
      <c r="E2" s="621" t="s">
        <v>647</v>
      </c>
      <c r="F2" s="592">
        <v>30</v>
      </c>
      <c r="G2" s="621">
        <v>10</v>
      </c>
      <c r="H2" s="621" t="s">
        <v>648</v>
      </c>
      <c r="I2" s="620"/>
      <c r="J2" s="620"/>
      <c r="K2" s="987" t="s">
        <v>569</v>
      </c>
      <c r="L2" s="988"/>
      <c r="M2" s="988"/>
      <c r="N2" s="14">
        <v>45745</v>
      </c>
      <c r="O2" s="489">
        <v>49970</v>
      </c>
    </row>
    <row r="3" spans="1:15" x14ac:dyDescent="0.25">
      <c r="A3" s="593">
        <v>43730</v>
      </c>
      <c r="B3" s="989">
        <v>0.36458333333333331</v>
      </c>
      <c r="C3" s="990"/>
      <c r="D3" s="620"/>
      <c r="E3" s="621" t="s">
        <v>649</v>
      </c>
      <c r="F3" s="592">
        <v>27</v>
      </c>
      <c r="G3" s="621">
        <v>3</v>
      </c>
      <c r="H3" s="621" t="s">
        <v>650</v>
      </c>
      <c r="I3" s="620"/>
      <c r="J3" s="620"/>
      <c r="K3" s="987" t="s">
        <v>570</v>
      </c>
      <c r="L3" s="988"/>
      <c r="M3" s="988"/>
      <c r="N3" s="14">
        <v>63731</v>
      </c>
      <c r="O3" s="489">
        <v>72327</v>
      </c>
    </row>
    <row r="4" spans="1:15" x14ac:dyDescent="0.25">
      <c r="A4" s="593">
        <v>43732</v>
      </c>
      <c r="B4" s="989">
        <v>0.46875</v>
      </c>
      <c r="C4" s="990"/>
      <c r="D4" s="620"/>
      <c r="E4" s="621" t="s">
        <v>648</v>
      </c>
      <c r="F4" s="592">
        <v>9</v>
      </c>
      <c r="G4" s="621">
        <v>34</v>
      </c>
      <c r="H4" s="987" t="s">
        <v>651</v>
      </c>
      <c r="I4" s="988"/>
      <c r="J4" s="620"/>
      <c r="K4" s="987" t="s">
        <v>571</v>
      </c>
      <c r="L4" s="988"/>
      <c r="M4" s="988"/>
      <c r="N4" s="14">
        <v>22564</v>
      </c>
      <c r="O4" s="489">
        <v>25600</v>
      </c>
    </row>
    <row r="5" spans="1:15" x14ac:dyDescent="0.25">
      <c r="A5" s="593">
        <v>43736</v>
      </c>
      <c r="B5" s="989">
        <v>0.34375</v>
      </c>
      <c r="C5" s="990"/>
      <c r="D5" s="620"/>
      <c r="E5" s="621" t="s">
        <v>647</v>
      </c>
      <c r="F5" s="592">
        <v>19</v>
      </c>
      <c r="G5" s="621">
        <v>12</v>
      </c>
      <c r="H5" s="621" t="s">
        <v>649</v>
      </c>
      <c r="I5" s="620"/>
      <c r="J5" s="620"/>
      <c r="K5" s="987" t="s">
        <v>572</v>
      </c>
      <c r="L5" s="988"/>
      <c r="M5" s="988"/>
      <c r="N5" s="14">
        <v>47813</v>
      </c>
      <c r="O5" s="489">
        <v>50889</v>
      </c>
    </row>
    <row r="6" spans="1:15" x14ac:dyDescent="0.25">
      <c r="A6" s="593">
        <v>43738</v>
      </c>
      <c r="B6" s="989">
        <v>0.46875</v>
      </c>
      <c r="C6" s="990"/>
      <c r="D6" s="620"/>
      <c r="E6" s="621" t="s">
        <v>650</v>
      </c>
      <c r="F6" s="592">
        <v>34</v>
      </c>
      <c r="G6" s="621">
        <v>0</v>
      </c>
      <c r="H6" s="987" t="s">
        <v>651</v>
      </c>
      <c r="I6" s="988"/>
      <c r="J6" s="620"/>
      <c r="K6" s="987" t="s">
        <v>573</v>
      </c>
      <c r="L6" s="988"/>
      <c r="M6" s="988"/>
      <c r="N6" s="14">
        <v>27586</v>
      </c>
      <c r="O6" s="489">
        <v>30132</v>
      </c>
    </row>
    <row r="7" spans="1:15" x14ac:dyDescent="0.25">
      <c r="A7" s="593">
        <v>43741</v>
      </c>
      <c r="B7" s="989">
        <v>0.46875</v>
      </c>
      <c r="C7" s="990"/>
      <c r="D7" s="620"/>
      <c r="E7" s="621" t="s">
        <v>649</v>
      </c>
      <c r="F7" s="592">
        <v>35</v>
      </c>
      <c r="G7" s="621">
        <v>0</v>
      </c>
      <c r="H7" s="621" t="s">
        <v>648</v>
      </c>
      <c r="I7" s="620"/>
      <c r="J7" s="620"/>
      <c r="K7" s="987" t="s">
        <v>573</v>
      </c>
      <c r="L7" s="988"/>
      <c r="M7" s="988"/>
      <c r="N7" s="14">
        <v>26856</v>
      </c>
      <c r="O7" s="489">
        <v>30132</v>
      </c>
    </row>
    <row r="8" spans="1:15" x14ac:dyDescent="0.25">
      <c r="A8" s="593">
        <v>43743</v>
      </c>
      <c r="B8" s="989">
        <v>0.47916666666666669</v>
      </c>
      <c r="C8" s="990"/>
      <c r="D8" s="620"/>
      <c r="E8" s="621" t="s">
        <v>647</v>
      </c>
      <c r="F8" s="592">
        <v>39</v>
      </c>
      <c r="G8" s="621">
        <v>18</v>
      </c>
      <c r="H8" s="987" t="s">
        <v>651</v>
      </c>
      <c r="I8" s="988"/>
      <c r="J8" s="620"/>
      <c r="K8" s="987" t="s">
        <v>574</v>
      </c>
      <c r="L8" s="988"/>
      <c r="M8" s="988"/>
      <c r="N8" s="14">
        <v>39695</v>
      </c>
      <c r="O8" s="489">
        <v>45000</v>
      </c>
    </row>
    <row r="9" spans="1:15" x14ac:dyDescent="0.25">
      <c r="A9" s="593">
        <v>43747</v>
      </c>
      <c r="B9" s="989">
        <v>0.34375</v>
      </c>
      <c r="C9" s="990"/>
      <c r="D9" s="620"/>
      <c r="E9" s="621" t="s">
        <v>650</v>
      </c>
      <c r="F9" s="592">
        <v>61</v>
      </c>
      <c r="G9" s="621">
        <v>0</v>
      </c>
      <c r="H9" s="621" t="s">
        <v>648</v>
      </c>
      <c r="I9" s="620"/>
      <c r="J9" s="620"/>
      <c r="K9" s="987" t="s">
        <v>572</v>
      </c>
      <c r="L9" s="988"/>
      <c r="M9" s="988"/>
      <c r="N9" s="14">
        <v>44123</v>
      </c>
      <c r="O9" s="489">
        <v>50889</v>
      </c>
    </row>
    <row r="10" spans="1:15" x14ac:dyDescent="0.25">
      <c r="A10" s="593">
        <v>43750</v>
      </c>
      <c r="B10" s="989">
        <v>0.48958333333333331</v>
      </c>
      <c r="C10" s="990"/>
      <c r="D10" s="620"/>
      <c r="E10" s="621" t="s">
        <v>649</v>
      </c>
      <c r="F10" s="592">
        <v>47</v>
      </c>
      <c r="G10" s="621">
        <v>5</v>
      </c>
      <c r="H10" s="987" t="s">
        <v>651</v>
      </c>
      <c r="I10" s="988"/>
      <c r="J10" s="620"/>
      <c r="K10" s="987" t="s">
        <v>575</v>
      </c>
      <c r="L10" s="988"/>
      <c r="M10" s="988"/>
      <c r="N10" s="14">
        <v>17967</v>
      </c>
      <c r="O10" s="489">
        <v>21562</v>
      </c>
    </row>
    <row r="11" spans="1:15" x14ac:dyDescent="0.25">
      <c r="A11" s="593">
        <v>43751</v>
      </c>
      <c r="B11" s="989">
        <v>0.48958333333333331</v>
      </c>
      <c r="C11" s="990"/>
      <c r="D11" s="620"/>
      <c r="E11" s="621" t="s">
        <v>647</v>
      </c>
      <c r="F11" s="592">
        <v>28</v>
      </c>
      <c r="G11" s="621">
        <v>21</v>
      </c>
      <c r="H11" s="621" t="s">
        <v>650</v>
      </c>
      <c r="I11" s="620"/>
      <c r="J11" s="620"/>
      <c r="K11" s="987" t="s">
        <v>570</v>
      </c>
      <c r="L11" s="988"/>
      <c r="M11" s="988"/>
      <c r="N11" s="14">
        <v>67666</v>
      </c>
      <c r="O11" s="489">
        <v>72327</v>
      </c>
    </row>
    <row r="12" spans="1:15" ht="14.95" thickBot="1" x14ac:dyDescent="0.3">
      <c r="A12" s="593" t="s">
        <v>58</v>
      </c>
      <c r="B12" s="591" t="s">
        <v>58</v>
      </c>
      <c r="C12" s="592"/>
      <c r="D12" s="620"/>
      <c r="E12" s="592"/>
      <c r="F12" s="592"/>
      <c r="G12" s="592"/>
      <c r="H12" s="592"/>
      <c r="I12" s="592"/>
      <c r="J12" s="592"/>
      <c r="K12" s="592"/>
      <c r="L12" s="592"/>
      <c r="M12" s="592"/>
      <c r="N12" s="14"/>
      <c r="O12" s="489"/>
    </row>
    <row r="13" spans="1:15" ht="14.95" thickBot="1" x14ac:dyDescent="0.3">
      <c r="A13" s="594" t="s">
        <v>58</v>
      </c>
      <c r="B13" s="595" t="s">
        <v>0</v>
      </c>
      <c r="C13" s="595" t="s">
        <v>1</v>
      </c>
      <c r="D13" s="595" t="s">
        <v>2</v>
      </c>
      <c r="E13" s="596" t="s">
        <v>3</v>
      </c>
      <c r="F13" s="595" t="s">
        <v>557</v>
      </c>
      <c r="G13" s="595" t="s">
        <v>558</v>
      </c>
      <c r="H13" s="596" t="s">
        <v>645</v>
      </c>
      <c r="I13" s="595" t="s">
        <v>666</v>
      </c>
      <c r="J13" s="595" t="s">
        <v>667</v>
      </c>
      <c r="K13" s="596" t="s">
        <v>646</v>
      </c>
      <c r="L13" s="595" t="s">
        <v>559</v>
      </c>
      <c r="M13" s="596" t="s">
        <v>50</v>
      </c>
      <c r="N13" s="14"/>
      <c r="O13" s="489"/>
    </row>
    <row r="14" spans="1:15" ht="14.95" thickBot="1" x14ac:dyDescent="0.3">
      <c r="A14" s="943" t="s">
        <v>966</v>
      </c>
      <c r="B14" s="944">
        <f>jpn2019poolplayed</f>
        <v>4</v>
      </c>
      <c r="C14" s="944">
        <f>jpn2019poolwon</f>
        <v>4</v>
      </c>
      <c r="D14" s="944">
        <f>jpn2019pooldrawn</f>
        <v>0</v>
      </c>
      <c r="E14" s="944">
        <f>jpn2019poollost</f>
        <v>0</v>
      </c>
      <c r="F14" s="945">
        <f>jpn2019poolptsscored</f>
        <v>115</v>
      </c>
      <c r="G14" s="945">
        <f>jpn2019poolptscon</f>
        <v>62</v>
      </c>
      <c r="H14" s="946">
        <f>SUM(F14-G14)</f>
        <v>53</v>
      </c>
      <c r="I14" s="945">
        <f>jpn2019pooltriesscored</f>
        <v>13</v>
      </c>
      <c r="J14" s="945">
        <f>jpn2019pooltriescon</f>
        <v>7</v>
      </c>
      <c r="K14" s="946">
        <f>SUM(I14-J14)</f>
        <v>6</v>
      </c>
      <c r="L14" s="945">
        <f>jpn2019pooltbscored+jpn2019poollbscored</f>
        <v>3</v>
      </c>
      <c r="M14" s="946">
        <f>SUM(C14*4+D14*2+L14)</f>
        <v>19</v>
      </c>
      <c r="N14" s="14"/>
      <c r="O14" s="489"/>
    </row>
    <row r="15" spans="1:15" ht="14.95" thickBot="1" x14ac:dyDescent="0.3">
      <c r="A15" s="615" t="s">
        <v>967</v>
      </c>
      <c r="B15" s="616">
        <f>Ire2019poolplayed</f>
        <v>4</v>
      </c>
      <c r="C15" s="616">
        <f>Ire2019poolwon</f>
        <v>3</v>
      </c>
      <c r="D15" s="616">
        <f>Ire2019pooldrawn</f>
        <v>0</v>
      </c>
      <c r="E15" s="616">
        <f>Ire2019poollost</f>
        <v>1</v>
      </c>
      <c r="F15" s="618">
        <f>Ire2019poolptsscored</f>
        <v>121</v>
      </c>
      <c r="G15" s="618">
        <f>Ire2019poolptscon</f>
        <v>27</v>
      </c>
      <c r="H15" s="617">
        <f>SUM(F15-G15)</f>
        <v>94</v>
      </c>
      <c r="I15" s="618">
        <f>Ire2019pooltriesscored</f>
        <v>18</v>
      </c>
      <c r="J15" s="618">
        <f>Ire2019pooltriescon</f>
        <v>2</v>
      </c>
      <c r="K15" s="617">
        <f>SUM(I15-J15)</f>
        <v>16</v>
      </c>
      <c r="L15" s="618">
        <f>Ire2019pooltbscored+Ire2019poollbscored</f>
        <v>4</v>
      </c>
      <c r="M15" s="617">
        <f>SUM(C15*4+D15*2+L15)</f>
        <v>16</v>
      </c>
      <c r="N15" s="14"/>
      <c r="O15" s="489"/>
    </row>
    <row r="16" spans="1:15" ht="14.95" thickBot="1" x14ac:dyDescent="0.3">
      <c r="A16" s="597" t="s">
        <v>949</v>
      </c>
      <c r="B16" s="598">
        <f>Sco2019poolplayed</f>
        <v>4</v>
      </c>
      <c r="C16" s="599">
        <f>Sco2019poolwon</f>
        <v>2</v>
      </c>
      <c r="D16" s="599">
        <f>Sco2019pooldrawn</f>
        <v>0</v>
      </c>
      <c r="E16" s="599">
        <f>sco2019poollost</f>
        <v>2</v>
      </c>
      <c r="F16" s="600">
        <f>Sco2019poolptsscored</f>
        <v>119</v>
      </c>
      <c r="G16" s="600">
        <f>Sco2019poolptsagainst</f>
        <v>55</v>
      </c>
      <c r="H16" s="601">
        <f>SUM(F16-G16)</f>
        <v>64</v>
      </c>
      <c r="I16" s="600">
        <f>Sco2019pooltriesscored</f>
        <v>16</v>
      </c>
      <c r="J16" s="602">
        <f>Sco2019pooltriescon</f>
        <v>8</v>
      </c>
      <c r="K16" s="601">
        <f>SUM(I16-J16)</f>
        <v>8</v>
      </c>
      <c r="L16" s="600">
        <f>Sco2019pooltbscored+Sco2019poollbscored</f>
        <v>3</v>
      </c>
      <c r="M16" s="601">
        <f>SUM(C16*4+D16*2+L16)</f>
        <v>11</v>
      </c>
      <c r="N16" s="14"/>
      <c r="O16" s="489"/>
    </row>
    <row r="17" spans="1:15" ht="14.95" thickBot="1" x14ac:dyDescent="0.3">
      <c r="A17" s="939" t="s">
        <v>148</v>
      </c>
      <c r="B17" s="940">
        <f>Sam2019poolplayed</f>
        <v>4</v>
      </c>
      <c r="C17" s="940">
        <f>Sam2019poolwon</f>
        <v>1</v>
      </c>
      <c r="D17" s="940">
        <f>Sam2019pooldrawn</f>
        <v>0</v>
      </c>
      <c r="E17" s="940">
        <f>Sam2019poollost</f>
        <v>3</v>
      </c>
      <c r="F17" s="941">
        <f>Sam2019poolptsscored</f>
        <v>58</v>
      </c>
      <c r="G17" s="941">
        <f>Sam2019poolptscon</f>
        <v>128</v>
      </c>
      <c r="H17" s="942">
        <f>SUM(F17-G17)</f>
        <v>-70</v>
      </c>
      <c r="I17" s="941">
        <f>Sam2019pooltriesscored</f>
        <v>8</v>
      </c>
      <c r="J17" s="941">
        <f>Sam2019pooltriescon</f>
        <v>15</v>
      </c>
      <c r="K17" s="942">
        <f>SUM(I17-J17)</f>
        <v>-7</v>
      </c>
      <c r="L17" s="941">
        <f>Sam2019pooltbscored+Sam2019poollbscored</f>
        <v>1</v>
      </c>
      <c r="M17" s="942">
        <f>SUM(C17*4+D17*2+L17)</f>
        <v>5</v>
      </c>
      <c r="N17" s="14"/>
      <c r="O17" s="489"/>
    </row>
    <row r="18" spans="1:15" ht="14.95" thickBot="1" x14ac:dyDescent="0.3">
      <c r="A18" s="597" t="s">
        <v>105</v>
      </c>
      <c r="B18" s="598">
        <f>Rus2019poolplayedcorrect</f>
        <v>4</v>
      </c>
      <c r="C18" s="599">
        <f>Rus2019poolwoncorrect</f>
        <v>0</v>
      </c>
      <c r="D18" s="599">
        <f>Rus2019pooldrawn</f>
        <v>0</v>
      </c>
      <c r="E18" s="599">
        <f>Rus2019poollost</f>
        <v>4</v>
      </c>
      <c r="F18" s="600">
        <f>Rus2019poolptsscored</f>
        <v>19</v>
      </c>
      <c r="G18" s="600">
        <f>Rus2019poolptscon</f>
        <v>160</v>
      </c>
      <c r="H18" s="601">
        <f>SUM(F18-G18)</f>
        <v>-141</v>
      </c>
      <c r="I18" s="600">
        <f>Rus2019pooltriesscored</f>
        <v>1</v>
      </c>
      <c r="J18" s="602">
        <f>Rus2019pooltriescon</f>
        <v>24</v>
      </c>
      <c r="K18" s="601">
        <f>SUM(I18-J18)</f>
        <v>-23</v>
      </c>
      <c r="L18" s="600">
        <f>Rus2019pooltbscored+Rus2019poollbscored</f>
        <v>0</v>
      </c>
      <c r="M18" s="601">
        <f>SUM(C18*4+D18*2+L18)</f>
        <v>0</v>
      </c>
      <c r="N18" s="14"/>
      <c r="O18" s="489"/>
    </row>
    <row r="19" spans="1:15" x14ac:dyDescent="0.25">
      <c r="A19" s="640"/>
      <c r="B19" s="641"/>
      <c r="C19" s="642"/>
      <c r="D19" s="643"/>
      <c r="E19" s="642"/>
      <c r="F19" s="642"/>
      <c r="G19" s="642"/>
      <c r="H19" s="644"/>
      <c r="I19" s="644"/>
      <c r="J19" s="644"/>
      <c r="K19" s="644"/>
      <c r="L19" s="644"/>
      <c r="M19" s="644"/>
      <c r="N19" s="14"/>
      <c r="O19" s="489"/>
    </row>
    <row r="20" spans="1:15" x14ac:dyDescent="0.25">
      <c r="A20" s="640" t="s">
        <v>560</v>
      </c>
      <c r="B20" s="878" t="s">
        <v>665</v>
      </c>
      <c r="C20" s="642"/>
      <c r="D20" s="642"/>
      <c r="E20" s="642"/>
      <c r="F20" s="642"/>
      <c r="G20" s="642"/>
      <c r="H20" s="644"/>
      <c r="I20" s="644"/>
      <c r="J20" s="644"/>
      <c r="K20" s="644"/>
      <c r="L20" s="644"/>
      <c r="M20" s="644"/>
      <c r="N20" s="14"/>
      <c r="O20" s="489"/>
    </row>
    <row r="21" spans="1:15" x14ac:dyDescent="0.25">
      <c r="A21" s="645">
        <v>43729</v>
      </c>
      <c r="B21" s="994">
        <v>0.44791666666666669</v>
      </c>
      <c r="C21" s="992"/>
      <c r="D21" s="643"/>
      <c r="E21" s="640" t="s">
        <v>652</v>
      </c>
      <c r="F21" s="643">
        <v>23</v>
      </c>
      <c r="G21" s="640">
        <v>13</v>
      </c>
      <c r="H21" s="993" t="s">
        <v>653</v>
      </c>
      <c r="I21" s="992"/>
      <c r="J21" s="643"/>
      <c r="K21" s="991" t="s">
        <v>570</v>
      </c>
      <c r="L21" s="992"/>
      <c r="M21" s="992"/>
      <c r="N21" s="14">
        <v>63649</v>
      </c>
      <c r="O21" s="489">
        <v>72327</v>
      </c>
    </row>
    <row r="22" spans="1:15" x14ac:dyDescent="0.25">
      <c r="A22" s="645">
        <v>43730</v>
      </c>
      <c r="B22" s="994">
        <v>0.26041666666666669</v>
      </c>
      <c r="C22" s="992"/>
      <c r="D22" s="643"/>
      <c r="E22" s="640" t="s">
        <v>655</v>
      </c>
      <c r="F22" s="643">
        <v>47</v>
      </c>
      <c r="G22" s="640">
        <v>22</v>
      </c>
      <c r="H22" s="993" t="s">
        <v>654</v>
      </c>
      <c r="I22" s="992"/>
      <c r="J22" s="643"/>
      <c r="K22" s="991" t="s">
        <v>786</v>
      </c>
      <c r="L22" s="992"/>
      <c r="M22" s="992"/>
      <c r="N22" s="14">
        <v>20354</v>
      </c>
      <c r="O22" s="489">
        <v>24000</v>
      </c>
    </row>
    <row r="23" spans="1:15" x14ac:dyDescent="0.25">
      <c r="A23" s="645">
        <v>43734</v>
      </c>
      <c r="B23" s="994">
        <v>0.36458333333333331</v>
      </c>
      <c r="C23" s="992"/>
      <c r="D23" s="643"/>
      <c r="E23" s="640" t="s">
        <v>656</v>
      </c>
      <c r="F23" s="643">
        <v>7</v>
      </c>
      <c r="G23" s="640">
        <v>48</v>
      </c>
      <c r="H23" s="993" t="s">
        <v>655</v>
      </c>
      <c r="I23" s="992"/>
      <c r="J23" s="643"/>
      <c r="K23" s="991" t="s">
        <v>575</v>
      </c>
      <c r="L23" s="992"/>
      <c r="M23" s="992"/>
      <c r="N23" s="14">
        <v>16984</v>
      </c>
      <c r="O23" s="489">
        <v>21562</v>
      </c>
    </row>
    <row r="24" spans="1:15" x14ac:dyDescent="0.25">
      <c r="A24" s="645">
        <v>43736</v>
      </c>
      <c r="B24" s="994">
        <v>0.44791666666666669</v>
      </c>
      <c r="C24" s="992"/>
      <c r="D24" s="643"/>
      <c r="E24" s="640" t="s">
        <v>653</v>
      </c>
      <c r="F24" s="643">
        <v>57</v>
      </c>
      <c r="G24" s="640">
        <v>3</v>
      </c>
      <c r="H24" s="993" t="s">
        <v>654</v>
      </c>
      <c r="I24" s="992"/>
      <c r="J24" s="643"/>
      <c r="K24" s="991" t="s">
        <v>574</v>
      </c>
      <c r="L24" s="992"/>
      <c r="M24" s="992"/>
      <c r="N24" s="14">
        <v>36449</v>
      </c>
      <c r="O24" s="489">
        <v>45000</v>
      </c>
    </row>
    <row r="25" spans="1:15" x14ac:dyDescent="0.25">
      <c r="A25" s="645">
        <v>43740</v>
      </c>
      <c r="B25" s="994">
        <v>0.46875</v>
      </c>
      <c r="C25" s="992"/>
      <c r="D25" s="643"/>
      <c r="E25" s="640" t="s">
        <v>652</v>
      </c>
      <c r="F25" s="643">
        <v>63</v>
      </c>
      <c r="G25" s="640">
        <v>0</v>
      </c>
      <c r="H25" s="993" t="s">
        <v>656</v>
      </c>
      <c r="I25" s="992"/>
      <c r="J25" s="643"/>
      <c r="K25" s="991" t="s">
        <v>576</v>
      </c>
      <c r="L25" s="992"/>
      <c r="M25" s="992"/>
      <c r="N25" s="14">
        <v>34411</v>
      </c>
      <c r="O25" s="489">
        <v>40000</v>
      </c>
    </row>
    <row r="26" spans="1:15" x14ac:dyDescent="0.25">
      <c r="A26" s="645">
        <v>43742</v>
      </c>
      <c r="B26" s="994">
        <v>0.44791666666666669</v>
      </c>
      <c r="C26" s="992"/>
      <c r="D26" s="643"/>
      <c r="E26" s="640" t="s">
        <v>653</v>
      </c>
      <c r="F26" s="643">
        <v>49</v>
      </c>
      <c r="G26" s="640">
        <v>3</v>
      </c>
      <c r="H26" s="993" t="s">
        <v>655</v>
      </c>
      <c r="I26" s="992"/>
      <c r="J26" s="643"/>
      <c r="K26" s="991" t="s">
        <v>572</v>
      </c>
      <c r="L26" s="992"/>
      <c r="M26" s="992"/>
      <c r="N26" s="14">
        <v>44148</v>
      </c>
      <c r="O26" s="489">
        <v>50889</v>
      </c>
    </row>
    <row r="27" spans="1:15" x14ac:dyDescent="0.25">
      <c r="A27" s="645">
        <v>43744</v>
      </c>
      <c r="B27" s="994">
        <v>0.23958333333333334</v>
      </c>
      <c r="C27" s="992"/>
      <c r="D27" s="643"/>
      <c r="E27" s="640" t="s">
        <v>652</v>
      </c>
      <c r="F27" s="643">
        <v>71</v>
      </c>
      <c r="G27" s="640">
        <v>9</v>
      </c>
      <c r="H27" s="993" t="s">
        <v>654</v>
      </c>
      <c r="I27" s="992"/>
      <c r="J27" s="643"/>
      <c r="K27" s="991" t="s">
        <v>569</v>
      </c>
      <c r="L27" s="992"/>
      <c r="M27" s="992"/>
      <c r="N27" s="14">
        <v>48354</v>
      </c>
      <c r="O27" s="489">
        <v>49970</v>
      </c>
    </row>
    <row r="28" spans="1:15" x14ac:dyDescent="0.25">
      <c r="A28" s="645">
        <v>43746</v>
      </c>
      <c r="B28" s="994">
        <v>0.46875</v>
      </c>
      <c r="C28" s="992"/>
      <c r="D28" s="643"/>
      <c r="E28" s="640" t="s">
        <v>653</v>
      </c>
      <c r="F28" s="643">
        <v>66</v>
      </c>
      <c r="G28" s="640">
        <v>7</v>
      </c>
      <c r="H28" s="993" t="s">
        <v>656</v>
      </c>
      <c r="I28" s="992"/>
      <c r="J28" s="643"/>
      <c r="K28" s="991" t="s">
        <v>573</v>
      </c>
      <c r="L28" s="992"/>
      <c r="M28" s="992"/>
      <c r="N28" s="14">
        <v>28014</v>
      </c>
      <c r="O28" s="489">
        <v>30132</v>
      </c>
    </row>
    <row r="29" spans="1:15" x14ac:dyDescent="0.25">
      <c r="A29" s="645">
        <v>43750</v>
      </c>
      <c r="B29" s="994">
        <v>0.23958333333333334</v>
      </c>
      <c r="C29" s="992"/>
      <c r="D29" s="643"/>
      <c r="E29" s="640" t="s">
        <v>652</v>
      </c>
      <c r="F29" s="643">
        <v>0</v>
      </c>
      <c r="G29" s="640">
        <v>0</v>
      </c>
      <c r="H29" s="993" t="s">
        <v>655</v>
      </c>
      <c r="I29" s="992"/>
      <c r="J29" s="643"/>
      <c r="K29" s="991" t="s">
        <v>574</v>
      </c>
      <c r="L29" s="992"/>
      <c r="M29" s="992"/>
      <c r="N29" s="706" t="s">
        <v>108</v>
      </c>
      <c r="O29" s="956" t="s">
        <v>108</v>
      </c>
    </row>
    <row r="30" spans="1:15" x14ac:dyDescent="0.25">
      <c r="A30" s="645">
        <v>43751</v>
      </c>
      <c r="B30" s="994">
        <v>0.17708333333333334</v>
      </c>
      <c r="C30" s="992"/>
      <c r="D30" s="643" t="s">
        <v>58</v>
      </c>
      <c r="E30" s="640" t="s">
        <v>654</v>
      </c>
      <c r="F30" s="643">
        <v>0</v>
      </c>
      <c r="G30" s="640">
        <v>0</v>
      </c>
      <c r="H30" s="993" t="s">
        <v>656</v>
      </c>
      <c r="I30" s="992"/>
      <c r="J30" s="643"/>
      <c r="K30" s="991" t="s">
        <v>577</v>
      </c>
      <c r="L30" s="992"/>
      <c r="M30" s="992"/>
      <c r="N30" s="706" t="s">
        <v>108</v>
      </c>
      <c r="O30" s="956" t="s">
        <v>108</v>
      </c>
    </row>
    <row r="31" spans="1:15" ht="14.95" thickBot="1" x14ac:dyDescent="0.3">
      <c r="A31" s="645" t="s">
        <v>58</v>
      </c>
      <c r="B31" s="641" t="s">
        <v>58</v>
      </c>
      <c r="C31" s="642"/>
      <c r="D31" s="643"/>
      <c r="E31" s="642"/>
      <c r="F31" s="642"/>
      <c r="G31" s="642"/>
      <c r="H31" s="642"/>
      <c r="I31" s="642"/>
      <c r="J31" s="642"/>
      <c r="K31" s="642"/>
      <c r="L31" s="642"/>
      <c r="M31" s="642"/>
      <c r="N31" s="14"/>
      <c r="O31" s="489"/>
    </row>
    <row r="32" spans="1:15" ht="14.95" thickBot="1" x14ac:dyDescent="0.3">
      <c r="A32" s="646" t="s">
        <v>58</v>
      </c>
      <c r="B32" s="647" t="s">
        <v>0</v>
      </c>
      <c r="C32" s="647" t="s">
        <v>1</v>
      </c>
      <c r="D32" s="647" t="s">
        <v>2</v>
      </c>
      <c r="E32" s="648" t="s">
        <v>3</v>
      </c>
      <c r="F32" s="647" t="s">
        <v>557</v>
      </c>
      <c r="G32" s="647" t="s">
        <v>558</v>
      </c>
      <c r="H32" s="648" t="s">
        <v>645</v>
      </c>
      <c r="I32" s="647" t="s">
        <v>666</v>
      </c>
      <c r="J32" s="647" t="s">
        <v>667</v>
      </c>
      <c r="K32" s="648" t="s">
        <v>646</v>
      </c>
      <c r="L32" s="647" t="s">
        <v>559</v>
      </c>
      <c r="M32" s="648" t="s">
        <v>50</v>
      </c>
      <c r="N32" s="14"/>
      <c r="O32" s="489"/>
    </row>
    <row r="33" spans="1:15" ht="14.95" thickBot="1" x14ac:dyDescent="0.3">
      <c r="A33" s="619" t="s">
        <v>942</v>
      </c>
      <c r="B33" s="616">
        <f>Nzl2019poolplayed</f>
        <v>4</v>
      </c>
      <c r="C33" s="616">
        <f>Nzl2019poolwon</f>
        <v>3</v>
      </c>
      <c r="D33" s="616">
        <f>Nzl2019pooldrawn</f>
        <v>1</v>
      </c>
      <c r="E33" s="616">
        <f>Nzl2019poollost</f>
        <v>0</v>
      </c>
      <c r="F33" s="618">
        <f>Nzl2019poolptsscored</f>
        <v>157</v>
      </c>
      <c r="G33" s="618">
        <f>Nzl2019poolptscon</f>
        <v>22</v>
      </c>
      <c r="H33" s="617">
        <f>SUM(F33-G33)</f>
        <v>135</v>
      </c>
      <c r="I33" s="618">
        <f>Nzl2019pooltriesscored</f>
        <v>22</v>
      </c>
      <c r="J33" s="618">
        <f>Nzl2019pooltriescon</f>
        <v>1</v>
      </c>
      <c r="K33" s="617">
        <f>SUM(I33-J33)</f>
        <v>21</v>
      </c>
      <c r="L33" s="618">
        <f>Nzl2019pooltbscored+Nzl2019poollbscored</f>
        <v>2</v>
      </c>
      <c r="M33" s="617">
        <f>SUM(C33*4+D33*2+L33)</f>
        <v>16</v>
      </c>
      <c r="N33" s="14"/>
      <c r="O33" s="489"/>
    </row>
    <row r="34" spans="1:15" ht="14.95" thickBot="1" x14ac:dyDescent="0.3">
      <c r="A34" s="615" t="s">
        <v>958</v>
      </c>
      <c r="B34" s="616">
        <f>Rsa2019poolplayed</f>
        <v>4</v>
      </c>
      <c r="C34" s="952">
        <f>Rsa2019poolwon</f>
        <v>3</v>
      </c>
      <c r="D34" s="952">
        <f>Rsa2019pooldrawn</f>
        <v>0</v>
      </c>
      <c r="E34" s="952">
        <f>Rsa2019poollost</f>
        <v>1</v>
      </c>
      <c r="F34" s="953">
        <f>Rsa2019poolptsscored</f>
        <v>185</v>
      </c>
      <c r="G34" s="953">
        <f>Rsa2019poolptscon</f>
        <v>36</v>
      </c>
      <c r="H34" s="617">
        <f>SUM(F34-G34)</f>
        <v>149</v>
      </c>
      <c r="I34" s="953">
        <f>Rsa2019pooltriesscored</f>
        <v>27</v>
      </c>
      <c r="J34" s="618">
        <f>Rsa2019pooltriescon</f>
        <v>3</v>
      </c>
      <c r="K34" s="617">
        <f>SUM(I34-J34)</f>
        <v>24</v>
      </c>
      <c r="L34" s="953">
        <f>Rsa2019pooltbscored+Rsa2019poollbscored</f>
        <v>3</v>
      </c>
      <c r="M34" s="617">
        <f>SUM(C34*4+D34*2+L34)</f>
        <v>15</v>
      </c>
      <c r="N34" s="14"/>
      <c r="O34" s="489"/>
    </row>
    <row r="35" spans="1:15" ht="14.95" thickBot="1" x14ac:dyDescent="0.3">
      <c r="A35" s="649" t="s">
        <v>955</v>
      </c>
      <c r="B35" s="650">
        <f>ita2019poolplayed</f>
        <v>4</v>
      </c>
      <c r="C35" s="650">
        <f>ita2019poolwon</f>
        <v>2</v>
      </c>
      <c r="D35" s="650">
        <f>ita2019pooldrawn</f>
        <v>1</v>
      </c>
      <c r="E35" s="650">
        <f>ita2019poollost</f>
        <v>1</v>
      </c>
      <c r="F35" s="651">
        <f>ita2019poolptsscored</f>
        <v>98</v>
      </c>
      <c r="G35" s="651">
        <f>ita2019poolptscon</f>
        <v>78</v>
      </c>
      <c r="H35" s="652">
        <f>SUM(F35-G35)</f>
        <v>20</v>
      </c>
      <c r="I35" s="651">
        <f>ita2019pooltriesscored</f>
        <v>14</v>
      </c>
      <c r="J35" s="651">
        <f>ita2019pooltriescon</f>
        <v>11</v>
      </c>
      <c r="K35" s="652">
        <f>SUM(I35-J35)</f>
        <v>3</v>
      </c>
      <c r="L35" s="651">
        <f>ita2019pooltbscored+ita2019poollbscored</f>
        <v>2</v>
      </c>
      <c r="M35" s="652">
        <f>SUM(C35*4+D35*2+L35)</f>
        <v>12</v>
      </c>
      <c r="N35" s="14"/>
      <c r="O35" s="489"/>
    </row>
    <row r="36" spans="1:15" ht="14.95" thickBot="1" x14ac:dyDescent="0.3">
      <c r="A36" s="649" t="s">
        <v>40</v>
      </c>
      <c r="B36" s="650">
        <f>can2019poolplayed</f>
        <v>4</v>
      </c>
      <c r="C36" s="653">
        <f>can2019poolwon</f>
        <v>0</v>
      </c>
      <c r="D36" s="653">
        <f>can2019pooldrawn</f>
        <v>1</v>
      </c>
      <c r="E36" s="653">
        <f>can2019poollost</f>
        <v>3</v>
      </c>
      <c r="F36" s="654">
        <f>can2019poolptsscored</f>
        <v>14</v>
      </c>
      <c r="G36" s="654">
        <f>can2019poolptsagainst</f>
        <v>177</v>
      </c>
      <c r="H36" s="652">
        <f>SUM(F36-G36)</f>
        <v>-163</v>
      </c>
      <c r="I36" s="654">
        <f>can2019pooltriesscored</f>
        <v>0</v>
      </c>
      <c r="J36" s="651">
        <f>can2019pooltriescon</f>
        <v>26</v>
      </c>
      <c r="K36" s="652">
        <f>SUM(I36-J36)</f>
        <v>-26</v>
      </c>
      <c r="L36" s="654">
        <f>can2019pooltbscored+can2019poollbscored</f>
        <v>0</v>
      </c>
      <c r="M36" s="652">
        <f>SUM(C36*4+D36*2+L36)</f>
        <v>2</v>
      </c>
      <c r="N36" s="14"/>
      <c r="O36" s="489"/>
    </row>
    <row r="37" spans="1:15" ht="14.95" thickBot="1" x14ac:dyDescent="0.3">
      <c r="A37" s="649" t="s">
        <v>193</v>
      </c>
      <c r="B37" s="650">
        <f>Nam2019poolplayed</f>
        <v>4</v>
      </c>
      <c r="C37" s="650">
        <f>Nam2019poolwon</f>
        <v>0</v>
      </c>
      <c r="D37" s="650">
        <f>Nam2019pooldrawn</f>
        <v>1</v>
      </c>
      <c r="E37" s="650">
        <f>Nam2019poollost</f>
        <v>3</v>
      </c>
      <c r="F37" s="651">
        <f>Nam2019poolptsscored</f>
        <v>34</v>
      </c>
      <c r="G37" s="651">
        <f>Nam2019poolptscon</f>
        <v>175</v>
      </c>
      <c r="H37" s="652">
        <f>SUM(F37-G37)</f>
        <v>-141</v>
      </c>
      <c r="I37" s="651">
        <f>Nam2019pooltriesscored</f>
        <v>3</v>
      </c>
      <c r="J37" s="651">
        <f>Nam2019pooltriescon</f>
        <v>27</v>
      </c>
      <c r="K37" s="652">
        <f>SUM(I37-J37)</f>
        <v>-24</v>
      </c>
      <c r="L37" s="651">
        <f>Nam2019pooltbscored+Nam2019poollbscored</f>
        <v>0</v>
      </c>
      <c r="M37" s="652">
        <f>SUM(C37*4+D37*2+L37)</f>
        <v>2</v>
      </c>
      <c r="N37" s="14"/>
      <c r="O37" s="489"/>
    </row>
    <row r="38" spans="1:15" x14ac:dyDescent="0.25">
      <c r="A38" s="234"/>
      <c r="B38" s="929"/>
      <c r="C38" s="929"/>
      <c r="D38" s="929"/>
      <c r="E38" s="929"/>
      <c r="F38" s="236"/>
      <c r="G38" s="236"/>
      <c r="H38" s="711"/>
      <c r="I38" s="236"/>
      <c r="J38" s="236"/>
      <c r="K38" s="711"/>
      <c r="L38" s="236"/>
      <c r="M38" s="711"/>
      <c r="N38" s="14"/>
      <c r="O38" s="489"/>
    </row>
    <row r="39" spans="1:15" x14ac:dyDescent="0.25">
      <c r="A39" s="587"/>
      <c r="B39" s="588"/>
      <c r="C39" s="589"/>
      <c r="D39" s="590"/>
      <c r="E39" s="589"/>
      <c r="F39" s="589"/>
      <c r="G39" s="589"/>
      <c r="H39" s="14"/>
      <c r="I39" s="14"/>
      <c r="J39" s="14"/>
      <c r="K39" s="14"/>
      <c r="L39" s="14"/>
      <c r="M39" s="14"/>
      <c r="N39" s="14"/>
      <c r="O39" s="489"/>
    </row>
    <row r="40" spans="1:15" x14ac:dyDescent="0.25">
      <c r="A40" s="655" t="s">
        <v>562</v>
      </c>
      <c r="B40" s="877" t="s">
        <v>665</v>
      </c>
      <c r="C40" s="656"/>
      <c r="D40" s="656"/>
      <c r="E40" s="656"/>
      <c r="F40" s="656"/>
      <c r="G40" s="656"/>
      <c r="H40" s="657"/>
      <c r="I40" s="657"/>
      <c r="J40" s="657"/>
      <c r="K40" s="657"/>
      <c r="L40" s="657"/>
      <c r="M40" s="657"/>
      <c r="N40" s="14"/>
      <c r="O40" s="489"/>
    </row>
    <row r="41" spans="1:15" x14ac:dyDescent="0.25">
      <c r="A41" s="658">
        <v>43729</v>
      </c>
      <c r="B41" s="985">
        <v>0.34375</v>
      </c>
      <c r="C41" s="986"/>
      <c r="D41" s="660"/>
      <c r="E41" s="655" t="s">
        <v>657</v>
      </c>
      <c r="F41" s="660">
        <v>23</v>
      </c>
      <c r="G41" s="655">
        <v>21</v>
      </c>
      <c r="H41" s="996" t="s">
        <v>658</v>
      </c>
      <c r="I41" s="986"/>
      <c r="J41" s="660"/>
      <c r="K41" s="995" t="s">
        <v>569</v>
      </c>
      <c r="L41" s="986"/>
      <c r="M41" s="986"/>
      <c r="N41" s="14">
        <v>44004</v>
      </c>
      <c r="O41" s="489">
        <v>49970</v>
      </c>
    </row>
    <row r="42" spans="1:15" x14ac:dyDescent="0.25">
      <c r="A42" s="658">
        <v>43730</v>
      </c>
      <c r="B42" s="985">
        <v>0.46875</v>
      </c>
      <c r="C42" s="986"/>
      <c r="D42" s="660"/>
      <c r="E42" s="655" t="s">
        <v>659</v>
      </c>
      <c r="F42" s="660">
        <v>35</v>
      </c>
      <c r="G42" s="655">
        <v>3</v>
      </c>
      <c r="H42" s="996" t="s">
        <v>910</v>
      </c>
      <c r="I42" s="986"/>
      <c r="J42" s="660"/>
      <c r="K42" s="995" t="s">
        <v>578</v>
      </c>
      <c r="L42" s="986"/>
      <c r="M42" s="986"/>
      <c r="N42" s="14">
        <v>35923</v>
      </c>
      <c r="O42" s="489">
        <v>41410</v>
      </c>
    </row>
    <row r="43" spans="1:15" x14ac:dyDescent="0.25">
      <c r="A43" s="658">
        <v>43734</v>
      </c>
      <c r="B43" s="985">
        <v>0.48958333333333331</v>
      </c>
      <c r="C43" s="986"/>
      <c r="D43" s="660"/>
      <c r="E43" s="655" t="s">
        <v>659</v>
      </c>
      <c r="F43" s="660">
        <v>45</v>
      </c>
      <c r="G43" s="655">
        <v>7</v>
      </c>
      <c r="H43" s="996" t="s">
        <v>60</v>
      </c>
      <c r="I43" s="986"/>
      <c r="J43" s="660"/>
      <c r="K43" s="995" t="s">
        <v>573</v>
      </c>
      <c r="L43" s="986"/>
      <c r="M43" s="986"/>
      <c r="N43" s="14">
        <v>27194</v>
      </c>
      <c r="O43" s="489">
        <v>30132</v>
      </c>
    </row>
    <row r="44" spans="1:15" x14ac:dyDescent="0.25">
      <c r="A44" s="658">
        <v>43736</v>
      </c>
      <c r="B44" s="985">
        <v>0.23958333333333334</v>
      </c>
      <c r="C44" s="986"/>
      <c r="D44" s="660"/>
      <c r="E44" s="655" t="s">
        <v>658</v>
      </c>
      <c r="F44" s="660">
        <v>28</v>
      </c>
      <c r="G44" s="655">
        <v>12</v>
      </c>
      <c r="H44" s="996" t="s">
        <v>910</v>
      </c>
      <c r="I44" s="986"/>
      <c r="J44" s="660"/>
      <c r="K44" s="995" t="s">
        <v>786</v>
      </c>
      <c r="L44" s="986"/>
      <c r="M44" s="986"/>
      <c r="N44" s="14">
        <v>21971</v>
      </c>
      <c r="O44" s="489">
        <v>24000</v>
      </c>
    </row>
    <row r="45" spans="1:15" x14ac:dyDescent="0.25">
      <c r="A45" s="658">
        <v>43740</v>
      </c>
      <c r="B45" s="985">
        <v>0.36458333333333331</v>
      </c>
      <c r="C45" s="986"/>
      <c r="D45" s="660"/>
      <c r="E45" s="655" t="s">
        <v>657</v>
      </c>
      <c r="F45" s="660">
        <v>33</v>
      </c>
      <c r="G45" s="655">
        <v>9</v>
      </c>
      <c r="H45" s="996" t="s">
        <v>60</v>
      </c>
      <c r="I45" s="986"/>
      <c r="J45" s="660"/>
      <c r="K45" s="995" t="s">
        <v>575</v>
      </c>
      <c r="L45" s="986"/>
      <c r="M45" s="986"/>
      <c r="N45" s="14">
        <v>17660</v>
      </c>
      <c r="O45" s="489">
        <v>21562</v>
      </c>
    </row>
    <row r="46" spans="1:15" x14ac:dyDescent="0.25">
      <c r="A46" s="658">
        <v>43743</v>
      </c>
      <c r="B46" s="985">
        <v>0.375</v>
      </c>
      <c r="C46" s="986"/>
      <c r="D46" s="660"/>
      <c r="E46" s="655" t="s">
        <v>659</v>
      </c>
      <c r="F46" s="660">
        <v>39</v>
      </c>
      <c r="G46" s="655">
        <v>10</v>
      </c>
      <c r="H46" s="996" t="s">
        <v>658</v>
      </c>
      <c r="I46" s="986"/>
      <c r="J46" s="660"/>
      <c r="K46" s="995" t="s">
        <v>569</v>
      </c>
      <c r="L46" s="986"/>
      <c r="M46" s="986"/>
      <c r="N46" s="14">
        <v>48185</v>
      </c>
      <c r="O46" s="489">
        <v>49970</v>
      </c>
    </row>
    <row r="47" spans="1:15" x14ac:dyDescent="0.25">
      <c r="A47" s="658">
        <v>43744</v>
      </c>
      <c r="B47" s="985">
        <v>0.36458333333333331</v>
      </c>
      <c r="C47" s="986"/>
      <c r="D47" s="660"/>
      <c r="E47" s="655" t="s">
        <v>657</v>
      </c>
      <c r="F47" s="660">
        <v>23</v>
      </c>
      <c r="G47" s="655">
        <v>21</v>
      </c>
      <c r="H47" s="996" t="s">
        <v>910</v>
      </c>
      <c r="I47" s="986"/>
      <c r="J47" s="660"/>
      <c r="K47" s="995" t="s">
        <v>579</v>
      </c>
      <c r="L47" s="986"/>
      <c r="M47" s="986"/>
      <c r="N47" s="14">
        <v>28477</v>
      </c>
      <c r="O47" s="489">
        <v>30228</v>
      </c>
    </row>
    <row r="48" spans="1:15" x14ac:dyDescent="0.25">
      <c r="A48" s="658">
        <v>43747</v>
      </c>
      <c r="B48" s="985">
        <v>0.23958333333333334</v>
      </c>
      <c r="C48" s="986"/>
      <c r="D48" s="660"/>
      <c r="E48" s="655" t="s">
        <v>658</v>
      </c>
      <c r="F48" s="660">
        <v>47</v>
      </c>
      <c r="G48" s="655">
        <v>17</v>
      </c>
      <c r="H48" s="996" t="s">
        <v>60</v>
      </c>
      <c r="I48" s="986"/>
      <c r="J48" s="660"/>
      <c r="K48" s="995" t="s">
        <v>571</v>
      </c>
      <c r="L48" s="986"/>
      <c r="M48" s="986"/>
      <c r="N48" s="14">
        <v>24377</v>
      </c>
      <c r="O48" s="489">
        <v>25600</v>
      </c>
    </row>
    <row r="49" spans="1:15" x14ac:dyDescent="0.25">
      <c r="A49" s="658">
        <v>43750</v>
      </c>
      <c r="B49" s="985">
        <v>0.38541666666666669</v>
      </c>
      <c r="C49" s="986"/>
      <c r="D49" s="660"/>
      <c r="E49" s="655" t="s">
        <v>659</v>
      </c>
      <c r="F49" s="660">
        <v>0</v>
      </c>
      <c r="G49" s="655">
        <v>0</v>
      </c>
      <c r="H49" s="996" t="s">
        <v>657</v>
      </c>
      <c r="I49" s="986"/>
      <c r="J49" s="660"/>
      <c r="K49" s="995" t="s">
        <v>570</v>
      </c>
      <c r="L49" s="986"/>
      <c r="M49" s="986"/>
      <c r="N49" s="706" t="s">
        <v>108</v>
      </c>
      <c r="O49" s="956" t="s">
        <v>108</v>
      </c>
    </row>
    <row r="50" spans="1:15" x14ac:dyDescent="0.25">
      <c r="A50" s="658">
        <v>43751</v>
      </c>
      <c r="B50" s="985">
        <v>0.28125</v>
      </c>
      <c r="C50" s="986"/>
      <c r="D50" s="660"/>
      <c r="E50" s="655" t="s">
        <v>60</v>
      </c>
      <c r="F50" s="660">
        <v>19</v>
      </c>
      <c r="G50" s="655">
        <v>31</v>
      </c>
      <c r="H50" s="996" t="s">
        <v>910</v>
      </c>
      <c r="I50" s="986"/>
      <c r="J50" s="660"/>
      <c r="K50" s="995" t="s">
        <v>786</v>
      </c>
      <c r="L50" s="986"/>
      <c r="M50" s="986"/>
      <c r="N50" s="14">
        <v>22012</v>
      </c>
      <c r="O50" s="489">
        <v>24000</v>
      </c>
    </row>
    <row r="51" spans="1:15" ht="14.95" thickBot="1" x14ac:dyDescent="0.3">
      <c r="A51" s="658" t="s">
        <v>58</v>
      </c>
      <c r="B51" s="659" t="s">
        <v>58</v>
      </c>
      <c r="C51" s="656"/>
      <c r="D51" s="660"/>
      <c r="E51" s="656"/>
      <c r="F51" s="656"/>
      <c r="G51" s="656"/>
      <c r="H51" s="656"/>
      <c r="I51" s="656"/>
      <c r="J51" s="656"/>
      <c r="K51" s="656"/>
      <c r="L51" s="656"/>
      <c r="M51" s="656"/>
      <c r="N51" s="14"/>
      <c r="O51" s="489"/>
    </row>
    <row r="52" spans="1:15" ht="14.95" thickBot="1" x14ac:dyDescent="0.3">
      <c r="A52" s="661" t="s">
        <v>58</v>
      </c>
      <c r="B52" s="662" t="s">
        <v>0</v>
      </c>
      <c r="C52" s="662" t="s">
        <v>1</v>
      </c>
      <c r="D52" s="662" t="s">
        <v>2</v>
      </c>
      <c r="E52" s="663" t="s">
        <v>3</v>
      </c>
      <c r="F52" s="662" t="s">
        <v>557</v>
      </c>
      <c r="G52" s="662" t="s">
        <v>558</v>
      </c>
      <c r="H52" s="663" t="s">
        <v>645</v>
      </c>
      <c r="I52" s="662" t="s">
        <v>666</v>
      </c>
      <c r="J52" s="662" t="s">
        <v>667</v>
      </c>
      <c r="K52" s="663" t="s">
        <v>646</v>
      </c>
      <c r="L52" s="662" t="s">
        <v>559</v>
      </c>
      <c r="M52" s="663" t="s">
        <v>50</v>
      </c>
      <c r="N52" s="14"/>
      <c r="O52" s="489"/>
    </row>
    <row r="53" spans="1:15" ht="14.95" thickBot="1" x14ac:dyDescent="0.3">
      <c r="A53" s="619" t="s">
        <v>943</v>
      </c>
      <c r="B53" s="616">
        <f>Eng2019poolplayed</f>
        <v>4</v>
      </c>
      <c r="C53" s="616">
        <f>Eng2019poolwon</f>
        <v>3</v>
      </c>
      <c r="D53" s="616">
        <f>Eng2019pooldrawn</f>
        <v>1</v>
      </c>
      <c r="E53" s="616">
        <f>Eng2019poollost</f>
        <v>0</v>
      </c>
      <c r="F53" s="618">
        <f>Eng2019poolptsscored</f>
        <v>119</v>
      </c>
      <c r="G53" s="618">
        <f>Eng2019poolptsagainst</f>
        <v>20</v>
      </c>
      <c r="H53" s="617">
        <f>SUM(F53-G53)</f>
        <v>99</v>
      </c>
      <c r="I53" s="618">
        <f>Eng2019pooltriesscored</f>
        <v>17</v>
      </c>
      <c r="J53" s="618">
        <f>Eng2019pooltriescon</f>
        <v>2</v>
      </c>
      <c r="K53" s="617">
        <f>SUM(I53-J53)</f>
        <v>15</v>
      </c>
      <c r="L53" s="616">
        <f>Eng2019pooltbscored+Eng2019poollbscored</f>
        <v>3</v>
      </c>
      <c r="M53" s="617">
        <f>SUM(C53*4+D53*2+L53)</f>
        <v>17</v>
      </c>
      <c r="N53" s="14"/>
      <c r="O53" s="489"/>
    </row>
    <row r="54" spans="1:15" ht="14.95" thickBot="1" x14ac:dyDescent="0.3">
      <c r="A54" s="615" t="s">
        <v>959</v>
      </c>
      <c r="B54" s="616">
        <f>Fra2019poolplayed</f>
        <v>4</v>
      </c>
      <c r="C54" s="616">
        <f>Fra2019poolwon</f>
        <v>3</v>
      </c>
      <c r="D54" s="616">
        <f>Fra2019pooldrawn</f>
        <v>1</v>
      </c>
      <c r="E54" s="616">
        <f>Fra2019poollost</f>
        <v>0</v>
      </c>
      <c r="F54" s="618">
        <f>Fra2019poolptsscored</f>
        <v>79</v>
      </c>
      <c r="G54" s="618">
        <f>Fra2019poolptsagainst</f>
        <v>51</v>
      </c>
      <c r="H54" s="617">
        <f>SUM(F54-G54)</f>
        <v>28</v>
      </c>
      <c r="I54" s="618">
        <f>Fra2019pooltriesscoredcorrect</f>
        <v>9</v>
      </c>
      <c r="J54" s="618">
        <f>Fra2019pooltriescon</f>
        <v>5</v>
      </c>
      <c r="K54" s="617">
        <f>SUM(I54-J54)</f>
        <v>4</v>
      </c>
      <c r="L54" s="616">
        <f>Fra2019pooltbscored+Fra2019poollbscored</f>
        <v>1</v>
      </c>
      <c r="M54" s="617">
        <f>SUM(C54*4+D54*2+L54)</f>
        <v>15</v>
      </c>
      <c r="N54" s="14"/>
      <c r="O54" s="489"/>
    </row>
    <row r="55" spans="1:15" ht="14.95" thickBot="1" x14ac:dyDescent="0.3">
      <c r="A55" s="664" t="s">
        <v>956</v>
      </c>
      <c r="B55" s="665">
        <f>ArgPoolplayed</f>
        <v>4</v>
      </c>
      <c r="C55" s="666">
        <f>ArgPool2019won</f>
        <v>2</v>
      </c>
      <c r="D55" s="666">
        <f>ArgPool2019drawn</f>
        <v>0</v>
      </c>
      <c r="E55" s="666">
        <f>ArgPool2019lost</f>
        <v>2</v>
      </c>
      <c r="F55" s="667">
        <f>ArgPoolfor</f>
        <v>106</v>
      </c>
      <c r="G55" s="667">
        <f>ArgPoolagainst</f>
        <v>91</v>
      </c>
      <c r="H55" s="668">
        <f>SUM(F55-G55)</f>
        <v>15</v>
      </c>
      <c r="I55" s="667">
        <f>argpooltriesscoredcorrect</f>
        <v>14</v>
      </c>
      <c r="J55" s="669">
        <f>argpooltriesconcorrect</f>
        <v>13</v>
      </c>
      <c r="K55" s="668">
        <f>SUM(I55-J55)</f>
        <v>1</v>
      </c>
      <c r="L55" s="666">
        <f>argpoollbscored+argpooltbscored</f>
        <v>3</v>
      </c>
      <c r="M55" s="668">
        <f>SUM(C55*4+D55*2+L55)</f>
        <v>11</v>
      </c>
      <c r="N55" s="14"/>
      <c r="O55" s="489"/>
    </row>
    <row r="56" spans="1:15" ht="14.95" thickBot="1" x14ac:dyDescent="0.3">
      <c r="A56" s="664" t="s">
        <v>145</v>
      </c>
      <c r="B56" s="665">
        <f>Ton2019poolplayedcorrect</f>
        <v>4</v>
      </c>
      <c r="C56" s="665">
        <f>Ton2019poolwon</f>
        <v>1</v>
      </c>
      <c r="D56" s="665">
        <f>Ton2019pooldrawn</f>
        <v>0</v>
      </c>
      <c r="E56" s="665">
        <f>Ton2019poollost</f>
        <v>3</v>
      </c>
      <c r="F56" s="669">
        <f>Ton2019poolptsscored</f>
        <v>67</v>
      </c>
      <c r="G56" s="669">
        <f>Ton2019poolptscon</f>
        <v>105</v>
      </c>
      <c r="H56" s="668">
        <f>SUM(F56-G56)</f>
        <v>-38</v>
      </c>
      <c r="I56" s="669">
        <f>Ton2019pooltriesscored</f>
        <v>9</v>
      </c>
      <c r="J56" s="669">
        <f>Ton2019pooltriescon</f>
        <v>13</v>
      </c>
      <c r="K56" s="668">
        <f>SUM(I56-J56)</f>
        <v>-4</v>
      </c>
      <c r="L56" s="665">
        <f>Ton2019pooltbscored+Ton2019poollbscored</f>
        <v>2</v>
      </c>
      <c r="M56" s="668">
        <f>SUM(C56*4+D56*2+L56)</f>
        <v>6</v>
      </c>
      <c r="N56" s="14"/>
      <c r="O56" s="489"/>
    </row>
    <row r="57" spans="1:15" ht="14.95" thickBot="1" x14ac:dyDescent="0.3">
      <c r="A57" s="664" t="s">
        <v>60</v>
      </c>
      <c r="B57" s="665">
        <f>USA2019poolplayed</f>
        <v>4</v>
      </c>
      <c r="C57" s="666">
        <f>USA2019poolwon</f>
        <v>0</v>
      </c>
      <c r="D57" s="666">
        <f>USA2019pooldrawn</f>
        <v>0</v>
      </c>
      <c r="E57" s="666">
        <f>USA2019poollost</f>
        <v>4</v>
      </c>
      <c r="F57" s="667">
        <f>USA2019poolptsscored</f>
        <v>52</v>
      </c>
      <c r="G57" s="667">
        <f>USA2019poolptscon</f>
        <v>156</v>
      </c>
      <c r="H57" s="668">
        <f>SUM(F57-G57)</f>
        <v>-104</v>
      </c>
      <c r="I57" s="667">
        <f>USA2019pooltriesscored</f>
        <v>7</v>
      </c>
      <c r="J57" s="669">
        <f>USA2019pooltriescon</f>
        <v>23</v>
      </c>
      <c r="K57" s="668">
        <f>SUM(I57-J57)</f>
        <v>-16</v>
      </c>
      <c r="L57" s="666">
        <f>USA2019pooltbscored+USA2019poollbscored</f>
        <v>0</v>
      </c>
      <c r="M57" s="668">
        <f>SUM(C57*4+D57*2+L57)</f>
        <v>0</v>
      </c>
      <c r="N57" s="14"/>
      <c r="O57" s="489"/>
    </row>
    <row r="58" spans="1:15" x14ac:dyDescent="0.25">
      <c r="A58" s="670"/>
      <c r="B58" s="671"/>
      <c r="C58" s="672"/>
      <c r="D58" s="673"/>
      <c r="E58" s="672"/>
      <c r="F58" s="672"/>
      <c r="G58" s="672"/>
      <c r="H58" s="674"/>
      <c r="I58" s="674"/>
      <c r="J58" s="674"/>
      <c r="K58" s="674"/>
      <c r="L58" s="674"/>
      <c r="M58" s="674"/>
      <c r="N58" s="14"/>
      <c r="O58" s="489"/>
    </row>
    <row r="59" spans="1:15" x14ac:dyDescent="0.25">
      <c r="A59" s="670" t="s">
        <v>564</v>
      </c>
      <c r="B59" s="876" t="s">
        <v>665</v>
      </c>
      <c r="C59" s="672"/>
      <c r="D59" s="672"/>
      <c r="E59" s="672"/>
      <c r="F59" s="672"/>
      <c r="G59" s="672"/>
      <c r="H59" s="674"/>
      <c r="I59" s="674"/>
      <c r="J59" s="674"/>
      <c r="K59" s="674"/>
      <c r="L59" s="674"/>
      <c r="M59" s="674"/>
      <c r="N59" s="14"/>
      <c r="O59" s="489"/>
    </row>
    <row r="60" spans="1:15" x14ac:dyDescent="0.25">
      <c r="A60" s="675">
        <v>43729</v>
      </c>
      <c r="B60" s="999">
        <v>0.23958333333333334</v>
      </c>
      <c r="C60" s="998"/>
      <c r="D60" s="673"/>
      <c r="E60" s="670" t="s">
        <v>660</v>
      </c>
      <c r="F60" s="673">
        <v>39</v>
      </c>
      <c r="G60" s="670">
        <v>21</v>
      </c>
      <c r="H60" s="672" t="s">
        <v>661</v>
      </c>
      <c r="I60" s="673"/>
      <c r="J60" s="673"/>
      <c r="K60" s="997" t="s">
        <v>578</v>
      </c>
      <c r="L60" s="998"/>
      <c r="M60" s="998"/>
      <c r="N60" s="14">
        <v>36482</v>
      </c>
      <c r="O60" s="489">
        <v>41410</v>
      </c>
    </row>
    <row r="61" spans="1:15" x14ac:dyDescent="0.25">
      <c r="A61" s="675">
        <v>43731</v>
      </c>
      <c r="B61" s="999">
        <v>0.46875</v>
      </c>
      <c r="C61" s="998"/>
      <c r="D61" s="673" t="s">
        <v>58</v>
      </c>
      <c r="E61" s="670" t="s">
        <v>662</v>
      </c>
      <c r="F61" s="673">
        <v>43</v>
      </c>
      <c r="G61" s="670">
        <v>14</v>
      </c>
      <c r="H61" s="672" t="s">
        <v>663</v>
      </c>
      <c r="I61" s="673"/>
      <c r="J61" s="673"/>
      <c r="K61" s="997" t="s">
        <v>574</v>
      </c>
      <c r="L61" s="998"/>
      <c r="M61" s="998"/>
      <c r="N61" s="14">
        <v>35000</v>
      </c>
      <c r="O61" s="489">
        <v>45000</v>
      </c>
    </row>
    <row r="62" spans="1:15" x14ac:dyDescent="0.25">
      <c r="A62" s="675">
        <v>43733</v>
      </c>
      <c r="B62" s="999">
        <v>0.26041666666666669</v>
      </c>
      <c r="C62" s="998"/>
      <c r="D62" s="673"/>
      <c r="E62" s="670" t="s">
        <v>661</v>
      </c>
      <c r="F62" s="673">
        <v>27</v>
      </c>
      <c r="G62" s="670">
        <v>30</v>
      </c>
      <c r="H62" s="672" t="s">
        <v>664</v>
      </c>
      <c r="I62" s="673"/>
      <c r="J62" s="673"/>
      <c r="K62" s="997" t="s">
        <v>577</v>
      </c>
      <c r="L62" s="998"/>
      <c r="M62" s="998"/>
      <c r="N62" s="14">
        <v>14025</v>
      </c>
      <c r="O62" s="489">
        <v>16334</v>
      </c>
    </row>
    <row r="63" spans="1:15" x14ac:dyDescent="0.25">
      <c r="A63" s="675">
        <v>43737</v>
      </c>
      <c r="B63" s="999">
        <v>0.26041666666666669</v>
      </c>
      <c r="C63" s="998"/>
      <c r="D63" s="673"/>
      <c r="E63" s="670" t="s">
        <v>663</v>
      </c>
      <c r="F63" s="673">
        <v>33</v>
      </c>
      <c r="G63" s="670">
        <v>7</v>
      </c>
      <c r="H63" s="672" t="s">
        <v>664</v>
      </c>
      <c r="I63" s="673"/>
      <c r="J63" s="673"/>
      <c r="K63" s="997" t="s">
        <v>571</v>
      </c>
      <c r="L63" s="998"/>
      <c r="M63" s="998"/>
      <c r="N63" s="14">
        <v>24895</v>
      </c>
      <c r="O63" s="489">
        <v>25600</v>
      </c>
    </row>
    <row r="64" spans="1:15" x14ac:dyDescent="0.25">
      <c r="A64" s="675">
        <v>43737</v>
      </c>
      <c r="B64" s="999">
        <v>0.36458333333333331</v>
      </c>
      <c r="C64" s="998"/>
      <c r="D64" s="673"/>
      <c r="E64" s="670" t="s">
        <v>660</v>
      </c>
      <c r="F64" s="673">
        <v>25</v>
      </c>
      <c r="G64" s="670">
        <v>29</v>
      </c>
      <c r="H64" s="672" t="s">
        <v>662</v>
      </c>
      <c r="I64" s="673"/>
      <c r="J64" s="673"/>
      <c r="K64" s="997" t="s">
        <v>569</v>
      </c>
      <c r="L64" s="998"/>
      <c r="M64" s="998"/>
      <c r="N64" s="14">
        <v>47885</v>
      </c>
      <c r="O64" s="489">
        <v>49970</v>
      </c>
    </row>
    <row r="65" spans="1:15" x14ac:dyDescent="0.25">
      <c r="A65" s="675">
        <v>43741</v>
      </c>
      <c r="B65" s="999">
        <v>0.26041666666666669</v>
      </c>
      <c r="C65" s="998"/>
      <c r="D65" s="673"/>
      <c r="E65" s="670" t="s">
        <v>663</v>
      </c>
      <c r="F65" s="673">
        <v>10</v>
      </c>
      <c r="G65" s="670">
        <v>45</v>
      </c>
      <c r="H65" s="672" t="s">
        <v>661</v>
      </c>
      <c r="I65" s="673"/>
      <c r="J65" s="673"/>
      <c r="K65" s="997" t="s">
        <v>786</v>
      </c>
      <c r="L65" s="998"/>
      <c r="M65" s="998"/>
      <c r="N65" s="14">
        <v>21069</v>
      </c>
      <c r="O65" s="489">
        <v>24000</v>
      </c>
    </row>
    <row r="66" spans="1:15" x14ac:dyDescent="0.25">
      <c r="A66" s="675">
        <v>43743</v>
      </c>
      <c r="B66" s="999">
        <v>0.26041666666666669</v>
      </c>
      <c r="C66" s="998"/>
      <c r="D66" s="673"/>
      <c r="E66" s="670" t="s">
        <v>660</v>
      </c>
      <c r="F66" s="673">
        <v>45</v>
      </c>
      <c r="G66" s="670">
        <v>10</v>
      </c>
      <c r="H66" s="672" t="s">
        <v>664</v>
      </c>
      <c r="I66" s="673"/>
      <c r="J66" s="673"/>
      <c r="K66" s="997" t="s">
        <v>576</v>
      </c>
      <c r="L66" s="998"/>
      <c r="M66" s="998"/>
      <c r="N66" s="14">
        <v>33781</v>
      </c>
      <c r="O66" s="489">
        <v>40000</v>
      </c>
    </row>
    <row r="67" spans="1:15" x14ac:dyDescent="0.25">
      <c r="A67" s="675">
        <v>43747</v>
      </c>
      <c r="B67" s="999">
        <v>0.44791666666666669</v>
      </c>
      <c r="C67" s="998"/>
      <c r="D67" s="673" t="s">
        <v>58</v>
      </c>
      <c r="E67" s="670" t="s">
        <v>662</v>
      </c>
      <c r="F67" s="673">
        <v>29</v>
      </c>
      <c r="G67" s="670">
        <v>17</v>
      </c>
      <c r="H67" s="672" t="s">
        <v>661</v>
      </c>
      <c r="I67" s="673"/>
      <c r="J67" s="673"/>
      <c r="K67" s="997" t="s">
        <v>576</v>
      </c>
      <c r="L67" s="998"/>
      <c r="M67" s="998"/>
      <c r="N67" s="14">
        <v>33379</v>
      </c>
      <c r="O67" s="489">
        <v>40000</v>
      </c>
    </row>
    <row r="68" spans="1:15" x14ac:dyDescent="0.25">
      <c r="A68" s="675">
        <v>43749</v>
      </c>
      <c r="B68" s="999">
        <v>0.46875</v>
      </c>
      <c r="C68" s="998"/>
      <c r="D68" s="673"/>
      <c r="E68" s="670" t="s">
        <v>660</v>
      </c>
      <c r="F68" s="673">
        <v>27</v>
      </c>
      <c r="G68" s="670">
        <v>8</v>
      </c>
      <c r="H68" s="672" t="s">
        <v>663</v>
      </c>
      <c r="I68" s="673"/>
      <c r="J68" s="673"/>
      <c r="K68" s="997" t="s">
        <v>572</v>
      </c>
      <c r="L68" s="998"/>
      <c r="M68" s="998"/>
      <c r="N68" s="14">
        <v>39802</v>
      </c>
      <c r="O68" s="489">
        <v>50889</v>
      </c>
    </row>
    <row r="69" spans="1:15" x14ac:dyDescent="0.25">
      <c r="A69" s="675">
        <v>43751</v>
      </c>
      <c r="B69" s="999">
        <v>0.38541666666666669</v>
      </c>
      <c r="C69" s="998"/>
      <c r="D69" s="673" t="s">
        <v>58</v>
      </c>
      <c r="E69" s="670" t="s">
        <v>662</v>
      </c>
      <c r="F69" s="673">
        <v>35</v>
      </c>
      <c r="G69" s="670">
        <v>13</v>
      </c>
      <c r="H69" s="672" t="s">
        <v>664</v>
      </c>
      <c r="I69" s="673"/>
      <c r="J69" s="673"/>
      <c r="K69" s="997" t="s">
        <v>579</v>
      </c>
      <c r="L69" s="998"/>
      <c r="M69" s="998"/>
      <c r="N69" s="14">
        <v>27317</v>
      </c>
      <c r="O69" s="489">
        <v>30228</v>
      </c>
    </row>
    <row r="70" spans="1:15" ht="14.95" thickBot="1" x14ac:dyDescent="0.3">
      <c r="A70" s="675" t="s">
        <v>58</v>
      </c>
      <c r="B70" s="671" t="s">
        <v>58</v>
      </c>
      <c r="C70" s="672"/>
      <c r="D70" s="673"/>
      <c r="E70" s="672"/>
      <c r="F70" s="672"/>
      <c r="G70" s="672"/>
      <c r="H70" s="672"/>
      <c r="I70" s="672"/>
      <c r="J70" s="672"/>
      <c r="K70" s="672"/>
      <c r="L70" s="672"/>
      <c r="M70" s="672"/>
      <c r="N70" s="14"/>
      <c r="O70" s="489"/>
    </row>
    <row r="71" spans="1:15" ht="14.95" thickBot="1" x14ac:dyDescent="0.3">
      <c r="A71" s="676" t="s">
        <v>58</v>
      </c>
      <c r="B71" s="677" t="s">
        <v>0</v>
      </c>
      <c r="C71" s="677" t="s">
        <v>1</v>
      </c>
      <c r="D71" s="677" t="s">
        <v>2</v>
      </c>
      <c r="E71" s="678" t="s">
        <v>3</v>
      </c>
      <c r="F71" s="677" t="s">
        <v>557</v>
      </c>
      <c r="G71" s="677" t="s">
        <v>558</v>
      </c>
      <c r="H71" s="678" t="s">
        <v>645</v>
      </c>
      <c r="I71" s="677" t="s">
        <v>666</v>
      </c>
      <c r="J71" s="677" t="s">
        <v>667</v>
      </c>
      <c r="K71" s="678" t="s">
        <v>646</v>
      </c>
      <c r="L71" s="677" t="s">
        <v>559</v>
      </c>
      <c r="M71" s="678" t="s">
        <v>50</v>
      </c>
      <c r="N71" s="14"/>
      <c r="O71" s="489"/>
    </row>
    <row r="72" spans="1:15" ht="14.95" thickBot="1" x14ac:dyDescent="0.3">
      <c r="A72" s="619" t="s">
        <v>968</v>
      </c>
      <c r="B72" s="616">
        <f>Wal2019poolplayed</f>
        <v>4</v>
      </c>
      <c r="C72" s="616">
        <f>Wal2019poolwon</f>
        <v>4</v>
      </c>
      <c r="D72" s="616">
        <f>Wal2019pooldrawn</f>
        <v>0</v>
      </c>
      <c r="E72" s="616">
        <f>Wal2019poollostcorrect</f>
        <v>0</v>
      </c>
      <c r="F72" s="618">
        <f>Wal2019poolptsscored</f>
        <v>136</v>
      </c>
      <c r="G72" s="618">
        <f>Wal2019poolptscon</f>
        <v>69</v>
      </c>
      <c r="H72" s="617">
        <f>SUM(F72-G72)</f>
        <v>67</v>
      </c>
      <c r="I72" s="618">
        <f>Wal2019pooltriesscored</f>
        <v>17</v>
      </c>
      <c r="J72" s="618">
        <f>Wal2019pooltriescon</f>
        <v>9</v>
      </c>
      <c r="K72" s="617">
        <f>SUM(I72-J72)</f>
        <v>8</v>
      </c>
      <c r="L72" s="618">
        <f>Wal2019pooltbscored</f>
        <v>3</v>
      </c>
      <c r="M72" s="617">
        <f>SUM(C72*4+D72*2+L72)</f>
        <v>19</v>
      </c>
      <c r="N72" s="14"/>
      <c r="O72" s="489"/>
    </row>
    <row r="73" spans="1:15" ht="14.95" thickBot="1" x14ac:dyDescent="0.3">
      <c r="A73" s="615" t="s">
        <v>944</v>
      </c>
      <c r="B73" s="616">
        <f>Aus2019poolplayed</f>
        <v>4</v>
      </c>
      <c r="C73" s="616">
        <f>Aus2019poolwon</f>
        <v>3</v>
      </c>
      <c r="D73" s="616">
        <f>Aus2019pooldrawn</f>
        <v>0</v>
      </c>
      <c r="E73" s="616">
        <f>Aus2019poollost</f>
        <v>1</v>
      </c>
      <c r="F73" s="618">
        <f>Aus2019poolptsscored</f>
        <v>136</v>
      </c>
      <c r="G73" s="618">
        <f>Aus2019poolptsagainst</f>
        <v>68</v>
      </c>
      <c r="H73" s="617">
        <f>SUM(F73-G73)</f>
        <v>68</v>
      </c>
      <c r="I73" s="618">
        <f>Aus2019pooltriesscored</f>
        <v>20</v>
      </c>
      <c r="J73" s="618">
        <f>Aus2019pooltriesconc</f>
        <v>6</v>
      </c>
      <c r="K73" s="617">
        <f>SUM(I73-J73)</f>
        <v>14</v>
      </c>
      <c r="L73" s="618">
        <f>Aus2019poollbscored+Aus2019pooltbscored</f>
        <v>4</v>
      </c>
      <c r="M73" s="617">
        <f>SUM(C73*4+D73*2+L73)</f>
        <v>16</v>
      </c>
      <c r="N73" s="14"/>
      <c r="O73" s="489"/>
    </row>
    <row r="74" spans="1:15" ht="14.95" thickBot="1" x14ac:dyDescent="0.3">
      <c r="A74" s="679" t="s">
        <v>969</v>
      </c>
      <c r="B74" s="680">
        <f>Fij2019poolplayed</f>
        <v>4</v>
      </c>
      <c r="C74" s="680">
        <f>Fij2019poolwon</f>
        <v>1</v>
      </c>
      <c r="D74" s="680">
        <f>Fij2019pooldrawn</f>
        <v>0</v>
      </c>
      <c r="E74" s="680">
        <f>Fij2019poollost</f>
        <v>3</v>
      </c>
      <c r="F74" s="684">
        <f>Fij2019poolptsscored</f>
        <v>110</v>
      </c>
      <c r="G74" s="684">
        <f>Fij2019poolptsagainst</f>
        <v>108</v>
      </c>
      <c r="H74" s="683">
        <f>SUM(F74-G74)</f>
        <v>2</v>
      </c>
      <c r="I74" s="684">
        <f>Fij2019pooltriesscored</f>
        <v>17</v>
      </c>
      <c r="J74" s="684">
        <f>Fij2019pooltriescon</f>
        <v>14</v>
      </c>
      <c r="K74" s="683">
        <f>SUM(I74-J74)</f>
        <v>3</v>
      </c>
      <c r="L74" s="684">
        <f>Fij2019pooltbscored+Fij2019poollbscored</f>
        <v>3</v>
      </c>
      <c r="M74" s="683">
        <f>SUM(C74*4+D74*2+L74)</f>
        <v>7</v>
      </c>
      <c r="N74" s="14"/>
      <c r="O74" s="489"/>
    </row>
    <row r="75" spans="1:15" ht="14.95" thickBot="1" x14ac:dyDescent="0.3">
      <c r="A75" s="679" t="s">
        <v>38</v>
      </c>
      <c r="B75" s="680">
        <f>Geo2019poolplayed</f>
        <v>4</v>
      </c>
      <c r="C75" s="681">
        <f>Geo2019poolwon</f>
        <v>1</v>
      </c>
      <c r="D75" s="681">
        <f>Geo2019pooldrawn</f>
        <v>0</v>
      </c>
      <c r="E75" s="681">
        <f>Geo2019poollost</f>
        <v>3</v>
      </c>
      <c r="F75" s="682">
        <f>Geo2019poolptsscored</f>
        <v>65</v>
      </c>
      <c r="G75" s="682">
        <f>Geo2019poolptsagainst</f>
        <v>122</v>
      </c>
      <c r="H75" s="683">
        <f>SUM(F75-G75)</f>
        <v>-57</v>
      </c>
      <c r="I75" s="682">
        <f>Geo2019pooltriesscored</f>
        <v>9</v>
      </c>
      <c r="J75" s="684">
        <f>Geo2019pooltriescon</f>
        <v>18</v>
      </c>
      <c r="K75" s="683">
        <f>SUM(I75-J75)</f>
        <v>-9</v>
      </c>
      <c r="L75" s="682">
        <f>Geo2019pooltbscored+Geo2019poollbscored</f>
        <v>1</v>
      </c>
      <c r="M75" s="683">
        <f>SUM(C75*4+D75*2+L75)</f>
        <v>5</v>
      </c>
      <c r="N75" s="14"/>
      <c r="O75" s="489"/>
    </row>
    <row r="76" spans="1:15" ht="14.95" thickBot="1" x14ac:dyDescent="0.3">
      <c r="A76" s="679" t="s">
        <v>107</v>
      </c>
      <c r="B76" s="680">
        <f>Uru2019poolplayed</f>
        <v>4</v>
      </c>
      <c r="C76" s="681">
        <f>uru2019poolwon</f>
        <v>1</v>
      </c>
      <c r="D76" s="681">
        <f>Uru2019pooldrawn</f>
        <v>0</v>
      </c>
      <c r="E76" s="681">
        <f>Uru2019poollost</f>
        <v>3</v>
      </c>
      <c r="F76" s="682">
        <f>Uru2019poolptsscored</f>
        <v>60</v>
      </c>
      <c r="G76" s="682">
        <f>Uru2019poolptsconcorrect</f>
        <v>140</v>
      </c>
      <c r="H76" s="683">
        <f>SUM(F76-G76)</f>
        <v>-80</v>
      </c>
      <c r="I76" s="682">
        <f>Uru2019pooltriesscored</f>
        <v>6</v>
      </c>
      <c r="J76" s="684">
        <f>Uru2019pooltriescon</f>
        <v>22</v>
      </c>
      <c r="K76" s="683">
        <f>SUM(I76-J76)</f>
        <v>-16</v>
      </c>
      <c r="L76" s="682">
        <f>Uru2019pooltbscored+Uru2019poollbscored</f>
        <v>0</v>
      </c>
      <c r="M76" s="683">
        <f>SUM(C76*4+D76*2+L76)</f>
        <v>4</v>
      </c>
      <c r="N76" s="14"/>
      <c r="O76" s="489"/>
    </row>
    <row r="77" spans="1:15" x14ac:dyDescent="0.25">
      <c r="A77" s="603"/>
      <c r="B77" s="604"/>
      <c r="C77" s="605"/>
      <c r="D77" s="605"/>
      <c r="E77" s="605"/>
      <c r="F77" s="606"/>
      <c r="G77" s="606"/>
      <c r="H77" s="607"/>
      <c r="I77" s="606"/>
      <c r="J77" s="608"/>
      <c r="K77" s="607"/>
      <c r="L77" s="606"/>
      <c r="M77" s="607"/>
      <c r="N77" s="14"/>
      <c r="O77" s="489"/>
    </row>
    <row r="78" spans="1:15" x14ac:dyDescent="0.25">
      <c r="A78" s="14" t="s">
        <v>938</v>
      </c>
      <c r="B78" s="609"/>
      <c r="C78" s="589"/>
      <c r="D78" s="610"/>
      <c r="E78" s="589"/>
      <c r="F78" s="589"/>
      <c r="G78" s="589"/>
      <c r="H78" s="14"/>
      <c r="I78" s="14"/>
      <c r="J78" s="14"/>
      <c r="K78" s="14"/>
      <c r="L78" s="14"/>
      <c r="M78" s="14"/>
      <c r="N78" s="14"/>
      <c r="O78" s="489"/>
    </row>
    <row r="79" spans="1:15" x14ac:dyDescent="0.25">
      <c r="A79" s="14" t="s">
        <v>939</v>
      </c>
      <c r="B79" s="609"/>
      <c r="C79" s="589"/>
      <c r="D79" s="610"/>
      <c r="E79" s="589"/>
      <c r="F79" s="589"/>
      <c r="G79" s="589"/>
      <c r="H79" s="14"/>
      <c r="I79" s="14"/>
      <c r="J79" s="14"/>
      <c r="K79" s="14"/>
      <c r="L79" s="14"/>
      <c r="M79" s="14"/>
      <c r="N79" s="14"/>
      <c r="O79" s="489"/>
    </row>
    <row r="80" spans="1:15" x14ac:dyDescent="0.25">
      <c r="A80" s="14"/>
      <c r="B80" s="609"/>
      <c r="C80" s="589"/>
      <c r="D80" s="610"/>
      <c r="E80" s="589"/>
      <c r="F80" s="589"/>
      <c r="G80" s="589"/>
      <c r="H80" s="14"/>
      <c r="I80" s="14"/>
      <c r="J80" s="14"/>
      <c r="K80" s="14"/>
      <c r="L80" s="14"/>
      <c r="M80" s="14"/>
      <c r="N80" s="14"/>
      <c r="O80" s="489"/>
    </row>
    <row r="81" spans="1:15" x14ac:dyDescent="0.25">
      <c r="B81" s="609"/>
      <c r="C81" s="589"/>
      <c r="D81" s="610"/>
      <c r="E81" s="589"/>
      <c r="F81" s="589"/>
      <c r="G81" s="589"/>
      <c r="H81" s="14"/>
      <c r="I81" s="14"/>
      <c r="J81" s="14"/>
      <c r="K81" s="14"/>
      <c r="L81" s="14"/>
      <c r="M81" s="14"/>
      <c r="N81" s="14"/>
      <c r="O81" s="489"/>
    </row>
    <row r="82" spans="1:15" x14ac:dyDescent="0.25">
      <c r="A82" s="632" t="s">
        <v>644</v>
      </c>
      <c r="B82" s="875" t="s">
        <v>665</v>
      </c>
      <c r="C82" s="611"/>
      <c r="D82" s="612"/>
      <c r="E82" s="611"/>
      <c r="F82" s="611"/>
      <c r="G82" s="611"/>
      <c r="H82" s="613"/>
      <c r="I82" s="613"/>
      <c r="J82" s="613"/>
      <c r="K82" s="613"/>
      <c r="L82" s="613"/>
      <c r="M82" s="613"/>
      <c r="N82" s="14"/>
      <c r="O82" s="489"/>
    </row>
    <row r="83" spans="1:15" x14ac:dyDescent="0.25">
      <c r="A83" s="874">
        <v>43757</v>
      </c>
      <c r="B83" s="1000">
        <v>0.34375</v>
      </c>
      <c r="C83" s="1001"/>
      <c r="D83" s="631"/>
      <c r="E83" s="632" t="s">
        <v>659</v>
      </c>
      <c r="F83" s="631">
        <v>40</v>
      </c>
      <c r="G83" s="632">
        <v>16</v>
      </c>
      <c r="H83" s="1002" t="s">
        <v>660</v>
      </c>
      <c r="I83" s="1003"/>
      <c r="J83" s="632"/>
      <c r="K83" s="632" t="s">
        <v>576</v>
      </c>
      <c r="L83" s="631"/>
      <c r="M83" s="631"/>
      <c r="N83" s="14">
        <v>36954</v>
      </c>
      <c r="O83" s="489">
        <v>40000</v>
      </c>
    </row>
    <row r="84" spans="1:15" x14ac:dyDescent="0.25">
      <c r="A84" s="874">
        <v>43757</v>
      </c>
      <c r="B84" s="1000">
        <v>0.46875</v>
      </c>
      <c r="C84" s="1001"/>
      <c r="D84" s="631"/>
      <c r="E84" s="632" t="s">
        <v>652</v>
      </c>
      <c r="F84" s="631">
        <v>46</v>
      </c>
      <c r="G84" s="632">
        <v>14</v>
      </c>
      <c r="H84" s="1002" t="s">
        <v>649</v>
      </c>
      <c r="I84" s="1003"/>
      <c r="J84" s="632"/>
      <c r="K84" s="632" t="s">
        <v>569</v>
      </c>
      <c r="L84" s="631"/>
      <c r="M84" s="631"/>
      <c r="N84" s="14">
        <v>46686</v>
      </c>
      <c r="O84" s="489">
        <v>49970</v>
      </c>
    </row>
    <row r="85" spans="1:15" x14ac:dyDescent="0.25">
      <c r="A85" s="874">
        <v>43758</v>
      </c>
      <c r="B85" s="1000">
        <v>0.34375</v>
      </c>
      <c r="C85" s="1001"/>
      <c r="D85" s="631"/>
      <c r="E85" s="632" t="s">
        <v>662</v>
      </c>
      <c r="F85" s="631">
        <v>20</v>
      </c>
      <c r="G85" s="632">
        <v>19</v>
      </c>
      <c r="H85" s="1002" t="s">
        <v>657</v>
      </c>
      <c r="I85" s="1003"/>
      <c r="J85" s="632"/>
      <c r="K85" s="632" t="s">
        <v>576</v>
      </c>
      <c r="L85" s="631"/>
      <c r="M85" s="631"/>
      <c r="N85" s="14">
        <v>34426</v>
      </c>
      <c r="O85" s="489">
        <v>40000</v>
      </c>
    </row>
    <row r="86" spans="1:15" x14ac:dyDescent="0.25">
      <c r="A86" s="874">
        <v>43758</v>
      </c>
      <c r="B86" s="1000">
        <v>0.46875</v>
      </c>
      <c r="C86" s="1001"/>
      <c r="D86" s="631"/>
      <c r="E86" s="632" t="s">
        <v>647</v>
      </c>
      <c r="F86" s="631">
        <v>3</v>
      </c>
      <c r="G86" s="632">
        <v>26</v>
      </c>
      <c r="H86" s="1002" t="s">
        <v>653</v>
      </c>
      <c r="I86" s="1003"/>
      <c r="J86" s="632"/>
      <c r="K86" s="632" t="s">
        <v>569</v>
      </c>
      <c r="L86" s="631"/>
      <c r="M86" s="631"/>
      <c r="N86" s="14">
        <v>48831</v>
      </c>
      <c r="O86" s="489">
        <v>49970</v>
      </c>
    </row>
    <row r="87" spans="1:15" x14ac:dyDescent="0.25">
      <c r="A87" s="632"/>
      <c r="B87" s="875"/>
      <c r="C87" s="611"/>
      <c r="D87" s="612"/>
      <c r="E87" s="611"/>
      <c r="F87" s="631"/>
      <c r="G87" s="632"/>
      <c r="H87" s="633"/>
      <c r="I87" s="633"/>
      <c r="J87" s="633"/>
      <c r="K87" s="632"/>
      <c r="L87" s="631"/>
      <c r="M87" s="631"/>
      <c r="N87" s="14"/>
      <c r="O87" s="489"/>
    </row>
    <row r="88" spans="1:15" x14ac:dyDescent="0.25">
      <c r="A88" s="632" t="s">
        <v>668</v>
      </c>
      <c r="B88" s="875" t="s">
        <v>665</v>
      </c>
      <c r="C88" s="611"/>
      <c r="D88" s="612"/>
      <c r="E88" s="611"/>
      <c r="F88" s="631"/>
      <c r="G88" s="632"/>
      <c r="H88" s="633"/>
      <c r="I88" s="633"/>
      <c r="J88" s="633"/>
      <c r="K88" s="632"/>
      <c r="L88" s="631"/>
      <c r="M88" s="631"/>
      <c r="N88" s="14"/>
      <c r="O88" s="489"/>
    </row>
    <row r="89" spans="1:15" x14ac:dyDescent="0.25">
      <c r="A89" s="874">
        <v>43764</v>
      </c>
      <c r="B89" s="1000">
        <v>0.375</v>
      </c>
      <c r="C89" s="1001"/>
      <c r="D89" s="631"/>
      <c r="E89" s="632" t="s">
        <v>659</v>
      </c>
      <c r="F89" s="631">
        <v>19</v>
      </c>
      <c r="G89" s="632">
        <v>7</v>
      </c>
      <c r="H89" s="1002" t="s">
        <v>652</v>
      </c>
      <c r="I89" s="1003"/>
      <c r="J89" s="633"/>
      <c r="K89" s="632" t="s">
        <v>570</v>
      </c>
      <c r="L89" s="631"/>
      <c r="M89" s="631"/>
      <c r="N89" s="14">
        <v>68843</v>
      </c>
      <c r="O89" s="489">
        <v>72327</v>
      </c>
    </row>
    <row r="90" spans="1:15" x14ac:dyDescent="0.25">
      <c r="A90" s="874">
        <v>43739</v>
      </c>
      <c r="B90" s="1000">
        <v>0.375</v>
      </c>
      <c r="C90" s="1001" t="s">
        <v>58</v>
      </c>
      <c r="D90" s="631"/>
      <c r="E90" s="632" t="s">
        <v>662</v>
      </c>
      <c r="F90" s="631">
        <v>16</v>
      </c>
      <c r="G90" s="632">
        <v>19</v>
      </c>
      <c r="H90" s="1002" t="s">
        <v>653</v>
      </c>
      <c r="I90" s="1003"/>
      <c r="J90" s="633"/>
      <c r="K90" s="632" t="s">
        <v>570</v>
      </c>
      <c r="L90" s="631"/>
      <c r="M90" s="631"/>
      <c r="N90" s="14">
        <v>67750</v>
      </c>
      <c r="O90" s="489">
        <v>72327</v>
      </c>
    </row>
    <row r="91" spans="1:15" x14ac:dyDescent="0.25">
      <c r="A91" s="632"/>
      <c r="B91" s="875"/>
      <c r="C91" s="611"/>
      <c r="D91" s="612"/>
      <c r="E91" s="611"/>
      <c r="F91" s="631"/>
      <c r="G91" s="632"/>
      <c r="H91" s="633"/>
      <c r="I91" s="633"/>
      <c r="J91" s="633"/>
      <c r="K91" s="632"/>
      <c r="L91" s="631"/>
      <c r="M91" s="631"/>
      <c r="N91" s="14"/>
      <c r="O91" s="489"/>
    </row>
    <row r="92" spans="1:15" x14ac:dyDescent="0.25">
      <c r="A92" s="632" t="s">
        <v>669</v>
      </c>
      <c r="B92" s="875" t="s">
        <v>665</v>
      </c>
      <c r="C92" s="611"/>
      <c r="D92" s="612"/>
      <c r="E92" s="611"/>
      <c r="F92" s="631"/>
      <c r="G92" s="632"/>
      <c r="H92" s="633"/>
      <c r="I92" s="633"/>
      <c r="J92" s="633"/>
      <c r="K92" s="632"/>
      <c r="L92" s="631"/>
      <c r="M92" s="631" t="s">
        <v>58</v>
      </c>
      <c r="N92" s="14"/>
      <c r="O92" s="489"/>
    </row>
    <row r="93" spans="1:15" x14ac:dyDescent="0.25">
      <c r="A93" s="874">
        <v>43770</v>
      </c>
      <c r="B93" s="1000">
        <v>0.375</v>
      </c>
      <c r="C93" s="1001"/>
      <c r="D93" s="631"/>
      <c r="E93" s="632" t="s">
        <v>652</v>
      </c>
      <c r="F93" s="631">
        <v>40</v>
      </c>
      <c r="G93" s="632">
        <v>17</v>
      </c>
      <c r="H93" s="632" t="s">
        <v>662</v>
      </c>
      <c r="I93" s="632"/>
      <c r="J93" s="632"/>
      <c r="K93" s="632" t="s">
        <v>569</v>
      </c>
      <c r="L93" s="631"/>
      <c r="M93" s="631"/>
      <c r="N93" s="14">
        <v>48842</v>
      </c>
      <c r="O93" s="489">
        <v>49970</v>
      </c>
    </row>
    <row r="94" spans="1:15" x14ac:dyDescent="0.25">
      <c r="A94" s="632"/>
      <c r="B94" s="875"/>
      <c r="C94" s="611"/>
      <c r="D94" s="612"/>
      <c r="E94" s="611"/>
      <c r="F94" s="631"/>
      <c r="G94" s="632"/>
      <c r="H94" s="633"/>
      <c r="I94" s="633"/>
      <c r="J94" s="633"/>
      <c r="K94" s="632"/>
      <c r="L94" s="631"/>
      <c r="M94" s="631"/>
      <c r="N94" s="14"/>
      <c r="O94" s="489"/>
    </row>
    <row r="95" spans="1:15" x14ac:dyDescent="0.25">
      <c r="A95" s="632" t="s">
        <v>565</v>
      </c>
      <c r="B95" s="875" t="s">
        <v>665</v>
      </c>
      <c r="C95" s="611"/>
      <c r="D95" s="612"/>
      <c r="E95" s="611"/>
      <c r="F95" s="631"/>
      <c r="G95" s="632"/>
      <c r="H95" s="633"/>
      <c r="I95" s="633"/>
      <c r="J95" s="633"/>
      <c r="K95" s="632"/>
      <c r="L95" s="631"/>
      <c r="M95" s="631"/>
      <c r="N95" s="14"/>
      <c r="O95" s="489"/>
    </row>
    <row r="96" spans="1:15" x14ac:dyDescent="0.25">
      <c r="A96" s="874">
        <v>43771</v>
      </c>
      <c r="B96" s="1000">
        <v>0.375</v>
      </c>
      <c r="C96" s="1001"/>
      <c r="D96" s="631"/>
      <c r="E96" s="632" t="s">
        <v>659</v>
      </c>
      <c r="F96" s="631">
        <v>12</v>
      </c>
      <c r="G96" s="632">
        <v>32</v>
      </c>
      <c r="H96" s="1002" t="s">
        <v>653</v>
      </c>
      <c r="I96" s="1003"/>
      <c r="J96" s="632"/>
      <c r="K96" s="632" t="s">
        <v>570</v>
      </c>
      <c r="L96" s="631"/>
      <c r="M96" s="631"/>
      <c r="N96" s="14">
        <v>70103</v>
      </c>
      <c r="O96" s="489">
        <v>72327</v>
      </c>
    </row>
    <row r="97" spans="1:18" x14ac:dyDescent="0.25">
      <c r="A97" s="587"/>
      <c r="B97" s="588"/>
      <c r="C97" s="589"/>
      <c r="D97" s="610"/>
      <c r="E97" s="589"/>
      <c r="F97" s="589">
        <f>SUM(F83:F96)</f>
        <v>196</v>
      </c>
      <c r="G97" s="589">
        <f>SUM(G83:G96)</f>
        <v>150</v>
      </c>
      <c r="N97">
        <f>SUM(N1:N96)</f>
        <v>1701982</v>
      </c>
      <c r="O97">
        <f>SUM(O1:O96)</f>
        <v>1889902</v>
      </c>
      <c r="P97" s="614">
        <f>SUM(N97/O97)*1</f>
        <v>0.90056627274853407</v>
      </c>
    </row>
    <row r="98" spans="1:18" x14ac:dyDescent="0.25">
      <c r="A98" s="587"/>
      <c r="B98" s="588"/>
      <c r="C98" s="589"/>
      <c r="D98" s="610"/>
      <c r="E98" s="589"/>
      <c r="F98" s="589"/>
      <c r="G98" s="589"/>
      <c r="N98" s="490" t="s">
        <v>566</v>
      </c>
      <c r="O98" s="490" t="s">
        <v>567</v>
      </c>
      <c r="P98" s="490" t="s">
        <v>568</v>
      </c>
    </row>
    <row r="99" spans="1:18" x14ac:dyDescent="0.25">
      <c r="A99" s="587"/>
      <c r="B99" s="588"/>
      <c r="C99" s="589"/>
      <c r="D99" s="610"/>
      <c r="E99" s="589"/>
      <c r="F99" s="589"/>
      <c r="G99" s="589"/>
    </row>
    <row r="100" spans="1:18" x14ac:dyDescent="0.25">
      <c r="A100" s="587"/>
      <c r="B100" s="588"/>
      <c r="C100" s="589"/>
      <c r="D100" s="610"/>
      <c r="E100" s="589"/>
      <c r="F100" s="589"/>
      <c r="G100" s="589"/>
    </row>
    <row r="101" spans="1:18" x14ac:dyDescent="0.25">
      <c r="A101" s="587"/>
      <c r="B101" s="588"/>
      <c r="C101" s="589"/>
      <c r="D101" s="610"/>
      <c r="E101" s="589"/>
      <c r="F101" s="589"/>
      <c r="G101" s="589"/>
    </row>
    <row r="102" spans="1:18" x14ac:dyDescent="0.25">
      <c r="A102" s="587"/>
      <c r="B102" s="609"/>
      <c r="C102" s="589"/>
      <c r="D102" s="610"/>
      <c r="E102" s="589"/>
      <c r="F102" s="589"/>
      <c r="G102" s="589"/>
      <c r="R102">
        <f>SUM(F14:F18)</f>
        <v>432</v>
      </c>
    </row>
    <row r="103" spans="1:18" x14ac:dyDescent="0.25">
      <c r="A103" s="587"/>
      <c r="B103" s="588"/>
      <c r="C103" s="589"/>
      <c r="D103" s="610"/>
      <c r="E103" s="589"/>
      <c r="F103" s="589"/>
      <c r="G103" s="589"/>
      <c r="R103">
        <f>SUM(F33:F37)</f>
        <v>488</v>
      </c>
    </row>
    <row r="104" spans="1:18" x14ac:dyDescent="0.25">
      <c r="A104" s="587"/>
      <c r="B104" s="588"/>
      <c r="C104" s="589"/>
      <c r="D104" s="610"/>
      <c r="E104" s="589"/>
      <c r="F104" s="589"/>
      <c r="G104" s="589"/>
      <c r="R104">
        <f>SUM(F53:F57)</f>
        <v>423</v>
      </c>
    </row>
    <row r="105" spans="1:18" x14ac:dyDescent="0.25">
      <c r="A105" s="587"/>
      <c r="B105" s="588"/>
      <c r="C105" s="589"/>
      <c r="D105" s="610"/>
      <c r="E105" s="589"/>
      <c r="F105" s="589"/>
      <c r="G105" s="589"/>
      <c r="R105">
        <f>SUM(F72:F76)</f>
        <v>507</v>
      </c>
    </row>
    <row r="106" spans="1:18" x14ac:dyDescent="0.25">
      <c r="A106" s="587"/>
      <c r="B106" s="588"/>
      <c r="C106" s="589"/>
      <c r="D106" s="610"/>
      <c r="E106" s="589"/>
      <c r="F106" s="589"/>
      <c r="G106" s="589"/>
      <c r="R106">
        <f>SUM(F97+G97)</f>
        <v>346</v>
      </c>
    </row>
    <row r="107" spans="1:18" x14ac:dyDescent="0.25">
      <c r="A107" s="587"/>
      <c r="B107" s="588"/>
      <c r="C107" s="589"/>
      <c r="D107" s="610"/>
      <c r="E107" s="589"/>
      <c r="F107" s="589"/>
      <c r="G107" s="589"/>
      <c r="R107">
        <f>SUM(R102:R106)</f>
        <v>2196</v>
      </c>
    </row>
    <row r="109" spans="1:18" x14ac:dyDescent="0.25">
      <c r="A109" s="253" t="s">
        <v>899</v>
      </c>
    </row>
    <row r="110" spans="1:18" x14ac:dyDescent="0.25">
      <c r="A110" t="s">
        <v>900</v>
      </c>
    </row>
    <row r="111" spans="1:18" x14ac:dyDescent="0.25">
      <c r="A111" t="s">
        <v>901</v>
      </c>
    </row>
    <row r="112" spans="1:18" x14ac:dyDescent="0.25">
      <c r="A112" t="s">
        <v>902</v>
      </c>
    </row>
    <row r="113" spans="1:1" x14ac:dyDescent="0.25">
      <c r="A113" t="s">
        <v>903</v>
      </c>
    </row>
    <row r="114" spans="1:1" x14ac:dyDescent="0.25">
      <c r="A114" t="s">
        <v>904</v>
      </c>
    </row>
    <row r="115" spans="1:1" x14ac:dyDescent="0.25">
      <c r="A115" t="s">
        <v>905</v>
      </c>
    </row>
    <row r="117" spans="1:1" x14ac:dyDescent="0.25">
      <c r="A117" s="15" t="s">
        <v>28</v>
      </c>
    </row>
    <row r="120" spans="1:1" x14ac:dyDescent="0.25">
      <c r="A120" t="s">
        <v>58</v>
      </c>
    </row>
  </sheetData>
  <sortState xmlns:xlrd2="http://schemas.microsoft.com/office/spreadsheetml/2017/richdata2" ref="A72:M73">
    <sortCondition descending="1" ref="M72:M73"/>
  </sortState>
  <mergeCells count="119">
    <mergeCell ref="B83:C83"/>
    <mergeCell ref="B84:C84"/>
    <mergeCell ref="B85:C85"/>
    <mergeCell ref="B86:C86"/>
    <mergeCell ref="B89:C89"/>
    <mergeCell ref="B90:C90"/>
    <mergeCell ref="B93:C93"/>
    <mergeCell ref="B96:C96"/>
    <mergeCell ref="H4:I4"/>
    <mergeCell ref="H6:I6"/>
    <mergeCell ref="H8:I8"/>
    <mergeCell ref="H10:I10"/>
    <mergeCell ref="H83:I83"/>
    <mergeCell ref="H84:I84"/>
    <mergeCell ref="H85:I85"/>
    <mergeCell ref="H86:I86"/>
    <mergeCell ref="H89:I89"/>
    <mergeCell ref="H90:I90"/>
    <mergeCell ref="H96:I96"/>
    <mergeCell ref="B60:C60"/>
    <mergeCell ref="B61:C61"/>
    <mergeCell ref="H49:I49"/>
    <mergeCell ref="B50:C50"/>
    <mergeCell ref="B23:C23"/>
    <mergeCell ref="K68:M68"/>
    <mergeCell ref="K69:M69"/>
    <mergeCell ref="K66:M66"/>
    <mergeCell ref="K67:M67"/>
    <mergeCell ref="B66:C66"/>
    <mergeCell ref="B67:C67"/>
    <mergeCell ref="B68:C68"/>
    <mergeCell ref="B69:C69"/>
    <mergeCell ref="K64:M64"/>
    <mergeCell ref="K65:M65"/>
    <mergeCell ref="K62:M62"/>
    <mergeCell ref="K63:M63"/>
    <mergeCell ref="B62:C62"/>
    <mergeCell ref="B63:C63"/>
    <mergeCell ref="B64:C64"/>
    <mergeCell ref="B65:C65"/>
    <mergeCell ref="K48:M48"/>
    <mergeCell ref="K45:M45"/>
    <mergeCell ref="K46:M46"/>
    <mergeCell ref="H45:I45"/>
    <mergeCell ref="H46:I46"/>
    <mergeCell ref="H47:I47"/>
    <mergeCell ref="H48:I48"/>
    <mergeCell ref="K60:M60"/>
    <mergeCell ref="K61:M61"/>
    <mergeCell ref="K49:M49"/>
    <mergeCell ref="K50:M50"/>
    <mergeCell ref="H50:I50"/>
    <mergeCell ref="K43:M43"/>
    <mergeCell ref="K44:M44"/>
    <mergeCell ref="K41:M41"/>
    <mergeCell ref="K42:M42"/>
    <mergeCell ref="H41:I41"/>
    <mergeCell ref="H42:I42"/>
    <mergeCell ref="H43:I43"/>
    <mergeCell ref="H44:I44"/>
    <mergeCell ref="K47:M47"/>
    <mergeCell ref="K29:M29"/>
    <mergeCell ref="K30:M30"/>
    <mergeCell ref="K27:M27"/>
    <mergeCell ref="K28:M28"/>
    <mergeCell ref="B27:C27"/>
    <mergeCell ref="B28:C28"/>
    <mergeCell ref="B29:C29"/>
    <mergeCell ref="B30:C30"/>
    <mergeCell ref="H27:I27"/>
    <mergeCell ref="H28:I28"/>
    <mergeCell ref="H29:I29"/>
    <mergeCell ref="H30:I30"/>
    <mergeCell ref="B24:C24"/>
    <mergeCell ref="B25:C25"/>
    <mergeCell ref="B26:C26"/>
    <mergeCell ref="K25:M25"/>
    <mergeCell ref="K26:M26"/>
    <mergeCell ref="K23:M23"/>
    <mergeCell ref="K24:M24"/>
    <mergeCell ref="H23:I23"/>
    <mergeCell ref="H24:I24"/>
    <mergeCell ref="H25:I25"/>
    <mergeCell ref="H26:I26"/>
    <mergeCell ref="K4:M4"/>
    <mergeCell ref="K5:M5"/>
    <mergeCell ref="K2:M2"/>
    <mergeCell ref="K3:M3"/>
    <mergeCell ref="B2:C2"/>
    <mergeCell ref="B3:C3"/>
    <mergeCell ref="B4:C4"/>
    <mergeCell ref="B5:C5"/>
    <mergeCell ref="K8:M8"/>
    <mergeCell ref="K9:M9"/>
    <mergeCell ref="K6:M6"/>
    <mergeCell ref="K7:M7"/>
    <mergeCell ref="B6:C6"/>
    <mergeCell ref="B7:C7"/>
    <mergeCell ref="B8:C8"/>
    <mergeCell ref="B9:C9"/>
    <mergeCell ref="K21:M21"/>
    <mergeCell ref="K22:M22"/>
    <mergeCell ref="K10:M10"/>
    <mergeCell ref="K11:M11"/>
    <mergeCell ref="H21:I21"/>
    <mergeCell ref="B10:C10"/>
    <mergeCell ref="B11:C11"/>
    <mergeCell ref="H22:I22"/>
    <mergeCell ref="B21:C21"/>
    <mergeCell ref="B22:C22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6BE11-E06F-4A95-90AB-84F982036EBE}">
  <dimension ref="A1:T62"/>
  <sheetViews>
    <sheetView topLeftCell="A7" workbookViewId="0">
      <selection activeCell="E15" sqref="E15"/>
    </sheetView>
  </sheetViews>
  <sheetFormatPr defaultColWidth="8.875" defaultRowHeight="14.3" x14ac:dyDescent="0.25"/>
  <cols>
    <col min="1" max="1" width="9.875" bestFit="1" customWidth="1"/>
    <col min="2" max="2" width="3.75" customWidth="1"/>
    <col min="3" max="3" width="65.875" customWidth="1"/>
    <col min="4" max="4" width="3.75" customWidth="1"/>
    <col min="5" max="5" width="9" customWidth="1"/>
    <col min="6" max="6" width="3.25" customWidth="1"/>
    <col min="7" max="7" width="5.5" customWidth="1"/>
    <col min="8" max="8" width="9.875" bestFit="1" customWidth="1"/>
    <col min="19" max="19" width="7.125" customWidth="1"/>
    <col min="20" max="20" width="4.875" customWidth="1"/>
  </cols>
  <sheetData>
    <row r="1" spans="1:20" ht="14.95" thickBot="1" x14ac:dyDescent="0.3">
      <c r="H1" s="1012" t="s">
        <v>58</v>
      </c>
      <c r="I1" s="1004" t="s">
        <v>92</v>
      </c>
      <c r="J1" s="1005"/>
      <c r="K1" s="1004" t="s">
        <v>93</v>
      </c>
      <c r="L1" s="1014"/>
      <c r="M1" s="1014"/>
      <c r="N1" s="1014"/>
      <c r="O1" s="1005"/>
      <c r="P1" s="815" t="s">
        <v>94</v>
      </c>
      <c r="Q1" s="1004" t="s">
        <v>95</v>
      </c>
      <c r="R1" s="1005"/>
      <c r="S1" s="1004" t="s">
        <v>7</v>
      </c>
      <c r="T1" s="1005"/>
    </row>
    <row r="2" spans="1:20" ht="17" thickBot="1" x14ac:dyDescent="0.3">
      <c r="A2" s="695"/>
      <c r="B2" s="622"/>
      <c r="C2" s="696" t="s">
        <v>54</v>
      </c>
      <c r="D2" s="1015" t="s">
        <v>55</v>
      </c>
      <c r="E2" s="1016"/>
      <c r="F2" s="241" t="s">
        <v>56</v>
      </c>
      <c r="G2" s="697"/>
      <c r="H2" s="1013"/>
      <c r="I2" s="816" t="s">
        <v>4</v>
      </c>
      <c r="J2" s="816" t="s">
        <v>5</v>
      </c>
      <c r="K2" s="817" t="s">
        <v>96</v>
      </c>
      <c r="L2" s="818" t="s">
        <v>97</v>
      </c>
      <c r="M2" s="818" t="s">
        <v>98</v>
      </c>
      <c r="N2" s="819" t="s">
        <v>99</v>
      </c>
      <c r="O2" s="820" t="s">
        <v>100</v>
      </c>
      <c r="P2" s="821" t="s">
        <v>101</v>
      </c>
      <c r="Q2" s="817" t="s">
        <v>4</v>
      </c>
      <c r="R2" s="820" t="s">
        <v>5</v>
      </c>
      <c r="S2" s="817" t="s">
        <v>54</v>
      </c>
      <c r="T2" s="820" t="s">
        <v>55</v>
      </c>
    </row>
    <row r="3" spans="1:20" ht="14.95" thickBot="1" x14ac:dyDescent="0.3">
      <c r="A3" s="698" t="s">
        <v>30</v>
      </c>
      <c r="B3" s="955">
        <f>Eng2019RWCyc</f>
        <v>0</v>
      </c>
      <c r="C3" s="547"/>
      <c r="D3" s="242">
        <f>Eng2019RWCrc</f>
        <v>0</v>
      </c>
      <c r="E3" s="243"/>
      <c r="F3" s="244">
        <f t="shared" ref="F3:F22" si="0">SUM(B3+D3*2)</f>
        <v>0</v>
      </c>
      <c r="G3" s="699"/>
      <c r="H3" s="80" t="s">
        <v>37</v>
      </c>
      <c r="I3" s="721">
        <v>7</v>
      </c>
      <c r="J3" s="721">
        <v>34</v>
      </c>
      <c r="K3" s="721">
        <v>63</v>
      </c>
      <c r="L3" s="721">
        <v>0</v>
      </c>
      <c r="M3" s="721">
        <v>0</v>
      </c>
      <c r="N3" s="721">
        <v>0</v>
      </c>
      <c r="O3" s="722">
        <f t="shared" ref="O3:O22" si="1">SUM(K3:N3)</f>
        <v>63</v>
      </c>
      <c r="P3" s="80">
        <v>0</v>
      </c>
      <c r="Q3" s="723">
        <f t="shared" ref="Q3" si="2">SUM(I3/O3)*10</f>
        <v>1.1111111111111112</v>
      </c>
      <c r="R3" s="723">
        <f t="shared" ref="R3" si="3">SUM(J3/O3)*10</f>
        <v>5.3968253968253963</v>
      </c>
      <c r="S3" s="724">
        <f>arg2019rwcyc</f>
        <v>0</v>
      </c>
      <c r="T3" s="724">
        <f>arg2019rwcrc</f>
        <v>1</v>
      </c>
    </row>
    <row r="4" spans="1:20" ht="14.95" thickBot="1" x14ac:dyDescent="0.3">
      <c r="A4" s="700" t="s">
        <v>36</v>
      </c>
      <c r="B4" s="245">
        <f>jpn2019rwcyc</f>
        <v>0</v>
      </c>
      <c r="C4" s="248"/>
      <c r="D4" s="242">
        <f>jpn2019rwcrc</f>
        <v>0</v>
      </c>
      <c r="E4" s="243"/>
      <c r="F4" s="244">
        <f t="shared" si="0"/>
        <v>0</v>
      </c>
      <c r="G4" s="699"/>
      <c r="H4" s="725" t="s">
        <v>29</v>
      </c>
      <c r="I4" s="726">
        <v>15</v>
      </c>
      <c r="J4" s="726">
        <v>0</v>
      </c>
      <c r="K4" s="726">
        <v>30</v>
      </c>
      <c r="L4" s="726">
        <v>0</v>
      </c>
      <c r="M4" s="726">
        <v>0</v>
      </c>
      <c r="N4" s="726">
        <v>0</v>
      </c>
      <c r="O4" s="727">
        <f t="shared" si="1"/>
        <v>30</v>
      </c>
      <c r="P4" s="725">
        <v>0</v>
      </c>
      <c r="Q4" s="728">
        <f t="shared" ref="Q4" si="4">SUM(I4/O4)*10</f>
        <v>5</v>
      </c>
      <c r="R4" s="728">
        <f t="shared" ref="R4" si="5">SUM(J4/O4)*10</f>
        <v>0</v>
      </c>
      <c r="S4" s="729">
        <f>Aus2019rwcyc</f>
        <v>3</v>
      </c>
      <c r="T4" s="729">
        <f>Aus2019rwcrc</f>
        <v>0</v>
      </c>
    </row>
    <row r="5" spans="1:20" ht="14.95" thickBot="1" x14ac:dyDescent="0.3">
      <c r="A5" s="700" t="s">
        <v>35</v>
      </c>
      <c r="B5" s="245">
        <f>Sco2019RWCyc</f>
        <v>0</v>
      </c>
      <c r="C5" s="703"/>
      <c r="D5" s="242">
        <f>Sco2019RWCrc</f>
        <v>0</v>
      </c>
      <c r="E5" s="243"/>
      <c r="F5" s="244">
        <f t="shared" si="0"/>
        <v>0</v>
      </c>
      <c r="G5" s="699"/>
      <c r="H5" s="730" t="s">
        <v>40</v>
      </c>
      <c r="I5" s="731">
        <v>14</v>
      </c>
      <c r="J5" s="731">
        <v>31</v>
      </c>
      <c r="K5" s="731">
        <v>55</v>
      </c>
      <c r="L5" s="731">
        <v>0</v>
      </c>
      <c r="M5" s="731">
        <v>0</v>
      </c>
      <c r="N5" s="731">
        <v>0</v>
      </c>
      <c r="O5" s="732">
        <f t="shared" si="1"/>
        <v>55</v>
      </c>
      <c r="P5" s="730">
        <v>0</v>
      </c>
      <c r="Q5" s="733">
        <f t="shared" ref="Q5" si="6">SUM(I5/O5)*10</f>
        <v>2.545454545454545</v>
      </c>
      <c r="R5" s="733">
        <f t="shared" ref="R5" si="7">SUM(J5/O5)*10</f>
        <v>5.6363636363636358</v>
      </c>
      <c r="S5" s="715">
        <f>can2019rwcyc</f>
        <v>1</v>
      </c>
      <c r="T5" s="715">
        <f>can2019rwcrc</f>
        <v>1</v>
      </c>
    </row>
    <row r="6" spans="1:20" ht="14.95" thickBot="1" x14ac:dyDescent="0.3">
      <c r="A6" s="700" t="s">
        <v>145</v>
      </c>
      <c r="B6" s="245">
        <f>Ton2019RWCyc</f>
        <v>0</v>
      </c>
      <c r="C6" s="248"/>
      <c r="D6" s="242">
        <f>Ton2019RWCrc</f>
        <v>0</v>
      </c>
      <c r="E6" s="243"/>
      <c r="F6" s="244">
        <f t="shared" si="0"/>
        <v>0</v>
      </c>
      <c r="G6" s="699"/>
      <c r="H6" s="734" t="s">
        <v>30</v>
      </c>
      <c r="I6" s="735">
        <v>0</v>
      </c>
      <c r="J6" s="735">
        <v>0</v>
      </c>
      <c r="K6" s="735">
        <v>0</v>
      </c>
      <c r="L6" s="735">
        <v>0</v>
      </c>
      <c r="M6" s="735">
        <v>0</v>
      </c>
      <c r="N6" s="735">
        <v>0</v>
      </c>
      <c r="O6" s="736">
        <f t="shared" si="1"/>
        <v>0</v>
      </c>
      <c r="P6" s="734">
        <v>0</v>
      </c>
      <c r="Q6" s="737">
        <v>0</v>
      </c>
      <c r="R6" s="737">
        <v>0</v>
      </c>
      <c r="S6" s="738">
        <f>Eng2019RWCyc</f>
        <v>0</v>
      </c>
      <c r="T6" s="738">
        <f>Eng2019RWCrc</f>
        <v>0</v>
      </c>
    </row>
    <row r="7" spans="1:20" ht="14.95" thickBot="1" x14ac:dyDescent="0.3">
      <c r="A7" s="700" t="s">
        <v>38</v>
      </c>
      <c r="B7" s="245">
        <f>Geo2019RWCyc</f>
        <v>1</v>
      </c>
      <c r="C7" s="248" t="s">
        <v>885</v>
      </c>
      <c r="D7" s="242">
        <f>Geo2019RWCrc</f>
        <v>0</v>
      </c>
      <c r="E7" s="702"/>
      <c r="F7" s="244">
        <f t="shared" si="0"/>
        <v>1</v>
      </c>
      <c r="G7" s="699"/>
      <c r="H7" s="704" t="s">
        <v>31</v>
      </c>
      <c r="I7" s="712">
        <v>0</v>
      </c>
      <c r="J7" s="712">
        <v>26</v>
      </c>
      <c r="K7" s="712">
        <v>30</v>
      </c>
      <c r="L7" s="712">
        <v>0</v>
      </c>
      <c r="M7" s="712">
        <v>0</v>
      </c>
      <c r="N7" s="712">
        <v>0</v>
      </c>
      <c r="O7" s="713">
        <f t="shared" si="1"/>
        <v>30</v>
      </c>
      <c r="P7" s="704">
        <v>1</v>
      </c>
      <c r="Q7" s="714">
        <f t="shared" ref="Q7:Q23" si="8">SUM(I7/O7)*10</f>
        <v>0</v>
      </c>
      <c r="R7" s="714">
        <f t="shared" ref="R7:R23" si="9">SUM(J7/O7)*10</f>
        <v>8.6666666666666679</v>
      </c>
      <c r="S7" s="760">
        <f>Fij2019RWCyc</f>
        <v>3</v>
      </c>
      <c r="T7" s="760">
        <f>Fij2019RWCrc</f>
        <v>0</v>
      </c>
    </row>
    <row r="8" spans="1:20" ht="14.95" thickBot="1" x14ac:dyDescent="0.3">
      <c r="A8" s="700" t="s">
        <v>679</v>
      </c>
      <c r="B8" s="245">
        <f>Rsa2019RWCyc</f>
        <v>1</v>
      </c>
      <c r="C8" s="248" t="s">
        <v>981</v>
      </c>
      <c r="D8" s="242">
        <f>Rsa2019RWCrc</f>
        <v>0</v>
      </c>
      <c r="E8" s="243"/>
      <c r="F8" s="244">
        <f t="shared" si="0"/>
        <v>1</v>
      </c>
      <c r="G8" s="699"/>
      <c r="H8" s="739" t="s">
        <v>34</v>
      </c>
      <c r="I8" s="740">
        <v>0</v>
      </c>
      <c r="J8" s="740">
        <v>10</v>
      </c>
      <c r="K8" s="740">
        <v>31</v>
      </c>
      <c r="L8" s="740">
        <v>0</v>
      </c>
      <c r="M8" s="740">
        <v>0</v>
      </c>
      <c r="N8" s="740">
        <v>0</v>
      </c>
      <c r="O8" s="741">
        <f t="shared" si="1"/>
        <v>31</v>
      </c>
      <c r="P8" s="739">
        <v>0</v>
      </c>
      <c r="Q8" s="742">
        <f t="shared" ref="Q8" si="10">SUM(I8/O8)*10</f>
        <v>0</v>
      </c>
      <c r="R8" s="742">
        <f t="shared" ref="R8" si="11">SUM(J8/O8)*10</f>
        <v>3.225806451612903</v>
      </c>
      <c r="S8" s="743">
        <f>Fra2019RWCyc</f>
        <v>0</v>
      </c>
      <c r="T8" s="743">
        <f>Fra2019RWCrc</f>
        <v>1</v>
      </c>
    </row>
    <row r="9" spans="1:20" ht="14.95" thickBot="1" x14ac:dyDescent="0.3">
      <c r="A9" s="700" t="s">
        <v>37</v>
      </c>
      <c r="B9" s="245">
        <f>arg2019rwcyc</f>
        <v>0</v>
      </c>
      <c r="C9" s="535"/>
      <c r="D9" s="249">
        <f>arg2019rwcrc</f>
        <v>1</v>
      </c>
      <c r="E9" s="243" t="s">
        <v>931</v>
      </c>
      <c r="F9" s="244">
        <f t="shared" si="0"/>
        <v>2</v>
      </c>
      <c r="G9" s="699"/>
      <c r="H9" s="744" t="s">
        <v>38</v>
      </c>
      <c r="I9" s="745">
        <v>0</v>
      </c>
      <c r="J9" s="745">
        <v>0</v>
      </c>
      <c r="K9" s="745">
        <v>10</v>
      </c>
      <c r="L9" s="745">
        <v>0</v>
      </c>
      <c r="M9" s="745">
        <v>0</v>
      </c>
      <c r="N9" s="745">
        <v>0</v>
      </c>
      <c r="O9" s="746">
        <f t="shared" si="1"/>
        <v>10</v>
      </c>
      <c r="P9" s="744">
        <v>0</v>
      </c>
      <c r="Q9" s="747">
        <v>0</v>
      </c>
      <c r="R9" s="747">
        <v>0</v>
      </c>
      <c r="S9" s="748">
        <f>Geo2019RWCyc</f>
        <v>1</v>
      </c>
      <c r="T9" s="748">
        <f>Geo2019RWCrc</f>
        <v>0</v>
      </c>
    </row>
    <row r="10" spans="1:20" ht="29.25" thickBot="1" x14ac:dyDescent="0.3">
      <c r="A10" s="700" t="s">
        <v>34</v>
      </c>
      <c r="B10" s="246">
        <f>Fra2019RWCyc</f>
        <v>0</v>
      </c>
      <c r="C10" s="247"/>
      <c r="D10" s="242">
        <f>Fra2019RWCrc</f>
        <v>1</v>
      </c>
      <c r="E10" s="243" t="s">
        <v>978</v>
      </c>
      <c r="F10" s="244">
        <f t="shared" si="0"/>
        <v>2</v>
      </c>
      <c r="G10" s="699"/>
      <c r="H10" s="54" t="s">
        <v>39</v>
      </c>
      <c r="I10" s="749">
        <v>26</v>
      </c>
      <c r="J10" s="749">
        <v>0</v>
      </c>
      <c r="K10" s="749">
        <v>62</v>
      </c>
      <c r="L10" s="749">
        <v>0</v>
      </c>
      <c r="M10" s="749">
        <v>0</v>
      </c>
      <c r="N10" s="749">
        <v>0</v>
      </c>
      <c r="O10" s="750">
        <f t="shared" si="1"/>
        <v>62</v>
      </c>
      <c r="P10" s="54">
        <v>0</v>
      </c>
      <c r="Q10" s="751">
        <f t="shared" ref="Q10" si="12">SUM(I10/O10)*10</f>
        <v>4.193548387096774</v>
      </c>
      <c r="R10" s="751">
        <f t="shared" ref="R10" si="13">SUM(J10/O10)*10</f>
        <v>0</v>
      </c>
      <c r="S10" s="752">
        <f>Ire2019RWCyc</f>
        <v>1</v>
      </c>
      <c r="T10" s="752">
        <f>Ire2019RWCrc</f>
        <v>1</v>
      </c>
    </row>
    <row r="11" spans="1:20" ht="14.95" thickBot="1" x14ac:dyDescent="0.3">
      <c r="A11" s="700" t="s">
        <v>33</v>
      </c>
      <c r="B11" s="245">
        <f>ita2019RWCyc</f>
        <v>0</v>
      </c>
      <c r="C11" s="703"/>
      <c r="D11" s="242">
        <f>ita2019RWCrc</f>
        <v>1</v>
      </c>
      <c r="E11" s="243" t="s">
        <v>930</v>
      </c>
      <c r="F11" s="244">
        <f t="shared" si="0"/>
        <v>2</v>
      </c>
      <c r="G11" s="699"/>
      <c r="H11" s="716" t="s">
        <v>33</v>
      </c>
      <c r="I11" s="753">
        <v>0</v>
      </c>
      <c r="J11" s="753">
        <v>32</v>
      </c>
      <c r="K11" s="753">
        <v>38</v>
      </c>
      <c r="L11" s="753">
        <v>0</v>
      </c>
      <c r="M11" s="753">
        <v>0</v>
      </c>
      <c r="N11" s="754">
        <v>0</v>
      </c>
      <c r="O11" s="718">
        <f t="shared" si="1"/>
        <v>38</v>
      </c>
      <c r="P11" s="716">
        <v>0</v>
      </c>
      <c r="Q11" s="719">
        <f t="shared" ref="Q11" si="14">SUM(I11/O11)*10</f>
        <v>0</v>
      </c>
      <c r="R11" s="719">
        <f t="shared" ref="R11" si="15">SUM(J11/O11)*10</f>
        <v>8.4210526315789469</v>
      </c>
      <c r="S11" s="720">
        <f>ita2019RWCyc</f>
        <v>0</v>
      </c>
      <c r="T11" s="720">
        <f>ita2019RWCrc</f>
        <v>1</v>
      </c>
    </row>
    <row r="12" spans="1:20" ht="14.95" thickBot="1" x14ac:dyDescent="0.3">
      <c r="A12" s="701" t="s">
        <v>193</v>
      </c>
      <c r="B12" s="246">
        <f>Nam2019RWCyc</f>
        <v>2</v>
      </c>
      <c r="C12" s="247" t="s">
        <v>913</v>
      </c>
      <c r="D12" s="242">
        <f>Nam2019RWCrc</f>
        <v>0</v>
      </c>
      <c r="E12" s="243"/>
      <c r="F12" s="244">
        <f t="shared" si="0"/>
        <v>2</v>
      </c>
      <c r="G12" s="699"/>
      <c r="H12" s="755" t="s">
        <v>36</v>
      </c>
      <c r="I12" s="756">
        <v>0</v>
      </c>
      <c r="J12" s="756">
        <v>0</v>
      </c>
      <c r="K12" s="756">
        <v>0</v>
      </c>
      <c r="L12" s="756">
        <v>0</v>
      </c>
      <c r="M12" s="756">
        <v>0</v>
      </c>
      <c r="N12" s="756">
        <v>0</v>
      </c>
      <c r="O12" s="757">
        <f t="shared" si="1"/>
        <v>0</v>
      </c>
      <c r="P12" s="755">
        <v>0</v>
      </c>
      <c r="Q12" s="758">
        <v>0</v>
      </c>
      <c r="R12" s="758">
        <v>0</v>
      </c>
      <c r="S12" s="759">
        <f>jpn2019rwcyc</f>
        <v>0</v>
      </c>
      <c r="T12" s="759">
        <f>jpn2019rwcrc</f>
        <v>0</v>
      </c>
    </row>
    <row r="13" spans="1:20" ht="14.95" thickBot="1" x14ac:dyDescent="0.3">
      <c r="A13" s="700" t="s">
        <v>60</v>
      </c>
      <c r="B13" s="245">
        <f>USA2019RWCyc</f>
        <v>0</v>
      </c>
      <c r="C13" s="248"/>
      <c r="D13" s="242">
        <f>USA2019RWCrc</f>
        <v>1</v>
      </c>
      <c r="E13" s="243" t="s">
        <v>896</v>
      </c>
      <c r="F13" s="244">
        <f t="shared" si="0"/>
        <v>2</v>
      </c>
      <c r="G13" s="699"/>
      <c r="H13" s="418" t="s">
        <v>193</v>
      </c>
      <c r="I13" s="430">
        <v>3</v>
      </c>
      <c r="J13" s="430">
        <v>10</v>
      </c>
      <c r="K13" s="430">
        <v>20</v>
      </c>
      <c r="L13" s="430">
        <v>0</v>
      </c>
      <c r="M13" s="430">
        <v>0</v>
      </c>
      <c r="N13" s="430">
        <v>0</v>
      </c>
      <c r="O13" s="761">
        <f t="shared" si="1"/>
        <v>20</v>
      </c>
      <c r="P13" s="418">
        <v>0</v>
      </c>
      <c r="Q13" s="762">
        <f t="shared" ref="Q13" si="16">SUM(I13/O13)*10</f>
        <v>1.5</v>
      </c>
      <c r="R13" s="762">
        <f t="shared" ref="R13" si="17">SUM(J13/O13)*10</f>
        <v>5</v>
      </c>
      <c r="S13" s="763">
        <f>Nam2019RWCyc</f>
        <v>2</v>
      </c>
      <c r="T13" s="763">
        <f>Nam2019RWCrc</f>
        <v>0</v>
      </c>
    </row>
    <row r="14" spans="1:20" ht="14.95" thickBot="1" x14ac:dyDescent="0.3">
      <c r="A14" s="700" t="s">
        <v>29</v>
      </c>
      <c r="B14" s="245">
        <f>Aus2019rwcyc</f>
        <v>3</v>
      </c>
      <c r="C14" s="248" t="s">
        <v>960</v>
      </c>
      <c r="D14" s="242">
        <f>Aus2019rwcrc</f>
        <v>0</v>
      </c>
      <c r="E14" s="243"/>
      <c r="F14" s="244">
        <f t="shared" si="0"/>
        <v>3</v>
      </c>
      <c r="G14" s="699"/>
      <c r="H14" s="764" t="s">
        <v>126</v>
      </c>
      <c r="I14" s="765">
        <v>22</v>
      </c>
      <c r="J14" s="765">
        <v>0</v>
      </c>
      <c r="K14" s="765">
        <v>22</v>
      </c>
      <c r="L14" s="765">
        <v>0</v>
      </c>
      <c r="M14" s="765">
        <v>0</v>
      </c>
      <c r="N14" s="765">
        <v>0</v>
      </c>
      <c r="O14" s="766">
        <f t="shared" si="1"/>
        <v>22</v>
      </c>
      <c r="P14" s="764">
        <v>0</v>
      </c>
      <c r="Q14" s="767">
        <f t="shared" ref="Q14" si="18">SUM(I14/O14)*10</f>
        <v>10</v>
      </c>
      <c r="R14" s="767">
        <f t="shared" ref="R14" si="19">SUM(J14/O14)*10</f>
        <v>0</v>
      </c>
      <c r="S14" s="768">
        <f>Nzl2019RWCyc</f>
        <v>3</v>
      </c>
      <c r="T14" s="768">
        <f>Nzl2019RWCrc</f>
        <v>0</v>
      </c>
    </row>
    <row r="15" spans="1:20" ht="14.95" thickBot="1" x14ac:dyDescent="0.3">
      <c r="A15" s="700" t="s">
        <v>40</v>
      </c>
      <c r="B15" s="245">
        <f>can2019rwcyc</f>
        <v>1</v>
      </c>
      <c r="C15" s="535" t="s">
        <v>895</v>
      </c>
      <c r="D15" s="242">
        <f>can2019rwcrc</f>
        <v>1</v>
      </c>
      <c r="E15" s="243" t="s">
        <v>945</v>
      </c>
      <c r="F15" s="244">
        <f t="shared" si="0"/>
        <v>3</v>
      </c>
      <c r="G15" s="699"/>
      <c r="H15" s="552" t="s">
        <v>105</v>
      </c>
      <c r="I15" s="565">
        <v>3</v>
      </c>
      <c r="J15" s="565">
        <v>28</v>
      </c>
      <c r="K15" s="565">
        <v>30</v>
      </c>
      <c r="L15" s="565">
        <v>0</v>
      </c>
      <c r="M15" s="565">
        <v>0</v>
      </c>
      <c r="N15" s="565">
        <v>0</v>
      </c>
      <c r="O15" s="769">
        <f t="shared" si="1"/>
        <v>30</v>
      </c>
      <c r="P15" s="552">
        <v>0</v>
      </c>
      <c r="Q15" s="770">
        <f t="shared" ref="Q15" si="20">SUM(I15/O15)*10</f>
        <v>1</v>
      </c>
      <c r="R15" s="770">
        <f t="shared" ref="R15" si="21">SUM(J15/O15)*10</f>
        <v>9.3333333333333339</v>
      </c>
      <c r="S15" s="771">
        <f>Rus2019RWCyc</f>
        <v>3</v>
      </c>
      <c r="T15" s="772">
        <f>Rus2019RWCrc</f>
        <v>0</v>
      </c>
    </row>
    <row r="16" spans="1:20" ht="14.95" thickBot="1" x14ac:dyDescent="0.3">
      <c r="A16" s="701" t="s">
        <v>31</v>
      </c>
      <c r="B16" s="246">
        <f>Fij2019RWCyc</f>
        <v>3</v>
      </c>
      <c r="C16" s="247" t="s">
        <v>957</v>
      </c>
      <c r="D16" s="242">
        <f>Fij2019RWCrc</f>
        <v>0</v>
      </c>
      <c r="E16" s="243"/>
      <c r="F16" s="244">
        <f t="shared" si="0"/>
        <v>3</v>
      </c>
      <c r="G16" s="699"/>
      <c r="H16" s="773" t="s">
        <v>148</v>
      </c>
      <c r="I16" s="774">
        <v>3</v>
      </c>
      <c r="J16" s="774">
        <v>28</v>
      </c>
      <c r="K16" s="774">
        <v>50</v>
      </c>
      <c r="L16" s="774">
        <v>8</v>
      </c>
      <c r="M16" s="774">
        <v>0</v>
      </c>
      <c r="N16" s="774">
        <v>0</v>
      </c>
      <c r="O16" s="775">
        <f t="shared" si="1"/>
        <v>58</v>
      </c>
      <c r="P16" s="289">
        <v>10</v>
      </c>
      <c r="Q16" s="776">
        <f t="shared" ref="Q16" si="22">SUM(I16/O16)*10</f>
        <v>0.51724137931034486</v>
      </c>
      <c r="R16" s="776">
        <f t="shared" ref="R16" si="23">SUM(J16/O16)*10</f>
        <v>4.8275862068965516</v>
      </c>
      <c r="S16" s="777">
        <f>Sam2019RWCyc</f>
        <v>6</v>
      </c>
      <c r="T16" s="778">
        <f>SAM2019rwcRC</f>
        <v>1</v>
      </c>
    </row>
    <row r="17" spans="1:20" ht="14.95" thickBot="1" x14ac:dyDescent="0.3">
      <c r="A17" s="701" t="s">
        <v>39</v>
      </c>
      <c r="B17" s="246">
        <f>Ire2019RWCyc</f>
        <v>1</v>
      </c>
      <c r="C17" s="535" t="s">
        <v>878</v>
      </c>
      <c r="D17" s="242">
        <f>Ire2019RWCrc</f>
        <v>1</v>
      </c>
      <c r="E17" s="243" t="s">
        <v>961</v>
      </c>
      <c r="F17" s="244">
        <f t="shared" si="0"/>
        <v>3</v>
      </c>
      <c r="G17" s="699"/>
      <c r="H17" s="779" t="s">
        <v>35</v>
      </c>
      <c r="I17" s="780">
        <v>0</v>
      </c>
      <c r="J17" s="780">
        <v>0</v>
      </c>
      <c r="K17" s="780">
        <v>0</v>
      </c>
      <c r="L17" s="780">
        <v>0</v>
      </c>
      <c r="M17" s="780">
        <v>0</v>
      </c>
      <c r="N17" s="780">
        <v>0</v>
      </c>
      <c r="O17" s="781">
        <f t="shared" si="1"/>
        <v>0</v>
      </c>
      <c r="P17" s="118">
        <v>0</v>
      </c>
      <c r="Q17" s="782">
        <v>0</v>
      </c>
      <c r="R17" s="782">
        <v>0</v>
      </c>
      <c r="S17" s="783">
        <f>Sco2019RWCyc</f>
        <v>0</v>
      </c>
      <c r="T17" s="784">
        <f>Sco2019RWCrc</f>
        <v>0</v>
      </c>
    </row>
    <row r="18" spans="1:20" ht="14.95" thickBot="1" x14ac:dyDescent="0.3">
      <c r="A18" s="700" t="s">
        <v>126</v>
      </c>
      <c r="B18" s="245">
        <f>Nzl2019RWCyc</f>
        <v>3</v>
      </c>
      <c r="C18" s="248" t="s">
        <v>976</v>
      </c>
      <c r="D18" s="242">
        <f>Nzl2019RWCrc</f>
        <v>0</v>
      </c>
      <c r="E18" s="243"/>
      <c r="F18" s="244">
        <f t="shared" si="0"/>
        <v>3</v>
      </c>
      <c r="G18" s="699"/>
      <c r="H18" s="785" t="s">
        <v>679</v>
      </c>
      <c r="I18" s="786">
        <v>0</v>
      </c>
      <c r="J18" s="786">
        <v>3</v>
      </c>
      <c r="K18" s="786">
        <v>10</v>
      </c>
      <c r="L18" s="786">
        <v>0</v>
      </c>
      <c r="M18" s="786">
        <v>0</v>
      </c>
      <c r="N18" s="786">
        <v>0</v>
      </c>
      <c r="O18" s="787">
        <f t="shared" si="1"/>
        <v>10</v>
      </c>
      <c r="P18" s="67">
        <v>0</v>
      </c>
      <c r="Q18" s="788">
        <f t="shared" ref="Q18" si="24">SUM(I18/O18)*10</f>
        <v>0</v>
      </c>
      <c r="R18" s="788">
        <f t="shared" ref="R18" si="25">SUM(J18/O18)*10</f>
        <v>3</v>
      </c>
      <c r="S18" s="789">
        <f>Rsa2019RWCyc</f>
        <v>1</v>
      </c>
      <c r="T18" s="790">
        <f>Rsa2019RWCrc</f>
        <v>0</v>
      </c>
    </row>
    <row r="19" spans="1:20" ht="14.95" thickBot="1" x14ac:dyDescent="0.3">
      <c r="A19" s="700" t="s">
        <v>105</v>
      </c>
      <c r="B19" s="245">
        <f>Rus2019RWCyc</f>
        <v>3</v>
      </c>
      <c r="C19" s="248" t="s">
        <v>929</v>
      </c>
      <c r="D19" s="242">
        <f>Rus2019RWCrc</f>
        <v>0</v>
      </c>
      <c r="E19" s="243"/>
      <c r="F19" s="244">
        <f t="shared" si="0"/>
        <v>3</v>
      </c>
      <c r="G19" s="699"/>
      <c r="H19" s="791" t="s">
        <v>145</v>
      </c>
      <c r="I19" s="745">
        <v>0</v>
      </c>
      <c r="J19" s="745">
        <v>0</v>
      </c>
      <c r="K19" s="745">
        <v>0</v>
      </c>
      <c r="L19" s="745">
        <v>0</v>
      </c>
      <c r="M19" s="745">
        <v>0</v>
      </c>
      <c r="N19" s="745">
        <v>0</v>
      </c>
      <c r="O19" s="746">
        <f t="shared" si="1"/>
        <v>0</v>
      </c>
      <c r="P19" s="744">
        <v>0</v>
      </c>
      <c r="Q19" s="747">
        <v>0</v>
      </c>
      <c r="R19" s="747">
        <v>0</v>
      </c>
      <c r="S19" s="792">
        <f>Ton2019RWCyc</f>
        <v>0</v>
      </c>
      <c r="T19" s="793">
        <f>Ton2019RWCrc</f>
        <v>0</v>
      </c>
    </row>
    <row r="20" spans="1:20" ht="14.95" thickBot="1" x14ac:dyDescent="0.3">
      <c r="A20" s="700" t="s">
        <v>107</v>
      </c>
      <c r="B20" s="245">
        <f>Uru2019RWCyc</f>
        <v>1</v>
      </c>
      <c r="C20" s="248" t="s">
        <v>971</v>
      </c>
      <c r="D20" s="242">
        <f>Uru2019RWCrc</f>
        <v>1</v>
      </c>
      <c r="E20" s="243" t="s">
        <v>914</v>
      </c>
      <c r="F20" s="244">
        <f t="shared" si="0"/>
        <v>3</v>
      </c>
      <c r="G20" s="699"/>
      <c r="H20" s="794" t="s">
        <v>107</v>
      </c>
      <c r="I20" s="717">
        <v>7</v>
      </c>
      <c r="J20" s="717">
        <v>14</v>
      </c>
      <c r="K20" s="717">
        <v>13</v>
      </c>
      <c r="L20" s="717">
        <v>0</v>
      </c>
      <c r="M20" s="717">
        <v>0</v>
      </c>
      <c r="N20" s="717">
        <v>0</v>
      </c>
      <c r="O20" s="718">
        <f t="shared" si="1"/>
        <v>13</v>
      </c>
      <c r="P20" s="716">
        <v>0</v>
      </c>
      <c r="Q20" s="795">
        <f t="shared" ref="Q20" si="26">SUM(I20/O20)*10</f>
        <v>5.3846153846153841</v>
      </c>
      <c r="R20" s="719">
        <f t="shared" ref="R20" si="27">SUM(J20/O20)*10</f>
        <v>10.769230769230768</v>
      </c>
      <c r="S20" s="796">
        <f>Uru2019RWCyc</f>
        <v>1</v>
      </c>
      <c r="T20" s="797">
        <f>Uru2019RWCrc</f>
        <v>1</v>
      </c>
    </row>
    <row r="21" spans="1:20" ht="14.95" thickBot="1" x14ac:dyDescent="0.3">
      <c r="A21" s="700" t="s">
        <v>32</v>
      </c>
      <c r="B21" s="245">
        <f>Wal2019RWCyc</f>
        <v>3</v>
      </c>
      <c r="C21" s="248" t="s">
        <v>977</v>
      </c>
      <c r="D21" s="242">
        <f>Wal2019RWCrc</f>
        <v>0</v>
      </c>
      <c r="E21" s="243"/>
      <c r="F21" s="244">
        <f t="shared" si="0"/>
        <v>3</v>
      </c>
      <c r="G21" s="699"/>
      <c r="H21" s="798" t="s">
        <v>60</v>
      </c>
      <c r="I21" s="217">
        <v>7</v>
      </c>
      <c r="J21" s="217">
        <v>7</v>
      </c>
      <c r="K21" s="217">
        <v>11</v>
      </c>
      <c r="L21" s="217">
        <v>0</v>
      </c>
      <c r="M21" s="217">
        <v>0</v>
      </c>
      <c r="N21" s="217">
        <v>0</v>
      </c>
      <c r="O21" s="799">
        <f t="shared" si="1"/>
        <v>11</v>
      </c>
      <c r="P21" s="132">
        <v>0</v>
      </c>
      <c r="Q21" s="800">
        <f t="shared" ref="Q21" si="28">SUM(I21/O21)*10</f>
        <v>6.3636363636363633</v>
      </c>
      <c r="R21" s="800">
        <f t="shared" ref="R21" si="29">SUM(J21/O21)*10</f>
        <v>6.3636363636363633</v>
      </c>
      <c r="S21" s="801">
        <f>USA2019RWCyc</f>
        <v>0</v>
      </c>
      <c r="T21" s="802">
        <f>USA2019RWCrc</f>
        <v>1</v>
      </c>
    </row>
    <row r="22" spans="1:20" ht="14.95" thickBot="1" x14ac:dyDescent="0.3">
      <c r="A22" s="700" t="s">
        <v>148</v>
      </c>
      <c r="B22" s="245">
        <f>Sam2019RWCyc</f>
        <v>6</v>
      </c>
      <c r="C22" s="248" t="s">
        <v>965</v>
      </c>
      <c r="D22" s="242">
        <f>SAM2019rwcRC</f>
        <v>1</v>
      </c>
      <c r="E22" s="243" t="s">
        <v>919</v>
      </c>
      <c r="F22" s="244">
        <f t="shared" si="0"/>
        <v>8</v>
      </c>
      <c r="G22" s="699"/>
      <c r="H22" s="803" t="s">
        <v>32</v>
      </c>
      <c r="I22" s="804">
        <v>10</v>
      </c>
      <c r="J22" s="804">
        <v>19</v>
      </c>
      <c r="K22" s="804">
        <v>30</v>
      </c>
      <c r="L22" s="804">
        <v>0</v>
      </c>
      <c r="M22" s="804">
        <v>0</v>
      </c>
      <c r="N22" s="804">
        <v>0</v>
      </c>
      <c r="O22" s="805">
        <f t="shared" si="1"/>
        <v>30</v>
      </c>
      <c r="P22" s="6">
        <v>1</v>
      </c>
      <c r="Q22" s="806">
        <f t="shared" ref="Q22" si="30">SUM(I22/O22)*10</f>
        <v>3.333333333333333</v>
      </c>
      <c r="R22" s="807">
        <f t="shared" ref="R22" si="31">SUM(J22/O22)*10</f>
        <v>6.333333333333333</v>
      </c>
      <c r="S22" s="808">
        <f>Wal2019RWCyc</f>
        <v>3</v>
      </c>
      <c r="T22" s="809">
        <f>Wal2019RWCrc</f>
        <v>0</v>
      </c>
    </row>
    <row r="23" spans="1:20" ht="14.95" thickBot="1" x14ac:dyDescent="0.3">
      <c r="A23" s="700" t="s">
        <v>57</v>
      </c>
      <c r="B23" s="245">
        <f>SUM(B3:B22)</f>
        <v>28</v>
      </c>
      <c r="C23" s="248"/>
      <c r="D23" s="249">
        <f>SUM(D3:D22)</f>
        <v>8</v>
      </c>
      <c r="E23" s="250"/>
      <c r="F23" s="241" t="s">
        <v>58</v>
      </c>
      <c r="G23" s="697"/>
      <c r="H23" s="810" t="s">
        <v>57</v>
      </c>
      <c r="I23" s="811">
        <f>SUM(I3:I22)</f>
        <v>117</v>
      </c>
      <c r="J23" s="812">
        <f t="shared" ref="J23:P23" si="32">SUM(J3:J22)</f>
        <v>242</v>
      </c>
      <c r="K23" s="811">
        <f t="shared" si="32"/>
        <v>505</v>
      </c>
      <c r="L23" s="813">
        <f t="shared" si="32"/>
        <v>8</v>
      </c>
      <c r="M23" s="813">
        <f t="shared" si="32"/>
        <v>0</v>
      </c>
      <c r="N23" s="813">
        <f t="shared" si="32"/>
        <v>0</v>
      </c>
      <c r="O23" s="812">
        <f t="shared" si="32"/>
        <v>513</v>
      </c>
      <c r="P23" s="814">
        <f t="shared" si="32"/>
        <v>12</v>
      </c>
      <c r="Q23" s="949">
        <f t="shared" si="8"/>
        <v>2.2807017543859649</v>
      </c>
      <c r="R23" s="948">
        <f t="shared" si="9"/>
        <v>4.7173489278752436</v>
      </c>
      <c r="S23" s="811">
        <f t="shared" ref="S23:T23" si="33">SUM(S3:S22)</f>
        <v>28</v>
      </c>
      <c r="T23" s="812">
        <f t="shared" si="33"/>
        <v>8</v>
      </c>
    </row>
    <row r="24" spans="1:20" x14ac:dyDescent="0.25">
      <c r="A24" s="1007" t="s">
        <v>920</v>
      </c>
      <c r="B24" s="1008"/>
      <c r="C24" s="1008"/>
      <c r="D24" s="252"/>
    </row>
    <row r="25" spans="1:20" x14ac:dyDescent="0.25">
      <c r="A25" s="1009"/>
      <c r="B25" s="1010"/>
      <c r="C25" s="1010"/>
    </row>
    <row r="26" spans="1:20" x14ac:dyDescent="0.25">
      <c r="A26" s="253" t="s">
        <v>618</v>
      </c>
      <c r="H26" s="253"/>
    </row>
    <row r="27" spans="1:20" x14ac:dyDescent="0.25">
      <c r="A27" s="1011" t="s">
        <v>58</v>
      </c>
      <c r="B27" s="988"/>
      <c r="C27" s="988"/>
      <c r="H27" s="253"/>
    </row>
    <row r="28" spans="1:20" x14ac:dyDescent="0.25">
      <c r="A28" s="15"/>
      <c r="D28" t="s">
        <v>58</v>
      </c>
      <c r="H28" s="253" t="s">
        <v>619</v>
      </c>
    </row>
    <row r="29" spans="1:20" ht="14.95" thickBot="1" x14ac:dyDescent="0.3">
      <c r="A29" s="253"/>
      <c r="H29" s="253"/>
    </row>
    <row r="30" spans="1:20" ht="14.95" thickBot="1" x14ac:dyDescent="0.3">
      <c r="A30" s="14"/>
      <c r="B30" s="14"/>
      <c r="C30" s="14"/>
      <c r="D30" s="14"/>
      <c r="E30" s="14"/>
      <c r="F30" s="14"/>
      <c r="G30" s="14"/>
      <c r="H30" s="1012" t="s">
        <v>58</v>
      </c>
      <c r="I30" s="1004" t="s">
        <v>92</v>
      </c>
      <c r="J30" s="1005"/>
      <c r="K30" s="1004" t="s">
        <v>58</v>
      </c>
      <c r="L30" s="1014"/>
      <c r="M30" s="1014"/>
      <c r="N30" s="1014"/>
      <c r="O30" s="1005"/>
      <c r="P30" s="1004" t="s">
        <v>95</v>
      </c>
      <c r="Q30" s="1005"/>
    </row>
    <row r="31" spans="1:20" ht="17" thickBot="1" x14ac:dyDescent="0.3">
      <c r="A31" s="14"/>
      <c r="B31" s="705"/>
      <c r="C31" s="705"/>
      <c r="D31" s="1006"/>
      <c r="E31" s="1006"/>
      <c r="F31" s="590"/>
      <c r="G31" s="706"/>
      <c r="H31" s="1013"/>
      <c r="I31" s="816" t="s">
        <v>4</v>
      </c>
      <c r="J31" s="816" t="s">
        <v>5</v>
      </c>
      <c r="K31" s="817" t="s">
        <v>103</v>
      </c>
      <c r="L31" s="818" t="s">
        <v>104</v>
      </c>
      <c r="M31" s="818" t="s">
        <v>620</v>
      </c>
      <c r="N31" s="819" t="s">
        <v>621</v>
      </c>
      <c r="O31" s="820" t="s">
        <v>100</v>
      </c>
      <c r="P31" s="817" t="s">
        <v>4</v>
      </c>
      <c r="Q31" s="820" t="s">
        <v>5</v>
      </c>
    </row>
    <row r="32" spans="1:20" ht="14.95" thickBot="1" x14ac:dyDescent="0.3">
      <c r="A32" s="707"/>
      <c r="B32" s="708"/>
      <c r="C32" s="709"/>
      <c r="D32" s="710"/>
      <c r="E32" s="710"/>
      <c r="F32" s="589"/>
      <c r="G32" s="14"/>
      <c r="H32" s="80" t="s">
        <v>37</v>
      </c>
      <c r="I32" s="721">
        <v>0</v>
      </c>
      <c r="J32" s="721">
        <v>0</v>
      </c>
      <c r="K32" s="721">
        <v>0</v>
      </c>
      <c r="L32" s="721">
        <v>0</v>
      </c>
      <c r="M32" s="721">
        <v>0</v>
      </c>
      <c r="N32" s="721">
        <v>0</v>
      </c>
      <c r="O32" s="722">
        <f t="shared" ref="O32:O51" si="34">SUM(K32:N32)</f>
        <v>0</v>
      </c>
      <c r="P32" s="723">
        <v>0</v>
      </c>
      <c r="Q32" s="723">
        <v>0</v>
      </c>
    </row>
    <row r="33" spans="1:17" ht="14.95" thickBot="1" x14ac:dyDescent="0.3">
      <c r="A33" s="707"/>
      <c r="B33" s="708"/>
      <c r="C33" s="709"/>
      <c r="D33" s="710"/>
      <c r="E33" s="710"/>
      <c r="F33" s="589"/>
      <c r="G33" s="14"/>
      <c r="H33" s="725" t="s">
        <v>29</v>
      </c>
      <c r="I33" s="726">
        <v>12</v>
      </c>
      <c r="J33" s="726">
        <v>0</v>
      </c>
      <c r="K33" s="726">
        <v>10</v>
      </c>
      <c r="L33" s="726">
        <v>0</v>
      </c>
      <c r="M33" s="726">
        <v>0</v>
      </c>
      <c r="N33" s="726">
        <v>0</v>
      </c>
      <c r="O33" s="727">
        <f t="shared" si="34"/>
        <v>10</v>
      </c>
      <c r="P33" s="728">
        <f t="shared" ref="P33" si="35">SUM(I33/O33)*10</f>
        <v>12</v>
      </c>
      <c r="Q33" s="728">
        <f t="shared" ref="Q33" si="36">SUM(J33/O33)*10</f>
        <v>0</v>
      </c>
    </row>
    <row r="34" spans="1:17" ht="14.95" thickBot="1" x14ac:dyDescent="0.3">
      <c r="A34" s="707"/>
      <c r="B34" s="708"/>
      <c r="C34" s="589"/>
      <c r="D34" s="710"/>
      <c r="E34" s="710"/>
      <c r="F34" s="589"/>
      <c r="G34" s="14"/>
      <c r="H34" s="730" t="s">
        <v>40</v>
      </c>
      <c r="I34" s="731">
        <v>0</v>
      </c>
      <c r="J34" s="731">
        <v>0</v>
      </c>
      <c r="K34" s="731">
        <v>0</v>
      </c>
      <c r="L34" s="731">
        <v>0</v>
      </c>
      <c r="M34" s="731">
        <v>0</v>
      </c>
      <c r="N34" s="731">
        <v>0</v>
      </c>
      <c r="O34" s="732">
        <f t="shared" si="34"/>
        <v>0</v>
      </c>
      <c r="P34" s="733">
        <v>0</v>
      </c>
      <c r="Q34" s="733">
        <v>0</v>
      </c>
    </row>
    <row r="35" spans="1:17" ht="14.95" thickBot="1" x14ac:dyDescent="0.3">
      <c r="A35" s="707"/>
      <c r="B35" s="708"/>
      <c r="C35" s="709"/>
      <c r="D35" s="710"/>
      <c r="E35" s="710"/>
      <c r="F35" s="589"/>
      <c r="G35" s="14"/>
      <c r="H35" s="734" t="s">
        <v>30</v>
      </c>
      <c r="I35" s="735">
        <v>41</v>
      </c>
      <c r="J35" s="735">
        <v>14</v>
      </c>
      <c r="K35" s="735">
        <v>74</v>
      </c>
      <c r="L35" s="735">
        <v>0</v>
      </c>
      <c r="M35" s="735">
        <v>0</v>
      </c>
      <c r="N35" s="735">
        <v>0</v>
      </c>
      <c r="O35" s="736">
        <f t="shared" si="34"/>
        <v>74</v>
      </c>
      <c r="P35" s="737">
        <f t="shared" ref="P35" si="37">SUM(I35/O35)*10</f>
        <v>5.5405405405405403</v>
      </c>
      <c r="Q35" s="737">
        <f t="shared" ref="Q35" si="38">SUM(J35/O35)*10</f>
        <v>1.8918918918918921</v>
      </c>
    </row>
    <row r="36" spans="1:17" ht="14.95" thickBot="1" x14ac:dyDescent="0.3">
      <c r="A36" s="710"/>
      <c r="B36" s="711"/>
      <c r="C36" s="439"/>
      <c r="D36" s="710"/>
      <c r="E36" s="710"/>
      <c r="F36" s="589"/>
      <c r="G36" s="14"/>
      <c r="H36" s="704" t="s">
        <v>31</v>
      </c>
      <c r="I36" s="712">
        <v>12</v>
      </c>
      <c r="J36" s="712">
        <v>3</v>
      </c>
      <c r="K36" s="712">
        <v>19</v>
      </c>
      <c r="L36" s="712">
        <v>0</v>
      </c>
      <c r="M36" s="712">
        <v>0</v>
      </c>
      <c r="N36" s="712">
        <v>0</v>
      </c>
      <c r="O36" s="713">
        <f t="shared" si="34"/>
        <v>19</v>
      </c>
      <c r="P36" s="714">
        <f t="shared" ref="P36:P37" si="39">SUM(I36/O36)*10</f>
        <v>6.3157894736842106</v>
      </c>
      <c r="Q36" s="714">
        <f t="shared" ref="Q36:Q37" si="40">SUM(J36/O36)*10</f>
        <v>1.5789473684210527</v>
      </c>
    </row>
    <row r="37" spans="1:17" ht="14.95" thickBot="1" x14ac:dyDescent="0.3">
      <c r="A37" s="707"/>
      <c r="B37" s="711"/>
      <c r="C37" s="439"/>
      <c r="D37" s="710"/>
      <c r="E37" s="710"/>
      <c r="F37" s="589"/>
      <c r="G37" s="14"/>
      <c r="H37" s="739" t="s">
        <v>34</v>
      </c>
      <c r="I37" s="740">
        <v>7</v>
      </c>
      <c r="J37" s="740">
        <v>0</v>
      </c>
      <c r="K37" s="740">
        <v>10</v>
      </c>
      <c r="L37" s="740">
        <v>0</v>
      </c>
      <c r="M37" s="740">
        <v>0</v>
      </c>
      <c r="N37" s="740">
        <v>0</v>
      </c>
      <c r="O37" s="741">
        <f t="shared" si="34"/>
        <v>10</v>
      </c>
      <c r="P37" s="742">
        <f t="shared" si="39"/>
        <v>7</v>
      </c>
      <c r="Q37" s="742">
        <f t="shared" si="40"/>
        <v>0</v>
      </c>
    </row>
    <row r="38" spans="1:17" ht="14.95" thickBot="1" x14ac:dyDescent="0.3">
      <c r="A38" s="710"/>
      <c r="B38" s="711"/>
      <c r="C38" s="439"/>
      <c r="D38" s="710"/>
      <c r="E38" s="710"/>
      <c r="F38" s="589"/>
      <c r="G38" s="14"/>
      <c r="H38" s="744" t="s">
        <v>38</v>
      </c>
      <c r="I38" s="745">
        <v>0</v>
      </c>
      <c r="J38" s="745">
        <v>3</v>
      </c>
      <c r="K38" s="745">
        <v>13</v>
      </c>
      <c r="L38" s="745">
        <v>0</v>
      </c>
      <c r="M38" s="745">
        <v>0</v>
      </c>
      <c r="N38" s="745">
        <v>0</v>
      </c>
      <c r="O38" s="746">
        <f t="shared" si="34"/>
        <v>13</v>
      </c>
      <c r="P38" s="747">
        <f t="shared" ref="P38:P39" si="41">SUM(I38/O38)*10</f>
        <v>0</v>
      </c>
      <c r="Q38" s="747">
        <f t="shared" ref="Q38:Q39" si="42">SUM(J38/O38)*10</f>
        <v>2.3076923076923079</v>
      </c>
    </row>
    <row r="39" spans="1:17" ht="14.95" thickBot="1" x14ac:dyDescent="0.3">
      <c r="A39" s="710"/>
      <c r="B39" s="711"/>
      <c r="C39" s="589"/>
      <c r="D39" s="710"/>
      <c r="E39" s="710"/>
      <c r="F39" s="589"/>
      <c r="G39" s="14"/>
      <c r="H39" s="54" t="s">
        <v>39</v>
      </c>
      <c r="I39" s="749">
        <v>14</v>
      </c>
      <c r="J39" s="749">
        <v>12</v>
      </c>
      <c r="K39" s="749">
        <v>34</v>
      </c>
      <c r="L39" s="749">
        <v>0</v>
      </c>
      <c r="M39" s="749">
        <v>0</v>
      </c>
      <c r="N39" s="749">
        <v>0</v>
      </c>
      <c r="O39" s="750">
        <f t="shared" si="34"/>
        <v>34</v>
      </c>
      <c r="P39" s="751">
        <f t="shared" si="41"/>
        <v>4.117647058823529</v>
      </c>
      <c r="Q39" s="751">
        <f t="shared" si="42"/>
        <v>3.5294117647058827</v>
      </c>
    </row>
    <row r="40" spans="1:17" ht="14.95" thickBot="1" x14ac:dyDescent="0.3">
      <c r="A40" s="707"/>
      <c r="B40" s="708"/>
      <c r="C40" s="589"/>
      <c r="D40" s="710"/>
      <c r="E40" s="710"/>
      <c r="F40" s="589"/>
      <c r="G40" s="14"/>
      <c r="H40" s="716" t="s">
        <v>33</v>
      </c>
      <c r="I40" s="753">
        <v>5</v>
      </c>
      <c r="J40" s="753">
        <v>7</v>
      </c>
      <c r="K40" s="753">
        <v>10</v>
      </c>
      <c r="L40" s="753">
        <v>0</v>
      </c>
      <c r="M40" s="753">
        <v>0</v>
      </c>
      <c r="N40" s="754">
        <v>0</v>
      </c>
      <c r="O40" s="718">
        <f t="shared" si="34"/>
        <v>10</v>
      </c>
      <c r="P40" s="719">
        <f t="shared" ref="P40" si="43">SUM(I40/O40)*10</f>
        <v>5</v>
      </c>
      <c r="Q40" s="719">
        <f t="shared" ref="Q40" si="44">SUM(J40/O40)*10</f>
        <v>7</v>
      </c>
    </row>
    <row r="41" spans="1:17" ht="14.95" thickBot="1" x14ac:dyDescent="0.3">
      <c r="A41" s="707"/>
      <c r="B41" s="708"/>
      <c r="C41" s="709"/>
      <c r="D41" s="710"/>
      <c r="E41" s="710"/>
      <c r="F41" s="589"/>
      <c r="G41" s="14"/>
      <c r="H41" s="755" t="s">
        <v>36</v>
      </c>
      <c r="I41" s="756">
        <v>10</v>
      </c>
      <c r="J41" s="756">
        <v>3</v>
      </c>
      <c r="K41" s="756">
        <v>20</v>
      </c>
      <c r="L41" s="756">
        <v>0</v>
      </c>
      <c r="M41" s="756">
        <v>0</v>
      </c>
      <c r="N41" s="756">
        <v>0</v>
      </c>
      <c r="O41" s="757">
        <f t="shared" si="34"/>
        <v>20</v>
      </c>
      <c r="P41" s="950">
        <f t="shared" ref="P41:P42" si="45">SUM(I41/O41)*10</f>
        <v>5</v>
      </c>
      <c r="Q41" s="950">
        <f t="shared" ref="Q41:Q42" si="46">SUM(J41/O41)*10</f>
        <v>1.5</v>
      </c>
    </row>
    <row r="42" spans="1:17" ht="14.95" thickBot="1" x14ac:dyDescent="0.3">
      <c r="A42" s="707"/>
      <c r="B42" s="711"/>
      <c r="C42" s="439"/>
      <c r="D42" s="711"/>
      <c r="E42" s="710"/>
      <c r="F42" s="589"/>
      <c r="G42" s="14"/>
      <c r="H42" s="418" t="s">
        <v>193</v>
      </c>
      <c r="I42" s="430">
        <v>0</v>
      </c>
      <c r="J42" s="430">
        <v>17</v>
      </c>
      <c r="K42" s="430">
        <v>18</v>
      </c>
      <c r="L42" s="430">
        <v>0</v>
      </c>
      <c r="M42" s="430">
        <v>0</v>
      </c>
      <c r="N42" s="430">
        <v>0</v>
      </c>
      <c r="O42" s="761">
        <f t="shared" si="34"/>
        <v>18</v>
      </c>
      <c r="P42" s="762">
        <f t="shared" si="45"/>
        <v>0</v>
      </c>
      <c r="Q42" s="762">
        <f t="shared" si="46"/>
        <v>9.4444444444444446</v>
      </c>
    </row>
    <row r="43" spans="1:17" ht="14.95" thickBot="1" x14ac:dyDescent="0.3">
      <c r="A43" s="707"/>
      <c r="B43" s="708"/>
      <c r="C43" s="709"/>
      <c r="D43" s="710"/>
      <c r="E43" s="710"/>
      <c r="F43" s="589"/>
      <c r="G43" s="14"/>
      <c r="H43" s="764" t="s">
        <v>126</v>
      </c>
      <c r="I43" s="765">
        <v>0</v>
      </c>
      <c r="J43" s="765">
        <v>0</v>
      </c>
      <c r="K43" s="765">
        <v>0</v>
      </c>
      <c r="L43" s="765">
        <v>0</v>
      </c>
      <c r="M43" s="765">
        <v>0</v>
      </c>
      <c r="N43" s="765">
        <v>0</v>
      </c>
      <c r="O43" s="766">
        <f t="shared" si="34"/>
        <v>0</v>
      </c>
      <c r="P43" s="767">
        <v>0</v>
      </c>
      <c r="Q43" s="767">
        <v>0</v>
      </c>
    </row>
    <row r="44" spans="1:17" ht="14.95" thickBot="1" x14ac:dyDescent="0.3">
      <c r="A44" s="707"/>
      <c r="B44" s="708"/>
      <c r="C44" s="709"/>
      <c r="D44" s="711"/>
      <c r="E44" s="711"/>
      <c r="F44" s="590"/>
      <c r="G44" s="706"/>
      <c r="H44" s="552" t="s">
        <v>105</v>
      </c>
      <c r="I44" s="565">
        <v>0</v>
      </c>
      <c r="J44" s="565">
        <v>0</v>
      </c>
      <c r="K44" s="565">
        <v>4</v>
      </c>
      <c r="L44" s="565">
        <v>8</v>
      </c>
      <c r="M44" s="565">
        <v>0</v>
      </c>
      <c r="N44" s="565">
        <v>0</v>
      </c>
      <c r="O44" s="769">
        <f t="shared" si="34"/>
        <v>12</v>
      </c>
      <c r="P44" s="770">
        <v>0</v>
      </c>
      <c r="Q44" s="770">
        <v>0</v>
      </c>
    </row>
    <row r="45" spans="1:17" ht="14.95" thickBot="1" x14ac:dyDescent="0.3">
      <c r="H45" s="773" t="s">
        <v>148</v>
      </c>
      <c r="I45" s="774">
        <v>14</v>
      </c>
      <c r="J45" s="774">
        <v>15</v>
      </c>
      <c r="K45" s="774">
        <v>52</v>
      </c>
      <c r="L45" s="774">
        <v>0</v>
      </c>
      <c r="M45" s="774">
        <v>0</v>
      </c>
      <c r="N45" s="774">
        <v>0</v>
      </c>
      <c r="O45" s="775">
        <f t="shared" si="34"/>
        <v>52</v>
      </c>
      <c r="P45" s="776">
        <f t="shared" ref="P45:P47" si="47">SUM(I45/O45)*10</f>
        <v>2.6923076923076921</v>
      </c>
      <c r="Q45" s="776">
        <f t="shared" ref="Q45:Q47" si="48">SUM(J45/O45)*10</f>
        <v>2.8846153846153841</v>
      </c>
    </row>
    <row r="46" spans="1:17" ht="14.95" thickBot="1" x14ac:dyDescent="0.3">
      <c r="A46" s="15"/>
      <c r="H46" s="779" t="s">
        <v>35</v>
      </c>
      <c r="I46" s="780">
        <v>0</v>
      </c>
      <c r="J46" s="780">
        <v>0</v>
      </c>
      <c r="K46" s="780">
        <v>26</v>
      </c>
      <c r="L46" s="780">
        <v>0</v>
      </c>
      <c r="M46" s="780">
        <v>0</v>
      </c>
      <c r="N46" s="780">
        <v>0</v>
      </c>
      <c r="O46" s="781">
        <f t="shared" si="34"/>
        <v>26</v>
      </c>
      <c r="P46" s="782">
        <f t="shared" si="47"/>
        <v>0</v>
      </c>
      <c r="Q46" s="782">
        <f t="shared" si="48"/>
        <v>0</v>
      </c>
    </row>
    <row r="47" spans="1:17" ht="14.95" thickBot="1" x14ac:dyDescent="0.3">
      <c r="A47" s="15"/>
      <c r="H47" s="785" t="s">
        <v>679</v>
      </c>
      <c r="I47" s="786">
        <v>68</v>
      </c>
      <c r="J47" s="786">
        <v>10</v>
      </c>
      <c r="K47" s="786">
        <v>103</v>
      </c>
      <c r="L47" s="786">
        <v>0</v>
      </c>
      <c r="M47" s="786">
        <v>0</v>
      </c>
      <c r="N47" s="786">
        <v>0</v>
      </c>
      <c r="O47" s="787">
        <f t="shared" si="34"/>
        <v>103</v>
      </c>
      <c r="P47" s="788">
        <f t="shared" si="47"/>
        <v>6.6019417475728162</v>
      </c>
      <c r="Q47" s="788">
        <f t="shared" si="48"/>
        <v>0.970873786407767</v>
      </c>
    </row>
    <row r="48" spans="1:17" ht="14.95" thickBot="1" x14ac:dyDescent="0.3">
      <c r="A48" s="15"/>
      <c r="H48" s="791" t="s">
        <v>145</v>
      </c>
      <c r="I48" s="745">
        <v>0</v>
      </c>
      <c r="J48" s="745">
        <v>0</v>
      </c>
      <c r="K48" s="745">
        <v>0</v>
      </c>
      <c r="L48" s="745">
        <v>0</v>
      </c>
      <c r="M48" s="745">
        <v>0</v>
      </c>
      <c r="N48" s="745">
        <v>0</v>
      </c>
      <c r="O48" s="746">
        <f t="shared" si="34"/>
        <v>0</v>
      </c>
      <c r="P48" s="747">
        <v>0</v>
      </c>
      <c r="Q48" s="747">
        <v>0</v>
      </c>
    </row>
    <row r="49" spans="1:17" ht="14.95" thickBot="1" x14ac:dyDescent="0.3">
      <c r="A49" s="15"/>
      <c r="H49" s="794" t="s">
        <v>107</v>
      </c>
      <c r="I49" s="717">
        <v>0</v>
      </c>
      <c r="J49" s="717">
        <v>12</v>
      </c>
      <c r="K49" s="717">
        <v>20</v>
      </c>
      <c r="L49" s="717">
        <v>0</v>
      </c>
      <c r="M49" s="717">
        <v>0</v>
      </c>
      <c r="N49" s="717">
        <v>0</v>
      </c>
      <c r="O49" s="718">
        <f t="shared" si="34"/>
        <v>20</v>
      </c>
      <c r="P49" s="719">
        <f t="shared" ref="P49" si="49">SUM(I49/O49)*10</f>
        <v>0</v>
      </c>
      <c r="Q49" s="719">
        <f t="shared" ref="Q49" si="50">SUM(J49/O49)*10</f>
        <v>6</v>
      </c>
    </row>
    <row r="50" spans="1:17" ht="14.95" thickBot="1" x14ac:dyDescent="0.3">
      <c r="A50" s="15"/>
      <c r="H50" s="798" t="s">
        <v>60</v>
      </c>
      <c r="I50" s="217">
        <v>0</v>
      </c>
      <c r="J50" s="217">
        <v>0</v>
      </c>
      <c r="K50" s="217">
        <v>0</v>
      </c>
      <c r="L50" s="217">
        <v>0</v>
      </c>
      <c r="M50" s="217">
        <v>0</v>
      </c>
      <c r="N50" s="217">
        <v>0</v>
      </c>
      <c r="O50" s="799">
        <f t="shared" si="34"/>
        <v>0</v>
      </c>
      <c r="P50" s="800">
        <v>0</v>
      </c>
      <c r="Q50" s="800">
        <v>0</v>
      </c>
    </row>
    <row r="51" spans="1:17" ht="14.95" thickBot="1" x14ac:dyDescent="0.3">
      <c r="A51" s="15"/>
      <c r="H51" s="803" t="s">
        <v>32</v>
      </c>
      <c r="I51" s="804">
        <v>31</v>
      </c>
      <c r="J51" s="804">
        <v>7</v>
      </c>
      <c r="K51" s="804">
        <v>70</v>
      </c>
      <c r="L51" s="804">
        <v>0</v>
      </c>
      <c r="M51" s="804">
        <v>0</v>
      </c>
      <c r="N51" s="804">
        <v>0</v>
      </c>
      <c r="O51" s="805">
        <f t="shared" si="34"/>
        <v>70</v>
      </c>
      <c r="P51" s="951">
        <f t="shared" ref="P51" si="51">SUM(I51/O51)*10</f>
        <v>4.4285714285714288</v>
      </c>
      <c r="Q51" s="951">
        <f t="shared" ref="Q51" si="52">SUM(J51/O51)*10</f>
        <v>1</v>
      </c>
    </row>
    <row r="52" spans="1:17" ht="14.95" thickBot="1" x14ac:dyDescent="0.3">
      <c r="A52" s="15"/>
      <c r="H52" s="810" t="s">
        <v>57</v>
      </c>
      <c r="I52" s="811">
        <f>SUM(I32:I51)</f>
        <v>214</v>
      </c>
      <c r="J52" s="812">
        <f t="shared" ref="J52:O52" si="53">SUM(J32:J51)</f>
        <v>103</v>
      </c>
      <c r="K52" s="811">
        <f t="shared" si="53"/>
        <v>483</v>
      </c>
      <c r="L52" s="813">
        <f t="shared" si="53"/>
        <v>8</v>
      </c>
      <c r="M52" s="813">
        <f t="shared" si="53"/>
        <v>0</v>
      </c>
      <c r="N52" s="813">
        <f t="shared" si="53"/>
        <v>0</v>
      </c>
      <c r="O52" s="812">
        <f t="shared" si="53"/>
        <v>491</v>
      </c>
      <c r="P52" s="948">
        <f t="shared" ref="P52" si="54">SUM(I52/O52)*10</f>
        <v>4.3584521384928712</v>
      </c>
      <c r="Q52" s="948">
        <f t="shared" ref="Q52" si="55">SUM(J52/O52)*10</f>
        <v>2.0977596741344193</v>
      </c>
    </row>
    <row r="53" spans="1:17" x14ac:dyDescent="0.25">
      <c r="A53" s="15" t="s">
        <v>58</v>
      </c>
      <c r="H53" s="925" t="s">
        <v>58</v>
      </c>
      <c r="I53" s="252"/>
    </row>
    <row r="54" spans="1:17" x14ac:dyDescent="0.25">
      <c r="H54" s="924" t="s">
        <v>622</v>
      </c>
    </row>
    <row r="55" spans="1:17" x14ac:dyDescent="0.25">
      <c r="H55" s="253" t="s">
        <v>889</v>
      </c>
    </row>
    <row r="56" spans="1:17" x14ac:dyDescent="0.25">
      <c r="H56" s="253" t="s">
        <v>972</v>
      </c>
    </row>
    <row r="57" spans="1:17" x14ac:dyDescent="0.25">
      <c r="H57" s="253" t="s">
        <v>860</v>
      </c>
    </row>
    <row r="58" spans="1:17" x14ac:dyDescent="0.25">
      <c r="H58" s="253" t="s">
        <v>934</v>
      </c>
    </row>
    <row r="59" spans="1:17" x14ac:dyDescent="0.25">
      <c r="H59" s="253"/>
    </row>
    <row r="60" spans="1:17" x14ac:dyDescent="0.25">
      <c r="H60" s="253"/>
    </row>
    <row r="61" spans="1:17" x14ac:dyDescent="0.25">
      <c r="A61" s="15" t="s">
        <v>28</v>
      </c>
      <c r="H61" s="253"/>
    </row>
    <row r="62" spans="1:17" x14ac:dyDescent="0.25">
      <c r="H62" s="253"/>
    </row>
  </sheetData>
  <sortState xmlns:xlrd2="http://schemas.microsoft.com/office/spreadsheetml/2017/richdata2" ref="A3:F22">
    <sortCondition ref="F3:F22"/>
    <sortCondition ref="A3:A22"/>
  </sortState>
  <mergeCells count="14">
    <mergeCell ref="S1:T1"/>
    <mergeCell ref="P30:Q30"/>
    <mergeCell ref="D31:E31"/>
    <mergeCell ref="A24:C24"/>
    <mergeCell ref="A25:C25"/>
    <mergeCell ref="A27:C27"/>
    <mergeCell ref="H30:H31"/>
    <mergeCell ref="I30:J30"/>
    <mergeCell ref="K30:O30"/>
    <mergeCell ref="D2:E2"/>
    <mergeCell ref="H1:H2"/>
    <mergeCell ref="I1:J1"/>
    <mergeCell ref="K1:O1"/>
    <mergeCell ref="Q1:R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9FED4-F371-4373-A113-B9F2FB510EDC}">
  <dimension ref="A1:H23"/>
  <sheetViews>
    <sheetView workbookViewId="0">
      <selection activeCell="Q23" sqref="Q23"/>
    </sheetView>
  </sheetViews>
  <sheetFormatPr defaultRowHeight="14.3" x14ac:dyDescent="0.25"/>
  <cols>
    <col min="1" max="1" width="13.125" bestFit="1" customWidth="1"/>
    <col min="2" max="2" width="4" bestFit="1" customWidth="1"/>
    <col min="3" max="3" width="15.75" bestFit="1" customWidth="1"/>
    <col min="4" max="4" width="4" customWidth="1"/>
    <col min="5" max="5" width="14.75" bestFit="1" customWidth="1"/>
    <col min="6" max="6" width="4" customWidth="1"/>
    <col min="7" max="7" width="19.125" bestFit="1" customWidth="1"/>
    <col min="8" max="8" width="4" customWidth="1"/>
  </cols>
  <sheetData>
    <row r="1" spans="1:8" ht="16.5" customHeight="1" thickBot="1" x14ac:dyDescent="0.3">
      <c r="A1" s="822" t="s">
        <v>623</v>
      </c>
      <c r="B1" s="823"/>
      <c r="C1" s="824" t="s">
        <v>624</v>
      </c>
      <c r="D1" s="824"/>
      <c r="E1" s="825" t="s">
        <v>625</v>
      </c>
      <c r="F1" s="825"/>
      <c r="G1" s="826" t="s">
        <v>626</v>
      </c>
      <c r="H1" s="826"/>
    </row>
    <row r="2" spans="1:8" ht="16.5" customHeight="1" thickBot="1" x14ac:dyDescent="0.3">
      <c r="A2" s="827" t="s">
        <v>126</v>
      </c>
      <c r="B2" s="618">
        <f>Nzl2019RWCtriesscored</f>
        <v>36</v>
      </c>
      <c r="C2" s="828" t="s">
        <v>29</v>
      </c>
      <c r="D2" s="828">
        <f>Aus2019pooltbscored</f>
        <v>3</v>
      </c>
      <c r="E2" s="833" t="s">
        <v>679</v>
      </c>
      <c r="F2" s="829">
        <f>Rsa2019RWCtriescon</f>
        <v>4</v>
      </c>
      <c r="G2" s="830" t="s">
        <v>29</v>
      </c>
      <c r="H2" s="830">
        <f>Aus2019pooltbcon</f>
        <v>0</v>
      </c>
    </row>
    <row r="3" spans="1:8" ht="16.5" customHeight="1" thickBot="1" x14ac:dyDescent="0.3">
      <c r="A3" s="922" t="s">
        <v>679</v>
      </c>
      <c r="B3" s="618">
        <v>33</v>
      </c>
      <c r="C3" s="828" t="s">
        <v>30</v>
      </c>
      <c r="D3" s="828">
        <f>Eng2019pooltbscored</f>
        <v>3</v>
      </c>
      <c r="E3" s="829" t="s">
        <v>30</v>
      </c>
      <c r="F3" s="829">
        <v>6</v>
      </c>
      <c r="G3" s="830" t="s">
        <v>30</v>
      </c>
      <c r="H3" s="830">
        <f>Eng2019pooltbcon</f>
        <v>0</v>
      </c>
    </row>
    <row r="4" spans="1:8" ht="16.5" customHeight="1" thickBot="1" x14ac:dyDescent="0.3">
      <c r="A4" s="827" t="s">
        <v>30</v>
      </c>
      <c r="B4" s="618">
        <f>Eng2019RWCtriesscored</f>
        <v>22</v>
      </c>
      <c r="C4" s="828" t="s">
        <v>39</v>
      </c>
      <c r="D4" s="828">
        <f>Ire2019pooltbscored</f>
        <v>3</v>
      </c>
      <c r="E4" s="829" t="s">
        <v>126</v>
      </c>
      <c r="F4" s="829">
        <f>Nzl2019RWCtriescon</f>
        <v>6</v>
      </c>
      <c r="G4" s="830" t="s">
        <v>34</v>
      </c>
      <c r="H4" s="830">
        <f>Fra2019pooltbcon</f>
        <v>0</v>
      </c>
    </row>
    <row r="5" spans="1:8" ht="16.5" customHeight="1" thickBot="1" x14ac:dyDescent="0.3">
      <c r="A5" s="922" t="s">
        <v>32</v>
      </c>
      <c r="B5" s="618">
        <f>Wal2019RWCtriesscored</f>
        <v>22</v>
      </c>
      <c r="C5" s="828" t="s">
        <v>36</v>
      </c>
      <c r="D5" s="828">
        <f>jpn2019pooltbscored</f>
        <v>3</v>
      </c>
      <c r="E5" s="829" t="s">
        <v>34</v>
      </c>
      <c r="F5" s="829">
        <f>Fra2019RWCtriescon</f>
        <v>7</v>
      </c>
      <c r="G5" s="830" t="s">
        <v>39</v>
      </c>
      <c r="H5" s="830">
        <f>Ire2019pooltbcon</f>
        <v>0</v>
      </c>
    </row>
    <row r="6" spans="1:8" ht="16.5" customHeight="1" thickBot="1" x14ac:dyDescent="0.3">
      <c r="A6" s="827" t="s">
        <v>29</v>
      </c>
      <c r="B6" s="618">
        <f>Aus2019rwctriesscored</f>
        <v>21</v>
      </c>
      <c r="C6" s="832" t="s">
        <v>679</v>
      </c>
      <c r="D6" s="828">
        <f>Rsa2019pooltbscored</f>
        <v>3</v>
      </c>
      <c r="E6" s="833" t="s">
        <v>35</v>
      </c>
      <c r="F6" s="829">
        <f>Sco2019RWCtriescon</f>
        <v>8</v>
      </c>
      <c r="G6" s="830" t="s">
        <v>36</v>
      </c>
      <c r="H6" s="830">
        <f>jpn2019pooltbcon</f>
        <v>0</v>
      </c>
    </row>
    <row r="7" spans="1:8" ht="16.5" customHeight="1" thickBot="1" x14ac:dyDescent="0.3">
      <c r="A7" s="827" t="s">
        <v>39</v>
      </c>
      <c r="B7" s="618">
        <f>Ire2019RWCtriesscored</f>
        <v>20</v>
      </c>
      <c r="C7" s="832" t="s">
        <v>32</v>
      </c>
      <c r="D7" s="828">
        <f>Wal2019pooltbscored</f>
        <v>3</v>
      </c>
      <c r="E7" s="829" t="s">
        <v>39</v>
      </c>
      <c r="F7" s="829">
        <f>Ire2019RWCtriescon</f>
        <v>9</v>
      </c>
      <c r="G7" s="830" t="s">
        <v>126</v>
      </c>
      <c r="H7" s="830">
        <f>Nzl2019pooltbcon</f>
        <v>0</v>
      </c>
    </row>
    <row r="8" spans="1:8" ht="16.5" customHeight="1" thickBot="1" x14ac:dyDescent="0.3">
      <c r="A8" s="827" t="s">
        <v>31</v>
      </c>
      <c r="B8" s="618">
        <f>Fij2019RWCtriesscored</f>
        <v>17</v>
      </c>
      <c r="C8" s="828" t="s">
        <v>37</v>
      </c>
      <c r="D8" s="828">
        <f>argpooltbscored</f>
        <v>2</v>
      </c>
      <c r="E8" s="829" t="s">
        <v>29</v>
      </c>
      <c r="F8" s="829">
        <f>Aus2019rwctriesconc</f>
        <v>10</v>
      </c>
      <c r="G8" s="834" t="s">
        <v>679</v>
      </c>
      <c r="H8" s="830">
        <f>Rsa2019pooltbcon</f>
        <v>0</v>
      </c>
    </row>
    <row r="9" spans="1:8" ht="16.5" customHeight="1" thickBot="1" x14ac:dyDescent="0.3">
      <c r="A9" s="922" t="s">
        <v>35</v>
      </c>
      <c r="B9" s="618">
        <f>Sco2019RWCtriesscored</f>
        <v>16</v>
      </c>
      <c r="C9" s="828" t="s">
        <v>31</v>
      </c>
      <c r="D9" s="828">
        <f>Fij2019pooltbscored</f>
        <v>2</v>
      </c>
      <c r="E9" s="829" t="s">
        <v>36</v>
      </c>
      <c r="F9" s="829">
        <f>jpn2019rwctriescon</f>
        <v>10</v>
      </c>
      <c r="G9" s="834" t="s">
        <v>32</v>
      </c>
      <c r="H9" s="830">
        <f>Wal2019pooltbcon</f>
        <v>0</v>
      </c>
    </row>
    <row r="10" spans="1:8" ht="16.5" customHeight="1" thickBot="1" x14ac:dyDescent="0.3">
      <c r="A10" s="827" t="s">
        <v>37</v>
      </c>
      <c r="B10" s="618">
        <f>arg2019rwctriesscored</f>
        <v>14</v>
      </c>
      <c r="C10" s="828" t="s">
        <v>33</v>
      </c>
      <c r="D10" s="828">
        <f>ita2019pooltbscored</f>
        <v>2</v>
      </c>
      <c r="E10" s="829" t="s">
        <v>33</v>
      </c>
      <c r="F10" s="829">
        <f>ita2019RWCtriescon</f>
        <v>11</v>
      </c>
      <c r="G10" s="830" t="s">
        <v>37</v>
      </c>
      <c r="H10" s="830">
        <f>ArgPooltbagainst</f>
        <v>1</v>
      </c>
    </row>
    <row r="11" spans="1:8" ht="16.5" customHeight="1" thickBot="1" x14ac:dyDescent="0.3">
      <c r="A11" s="827" t="s">
        <v>33</v>
      </c>
      <c r="B11" s="618">
        <f>ita2019RWCtriesscored</f>
        <v>14</v>
      </c>
      <c r="C11" s="828" t="s">
        <v>126</v>
      </c>
      <c r="D11" s="828">
        <f>Nzl2019pooltbscored</f>
        <v>2</v>
      </c>
      <c r="E11" s="829" t="s">
        <v>37</v>
      </c>
      <c r="F11" s="829">
        <f>arg2019rwctriesconc</f>
        <v>13</v>
      </c>
      <c r="G11" s="830" t="s">
        <v>33</v>
      </c>
      <c r="H11" s="830">
        <f>ita2019pooltbcon</f>
        <v>1</v>
      </c>
    </row>
    <row r="12" spans="1:8" ht="16.5" customHeight="1" thickBot="1" x14ac:dyDescent="0.3">
      <c r="A12" s="827" t="s">
        <v>36</v>
      </c>
      <c r="B12" s="618">
        <f>jpn2019rwctriesscored</f>
        <v>13</v>
      </c>
      <c r="C12" s="832" t="s">
        <v>35</v>
      </c>
      <c r="D12" s="828">
        <f>Sco2019pooltbscored</f>
        <v>2</v>
      </c>
      <c r="E12" s="833" t="s">
        <v>145</v>
      </c>
      <c r="F12" s="829">
        <f>Ton2019RWCtriescon</f>
        <v>13</v>
      </c>
      <c r="G12" s="830" t="s">
        <v>31</v>
      </c>
      <c r="H12" s="830">
        <f>Fij2019pooltbcon</f>
        <v>2</v>
      </c>
    </row>
    <row r="13" spans="1:8" ht="16.5" customHeight="1" thickBot="1" x14ac:dyDescent="0.3">
      <c r="A13" s="827" t="s">
        <v>34</v>
      </c>
      <c r="B13" s="618">
        <f>Fra2019RWCtriesscored</f>
        <v>12</v>
      </c>
      <c r="C13" s="828" t="s">
        <v>34</v>
      </c>
      <c r="D13" s="828">
        <f>Fra2019pooltbscored</f>
        <v>1</v>
      </c>
      <c r="E13" s="829" t="s">
        <v>31</v>
      </c>
      <c r="F13" s="829">
        <f>Fij2019RWCtriescon</f>
        <v>14</v>
      </c>
      <c r="G13" s="834" t="s">
        <v>35</v>
      </c>
      <c r="H13" s="830">
        <f>Sco2019pooltbcon</f>
        <v>2</v>
      </c>
    </row>
    <row r="14" spans="1:8" ht="14.95" thickBot="1" x14ac:dyDescent="0.3">
      <c r="A14" s="827" t="s">
        <v>38</v>
      </c>
      <c r="B14" s="618">
        <f>Geo2019RWCtriesscored</f>
        <v>9</v>
      </c>
      <c r="C14" s="828" t="s">
        <v>38</v>
      </c>
      <c r="D14" s="828">
        <f>Geo2019pooltbscored</f>
        <v>1</v>
      </c>
      <c r="E14" s="833" t="s">
        <v>148</v>
      </c>
      <c r="F14" s="829">
        <f>Sam2019pooltriescon</f>
        <v>15</v>
      </c>
      <c r="G14" s="834" t="s">
        <v>145</v>
      </c>
      <c r="H14" s="830">
        <f>Ton2019poolrtbcon</f>
        <v>2</v>
      </c>
    </row>
    <row r="15" spans="1:8" ht="14.95" thickBot="1" x14ac:dyDescent="0.3">
      <c r="A15" s="922" t="s">
        <v>145</v>
      </c>
      <c r="B15" s="618">
        <f>Ton2019RWCtriesscored</f>
        <v>9</v>
      </c>
      <c r="C15" s="832" t="s">
        <v>148</v>
      </c>
      <c r="D15" s="828">
        <f>Sam2019pooltbscored</f>
        <v>1</v>
      </c>
      <c r="E15" s="829" t="s">
        <v>38</v>
      </c>
      <c r="F15" s="829">
        <f>Geo2019RWCtriescon</f>
        <v>18</v>
      </c>
      <c r="G15" s="830" t="s">
        <v>40</v>
      </c>
      <c r="H15" s="830">
        <f>can2019pooltbcon</f>
        <v>3</v>
      </c>
    </row>
    <row r="16" spans="1:8" ht="14.95" thickBot="1" x14ac:dyDescent="0.3">
      <c r="A16" s="922" t="s">
        <v>148</v>
      </c>
      <c r="B16" s="618">
        <f>Sam2019pooltriesscored</f>
        <v>8</v>
      </c>
      <c r="C16" s="832" t="s">
        <v>145</v>
      </c>
      <c r="D16" s="828">
        <f>Ton2019pooltbscored</f>
        <v>1</v>
      </c>
      <c r="E16" s="833" t="s">
        <v>32</v>
      </c>
      <c r="F16" s="829">
        <f>Wal2019RWCtriescon</f>
        <v>19</v>
      </c>
      <c r="G16" s="830" t="s">
        <v>38</v>
      </c>
      <c r="H16" s="830">
        <f>Geo2019pooltbcon</f>
        <v>3</v>
      </c>
    </row>
    <row r="17" spans="1:8" ht="14.95" thickBot="1" x14ac:dyDescent="0.3">
      <c r="A17" s="922" t="s">
        <v>60</v>
      </c>
      <c r="B17" s="618">
        <f>USA2019RWCtriesscored</f>
        <v>7</v>
      </c>
      <c r="C17" s="828" t="s">
        <v>40</v>
      </c>
      <c r="D17" s="828">
        <f>can2019pooltbscored</f>
        <v>0</v>
      </c>
      <c r="E17" s="833" t="s">
        <v>107</v>
      </c>
      <c r="F17" s="829">
        <f>Uru2019RWCtriescon</f>
        <v>22</v>
      </c>
      <c r="G17" s="830" t="s">
        <v>193</v>
      </c>
      <c r="H17" s="830">
        <f>Nam2019pooltbcon</f>
        <v>3</v>
      </c>
    </row>
    <row r="18" spans="1:8" ht="14.95" thickBot="1" x14ac:dyDescent="0.3">
      <c r="A18" s="922" t="s">
        <v>107</v>
      </c>
      <c r="B18" s="618">
        <f>Uru2019RWCtriesscored</f>
        <v>6</v>
      </c>
      <c r="C18" s="828" t="s">
        <v>193</v>
      </c>
      <c r="D18" s="828">
        <f>Nam2019pooltbscored</f>
        <v>0</v>
      </c>
      <c r="E18" s="833" t="s">
        <v>60</v>
      </c>
      <c r="F18" s="829">
        <f>USA2019RWCtriescon</f>
        <v>23</v>
      </c>
      <c r="G18" s="834" t="s">
        <v>148</v>
      </c>
      <c r="H18" s="830">
        <f>Sam2019pooltbcon</f>
        <v>3</v>
      </c>
    </row>
    <row r="19" spans="1:8" ht="14.95" thickBot="1" x14ac:dyDescent="0.3">
      <c r="A19" s="827" t="s">
        <v>193</v>
      </c>
      <c r="B19" s="618">
        <f>Nam2019RWCtriesscored</f>
        <v>3</v>
      </c>
      <c r="C19" s="832" t="s">
        <v>105</v>
      </c>
      <c r="D19" s="828">
        <f>Rus2019pooltbscored</f>
        <v>0</v>
      </c>
      <c r="E19" s="833" t="s">
        <v>105</v>
      </c>
      <c r="F19" s="829">
        <f>Rus2019RWCtriescon</f>
        <v>24</v>
      </c>
      <c r="G19" s="834" t="s">
        <v>105</v>
      </c>
      <c r="H19" s="830">
        <f>Rus2019pooltbcon</f>
        <v>4</v>
      </c>
    </row>
    <row r="20" spans="1:8" ht="14.95" thickBot="1" x14ac:dyDescent="0.3">
      <c r="A20" s="827" t="s">
        <v>40</v>
      </c>
      <c r="B20" s="618">
        <f>can2019pooltriesscoredcorrect</f>
        <v>2</v>
      </c>
      <c r="C20" s="832" t="s">
        <v>107</v>
      </c>
      <c r="D20" s="828">
        <f>Uru2019pooltbscored</f>
        <v>0</v>
      </c>
      <c r="E20" s="829" t="s">
        <v>40</v>
      </c>
      <c r="F20" s="829">
        <f>can2019pooltriescon</f>
        <v>26</v>
      </c>
      <c r="G20" s="834" t="s">
        <v>107</v>
      </c>
      <c r="H20" s="830">
        <f>Uru2019pooltbcon</f>
        <v>4</v>
      </c>
    </row>
    <row r="21" spans="1:8" ht="14.95" thickBot="1" x14ac:dyDescent="0.3">
      <c r="A21" s="922" t="s">
        <v>105</v>
      </c>
      <c r="B21" s="618">
        <f>Rus2019RWCtriesscored</f>
        <v>1</v>
      </c>
      <c r="C21" s="832" t="s">
        <v>60</v>
      </c>
      <c r="D21" s="828">
        <f>USA2019pooltbscored</f>
        <v>0</v>
      </c>
      <c r="E21" s="829" t="s">
        <v>193</v>
      </c>
      <c r="F21" s="829">
        <f>Nam2019RWCtriescon</f>
        <v>27</v>
      </c>
      <c r="G21" s="834" t="s">
        <v>60</v>
      </c>
      <c r="H21" s="830">
        <f>USA2019pooltbcon</f>
        <v>4</v>
      </c>
    </row>
    <row r="22" spans="1:8" x14ac:dyDescent="0.25">
      <c r="A22" s="831" t="s">
        <v>58</v>
      </c>
      <c r="B22">
        <f>SUM(B2:B21)</f>
        <v>285</v>
      </c>
      <c r="D22">
        <f>SUM(D2:D21)</f>
        <v>32</v>
      </c>
      <c r="F22">
        <f>SUM(F2:F21)</f>
        <v>285</v>
      </c>
      <c r="H22">
        <f>SUM(H2:H21)</f>
        <v>32</v>
      </c>
    </row>
    <row r="23" spans="1:8" x14ac:dyDescent="0.25">
      <c r="A23" s="15" t="s">
        <v>28</v>
      </c>
    </row>
  </sheetData>
  <sortState xmlns:xlrd2="http://schemas.microsoft.com/office/spreadsheetml/2017/richdata2" ref="G2:H21">
    <sortCondition ref="H2:H21"/>
    <sortCondition ref="G2:G2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1"/>
  <sheetViews>
    <sheetView workbookViewId="0">
      <selection activeCell="T8" sqref="T8"/>
    </sheetView>
  </sheetViews>
  <sheetFormatPr defaultRowHeight="14.3" x14ac:dyDescent="0.25"/>
  <cols>
    <col min="1" max="2" width="4.75" customWidth="1"/>
    <col min="4" max="7" width="4.75" customWidth="1"/>
    <col min="8" max="10" width="6.75" customWidth="1"/>
    <col min="11" max="16" width="4.75" customWidth="1"/>
  </cols>
  <sheetData>
    <row r="1" spans="1:17" ht="14.95" thickBot="1" x14ac:dyDescent="0.3">
      <c r="A1" s="392" t="s">
        <v>47</v>
      </c>
      <c r="B1" s="393" t="s">
        <v>48</v>
      </c>
      <c r="C1" s="224"/>
      <c r="D1" s="224" t="s">
        <v>0</v>
      </c>
      <c r="E1" s="225" t="s">
        <v>1</v>
      </c>
      <c r="F1" s="224" t="s">
        <v>2</v>
      </c>
      <c r="G1" s="224" t="s">
        <v>3</v>
      </c>
      <c r="H1" s="224" t="s">
        <v>4</v>
      </c>
      <c r="I1" s="224" t="s">
        <v>5</v>
      </c>
      <c r="J1" s="225" t="s">
        <v>49</v>
      </c>
      <c r="K1" s="224" t="s">
        <v>21</v>
      </c>
      <c r="L1" s="224" t="s">
        <v>22</v>
      </c>
      <c r="M1" s="224" t="s">
        <v>64</v>
      </c>
      <c r="N1" s="224" t="s">
        <v>52</v>
      </c>
      <c r="O1" s="224" t="s">
        <v>53</v>
      </c>
      <c r="P1" s="225" t="s">
        <v>50</v>
      </c>
    </row>
    <row r="2" spans="1:17" ht="14.95" thickBot="1" x14ac:dyDescent="0.3">
      <c r="A2" s="394">
        <v>1</v>
      </c>
      <c r="B2" s="395" t="s">
        <v>51</v>
      </c>
      <c r="C2" s="237" t="s">
        <v>32</v>
      </c>
      <c r="D2" s="229">
        <f>Walesplayed</f>
        <v>5</v>
      </c>
      <c r="E2" s="228">
        <f>Waleswon</f>
        <v>5</v>
      </c>
      <c r="F2" s="229">
        <f>Walesdrawn</f>
        <v>0</v>
      </c>
      <c r="G2" s="229">
        <f>Waleslost</f>
        <v>0</v>
      </c>
      <c r="H2" s="229">
        <f>Walesptsscored</f>
        <v>114</v>
      </c>
      <c r="I2" s="229">
        <f>Walesptsagainst</f>
        <v>65</v>
      </c>
      <c r="J2" s="228">
        <f t="shared" ref="J2:J7" si="0">SUM(H2-I2)</f>
        <v>49</v>
      </c>
      <c r="K2" s="229">
        <f>Walestrybonus</f>
        <v>0</v>
      </c>
      <c r="L2" s="229">
        <f>Waleslosingbonus</f>
        <v>0</v>
      </c>
      <c r="M2" s="229">
        <v>0</v>
      </c>
      <c r="N2" s="229">
        <f>Walestriesscored</f>
        <v>10</v>
      </c>
      <c r="O2" s="229">
        <f>Walestriesagainst</f>
        <v>7</v>
      </c>
      <c r="P2" s="228">
        <f t="shared" ref="P2:P7" si="1">SUM(E2*4)+(F2*2)+K2+L2+M2</f>
        <v>20</v>
      </c>
    </row>
    <row r="3" spans="1:17" ht="14.95" thickBot="1" x14ac:dyDescent="0.3">
      <c r="A3" s="394">
        <v>2</v>
      </c>
      <c r="B3" s="395" t="s">
        <v>51</v>
      </c>
      <c r="C3" s="390" t="s">
        <v>30</v>
      </c>
      <c r="D3" s="226">
        <v>5</v>
      </c>
      <c r="E3" s="227">
        <v>3</v>
      </c>
      <c r="F3" s="226">
        <f>Englanddrawn</f>
        <v>1</v>
      </c>
      <c r="G3" s="226">
        <v>1</v>
      </c>
      <c r="H3" s="226">
        <f>Englandptsscored</f>
        <v>184</v>
      </c>
      <c r="I3" s="226">
        <f>Englandptsagainst</f>
        <v>101</v>
      </c>
      <c r="J3" s="228">
        <f t="shared" si="0"/>
        <v>83</v>
      </c>
      <c r="K3" s="229">
        <f>Englandtrybonus</f>
        <v>4</v>
      </c>
      <c r="L3" s="229">
        <f>Englandlosingbonus</f>
        <v>0</v>
      </c>
      <c r="M3" s="229">
        <v>0</v>
      </c>
      <c r="N3" s="226">
        <f>Englandtriesscored</f>
        <v>24</v>
      </c>
      <c r="O3" s="226">
        <f>Englandtriesagainst</f>
        <v>13</v>
      </c>
      <c r="P3" s="228">
        <f t="shared" si="1"/>
        <v>18</v>
      </c>
    </row>
    <row r="4" spans="1:17" ht="14.95" thickBot="1" x14ac:dyDescent="0.3">
      <c r="A4" s="394">
        <v>3</v>
      </c>
      <c r="B4" s="395" t="s">
        <v>51</v>
      </c>
      <c r="C4" s="239" t="s">
        <v>39</v>
      </c>
      <c r="D4" s="229">
        <v>5</v>
      </c>
      <c r="E4" s="228">
        <v>3</v>
      </c>
      <c r="F4" s="229">
        <f>Irelanddrawn</f>
        <v>0</v>
      </c>
      <c r="G4" s="229">
        <v>2</v>
      </c>
      <c r="H4" s="229">
        <f>Irelandptsscored</f>
        <v>101</v>
      </c>
      <c r="I4" s="229">
        <f>Irelandptsagainst</f>
        <v>100</v>
      </c>
      <c r="J4" s="228">
        <f t="shared" si="0"/>
        <v>1</v>
      </c>
      <c r="K4" s="229">
        <f>Irelandtrybonus</f>
        <v>2</v>
      </c>
      <c r="L4" s="229">
        <f>Irelandlosingbonus</f>
        <v>0</v>
      </c>
      <c r="M4" s="229">
        <v>0</v>
      </c>
      <c r="N4" s="229">
        <f>Irelandtriesscored</f>
        <v>14</v>
      </c>
      <c r="O4" s="229">
        <f>Irelandtriesagainst</f>
        <v>10</v>
      </c>
      <c r="P4" s="228">
        <f t="shared" si="1"/>
        <v>14</v>
      </c>
    </row>
    <row r="5" spans="1:17" ht="14.95" thickBot="1" x14ac:dyDescent="0.3">
      <c r="A5" s="394">
        <v>4</v>
      </c>
      <c r="B5" s="538" t="s">
        <v>223</v>
      </c>
      <c r="C5" s="389" t="s">
        <v>34</v>
      </c>
      <c r="D5" s="229">
        <f>Franceplayed</f>
        <v>5</v>
      </c>
      <c r="E5" s="228">
        <f>Francewon</f>
        <v>2</v>
      </c>
      <c r="F5" s="229">
        <f>Francedrawn</f>
        <v>0</v>
      </c>
      <c r="G5" s="229">
        <f>Francelost</f>
        <v>3</v>
      </c>
      <c r="H5" s="229">
        <f>Franceptsscored</f>
        <v>93</v>
      </c>
      <c r="I5" s="229">
        <f>Franceptsagainst</f>
        <v>118</v>
      </c>
      <c r="J5" s="228">
        <f t="shared" si="0"/>
        <v>-25</v>
      </c>
      <c r="K5" s="229">
        <f>Francetrybonus</f>
        <v>1</v>
      </c>
      <c r="L5" s="229">
        <f>Francelosingbonus</f>
        <v>1</v>
      </c>
      <c r="M5" s="229">
        <v>0</v>
      </c>
      <c r="N5" s="229">
        <f>Francetriesscored</f>
        <v>12</v>
      </c>
      <c r="O5" s="229">
        <f>Francetriesagainst</f>
        <v>15</v>
      </c>
      <c r="P5" s="228">
        <f t="shared" si="1"/>
        <v>10</v>
      </c>
    </row>
    <row r="6" spans="1:17" ht="14.95" thickBot="1" x14ac:dyDescent="0.3">
      <c r="A6" s="394">
        <v>5</v>
      </c>
      <c r="B6" s="538" t="s">
        <v>280</v>
      </c>
      <c r="C6" s="238" t="s">
        <v>35</v>
      </c>
      <c r="D6" s="229">
        <f>Scotlandplayed</f>
        <v>5</v>
      </c>
      <c r="E6" s="228">
        <f>Scotlandwon</f>
        <v>1</v>
      </c>
      <c r="F6" s="229">
        <f>Scotlanddrawn</f>
        <v>1</v>
      </c>
      <c r="G6" s="229">
        <f>Scotlandlost</f>
        <v>3</v>
      </c>
      <c r="H6" s="229">
        <f>Scotlandptsscored</f>
        <v>105</v>
      </c>
      <c r="I6" s="229">
        <f>Scotlandptsagainst</f>
        <v>125</v>
      </c>
      <c r="J6" s="228">
        <f t="shared" si="0"/>
        <v>-20</v>
      </c>
      <c r="K6" s="229">
        <f>Scotlandtrybonus</f>
        <v>2</v>
      </c>
      <c r="L6" s="229">
        <f>Scotlandlosingbonus</f>
        <v>1</v>
      </c>
      <c r="M6" s="229">
        <v>0</v>
      </c>
      <c r="N6" s="229">
        <f>Scotlandtriesscored</f>
        <v>14</v>
      </c>
      <c r="O6" s="229">
        <f>Scotlandtriesagainst</f>
        <v>17</v>
      </c>
      <c r="P6" s="228">
        <f t="shared" si="1"/>
        <v>9</v>
      </c>
    </row>
    <row r="7" spans="1:17" ht="14.95" thickBot="1" x14ac:dyDescent="0.3">
      <c r="A7" s="394">
        <v>6</v>
      </c>
      <c r="B7" s="395" t="s">
        <v>51</v>
      </c>
      <c r="C7" s="387" t="s">
        <v>33</v>
      </c>
      <c r="D7" s="229">
        <f>Italyplayed</f>
        <v>5</v>
      </c>
      <c r="E7" s="228">
        <f>Italywon</f>
        <v>0</v>
      </c>
      <c r="F7" s="229">
        <f>Italydrawn</f>
        <v>0</v>
      </c>
      <c r="G7" s="229">
        <f>Italylost</f>
        <v>5</v>
      </c>
      <c r="H7" s="229">
        <f>Italyptsscored</f>
        <v>79</v>
      </c>
      <c r="I7" s="229">
        <f>Italyptsagainst</f>
        <v>167</v>
      </c>
      <c r="J7" s="228">
        <f t="shared" si="0"/>
        <v>-88</v>
      </c>
      <c r="K7" s="229">
        <f>Italytrybonus</f>
        <v>0</v>
      </c>
      <c r="L7" s="229">
        <f>Italylosingbonus</f>
        <v>0</v>
      </c>
      <c r="M7" s="229">
        <v>0</v>
      </c>
      <c r="N7" s="229">
        <f>Italytriesscored</f>
        <v>10</v>
      </c>
      <c r="O7" s="229">
        <f>Italytriesagainst</f>
        <v>22</v>
      </c>
      <c r="P7" s="228">
        <f t="shared" si="1"/>
        <v>0</v>
      </c>
    </row>
    <row r="8" spans="1:17" x14ac:dyDescent="0.25">
      <c r="A8" s="234"/>
      <c r="B8" s="235"/>
      <c r="C8" s="240"/>
      <c r="D8" s="236">
        <f t="shared" ref="D8:G8" si="2">SUM(D2:D7)</f>
        <v>30</v>
      </c>
      <c r="E8" s="236">
        <f t="shared" si="2"/>
        <v>14</v>
      </c>
      <c r="F8" s="236">
        <f t="shared" si="2"/>
        <v>2</v>
      </c>
      <c r="G8" s="236">
        <f t="shared" si="2"/>
        <v>14</v>
      </c>
      <c r="H8" s="236">
        <f t="shared" ref="H8:P8" si="3">SUM(H2:H7)</f>
        <v>676</v>
      </c>
      <c r="I8" s="236">
        <f t="shared" si="3"/>
        <v>676</v>
      </c>
      <c r="J8" s="236">
        <f t="shared" si="3"/>
        <v>0</v>
      </c>
      <c r="K8" s="236">
        <f t="shared" si="3"/>
        <v>9</v>
      </c>
      <c r="L8" s="236">
        <f t="shared" si="3"/>
        <v>2</v>
      </c>
      <c r="M8" s="236">
        <f t="shared" si="3"/>
        <v>0</v>
      </c>
      <c r="N8" s="236">
        <f t="shared" si="3"/>
        <v>84</v>
      </c>
      <c r="O8" s="236">
        <f t="shared" si="3"/>
        <v>84</v>
      </c>
      <c r="P8" s="236">
        <f t="shared" si="3"/>
        <v>71</v>
      </c>
      <c r="Q8" s="236" t="s">
        <v>58</v>
      </c>
    </row>
    <row r="9" spans="1:17" x14ac:dyDescent="0.25">
      <c r="A9" t="s">
        <v>65</v>
      </c>
    </row>
    <row r="11" spans="1:17" x14ac:dyDescent="0.25">
      <c r="A11" s="482" t="s">
        <v>281</v>
      </c>
    </row>
    <row r="12" spans="1:17" ht="14.95" thickBot="1" x14ac:dyDescent="0.3"/>
    <row r="13" spans="1:17" ht="14.95" thickBot="1" x14ac:dyDescent="0.3">
      <c r="A13" s="392" t="s">
        <v>47</v>
      </c>
      <c r="B13" s="393" t="s">
        <v>48</v>
      </c>
      <c r="C13" s="393"/>
      <c r="D13" s="393" t="s">
        <v>0</v>
      </c>
      <c r="E13" s="536" t="s">
        <v>1</v>
      </c>
      <c r="F13" s="393" t="s">
        <v>2</v>
      </c>
      <c r="G13" s="393" t="s">
        <v>3</v>
      </c>
      <c r="H13" s="393" t="s">
        <v>4</v>
      </c>
      <c r="I13" s="393" t="s">
        <v>5</v>
      </c>
      <c r="J13" s="536" t="s">
        <v>49</v>
      </c>
      <c r="K13" s="393" t="s">
        <v>21</v>
      </c>
      <c r="L13" s="393" t="s">
        <v>22</v>
      </c>
      <c r="M13" s="393" t="s">
        <v>64</v>
      </c>
      <c r="N13" s="393" t="s">
        <v>52</v>
      </c>
      <c r="O13" s="393" t="s">
        <v>53</v>
      </c>
      <c r="P13" s="536" t="s">
        <v>50</v>
      </c>
    </row>
    <row r="14" spans="1:17" ht="14.95" thickBot="1" x14ac:dyDescent="0.3">
      <c r="A14" s="537">
        <v>1</v>
      </c>
      <c r="B14" s="538" t="s">
        <v>51</v>
      </c>
      <c r="C14" s="545" t="s">
        <v>32</v>
      </c>
      <c r="D14" s="540">
        <v>4</v>
      </c>
      <c r="E14" s="541">
        <v>4</v>
      </c>
      <c r="F14" s="540">
        <v>0</v>
      </c>
      <c r="G14" s="540">
        <v>0</v>
      </c>
      <c r="H14" s="540">
        <v>89</v>
      </c>
      <c r="I14" s="540">
        <v>58</v>
      </c>
      <c r="J14" s="541">
        <v>31</v>
      </c>
      <c r="K14" s="540">
        <v>0</v>
      </c>
      <c r="L14" s="540">
        <v>0</v>
      </c>
      <c r="M14" s="540">
        <v>0</v>
      </c>
      <c r="N14" s="540">
        <v>9</v>
      </c>
      <c r="O14" s="540">
        <v>6</v>
      </c>
      <c r="P14" s="541">
        <v>16</v>
      </c>
    </row>
    <row r="15" spans="1:17" ht="14.95" thickBot="1" x14ac:dyDescent="0.3">
      <c r="A15" s="537">
        <v>2</v>
      </c>
      <c r="B15" s="538" t="s">
        <v>51</v>
      </c>
      <c r="C15" s="542" t="s">
        <v>30</v>
      </c>
      <c r="D15" s="543">
        <v>4</v>
      </c>
      <c r="E15" s="544">
        <v>3</v>
      </c>
      <c r="F15" s="543">
        <v>0</v>
      </c>
      <c r="G15" s="543">
        <v>1</v>
      </c>
      <c r="H15" s="543">
        <v>146</v>
      </c>
      <c r="I15" s="543">
        <v>63</v>
      </c>
      <c r="J15" s="541">
        <v>83</v>
      </c>
      <c r="K15" s="540">
        <v>3</v>
      </c>
      <c r="L15" s="540">
        <v>0</v>
      </c>
      <c r="M15" s="540">
        <v>0</v>
      </c>
      <c r="N15" s="543">
        <v>19</v>
      </c>
      <c r="O15" s="543">
        <v>7</v>
      </c>
      <c r="P15" s="541">
        <v>15</v>
      </c>
    </row>
    <row r="16" spans="1:17" ht="14.95" thickBot="1" x14ac:dyDescent="0.3">
      <c r="A16" s="537">
        <v>3</v>
      </c>
      <c r="B16" s="538" t="s">
        <v>51</v>
      </c>
      <c r="C16" s="546" t="s">
        <v>39</v>
      </c>
      <c r="D16" s="540">
        <v>4</v>
      </c>
      <c r="E16" s="541">
        <v>3</v>
      </c>
      <c r="F16" s="540">
        <v>0</v>
      </c>
      <c r="G16" s="540">
        <v>1</v>
      </c>
      <c r="H16" s="540">
        <v>94</v>
      </c>
      <c r="I16" s="540">
        <v>75</v>
      </c>
      <c r="J16" s="541">
        <v>19</v>
      </c>
      <c r="K16" s="540">
        <v>2</v>
      </c>
      <c r="L16" s="540">
        <v>0</v>
      </c>
      <c r="M16" s="540">
        <v>0</v>
      </c>
      <c r="N16" s="540">
        <v>13</v>
      </c>
      <c r="O16" s="540">
        <v>9</v>
      </c>
      <c r="P16" s="541">
        <v>14</v>
      </c>
    </row>
    <row r="17" spans="1:16" ht="14.95" thickBot="1" x14ac:dyDescent="0.3">
      <c r="A17" s="537">
        <v>4</v>
      </c>
      <c r="B17" s="538" t="s">
        <v>223</v>
      </c>
      <c r="C17" s="539" t="s">
        <v>35</v>
      </c>
      <c r="D17" s="540">
        <v>4</v>
      </c>
      <c r="E17" s="541">
        <v>1</v>
      </c>
      <c r="F17" s="540">
        <v>0</v>
      </c>
      <c r="G17" s="540">
        <v>3</v>
      </c>
      <c r="H17" s="540">
        <v>67</v>
      </c>
      <c r="I17" s="540">
        <v>87</v>
      </c>
      <c r="J17" s="541">
        <v>-20</v>
      </c>
      <c r="K17" s="540">
        <v>1</v>
      </c>
      <c r="L17" s="540">
        <v>1</v>
      </c>
      <c r="M17" s="540">
        <v>0</v>
      </c>
      <c r="N17" s="540">
        <v>8</v>
      </c>
      <c r="O17" s="540">
        <v>12</v>
      </c>
      <c r="P17" s="541">
        <v>6</v>
      </c>
    </row>
    <row r="18" spans="1:16" ht="14.95" thickBot="1" x14ac:dyDescent="0.3">
      <c r="A18" s="537">
        <v>5</v>
      </c>
      <c r="B18" s="538" t="s">
        <v>280</v>
      </c>
      <c r="C18" s="389" t="s">
        <v>34</v>
      </c>
      <c r="D18" s="540">
        <v>4</v>
      </c>
      <c r="E18" s="541">
        <v>1</v>
      </c>
      <c r="F18" s="540">
        <v>0</v>
      </c>
      <c r="G18" s="540">
        <v>3</v>
      </c>
      <c r="H18" s="540">
        <v>68</v>
      </c>
      <c r="I18" s="540">
        <v>104</v>
      </c>
      <c r="J18" s="541">
        <v>-36</v>
      </c>
      <c r="K18" s="540">
        <v>1</v>
      </c>
      <c r="L18" s="540">
        <v>1</v>
      </c>
      <c r="M18" s="540">
        <v>0</v>
      </c>
      <c r="N18" s="540">
        <v>9</v>
      </c>
      <c r="O18" s="540">
        <v>14</v>
      </c>
      <c r="P18" s="541">
        <v>6</v>
      </c>
    </row>
    <row r="19" spans="1:16" ht="14.95" thickBot="1" x14ac:dyDescent="0.3">
      <c r="A19" s="537">
        <v>6</v>
      </c>
      <c r="B19" s="538" t="s">
        <v>51</v>
      </c>
      <c r="C19" s="387" t="s">
        <v>33</v>
      </c>
      <c r="D19" s="540">
        <v>4</v>
      </c>
      <c r="E19" s="541">
        <v>0</v>
      </c>
      <c r="F19" s="540">
        <v>0</v>
      </c>
      <c r="G19" s="540">
        <v>4</v>
      </c>
      <c r="H19" s="540">
        <v>65</v>
      </c>
      <c r="I19" s="540">
        <v>142</v>
      </c>
      <c r="J19" s="541">
        <v>-77</v>
      </c>
      <c r="K19" s="540">
        <v>0</v>
      </c>
      <c r="L19" s="540">
        <v>0</v>
      </c>
      <c r="M19" s="540">
        <v>0</v>
      </c>
      <c r="N19" s="540">
        <v>9</v>
      </c>
      <c r="O19" s="540">
        <v>19</v>
      </c>
      <c r="P19" s="541">
        <v>0</v>
      </c>
    </row>
    <row r="21" spans="1:16" x14ac:dyDescent="0.25">
      <c r="A21" s="482" t="s">
        <v>236</v>
      </c>
    </row>
    <row r="22" spans="1:16" ht="14.95" thickBot="1" x14ac:dyDescent="0.3"/>
    <row r="23" spans="1:16" ht="14.95" thickBot="1" x14ac:dyDescent="0.3">
      <c r="A23" s="392" t="s">
        <v>47</v>
      </c>
      <c r="B23" s="393" t="s">
        <v>48</v>
      </c>
      <c r="C23" s="393"/>
      <c r="D23" s="393" t="s">
        <v>0</v>
      </c>
      <c r="E23" s="536" t="s">
        <v>1</v>
      </c>
      <c r="F23" s="393" t="s">
        <v>2</v>
      </c>
      <c r="G23" s="393" t="s">
        <v>3</v>
      </c>
      <c r="H23" s="393" t="s">
        <v>4</v>
      </c>
      <c r="I23" s="393" t="s">
        <v>5</v>
      </c>
      <c r="J23" s="536" t="s">
        <v>49</v>
      </c>
      <c r="K23" s="393" t="s">
        <v>21</v>
      </c>
      <c r="L23" s="393" t="s">
        <v>22</v>
      </c>
      <c r="M23" s="393" t="s">
        <v>64</v>
      </c>
      <c r="N23" s="393" t="s">
        <v>52</v>
      </c>
      <c r="O23" s="393" t="s">
        <v>53</v>
      </c>
      <c r="P23" s="536" t="s">
        <v>50</v>
      </c>
    </row>
    <row r="24" spans="1:16" ht="14.95" thickBot="1" x14ac:dyDescent="0.3">
      <c r="A24" s="537">
        <v>1</v>
      </c>
      <c r="B24" s="538" t="s">
        <v>223</v>
      </c>
      <c r="C24" s="545" t="s">
        <v>32</v>
      </c>
      <c r="D24" s="540">
        <v>3</v>
      </c>
      <c r="E24" s="541">
        <v>3</v>
      </c>
      <c r="F24" s="540">
        <v>0</v>
      </c>
      <c r="G24" s="540">
        <v>0</v>
      </c>
      <c r="H24" s="540">
        <v>71</v>
      </c>
      <c r="I24" s="540">
        <v>47</v>
      </c>
      <c r="J24" s="541">
        <v>24</v>
      </c>
      <c r="K24" s="540">
        <v>0</v>
      </c>
      <c r="L24" s="540">
        <v>0</v>
      </c>
      <c r="M24" s="540">
        <v>0</v>
      </c>
      <c r="N24" s="540">
        <v>7</v>
      </c>
      <c r="O24" s="540">
        <v>5</v>
      </c>
      <c r="P24" s="541">
        <v>12</v>
      </c>
    </row>
    <row r="25" spans="1:16" ht="14.95" thickBot="1" x14ac:dyDescent="0.3">
      <c r="A25" s="537">
        <v>2</v>
      </c>
      <c r="B25" s="538" t="s">
        <v>235</v>
      </c>
      <c r="C25" s="542" t="s">
        <v>30</v>
      </c>
      <c r="D25" s="543">
        <v>3</v>
      </c>
      <c r="E25" s="544">
        <v>2</v>
      </c>
      <c r="F25" s="543">
        <v>0</v>
      </c>
      <c r="G25" s="543">
        <v>1</v>
      </c>
      <c r="H25" s="543">
        <v>89</v>
      </c>
      <c r="I25" s="543">
        <v>49</v>
      </c>
      <c r="J25" s="541">
        <v>40</v>
      </c>
      <c r="K25" s="540">
        <v>2</v>
      </c>
      <c r="L25" s="540">
        <v>0</v>
      </c>
      <c r="M25" s="540">
        <v>0</v>
      </c>
      <c r="N25" s="543">
        <v>11</v>
      </c>
      <c r="O25" s="543">
        <v>5</v>
      </c>
      <c r="P25" s="541">
        <v>10</v>
      </c>
    </row>
    <row r="26" spans="1:16" ht="14.95" thickBot="1" x14ac:dyDescent="0.3">
      <c r="A26" s="537">
        <v>3</v>
      </c>
      <c r="B26" s="538" t="s">
        <v>223</v>
      </c>
      <c r="C26" s="546" t="s">
        <v>39</v>
      </c>
      <c r="D26" s="540">
        <v>3</v>
      </c>
      <c r="E26" s="541">
        <v>2</v>
      </c>
      <c r="F26" s="540">
        <v>0</v>
      </c>
      <c r="G26" s="540">
        <v>1</v>
      </c>
      <c r="H26" s="540">
        <v>68</v>
      </c>
      <c r="I26" s="540">
        <v>61</v>
      </c>
      <c r="J26" s="541">
        <v>7</v>
      </c>
      <c r="K26" s="540">
        <v>1</v>
      </c>
      <c r="L26" s="540">
        <v>0</v>
      </c>
      <c r="M26" s="540">
        <v>0</v>
      </c>
      <c r="N26" s="540">
        <v>9</v>
      </c>
      <c r="O26" s="540">
        <v>7</v>
      </c>
      <c r="P26" s="541">
        <v>9</v>
      </c>
    </row>
    <row r="27" spans="1:16" ht="14.95" thickBot="1" x14ac:dyDescent="0.3">
      <c r="A27" s="537">
        <v>4</v>
      </c>
      <c r="B27" s="538" t="s">
        <v>235</v>
      </c>
      <c r="C27" s="389" t="s">
        <v>34</v>
      </c>
      <c r="D27" s="540">
        <v>3</v>
      </c>
      <c r="E27" s="541">
        <v>1</v>
      </c>
      <c r="F27" s="540">
        <v>0</v>
      </c>
      <c r="G27" s="540">
        <v>2</v>
      </c>
      <c r="H27" s="540">
        <v>54</v>
      </c>
      <c r="I27" s="540">
        <v>78</v>
      </c>
      <c r="J27" s="541">
        <v>-24</v>
      </c>
      <c r="K27" s="540">
        <v>1</v>
      </c>
      <c r="L27" s="540">
        <v>1</v>
      </c>
      <c r="M27" s="540">
        <v>0</v>
      </c>
      <c r="N27" s="540">
        <v>7</v>
      </c>
      <c r="O27" s="540">
        <v>10</v>
      </c>
      <c r="P27" s="541">
        <v>6</v>
      </c>
    </row>
    <row r="28" spans="1:16" ht="14.95" thickBot="1" x14ac:dyDescent="0.3">
      <c r="A28" s="537">
        <v>5</v>
      </c>
      <c r="B28" s="538" t="s">
        <v>224</v>
      </c>
      <c r="C28" s="539" t="s">
        <v>35</v>
      </c>
      <c r="D28" s="540">
        <v>3</v>
      </c>
      <c r="E28" s="541">
        <v>1</v>
      </c>
      <c r="F28" s="540">
        <v>0</v>
      </c>
      <c r="G28" s="540">
        <v>2</v>
      </c>
      <c r="H28" s="540">
        <v>56</v>
      </c>
      <c r="I28" s="540">
        <v>69</v>
      </c>
      <c r="J28" s="541">
        <v>-13</v>
      </c>
      <c r="K28" s="540">
        <v>1</v>
      </c>
      <c r="L28" s="540">
        <v>0</v>
      </c>
      <c r="M28" s="540">
        <v>0</v>
      </c>
      <c r="N28" s="540">
        <v>7</v>
      </c>
      <c r="O28" s="540">
        <v>10</v>
      </c>
      <c r="P28" s="541">
        <v>5</v>
      </c>
    </row>
    <row r="29" spans="1:16" ht="14.95" thickBot="1" x14ac:dyDescent="0.3">
      <c r="A29" s="537">
        <v>6</v>
      </c>
      <c r="B29" s="538" t="s">
        <v>51</v>
      </c>
      <c r="C29" s="387" t="s">
        <v>33</v>
      </c>
      <c r="D29" s="540">
        <v>3</v>
      </c>
      <c r="E29" s="541">
        <v>0</v>
      </c>
      <c r="F29" s="540">
        <v>0</v>
      </c>
      <c r="G29" s="540">
        <v>3</v>
      </c>
      <c r="H29" s="540">
        <v>51</v>
      </c>
      <c r="I29" s="540">
        <v>85</v>
      </c>
      <c r="J29" s="541">
        <v>-34</v>
      </c>
      <c r="K29" s="540">
        <v>0</v>
      </c>
      <c r="L29" s="540">
        <v>0</v>
      </c>
      <c r="M29" s="540">
        <v>0</v>
      </c>
      <c r="N29" s="540">
        <v>7</v>
      </c>
      <c r="O29" s="540">
        <v>11</v>
      </c>
      <c r="P29" s="541">
        <v>0</v>
      </c>
    </row>
    <row r="31" spans="1:16" x14ac:dyDescent="0.25">
      <c r="A31" s="482" t="s">
        <v>225</v>
      </c>
    </row>
    <row r="32" spans="1:16" ht="14.95" thickBot="1" x14ac:dyDescent="0.3"/>
    <row r="33" spans="1:16" ht="14.95" thickBot="1" x14ac:dyDescent="0.3">
      <c r="A33" s="392" t="s">
        <v>47</v>
      </c>
      <c r="B33" s="393" t="s">
        <v>48</v>
      </c>
      <c r="C33" s="393"/>
      <c r="D33" s="393" t="s">
        <v>0</v>
      </c>
      <c r="E33" s="536" t="s">
        <v>1</v>
      </c>
      <c r="F33" s="393" t="s">
        <v>2</v>
      </c>
      <c r="G33" s="393" t="s">
        <v>3</v>
      </c>
      <c r="H33" s="393" t="s">
        <v>4</v>
      </c>
      <c r="I33" s="393" t="s">
        <v>5</v>
      </c>
      <c r="J33" s="536" t="s">
        <v>49</v>
      </c>
      <c r="K33" s="393" t="s">
        <v>21</v>
      </c>
      <c r="L33" s="393" t="s">
        <v>22</v>
      </c>
      <c r="M33" s="393" t="s">
        <v>64</v>
      </c>
      <c r="N33" s="393" t="s">
        <v>52</v>
      </c>
      <c r="O33" s="393" t="s">
        <v>53</v>
      </c>
      <c r="P33" s="536" t="s">
        <v>50</v>
      </c>
    </row>
    <row r="34" spans="1:16" ht="14.95" thickBot="1" x14ac:dyDescent="0.3">
      <c r="A34" s="537">
        <v>1</v>
      </c>
      <c r="B34" s="538" t="s">
        <v>223</v>
      </c>
      <c r="C34" s="542" t="s">
        <v>30</v>
      </c>
      <c r="D34" s="543">
        <v>2</v>
      </c>
      <c r="E34" s="544">
        <v>2</v>
      </c>
      <c r="F34" s="543">
        <v>0</v>
      </c>
      <c r="G34" s="543">
        <v>0</v>
      </c>
      <c r="H34" s="543">
        <v>76</v>
      </c>
      <c r="I34" s="543">
        <v>28</v>
      </c>
      <c r="J34" s="541">
        <v>48</v>
      </c>
      <c r="K34" s="540">
        <v>2</v>
      </c>
      <c r="L34" s="540">
        <v>0</v>
      </c>
      <c r="M34" s="540">
        <v>0</v>
      </c>
      <c r="N34" s="543">
        <v>10</v>
      </c>
      <c r="O34" s="543">
        <v>3</v>
      </c>
      <c r="P34" s="541">
        <v>10</v>
      </c>
    </row>
    <row r="35" spans="1:16" ht="14.95" thickBot="1" x14ac:dyDescent="0.3">
      <c r="A35" s="537">
        <v>2</v>
      </c>
      <c r="B35" s="538" t="s">
        <v>223</v>
      </c>
      <c r="C35" s="545" t="s">
        <v>32</v>
      </c>
      <c r="D35" s="540">
        <v>2</v>
      </c>
      <c r="E35" s="541">
        <v>2</v>
      </c>
      <c r="F35" s="540">
        <v>0</v>
      </c>
      <c r="G35" s="540">
        <v>0</v>
      </c>
      <c r="H35" s="540">
        <v>50</v>
      </c>
      <c r="I35" s="540">
        <v>34</v>
      </c>
      <c r="J35" s="541">
        <v>16</v>
      </c>
      <c r="K35" s="540">
        <v>0</v>
      </c>
      <c r="L35" s="540">
        <v>0</v>
      </c>
      <c r="M35" s="540">
        <v>0</v>
      </c>
      <c r="N35" s="540">
        <v>5</v>
      </c>
      <c r="O35" s="540">
        <v>4</v>
      </c>
      <c r="P35" s="541">
        <v>8</v>
      </c>
    </row>
    <row r="36" spans="1:16" ht="14.95" thickBot="1" x14ac:dyDescent="0.3">
      <c r="A36" s="537">
        <v>3</v>
      </c>
      <c r="B36" s="538" t="s">
        <v>224</v>
      </c>
      <c r="C36" s="539" t="s">
        <v>35</v>
      </c>
      <c r="D36" s="540">
        <v>2</v>
      </c>
      <c r="E36" s="541">
        <v>1</v>
      </c>
      <c r="F36" s="540">
        <v>0</v>
      </c>
      <c r="G36" s="540">
        <v>1</v>
      </c>
      <c r="H36" s="540">
        <v>46</v>
      </c>
      <c r="I36" s="540">
        <v>42</v>
      </c>
      <c r="J36" s="541">
        <v>4</v>
      </c>
      <c r="K36" s="540">
        <v>1</v>
      </c>
      <c r="L36" s="540">
        <v>0</v>
      </c>
      <c r="M36" s="540">
        <v>0</v>
      </c>
      <c r="N36" s="540">
        <v>6</v>
      </c>
      <c r="O36" s="540">
        <v>6</v>
      </c>
      <c r="P36" s="541">
        <v>5</v>
      </c>
    </row>
    <row r="37" spans="1:16" ht="14.95" thickBot="1" x14ac:dyDescent="0.3">
      <c r="A37" s="537">
        <v>4</v>
      </c>
      <c r="B37" s="538" t="s">
        <v>51</v>
      </c>
      <c r="C37" s="546" t="s">
        <v>39</v>
      </c>
      <c r="D37" s="540">
        <v>2</v>
      </c>
      <c r="E37" s="541">
        <v>1</v>
      </c>
      <c r="F37" s="540">
        <v>0</v>
      </c>
      <c r="G37" s="540">
        <v>1</v>
      </c>
      <c r="H37" s="540">
        <v>42</v>
      </c>
      <c r="I37" s="540">
        <v>45</v>
      </c>
      <c r="J37" s="541">
        <v>-3</v>
      </c>
      <c r="K37" s="540">
        <v>0</v>
      </c>
      <c r="L37" s="540">
        <v>0</v>
      </c>
      <c r="M37" s="540">
        <v>0</v>
      </c>
      <c r="N37" s="540">
        <v>5</v>
      </c>
      <c r="O37" s="540">
        <v>5</v>
      </c>
      <c r="P37" s="541">
        <v>4</v>
      </c>
    </row>
    <row r="38" spans="1:16" ht="14.95" thickBot="1" x14ac:dyDescent="0.3">
      <c r="A38" s="537">
        <v>5</v>
      </c>
      <c r="B38" s="538" t="s">
        <v>51</v>
      </c>
      <c r="C38" s="389" t="s">
        <v>34</v>
      </c>
      <c r="D38" s="540">
        <v>2</v>
      </c>
      <c r="E38" s="541">
        <v>0</v>
      </c>
      <c r="F38" s="540">
        <v>0</v>
      </c>
      <c r="G38" s="540">
        <v>2</v>
      </c>
      <c r="H38" s="540">
        <v>27</v>
      </c>
      <c r="I38" s="540">
        <v>68</v>
      </c>
      <c r="J38" s="541">
        <v>-41</v>
      </c>
      <c r="K38" s="540">
        <v>0</v>
      </c>
      <c r="L38" s="540">
        <v>1</v>
      </c>
      <c r="M38" s="540">
        <v>0</v>
      </c>
      <c r="N38" s="540">
        <v>3</v>
      </c>
      <c r="O38" s="540">
        <v>9</v>
      </c>
      <c r="P38" s="541">
        <v>1</v>
      </c>
    </row>
    <row r="39" spans="1:16" ht="14.95" thickBot="1" x14ac:dyDescent="0.3">
      <c r="A39" s="537">
        <v>6</v>
      </c>
      <c r="B39" s="538" t="s">
        <v>51</v>
      </c>
      <c r="C39" s="387" t="s">
        <v>33</v>
      </c>
      <c r="D39" s="540">
        <v>2</v>
      </c>
      <c r="E39" s="541">
        <v>0</v>
      </c>
      <c r="F39" s="540">
        <v>0</v>
      </c>
      <c r="G39" s="540">
        <v>2</v>
      </c>
      <c r="H39" s="540">
        <v>35</v>
      </c>
      <c r="I39" s="540">
        <v>59</v>
      </c>
      <c r="J39" s="541">
        <v>-24</v>
      </c>
      <c r="K39" s="540">
        <v>0</v>
      </c>
      <c r="L39" s="540">
        <v>0</v>
      </c>
      <c r="M39" s="540">
        <v>0</v>
      </c>
      <c r="N39" s="540">
        <v>5</v>
      </c>
      <c r="O39" s="540">
        <v>7</v>
      </c>
      <c r="P39" s="541">
        <v>0</v>
      </c>
    </row>
    <row r="41" spans="1:16" x14ac:dyDescent="0.25">
      <c r="A41" s="482" t="s">
        <v>150</v>
      </c>
    </row>
    <row r="42" spans="1:16" ht="14.95" thickBot="1" x14ac:dyDescent="0.3"/>
    <row r="43" spans="1:16" ht="14.95" thickBot="1" x14ac:dyDescent="0.3">
      <c r="A43" s="392" t="s">
        <v>47</v>
      </c>
      <c r="B43" s="393" t="s">
        <v>48</v>
      </c>
      <c r="C43" s="393"/>
      <c r="D43" s="393" t="s">
        <v>0</v>
      </c>
      <c r="E43" s="536" t="s">
        <v>1</v>
      </c>
      <c r="F43" s="393" t="s">
        <v>2</v>
      </c>
      <c r="G43" s="393" t="s">
        <v>3</v>
      </c>
      <c r="H43" s="393" t="s">
        <v>4</v>
      </c>
      <c r="I43" s="393" t="s">
        <v>5</v>
      </c>
      <c r="J43" s="536" t="s">
        <v>49</v>
      </c>
      <c r="K43" s="393" t="s">
        <v>21</v>
      </c>
      <c r="L43" s="393" t="s">
        <v>22</v>
      </c>
      <c r="M43" s="393" t="s">
        <v>64</v>
      </c>
      <c r="N43" s="393" t="s">
        <v>52</v>
      </c>
      <c r="O43" s="393" t="s">
        <v>53</v>
      </c>
      <c r="P43" s="536" t="s">
        <v>50</v>
      </c>
    </row>
    <row r="44" spans="1:16" ht="14.95" thickBot="1" x14ac:dyDescent="0.3">
      <c r="A44" s="537">
        <v>1</v>
      </c>
      <c r="B44" s="538" t="s">
        <v>51</v>
      </c>
      <c r="C44" s="539" t="s">
        <v>35</v>
      </c>
      <c r="D44" s="540">
        <v>1</v>
      </c>
      <c r="E44" s="541">
        <v>1</v>
      </c>
      <c r="F44" s="540">
        <v>0</v>
      </c>
      <c r="G44" s="540">
        <v>0</v>
      </c>
      <c r="H44" s="540">
        <v>33</v>
      </c>
      <c r="I44" s="540">
        <v>20</v>
      </c>
      <c r="J44" s="541">
        <v>13</v>
      </c>
      <c r="K44" s="540">
        <v>1</v>
      </c>
      <c r="L44" s="540">
        <v>0</v>
      </c>
      <c r="M44" s="540">
        <v>0</v>
      </c>
      <c r="N44" s="540">
        <v>5</v>
      </c>
      <c r="O44" s="540">
        <v>3</v>
      </c>
      <c r="P44" s="541">
        <v>5</v>
      </c>
    </row>
    <row r="45" spans="1:16" ht="14.95" thickBot="1" x14ac:dyDescent="0.3">
      <c r="A45" s="537">
        <v>2</v>
      </c>
      <c r="B45" s="538" t="s">
        <v>51</v>
      </c>
      <c r="C45" s="542" t="s">
        <v>30</v>
      </c>
      <c r="D45" s="543">
        <v>1</v>
      </c>
      <c r="E45" s="544">
        <v>1</v>
      </c>
      <c r="F45" s="543">
        <v>0</v>
      </c>
      <c r="G45" s="543">
        <v>0</v>
      </c>
      <c r="H45" s="543">
        <v>32</v>
      </c>
      <c r="I45" s="543">
        <v>20</v>
      </c>
      <c r="J45" s="541">
        <v>12</v>
      </c>
      <c r="K45" s="540">
        <v>1</v>
      </c>
      <c r="L45" s="540">
        <v>0</v>
      </c>
      <c r="M45" s="540">
        <v>0</v>
      </c>
      <c r="N45" s="543">
        <v>4</v>
      </c>
      <c r="O45" s="543">
        <v>2</v>
      </c>
      <c r="P45" s="541">
        <v>5</v>
      </c>
    </row>
    <row r="46" spans="1:16" ht="14.95" thickBot="1" x14ac:dyDescent="0.3">
      <c r="A46" s="537">
        <v>3</v>
      </c>
      <c r="B46" s="538" t="s">
        <v>51</v>
      </c>
      <c r="C46" s="545" t="s">
        <v>32</v>
      </c>
      <c r="D46" s="540">
        <v>1</v>
      </c>
      <c r="E46" s="541">
        <v>1</v>
      </c>
      <c r="F46" s="540">
        <v>0</v>
      </c>
      <c r="G46" s="540">
        <v>0</v>
      </c>
      <c r="H46" s="540">
        <v>24</v>
      </c>
      <c r="I46" s="540">
        <v>19</v>
      </c>
      <c r="J46" s="541">
        <v>5</v>
      </c>
      <c r="K46" s="540">
        <v>0</v>
      </c>
      <c r="L46" s="540">
        <v>0</v>
      </c>
      <c r="M46" s="540">
        <v>0</v>
      </c>
      <c r="N46" s="540">
        <v>3</v>
      </c>
      <c r="O46" s="540">
        <v>2</v>
      </c>
      <c r="P46" s="541">
        <v>4</v>
      </c>
    </row>
    <row r="47" spans="1:16" ht="14.95" thickBot="1" x14ac:dyDescent="0.3">
      <c r="A47" s="537">
        <v>5</v>
      </c>
      <c r="B47" s="538" t="s">
        <v>51</v>
      </c>
      <c r="C47" s="389" t="s">
        <v>34</v>
      </c>
      <c r="D47" s="540">
        <v>1</v>
      </c>
      <c r="E47" s="541">
        <v>0</v>
      </c>
      <c r="F47" s="540">
        <v>0</v>
      </c>
      <c r="G47" s="540">
        <v>1</v>
      </c>
      <c r="H47" s="540">
        <v>19</v>
      </c>
      <c r="I47" s="540">
        <v>24</v>
      </c>
      <c r="J47" s="541">
        <v>-5</v>
      </c>
      <c r="K47" s="540">
        <v>0</v>
      </c>
      <c r="L47" s="540">
        <v>1</v>
      </c>
      <c r="M47" s="540">
        <v>0</v>
      </c>
      <c r="N47" s="540">
        <v>2</v>
      </c>
      <c r="O47" s="540">
        <v>3</v>
      </c>
      <c r="P47" s="541">
        <v>1</v>
      </c>
    </row>
    <row r="48" spans="1:16" ht="14.95" thickBot="1" x14ac:dyDescent="0.3">
      <c r="A48" s="537">
        <v>4</v>
      </c>
      <c r="B48" s="538" t="s">
        <v>51</v>
      </c>
      <c r="C48" s="546" t="s">
        <v>39</v>
      </c>
      <c r="D48" s="540">
        <v>1</v>
      </c>
      <c r="E48" s="541">
        <v>0</v>
      </c>
      <c r="F48" s="540">
        <v>0</v>
      </c>
      <c r="G48" s="540">
        <v>1</v>
      </c>
      <c r="H48" s="540">
        <v>20</v>
      </c>
      <c r="I48" s="540">
        <v>32</v>
      </c>
      <c r="J48" s="541">
        <v>-12</v>
      </c>
      <c r="K48" s="540">
        <v>0</v>
      </c>
      <c r="L48" s="540">
        <v>0</v>
      </c>
      <c r="M48" s="540">
        <v>0</v>
      </c>
      <c r="N48" s="540">
        <v>2</v>
      </c>
      <c r="O48" s="540">
        <v>4</v>
      </c>
      <c r="P48" s="541">
        <v>0</v>
      </c>
    </row>
    <row r="49" spans="1:16" ht="14.95" thickBot="1" x14ac:dyDescent="0.3">
      <c r="A49" s="537">
        <v>6</v>
      </c>
      <c r="B49" s="538" t="s">
        <v>51</v>
      </c>
      <c r="C49" s="387" t="s">
        <v>33</v>
      </c>
      <c r="D49" s="540">
        <v>1</v>
      </c>
      <c r="E49" s="541">
        <v>0</v>
      </c>
      <c r="F49" s="540">
        <v>0</v>
      </c>
      <c r="G49" s="540">
        <v>1</v>
      </c>
      <c r="H49" s="540">
        <v>20</v>
      </c>
      <c r="I49" s="540">
        <v>33</v>
      </c>
      <c r="J49" s="541">
        <v>-13</v>
      </c>
      <c r="K49" s="540">
        <v>0</v>
      </c>
      <c r="L49" s="540">
        <v>0</v>
      </c>
      <c r="M49" s="540">
        <v>0</v>
      </c>
      <c r="N49" s="540">
        <v>3</v>
      </c>
      <c r="O49" s="540">
        <v>5</v>
      </c>
      <c r="P49" s="541">
        <v>0</v>
      </c>
    </row>
    <row r="51" spans="1:16" x14ac:dyDescent="0.25">
      <c r="A51" s="15" t="s">
        <v>28</v>
      </c>
    </row>
  </sheetData>
  <sortState xmlns:xlrd2="http://schemas.microsoft.com/office/spreadsheetml/2017/richdata2" ref="A2:P7">
    <sortCondition descending="1" ref="P2:P7"/>
    <sortCondition descending="1" ref="J2:J7"/>
    <sortCondition descending="1" ref="N2:N7"/>
    <sortCondition ref="C2:C7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7"/>
  <sheetViews>
    <sheetView workbookViewId="0">
      <selection activeCell="Q25" sqref="Q25"/>
    </sheetView>
  </sheetViews>
  <sheetFormatPr defaultRowHeight="14.3" x14ac:dyDescent="0.25"/>
  <cols>
    <col min="1" max="1" width="10.75" bestFit="1" customWidth="1"/>
    <col min="2" max="2" width="6" customWidth="1"/>
    <col min="7" max="7" width="2.75" customWidth="1"/>
    <col min="8" max="10" width="3.75" customWidth="1"/>
  </cols>
  <sheetData>
    <row r="1" spans="1:14" x14ac:dyDescent="0.25">
      <c r="B1" t="s">
        <v>151</v>
      </c>
      <c r="F1" s="328">
        <v>2019</v>
      </c>
    </row>
    <row r="2" spans="1:14" x14ac:dyDescent="0.25">
      <c r="A2" s="326">
        <v>43132</v>
      </c>
      <c r="B2" s="329">
        <v>20</v>
      </c>
      <c r="C2" s="1017" t="s">
        <v>34</v>
      </c>
      <c r="D2" s="1017"/>
      <c r="E2" s="1017"/>
      <c r="F2" s="328">
        <v>19</v>
      </c>
      <c r="G2" s="327"/>
      <c r="H2" s="351">
        <v>24</v>
      </c>
      <c r="I2" s="1018" t="s">
        <v>32</v>
      </c>
      <c r="J2" s="1018"/>
      <c r="K2" s="1018"/>
      <c r="L2" s="1017" t="s">
        <v>70</v>
      </c>
      <c r="M2" s="1017"/>
      <c r="N2" s="1017"/>
    </row>
    <row r="3" spans="1:14" x14ac:dyDescent="0.25">
      <c r="A3" s="326">
        <v>43133</v>
      </c>
      <c r="B3" s="329">
        <v>14.15</v>
      </c>
      <c r="C3" s="1017" t="s">
        <v>35</v>
      </c>
      <c r="D3" s="1017"/>
      <c r="E3" s="1017"/>
      <c r="F3" s="328">
        <v>33</v>
      </c>
      <c r="G3" s="327"/>
      <c r="H3" s="351">
        <v>20</v>
      </c>
      <c r="I3" s="1018" t="s">
        <v>33</v>
      </c>
      <c r="J3" s="1018"/>
      <c r="K3" s="1018"/>
      <c r="L3" s="1017" t="s">
        <v>71</v>
      </c>
      <c r="M3" s="1017"/>
      <c r="N3" s="1017"/>
    </row>
    <row r="4" spans="1:14" x14ac:dyDescent="0.25">
      <c r="A4" s="326">
        <v>43133</v>
      </c>
      <c r="B4" s="329">
        <v>16.149999999999999</v>
      </c>
      <c r="C4" s="1017" t="s">
        <v>39</v>
      </c>
      <c r="D4" s="1017"/>
      <c r="E4" s="1017"/>
      <c r="F4" s="328">
        <v>20</v>
      </c>
      <c r="G4" s="327"/>
      <c r="H4" s="351">
        <v>32</v>
      </c>
      <c r="I4" s="1018" t="s">
        <v>30</v>
      </c>
      <c r="J4" s="1018"/>
      <c r="K4" s="1018"/>
      <c r="L4" s="1017" t="s">
        <v>72</v>
      </c>
      <c r="M4" s="1017"/>
      <c r="N4" s="1017"/>
    </row>
    <row r="5" spans="1:14" x14ac:dyDescent="0.25">
      <c r="A5" s="326">
        <v>43140</v>
      </c>
      <c r="B5" s="327">
        <v>14.15</v>
      </c>
      <c r="C5" s="1017" t="s">
        <v>35</v>
      </c>
      <c r="D5" s="1017"/>
      <c r="E5" s="1017"/>
      <c r="F5" s="328">
        <v>22</v>
      </c>
      <c r="G5" s="327"/>
      <c r="H5" s="351">
        <v>13</v>
      </c>
      <c r="I5" s="1018" t="s">
        <v>39</v>
      </c>
      <c r="J5" s="1018"/>
      <c r="K5" s="1018"/>
      <c r="L5" s="1017" t="s">
        <v>71</v>
      </c>
      <c r="M5" s="1017"/>
      <c r="N5" s="1017"/>
    </row>
    <row r="6" spans="1:14" x14ac:dyDescent="0.25">
      <c r="A6" s="326">
        <v>43140</v>
      </c>
      <c r="B6" s="329">
        <v>16.45</v>
      </c>
      <c r="C6" s="1017" t="s">
        <v>33</v>
      </c>
      <c r="D6" s="1017"/>
      <c r="E6" s="1017"/>
      <c r="F6" s="328">
        <v>15</v>
      </c>
      <c r="G6" s="327"/>
      <c r="H6" s="351">
        <v>26</v>
      </c>
      <c r="I6" s="1018" t="s">
        <v>32</v>
      </c>
      <c r="J6" s="1018"/>
      <c r="K6" s="1018"/>
      <c r="L6" s="1017" t="s">
        <v>68</v>
      </c>
      <c r="M6" s="1017"/>
      <c r="N6" s="1017"/>
    </row>
    <row r="7" spans="1:14" x14ac:dyDescent="0.25">
      <c r="A7" s="326">
        <v>43141</v>
      </c>
      <c r="B7" s="329">
        <v>15</v>
      </c>
      <c r="C7" s="1017" t="s">
        <v>30</v>
      </c>
      <c r="D7" s="1017"/>
      <c r="E7" s="1017"/>
      <c r="F7" s="328">
        <v>44</v>
      </c>
      <c r="G7" s="327"/>
      <c r="H7" s="351">
        <v>8</v>
      </c>
      <c r="I7" s="1018" t="s">
        <v>34</v>
      </c>
      <c r="J7" s="1018"/>
      <c r="K7" s="1018"/>
      <c r="L7" s="1017" t="s">
        <v>67</v>
      </c>
      <c r="M7" s="1017"/>
      <c r="N7" s="1017"/>
    </row>
    <row r="8" spans="1:14" x14ac:dyDescent="0.25">
      <c r="A8" s="326">
        <v>43154</v>
      </c>
      <c r="B8" s="327">
        <v>14.15</v>
      </c>
      <c r="C8" s="1017" t="s">
        <v>34</v>
      </c>
      <c r="D8" s="1017"/>
      <c r="E8" s="1017"/>
      <c r="F8" s="328">
        <v>27</v>
      </c>
      <c r="G8" s="328"/>
      <c r="H8" s="351">
        <v>10</v>
      </c>
      <c r="I8" s="1018" t="s">
        <v>35</v>
      </c>
      <c r="J8" s="1018"/>
      <c r="K8" s="1018"/>
      <c r="L8" s="1017" t="s">
        <v>70</v>
      </c>
      <c r="M8" s="1017"/>
      <c r="N8" s="1017"/>
    </row>
    <row r="9" spans="1:14" x14ac:dyDescent="0.25">
      <c r="A9" s="326">
        <v>43154</v>
      </c>
      <c r="B9" s="329">
        <v>16.45</v>
      </c>
      <c r="C9" s="1017" t="s">
        <v>32</v>
      </c>
      <c r="D9" s="1017"/>
      <c r="E9" s="1017"/>
      <c r="F9" s="328">
        <v>21</v>
      </c>
      <c r="G9" s="328"/>
      <c r="H9" s="351">
        <v>13</v>
      </c>
      <c r="I9" s="1018" t="s">
        <v>30</v>
      </c>
      <c r="J9" s="1018"/>
      <c r="K9" s="1018"/>
      <c r="L9" s="1017" t="s">
        <v>69</v>
      </c>
      <c r="M9" s="1017"/>
      <c r="N9" s="1017"/>
    </row>
    <row r="10" spans="1:14" x14ac:dyDescent="0.25">
      <c r="A10" s="326">
        <v>43155</v>
      </c>
      <c r="B10" s="329">
        <v>15</v>
      </c>
      <c r="C10" s="1017" t="s">
        <v>33</v>
      </c>
      <c r="D10" s="1017"/>
      <c r="E10" s="1017"/>
      <c r="F10" s="328">
        <v>26</v>
      </c>
      <c r="G10" s="328"/>
      <c r="H10" s="351">
        <v>16</v>
      </c>
      <c r="I10" s="1018" t="s">
        <v>39</v>
      </c>
      <c r="J10" s="1018"/>
      <c r="K10" s="1018"/>
      <c r="L10" s="1017" t="s">
        <v>68</v>
      </c>
      <c r="M10" s="1017"/>
      <c r="N10" s="1017"/>
    </row>
    <row r="11" spans="1:14" x14ac:dyDescent="0.25">
      <c r="A11" s="326">
        <v>43168</v>
      </c>
      <c r="B11" s="327">
        <v>14.15</v>
      </c>
      <c r="C11" s="1017" t="s">
        <v>35</v>
      </c>
      <c r="D11" s="1017"/>
      <c r="E11" s="1017"/>
      <c r="F11" s="328">
        <v>11</v>
      </c>
      <c r="G11" s="328"/>
      <c r="H11" s="351">
        <v>18</v>
      </c>
      <c r="I11" s="1018" t="s">
        <v>32</v>
      </c>
      <c r="J11" s="1018"/>
      <c r="K11" s="1018"/>
      <c r="L11" s="1017" t="s">
        <v>71</v>
      </c>
      <c r="M11" s="1017"/>
      <c r="N11" s="1017"/>
    </row>
    <row r="12" spans="1:14" x14ac:dyDescent="0.25">
      <c r="A12" s="326">
        <v>43168</v>
      </c>
      <c r="B12" s="329">
        <v>16.45</v>
      </c>
      <c r="C12" s="1017" t="s">
        <v>30</v>
      </c>
      <c r="D12" s="1017"/>
      <c r="E12" s="1017"/>
      <c r="F12" s="328">
        <v>57</v>
      </c>
      <c r="G12" s="328"/>
      <c r="H12" s="351">
        <v>14</v>
      </c>
      <c r="I12" s="1018" t="s">
        <v>33</v>
      </c>
      <c r="J12" s="1018"/>
      <c r="K12" s="1018"/>
      <c r="L12" s="1017" t="s">
        <v>67</v>
      </c>
      <c r="M12" s="1017"/>
      <c r="N12" s="1017"/>
    </row>
    <row r="13" spans="1:14" x14ac:dyDescent="0.25">
      <c r="A13" s="326">
        <v>43169</v>
      </c>
      <c r="B13" s="329">
        <v>15</v>
      </c>
      <c r="C13" s="1017" t="s">
        <v>39</v>
      </c>
      <c r="D13" s="1017"/>
      <c r="E13" s="1017"/>
      <c r="F13" s="328">
        <v>26</v>
      </c>
      <c r="G13" s="328"/>
      <c r="H13" s="351">
        <v>14</v>
      </c>
      <c r="I13" s="1018" t="s">
        <v>34</v>
      </c>
      <c r="J13" s="1018"/>
      <c r="K13" s="1018"/>
      <c r="L13" s="1017" t="s">
        <v>72</v>
      </c>
      <c r="M13" s="1017"/>
      <c r="N13" s="1017"/>
    </row>
    <row r="14" spans="1:14" x14ac:dyDescent="0.25">
      <c r="A14" s="326">
        <v>43175</v>
      </c>
      <c r="B14" s="329">
        <v>12.3</v>
      </c>
      <c r="C14" s="1017" t="s">
        <v>33</v>
      </c>
      <c r="D14" s="1017"/>
      <c r="E14" s="1017"/>
      <c r="F14" s="328">
        <v>14</v>
      </c>
      <c r="G14" s="328" t="s">
        <v>58</v>
      </c>
      <c r="H14" s="351">
        <v>25</v>
      </c>
      <c r="I14" s="1018" t="s">
        <v>34</v>
      </c>
      <c r="J14" s="1018"/>
      <c r="K14" s="1018"/>
      <c r="L14" s="1017" t="s">
        <v>68</v>
      </c>
      <c r="M14" s="1017"/>
      <c r="N14" s="1017"/>
    </row>
    <row r="15" spans="1:14" x14ac:dyDescent="0.25">
      <c r="A15" s="326">
        <v>43175</v>
      </c>
      <c r="B15" s="329">
        <v>14.45</v>
      </c>
      <c r="C15" s="1017" t="s">
        <v>32</v>
      </c>
      <c r="D15" s="1017"/>
      <c r="E15" s="1017"/>
      <c r="F15" s="328">
        <v>25</v>
      </c>
      <c r="G15" s="328"/>
      <c r="H15" s="351">
        <v>7</v>
      </c>
      <c r="I15" s="1018" t="s">
        <v>39</v>
      </c>
      <c r="J15" s="1018"/>
      <c r="K15" s="1018"/>
      <c r="L15" s="1017" t="s">
        <v>69</v>
      </c>
      <c r="M15" s="1017"/>
      <c r="N15" s="1017"/>
    </row>
    <row r="16" spans="1:14" x14ac:dyDescent="0.25">
      <c r="A16" s="326">
        <v>43175</v>
      </c>
      <c r="B16" s="329">
        <v>17</v>
      </c>
      <c r="C16" s="1017" t="s">
        <v>30</v>
      </c>
      <c r="D16" s="1017"/>
      <c r="E16" s="1017"/>
      <c r="F16" s="328">
        <v>38</v>
      </c>
      <c r="G16" s="328"/>
      <c r="H16" s="351">
        <v>38</v>
      </c>
      <c r="I16" s="1018" t="s">
        <v>35</v>
      </c>
      <c r="J16" s="1018"/>
      <c r="K16" s="1018"/>
      <c r="L16" s="1017" t="s">
        <v>67</v>
      </c>
      <c r="M16" s="1017"/>
      <c r="N16" s="1017"/>
    </row>
    <row r="18" spans="1:14" x14ac:dyDescent="0.25">
      <c r="A18" s="1019" t="s">
        <v>58</v>
      </c>
      <c r="B18" s="1019"/>
      <c r="C18" s="324"/>
      <c r="D18" s="324"/>
      <c r="E18" s="324"/>
      <c r="F18" s="328">
        <v>2018</v>
      </c>
      <c r="G18" s="324"/>
      <c r="H18" s="324"/>
      <c r="I18" s="325"/>
      <c r="J18" s="325"/>
      <c r="K18" s="325"/>
      <c r="L18" s="325"/>
      <c r="M18" s="325"/>
      <c r="N18" s="325"/>
    </row>
    <row r="19" spans="1:14" x14ac:dyDescent="0.25">
      <c r="A19" s="326">
        <v>43134</v>
      </c>
      <c r="B19" s="327">
        <v>14.15</v>
      </c>
      <c r="C19" s="1017" t="s">
        <v>32</v>
      </c>
      <c r="D19" s="1017"/>
      <c r="E19" s="1017"/>
      <c r="F19" s="328">
        <v>34</v>
      </c>
      <c r="G19" s="327"/>
      <c r="H19" s="351">
        <v>7</v>
      </c>
      <c r="I19" s="1018" t="s">
        <v>35</v>
      </c>
      <c r="J19" s="1018"/>
      <c r="K19" s="1018"/>
      <c r="L19" s="1017" t="s">
        <v>69</v>
      </c>
      <c r="M19" s="1017"/>
      <c r="N19" s="1017"/>
    </row>
    <row r="20" spans="1:14" x14ac:dyDescent="0.25">
      <c r="A20" s="326">
        <v>43134</v>
      </c>
      <c r="B20" s="329">
        <v>16.45</v>
      </c>
      <c r="C20" s="1017" t="s">
        <v>34</v>
      </c>
      <c r="D20" s="1017"/>
      <c r="E20" s="1017"/>
      <c r="F20" s="328">
        <v>13</v>
      </c>
      <c r="G20" s="327"/>
      <c r="H20" s="351">
        <v>15</v>
      </c>
      <c r="I20" s="1018" t="s">
        <v>39</v>
      </c>
      <c r="J20" s="1018"/>
      <c r="K20" s="1018"/>
      <c r="L20" s="1017" t="s">
        <v>70</v>
      </c>
      <c r="M20" s="1017"/>
      <c r="N20" s="1017"/>
    </row>
    <row r="21" spans="1:14" x14ac:dyDescent="0.25">
      <c r="A21" s="326">
        <v>43135</v>
      </c>
      <c r="B21" s="329">
        <v>15</v>
      </c>
      <c r="C21" s="1017" t="s">
        <v>33</v>
      </c>
      <c r="D21" s="1017"/>
      <c r="E21" s="1017"/>
      <c r="F21" s="328">
        <v>15</v>
      </c>
      <c r="G21" s="327"/>
      <c r="H21" s="351">
        <v>46</v>
      </c>
      <c r="I21" s="1018" t="s">
        <v>30</v>
      </c>
      <c r="J21" s="1018"/>
      <c r="K21" s="1018"/>
      <c r="L21" s="1017" t="s">
        <v>68</v>
      </c>
      <c r="M21" s="1017"/>
      <c r="N21" s="1017"/>
    </row>
    <row r="22" spans="1:14" x14ac:dyDescent="0.25">
      <c r="A22" s="326">
        <v>43141</v>
      </c>
      <c r="B22" s="327">
        <v>14.15</v>
      </c>
      <c r="C22" s="1017" t="s">
        <v>39</v>
      </c>
      <c r="D22" s="1017"/>
      <c r="E22" s="1017"/>
      <c r="F22" s="328">
        <v>56</v>
      </c>
      <c r="G22" s="327"/>
      <c r="H22" s="351">
        <v>19</v>
      </c>
      <c r="I22" s="1018" t="s">
        <v>33</v>
      </c>
      <c r="J22" s="1018"/>
      <c r="K22" s="1018"/>
      <c r="L22" s="1017" t="s">
        <v>72</v>
      </c>
      <c r="M22" s="1017"/>
      <c r="N22" s="1017"/>
    </row>
    <row r="23" spans="1:14" x14ac:dyDescent="0.25">
      <c r="A23" s="326">
        <v>43141</v>
      </c>
      <c r="B23" s="329">
        <v>16.45</v>
      </c>
      <c r="C23" s="1017" t="s">
        <v>30</v>
      </c>
      <c r="D23" s="1017"/>
      <c r="E23" s="1017"/>
      <c r="F23" s="328">
        <v>12</v>
      </c>
      <c r="G23" s="327"/>
      <c r="H23" s="351">
        <v>6</v>
      </c>
      <c r="I23" s="1018" t="s">
        <v>32</v>
      </c>
      <c r="J23" s="1018"/>
      <c r="K23" s="1018"/>
      <c r="L23" s="1017" t="s">
        <v>67</v>
      </c>
      <c r="M23" s="1017"/>
      <c r="N23" s="1017"/>
    </row>
    <row r="24" spans="1:14" x14ac:dyDescent="0.25">
      <c r="A24" s="326">
        <v>43142</v>
      </c>
      <c r="B24" s="329">
        <v>15</v>
      </c>
      <c r="C24" s="1017" t="s">
        <v>35</v>
      </c>
      <c r="D24" s="1017"/>
      <c r="E24" s="1017"/>
      <c r="F24" s="328">
        <v>32</v>
      </c>
      <c r="G24" s="327"/>
      <c r="H24" s="351">
        <v>26</v>
      </c>
      <c r="I24" s="1018" t="s">
        <v>34</v>
      </c>
      <c r="J24" s="1018"/>
      <c r="K24" s="1018"/>
      <c r="L24" s="1017" t="s">
        <v>71</v>
      </c>
      <c r="M24" s="1017"/>
      <c r="N24" s="1017"/>
    </row>
    <row r="25" spans="1:14" x14ac:dyDescent="0.25">
      <c r="A25" s="326">
        <v>43154</v>
      </c>
      <c r="B25" s="329">
        <v>20</v>
      </c>
      <c r="C25" s="1017" t="s">
        <v>34</v>
      </c>
      <c r="D25" s="1017"/>
      <c r="E25" s="1017"/>
      <c r="F25" s="328">
        <v>34</v>
      </c>
      <c r="G25" s="328"/>
      <c r="H25" s="351">
        <v>17</v>
      </c>
      <c r="I25" s="1018" t="s">
        <v>33</v>
      </c>
      <c r="J25" s="1018"/>
      <c r="K25" s="1018"/>
      <c r="L25" s="1017" t="s">
        <v>119</v>
      </c>
      <c r="M25" s="1017"/>
      <c r="N25" s="1017"/>
    </row>
    <row r="26" spans="1:14" x14ac:dyDescent="0.25">
      <c r="A26" s="326">
        <v>43155</v>
      </c>
      <c r="B26" s="329">
        <v>14.15</v>
      </c>
      <c r="C26" s="1017" t="s">
        <v>39</v>
      </c>
      <c r="D26" s="1017"/>
      <c r="E26" s="1017"/>
      <c r="F26" s="328">
        <v>37</v>
      </c>
      <c r="G26" s="328"/>
      <c r="H26" s="351">
        <v>27</v>
      </c>
      <c r="I26" s="1018" t="s">
        <v>32</v>
      </c>
      <c r="J26" s="1018"/>
      <c r="K26" s="1018"/>
      <c r="L26" s="1017" t="s">
        <v>72</v>
      </c>
      <c r="M26" s="1017"/>
      <c r="N26" s="1017"/>
    </row>
    <row r="27" spans="1:14" x14ac:dyDescent="0.25">
      <c r="A27" s="326">
        <v>43155</v>
      </c>
      <c r="B27" s="329">
        <v>16.45</v>
      </c>
      <c r="C27" s="1017" t="s">
        <v>35</v>
      </c>
      <c r="D27" s="1017"/>
      <c r="E27" s="1017"/>
      <c r="F27" s="328">
        <v>25</v>
      </c>
      <c r="G27" s="328"/>
      <c r="H27" s="351">
        <v>13</v>
      </c>
      <c r="I27" s="1018" t="s">
        <v>30</v>
      </c>
      <c r="J27" s="1018"/>
      <c r="K27" s="1018"/>
      <c r="L27" s="1017" t="s">
        <v>71</v>
      </c>
      <c r="M27" s="1017"/>
      <c r="N27" s="1017"/>
    </row>
    <row r="28" spans="1:14" x14ac:dyDescent="0.25">
      <c r="A28" s="326">
        <v>43169</v>
      </c>
      <c r="B28" s="327">
        <v>14.15</v>
      </c>
      <c r="C28" s="1017" t="s">
        <v>39</v>
      </c>
      <c r="D28" s="1017"/>
      <c r="E28" s="1017"/>
      <c r="F28" s="328">
        <v>28</v>
      </c>
      <c r="G28" s="328"/>
      <c r="H28" s="351">
        <v>8</v>
      </c>
      <c r="I28" s="1018" t="s">
        <v>35</v>
      </c>
      <c r="J28" s="1018"/>
      <c r="K28" s="1018"/>
      <c r="L28" s="1017" t="s">
        <v>72</v>
      </c>
      <c r="M28" s="1017"/>
      <c r="N28" s="1017"/>
    </row>
    <row r="29" spans="1:14" x14ac:dyDescent="0.25">
      <c r="A29" s="326">
        <v>43169</v>
      </c>
      <c r="B29" s="329">
        <v>16.45</v>
      </c>
      <c r="C29" s="1017" t="s">
        <v>34</v>
      </c>
      <c r="D29" s="1017"/>
      <c r="E29" s="1017"/>
      <c r="F29" s="328">
        <v>22</v>
      </c>
      <c r="G29" s="328"/>
      <c r="H29" s="351">
        <v>16</v>
      </c>
      <c r="I29" s="1018" t="s">
        <v>30</v>
      </c>
      <c r="J29" s="1018"/>
      <c r="K29" s="1018"/>
      <c r="L29" s="1017" t="s">
        <v>70</v>
      </c>
      <c r="M29" s="1017"/>
      <c r="N29" s="1017"/>
    </row>
    <row r="30" spans="1:14" x14ac:dyDescent="0.25">
      <c r="A30" s="326">
        <v>43170</v>
      </c>
      <c r="B30" s="329">
        <v>15</v>
      </c>
      <c r="C30" s="1017" t="s">
        <v>32</v>
      </c>
      <c r="D30" s="1017"/>
      <c r="E30" s="1017"/>
      <c r="F30" s="328">
        <v>38</v>
      </c>
      <c r="G30" s="328"/>
      <c r="H30" s="351">
        <v>14</v>
      </c>
      <c r="I30" s="1018" t="s">
        <v>33</v>
      </c>
      <c r="J30" s="1018"/>
      <c r="K30" s="1018"/>
      <c r="L30" s="1017" t="s">
        <v>69</v>
      </c>
      <c r="M30" s="1017"/>
      <c r="N30" s="1017"/>
    </row>
    <row r="31" spans="1:14" x14ac:dyDescent="0.25">
      <c r="A31" s="326">
        <v>43176</v>
      </c>
      <c r="B31" s="329">
        <v>12.3</v>
      </c>
      <c r="C31" s="1017" t="s">
        <v>33</v>
      </c>
      <c r="D31" s="1017"/>
      <c r="E31" s="1017"/>
      <c r="F31" s="328">
        <v>27</v>
      </c>
      <c r="G31" s="328"/>
      <c r="H31" s="351">
        <v>29</v>
      </c>
      <c r="I31" s="1018" t="s">
        <v>35</v>
      </c>
      <c r="J31" s="1018"/>
      <c r="K31" s="1018"/>
      <c r="L31" s="1017" t="s">
        <v>68</v>
      </c>
      <c r="M31" s="1017"/>
      <c r="N31" s="1017"/>
    </row>
    <row r="32" spans="1:14" x14ac:dyDescent="0.25">
      <c r="A32" s="326">
        <v>43176</v>
      </c>
      <c r="B32" s="329">
        <v>14.45</v>
      </c>
      <c r="C32" s="1017" t="s">
        <v>30</v>
      </c>
      <c r="D32" s="1017"/>
      <c r="E32" s="1017"/>
      <c r="F32" s="328">
        <v>15</v>
      </c>
      <c r="G32" s="328"/>
      <c r="H32" s="351">
        <v>24</v>
      </c>
      <c r="I32" s="1018" t="s">
        <v>39</v>
      </c>
      <c r="J32" s="1018"/>
      <c r="K32" s="1018"/>
      <c r="L32" s="1017" t="s">
        <v>67</v>
      </c>
      <c r="M32" s="1017"/>
      <c r="N32" s="1017"/>
    </row>
    <row r="33" spans="1:14" x14ac:dyDescent="0.25">
      <c r="A33" s="326">
        <v>43176</v>
      </c>
      <c r="B33" s="329">
        <v>17</v>
      </c>
      <c r="C33" s="1017" t="s">
        <v>32</v>
      </c>
      <c r="D33" s="1017"/>
      <c r="E33" s="1017"/>
      <c r="F33" s="328">
        <v>14</v>
      </c>
      <c r="G33" s="328"/>
      <c r="H33" s="351">
        <v>13</v>
      </c>
      <c r="I33" s="1018" t="s">
        <v>34</v>
      </c>
      <c r="J33" s="1018"/>
      <c r="K33" s="1018"/>
      <c r="L33" s="1017" t="s">
        <v>69</v>
      </c>
      <c r="M33" s="1017"/>
      <c r="N33" s="1017"/>
    </row>
    <row r="34" spans="1:14" x14ac:dyDescent="0.25">
      <c r="A34" s="323"/>
      <c r="B34" s="327" t="s">
        <v>58</v>
      </c>
      <c r="C34" s="324"/>
      <c r="D34" s="328"/>
      <c r="E34" s="324"/>
      <c r="F34" s="328"/>
      <c r="G34" s="324"/>
      <c r="H34" s="351"/>
      <c r="I34" s="324"/>
      <c r="J34" s="324"/>
      <c r="K34" s="324"/>
      <c r="L34" s="324"/>
      <c r="M34" s="324"/>
      <c r="N34" s="324"/>
    </row>
    <row r="35" spans="1:14" x14ac:dyDescent="0.25">
      <c r="F35" s="490"/>
    </row>
    <row r="36" spans="1:14" x14ac:dyDescent="0.25">
      <c r="A36" s="1019" t="s">
        <v>58</v>
      </c>
      <c r="B36" s="1019"/>
      <c r="C36" s="324"/>
      <c r="D36" s="324"/>
      <c r="E36" s="324"/>
      <c r="F36" s="328">
        <v>2017</v>
      </c>
      <c r="G36" s="324"/>
      <c r="H36" s="324"/>
      <c r="I36" s="325"/>
      <c r="J36" s="325"/>
      <c r="K36" s="325"/>
      <c r="L36" s="325"/>
      <c r="M36" s="325"/>
      <c r="N36" s="325"/>
    </row>
    <row r="37" spans="1:14" x14ac:dyDescent="0.25">
      <c r="A37" s="326">
        <v>42770</v>
      </c>
      <c r="B37" s="327">
        <v>14.25</v>
      </c>
      <c r="C37" s="1017" t="s">
        <v>35</v>
      </c>
      <c r="D37" s="1017"/>
      <c r="E37" s="1017"/>
      <c r="F37" s="328">
        <v>22</v>
      </c>
      <c r="G37" s="491"/>
      <c r="H37" s="351">
        <v>27</v>
      </c>
      <c r="I37" s="1018" t="s">
        <v>39</v>
      </c>
      <c r="J37" s="1018"/>
      <c r="K37" s="1018"/>
      <c r="L37" s="1017" t="s">
        <v>66</v>
      </c>
      <c r="M37" s="1017"/>
      <c r="N37" s="1017"/>
    </row>
    <row r="38" spans="1:14" x14ac:dyDescent="0.25">
      <c r="A38" s="326">
        <v>42770</v>
      </c>
      <c r="B38" s="329">
        <v>16.5</v>
      </c>
      <c r="C38" s="1017" t="s">
        <v>30</v>
      </c>
      <c r="D38" s="1017"/>
      <c r="E38" s="1017"/>
      <c r="F38" s="328">
        <v>19</v>
      </c>
      <c r="G38" s="491"/>
      <c r="H38" s="351">
        <v>16</v>
      </c>
      <c r="I38" s="1018" t="s">
        <v>34</v>
      </c>
      <c r="J38" s="1018"/>
      <c r="K38" s="1018"/>
      <c r="L38" s="1017" t="s">
        <v>67</v>
      </c>
      <c r="M38" s="1017"/>
      <c r="N38" s="1017"/>
    </row>
    <row r="39" spans="1:14" x14ac:dyDescent="0.25">
      <c r="A39" s="326">
        <v>42771</v>
      </c>
      <c r="B39" s="329">
        <v>14</v>
      </c>
      <c r="C39" s="1017" t="s">
        <v>33</v>
      </c>
      <c r="D39" s="1017"/>
      <c r="E39" s="1017"/>
      <c r="F39" s="328">
        <v>7</v>
      </c>
      <c r="G39" s="491"/>
      <c r="H39" s="351">
        <v>33</v>
      </c>
      <c r="I39" s="1018" t="s">
        <v>32</v>
      </c>
      <c r="J39" s="1018"/>
      <c r="K39" s="1018"/>
      <c r="L39" s="1017" t="s">
        <v>68</v>
      </c>
      <c r="M39" s="1017"/>
      <c r="N39" s="1017"/>
    </row>
    <row r="40" spans="1:14" x14ac:dyDescent="0.25">
      <c r="A40" s="326">
        <v>42777</v>
      </c>
      <c r="B40" s="329">
        <v>14.25</v>
      </c>
      <c r="C40" s="1017" t="s">
        <v>33</v>
      </c>
      <c r="D40" s="1017"/>
      <c r="E40" s="1017"/>
      <c r="F40" s="328">
        <v>10</v>
      </c>
      <c r="G40" s="491"/>
      <c r="H40" s="351">
        <v>63</v>
      </c>
      <c r="I40" s="1018" t="s">
        <v>39</v>
      </c>
      <c r="J40" s="1018"/>
      <c r="K40" s="1018"/>
      <c r="L40" s="1017" t="s">
        <v>68</v>
      </c>
      <c r="M40" s="1017"/>
      <c r="N40" s="1017"/>
    </row>
    <row r="41" spans="1:14" x14ac:dyDescent="0.25">
      <c r="A41" s="326">
        <v>42777</v>
      </c>
      <c r="B41" s="329">
        <v>16.5</v>
      </c>
      <c r="C41" s="1017" t="s">
        <v>32</v>
      </c>
      <c r="D41" s="1017"/>
      <c r="E41" s="1017"/>
      <c r="F41" s="328">
        <v>16</v>
      </c>
      <c r="G41" s="491"/>
      <c r="H41" s="351">
        <v>21</v>
      </c>
      <c r="I41" s="1018" t="s">
        <v>30</v>
      </c>
      <c r="J41" s="1018"/>
      <c r="K41" s="1018"/>
      <c r="L41" s="1017" t="s">
        <v>69</v>
      </c>
      <c r="M41" s="1017"/>
      <c r="N41" s="1017"/>
    </row>
    <row r="42" spans="1:14" x14ac:dyDescent="0.25">
      <c r="A42" s="326">
        <v>42778</v>
      </c>
      <c r="B42" s="329">
        <v>15</v>
      </c>
      <c r="C42" s="1017" t="s">
        <v>34</v>
      </c>
      <c r="D42" s="1017"/>
      <c r="E42" s="1017"/>
      <c r="F42" s="328">
        <v>22</v>
      </c>
      <c r="G42" s="491"/>
      <c r="H42" s="351">
        <v>16</v>
      </c>
      <c r="I42" s="1018" t="s">
        <v>35</v>
      </c>
      <c r="J42" s="1018"/>
      <c r="K42" s="1018"/>
      <c r="L42" s="1017" t="s">
        <v>70</v>
      </c>
      <c r="M42" s="1017"/>
      <c r="N42" s="1017"/>
    </row>
    <row r="43" spans="1:14" x14ac:dyDescent="0.25">
      <c r="A43" s="326">
        <v>42791</v>
      </c>
      <c r="B43" s="329">
        <v>14.25</v>
      </c>
      <c r="C43" s="1017" t="s">
        <v>35</v>
      </c>
      <c r="D43" s="1017"/>
      <c r="E43" s="1017"/>
      <c r="F43" s="328">
        <v>29</v>
      </c>
      <c r="G43" s="491"/>
      <c r="H43" s="351">
        <v>13</v>
      </c>
      <c r="I43" s="1018" t="s">
        <v>32</v>
      </c>
      <c r="J43" s="1018"/>
      <c r="K43" s="1018"/>
      <c r="L43" s="1017" t="s">
        <v>71</v>
      </c>
      <c r="M43" s="1017"/>
      <c r="N43" s="1017"/>
    </row>
    <row r="44" spans="1:14" x14ac:dyDescent="0.25">
      <c r="A44" s="326">
        <v>42791</v>
      </c>
      <c r="B44" s="329">
        <v>16.5</v>
      </c>
      <c r="C44" s="1017" t="s">
        <v>39</v>
      </c>
      <c r="D44" s="1017"/>
      <c r="E44" s="1017"/>
      <c r="F44" s="328">
        <v>19</v>
      </c>
      <c r="G44" s="491"/>
      <c r="H44" s="351">
        <v>9</v>
      </c>
      <c r="I44" s="1018" t="s">
        <v>34</v>
      </c>
      <c r="J44" s="1018"/>
      <c r="K44" s="1018"/>
      <c r="L44" s="1017" t="s">
        <v>72</v>
      </c>
      <c r="M44" s="1017"/>
      <c r="N44" s="1017"/>
    </row>
    <row r="45" spans="1:14" x14ac:dyDescent="0.25">
      <c r="A45" s="326">
        <v>42792</v>
      </c>
      <c r="B45" s="329">
        <v>15</v>
      </c>
      <c r="C45" s="1017" t="s">
        <v>30</v>
      </c>
      <c r="D45" s="1017"/>
      <c r="E45" s="1017"/>
      <c r="F45" s="328">
        <v>36</v>
      </c>
      <c r="G45" s="491"/>
      <c r="H45" s="351">
        <v>15</v>
      </c>
      <c r="I45" s="1018" t="s">
        <v>33</v>
      </c>
      <c r="J45" s="1018"/>
      <c r="K45" s="1018"/>
      <c r="L45" s="1017" t="s">
        <v>67</v>
      </c>
      <c r="M45" s="1017"/>
      <c r="N45" s="1017"/>
    </row>
    <row r="46" spans="1:14" x14ac:dyDescent="0.25">
      <c r="A46" s="326">
        <v>42804</v>
      </c>
      <c r="B46" s="329">
        <v>20</v>
      </c>
      <c r="C46" s="1017" t="s">
        <v>32</v>
      </c>
      <c r="D46" s="1017"/>
      <c r="E46" s="1017"/>
      <c r="F46" s="328">
        <v>22</v>
      </c>
      <c r="G46" s="491"/>
      <c r="H46" s="351">
        <v>9</v>
      </c>
      <c r="I46" s="1018" t="s">
        <v>39</v>
      </c>
      <c r="J46" s="1018"/>
      <c r="K46" s="1018"/>
      <c r="L46" s="1017" t="s">
        <v>69</v>
      </c>
      <c r="M46" s="1017"/>
      <c r="N46" s="1017"/>
    </row>
    <row r="47" spans="1:14" x14ac:dyDescent="0.25">
      <c r="A47" s="326">
        <v>42805</v>
      </c>
      <c r="B47" s="329">
        <v>13.3</v>
      </c>
      <c r="C47" s="1017" t="s">
        <v>33</v>
      </c>
      <c r="D47" s="1017"/>
      <c r="E47" s="1017"/>
      <c r="F47" s="328">
        <v>18</v>
      </c>
      <c r="G47" s="491"/>
      <c r="H47" s="351">
        <v>40</v>
      </c>
      <c r="I47" s="1018" t="s">
        <v>34</v>
      </c>
      <c r="J47" s="1018"/>
      <c r="K47" s="1018"/>
      <c r="L47" s="1017" t="s">
        <v>68</v>
      </c>
      <c r="M47" s="1017"/>
      <c r="N47" s="1017"/>
    </row>
    <row r="48" spans="1:14" x14ac:dyDescent="0.25">
      <c r="A48" s="326">
        <v>42805</v>
      </c>
      <c r="B48" s="329">
        <v>16</v>
      </c>
      <c r="C48" s="1017" t="s">
        <v>30</v>
      </c>
      <c r="D48" s="1017"/>
      <c r="E48" s="1017"/>
      <c r="F48" s="328">
        <v>61</v>
      </c>
      <c r="G48" s="491"/>
      <c r="H48" s="351">
        <v>21</v>
      </c>
      <c r="I48" s="1018" t="s">
        <v>35</v>
      </c>
      <c r="J48" s="1018"/>
      <c r="K48" s="1018"/>
      <c r="L48" s="1017" t="s">
        <v>67</v>
      </c>
      <c r="M48" s="1017"/>
      <c r="N48" s="1017"/>
    </row>
    <row r="49" spans="1:14" x14ac:dyDescent="0.25">
      <c r="A49" s="326">
        <v>42812</v>
      </c>
      <c r="B49" s="329">
        <v>12.3</v>
      </c>
      <c r="C49" s="1017" t="s">
        <v>35</v>
      </c>
      <c r="D49" s="1017"/>
      <c r="E49" s="1017"/>
      <c r="F49" s="328">
        <v>29</v>
      </c>
      <c r="G49" s="491"/>
      <c r="H49" s="351">
        <v>0</v>
      </c>
      <c r="I49" s="1018" t="s">
        <v>33</v>
      </c>
      <c r="J49" s="1018"/>
      <c r="K49" s="1018"/>
      <c r="L49" s="1017" t="s">
        <v>66</v>
      </c>
      <c r="M49" s="1017"/>
      <c r="N49" s="1017"/>
    </row>
    <row r="50" spans="1:14" x14ac:dyDescent="0.25">
      <c r="A50" s="326">
        <v>42812</v>
      </c>
      <c r="B50" s="329">
        <v>14.45</v>
      </c>
      <c r="C50" s="1017" t="s">
        <v>34</v>
      </c>
      <c r="D50" s="1017"/>
      <c r="E50" s="1017"/>
      <c r="F50" s="328">
        <v>20</v>
      </c>
      <c r="G50" s="491"/>
      <c r="H50" s="351">
        <v>18</v>
      </c>
      <c r="I50" s="1018" t="s">
        <v>32</v>
      </c>
      <c r="J50" s="1018"/>
      <c r="K50" s="1018"/>
      <c r="L50" s="1017" t="s">
        <v>70</v>
      </c>
      <c r="M50" s="1017"/>
      <c r="N50" s="1017"/>
    </row>
    <row r="51" spans="1:14" x14ac:dyDescent="0.25">
      <c r="A51" s="326">
        <v>42812</v>
      </c>
      <c r="B51" s="329">
        <v>17</v>
      </c>
      <c r="C51" s="1017" t="s">
        <v>39</v>
      </c>
      <c r="D51" s="1017"/>
      <c r="E51" s="1017"/>
      <c r="F51" s="328">
        <v>13</v>
      </c>
      <c r="G51" s="491"/>
      <c r="H51" s="351">
        <v>9</v>
      </c>
      <c r="I51" s="1018" t="s">
        <v>30</v>
      </c>
      <c r="J51" s="1018"/>
      <c r="K51" s="1018"/>
      <c r="L51" s="1017" t="s">
        <v>72</v>
      </c>
      <c r="M51" s="1017"/>
      <c r="N51" s="1017"/>
    </row>
    <row r="52" spans="1:14" x14ac:dyDescent="0.25">
      <c r="A52" s="323"/>
      <c r="B52" s="327" t="s">
        <v>58</v>
      </c>
      <c r="C52" s="324"/>
      <c r="D52" s="328"/>
      <c r="E52" s="324"/>
      <c r="F52" s="328"/>
      <c r="G52" s="492"/>
      <c r="H52" s="351"/>
      <c r="I52" s="324"/>
      <c r="J52" s="324"/>
      <c r="K52" s="324"/>
      <c r="L52" s="324"/>
      <c r="M52" s="324"/>
      <c r="N52" s="324"/>
    </row>
    <row r="53" spans="1:14" x14ac:dyDescent="0.25">
      <c r="F53" s="490"/>
      <c r="G53" s="493"/>
      <c r="H53" s="352"/>
    </row>
    <row r="54" spans="1:14" x14ac:dyDescent="0.25">
      <c r="A54" s="1019"/>
      <c r="B54" s="1019"/>
      <c r="C54" s="324"/>
      <c r="D54" s="324"/>
      <c r="E54" s="324"/>
      <c r="F54" s="328">
        <v>2016</v>
      </c>
      <c r="G54" s="492"/>
      <c r="H54" s="351"/>
      <c r="I54" s="325"/>
      <c r="J54" s="325"/>
      <c r="K54" s="325"/>
      <c r="L54" s="325"/>
      <c r="M54" s="325"/>
      <c r="N54" s="325"/>
    </row>
    <row r="55" spans="1:14" x14ac:dyDescent="0.25">
      <c r="A55" s="326">
        <v>42406</v>
      </c>
      <c r="B55" s="329">
        <v>14.25</v>
      </c>
      <c r="C55" s="1017" t="s">
        <v>34</v>
      </c>
      <c r="D55" s="1017"/>
      <c r="E55" s="1017"/>
      <c r="F55" s="328">
        <v>23</v>
      </c>
      <c r="G55" s="491"/>
      <c r="H55" s="351">
        <v>21</v>
      </c>
      <c r="I55" s="1018" t="s">
        <v>33</v>
      </c>
      <c r="J55" s="1018"/>
      <c r="K55" s="1018"/>
      <c r="L55" s="1017" t="s">
        <v>70</v>
      </c>
      <c r="M55" s="1017"/>
      <c r="N55" s="1017"/>
    </row>
    <row r="56" spans="1:14" x14ac:dyDescent="0.25">
      <c r="A56" s="326">
        <v>42406</v>
      </c>
      <c r="B56" s="329">
        <v>16.5</v>
      </c>
      <c r="C56" s="1017" t="s">
        <v>35</v>
      </c>
      <c r="D56" s="1017"/>
      <c r="E56" s="1017"/>
      <c r="F56" s="328">
        <v>9</v>
      </c>
      <c r="G56" s="491"/>
      <c r="H56" s="351">
        <v>15</v>
      </c>
      <c r="I56" s="1018" t="s">
        <v>30</v>
      </c>
      <c r="J56" s="1018"/>
      <c r="K56" s="1018"/>
      <c r="L56" s="1017" t="s">
        <v>66</v>
      </c>
      <c r="M56" s="1017"/>
      <c r="N56" s="1017"/>
    </row>
    <row r="57" spans="1:14" x14ac:dyDescent="0.25">
      <c r="A57" s="326">
        <v>42407</v>
      </c>
      <c r="B57" s="329">
        <v>15</v>
      </c>
      <c r="C57" s="1017" t="s">
        <v>39</v>
      </c>
      <c r="D57" s="1017"/>
      <c r="E57" s="1017"/>
      <c r="F57" s="328">
        <v>16</v>
      </c>
      <c r="G57" s="491"/>
      <c r="H57" s="351">
        <v>16</v>
      </c>
      <c r="I57" s="1018" t="s">
        <v>32</v>
      </c>
      <c r="J57" s="1018"/>
      <c r="K57" s="1018"/>
      <c r="L57" s="1017" t="s">
        <v>72</v>
      </c>
      <c r="M57" s="1017"/>
      <c r="N57" s="1017"/>
    </row>
    <row r="58" spans="1:14" x14ac:dyDescent="0.25">
      <c r="A58" s="326">
        <v>42413</v>
      </c>
      <c r="B58" s="329">
        <v>14.25</v>
      </c>
      <c r="C58" s="1017" t="s">
        <v>34</v>
      </c>
      <c r="D58" s="1017"/>
      <c r="E58" s="1017"/>
      <c r="F58" s="328" t="s">
        <v>73</v>
      </c>
      <c r="G58" s="491"/>
      <c r="H58" s="351" t="s">
        <v>74</v>
      </c>
      <c r="I58" s="1018" t="s">
        <v>39</v>
      </c>
      <c r="J58" s="1018"/>
      <c r="K58" s="1018"/>
      <c r="L58" s="1017" t="s">
        <v>70</v>
      </c>
      <c r="M58" s="1017"/>
      <c r="N58" s="1017"/>
    </row>
    <row r="59" spans="1:14" x14ac:dyDescent="0.25">
      <c r="A59" s="326">
        <v>42413</v>
      </c>
      <c r="B59" s="329">
        <v>16.5</v>
      </c>
      <c r="C59" s="1017" t="s">
        <v>32</v>
      </c>
      <c r="D59" s="1017"/>
      <c r="E59" s="1017"/>
      <c r="F59" s="328" t="s">
        <v>75</v>
      </c>
      <c r="G59" s="491"/>
      <c r="H59" s="351" t="s">
        <v>76</v>
      </c>
      <c r="I59" s="1018" t="s">
        <v>35</v>
      </c>
      <c r="J59" s="1018"/>
      <c r="K59" s="1018"/>
      <c r="L59" s="1017" t="s">
        <v>69</v>
      </c>
      <c r="M59" s="1017"/>
      <c r="N59" s="1017"/>
    </row>
    <row r="60" spans="1:14" x14ac:dyDescent="0.25">
      <c r="A60" s="326">
        <v>42414</v>
      </c>
      <c r="B60" s="329">
        <v>14</v>
      </c>
      <c r="C60" s="1017" t="s">
        <v>33</v>
      </c>
      <c r="D60" s="1017"/>
      <c r="E60" s="1017"/>
      <c r="F60" s="328" t="s">
        <v>74</v>
      </c>
      <c r="G60" s="491"/>
      <c r="H60" s="351" t="s">
        <v>77</v>
      </c>
      <c r="I60" s="1018" t="s">
        <v>30</v>
      </c>
      <c r="J60" s="1018"/>
      <c r="K60" s="1018"/>
      <c r="L60" s="1017" t="s">
        <v>68</v>
      </c>
      <c r="M60" s="1017"/>
      <c r="N60" s="1017"/>
    </row>
    <row r="61" spans="1:14" x14ac:dyDescent="0.25">
      <c r="A61" s="326">
        <v>42426</v>
      </c>
      <c r="B61" s="329">
        <v>20.05</v>
      </c>
      <c r="C61" s="1017" t="s">
        <v>32</v>
      </c>
      <c r="D61" s="1017"/>
      <c r="E61" s="1017"/>
      <c r="F61" s="328" t="s">
        <v>78</v>
      </c>
      <c r="G61" s="491"/>
      <c r="H61" s="351" t="s">
        <v>79</v>
      </c>
      <c r="I61" s="1018" t="s">
        <v>34</v>
      </c>
      <c r="J61" s="1018"/>
      <c r="K61" s="1018"/>
      <c r="L61" s="1017" t="s">
        <v>69</v>
      </c>
      <c r="M61" s="1017"/>
      <c r="N61" s="1017"/>
    </row>
    <row r="62" spans="1:14" x14ac:dyDescent="0.25">
      <c r="A62" s="326">
        <v>42427</v>
      </c>
      <c r="B62" s="329">
        <v>14.25</v>
      </c>
      <c r="C62" s="1017" t="s">
        <v>33</v>
      </c>
      <c r="D62" s="1017"/>
      <c r="E62" s="1017"/>
      <c r="F62" s="328" t="s">
        <v>80</v>
      </c>
      <c r="G62" s="491"/>
      <c r="H62" s="351" t="s">
        <v>81</v>
      </c>
      <c r="I62" s="1018" t="s">
        <v>35</v>
      </c>
      <c r="J62" s="1018"/>
      <c r="K62" s="1018"/>
      <c r="L62" s="1017" t="s">
        <v>68</v>
      </c>
      <c r="M62" s="1017"/>
      <c r="N62" s="1017"/>
    </row>
    <row r="63" spans="1:14" x14ac:dyDescent="0.25">
      <c r="A63" s="326">
        <v>42427</v>
      </c>
      <c r="B63" s="329">
        <v>16.5</v>
      </c>
      <c r="C63" s="1017" t="s">
        <v>30</v>
      </c>
      <c r="D63" s="1017"/>
      <c r="E63" s="1017"/>
      <c r="F63" s="328" t="s">
        <v>82</v>
      </c>
      <c r="G63" s="491"/>
      <c r="H63" s="351" t="s">
        <v>79</v>
      </c>
      <c r="I63" s="1018" t="s">
        <v>39</v>
      </c>
      <c r="J63" s="1018"/>
      <c r="K63" s="1018"/>
      <c r="L63" s="1017" t="s">
        <v>67</v>
      </c>
      <c r="M63" s="1017"/>
      <c r="N63" s="1017"/>
    </row>
    <row r="64" spans="1:14" x14ac:dyDescent="0.25">
      <c r="A64" s="326">
        <v>42441</v>
      </c>
      <c r="B64" s="329">
        <v>13.3</v>
      </c>
      <c r="C64" s="1017" t="s">
        <v>39</v>
      </c>
      <c r="D64" s="1017"/>
      <c r="E64" s="1017"/>
      <c r="F64" s="328" t="s">
        <v>83</v>
      </c>
      <c r="G64" s="491"/>
      <c r="H64" s="351" t="s">
        <v>84</v>
      </c>
      <c r="I64" s="1018" t="s">
        <v>33</v>
      </c>
      <c r="J64" s="1018"/>
      <c r="K64" s="1018"/>
      <c r="L64" s="1017" t="s">
        <v>72</v>
      </c>
      <c r="M64" s="1017"/>
      <c r="N64" s="1017"/>
    </row>
    <row r="65" spans="1:19" x14ac:dyDescent="0.25">
      <c r="A65" s="326">
        <v>42441</v>
      </c>
      <c r="B65" s="329">
        <v>16</v>
      </c>
      <c r="C65" s="1017" t="s">
        <v>30</v>
      </c>
      <c r="D65" s="1017"/>
      <c r="E65" s="1017"/>
      <c r="F65" s="328" t="s">
        <v>85</v>
      </c>
      <c r="G65" s="491"/>
      <c r="H65" s="351" t="s">
        <v>82</v>
      </c>
      <c r="I65" s="1018" t="s">
        <v>32</v>
      </c>
      <c r="J65" s="1018"/>
      <c r="K65" s="1018"/>
      <c r="L65" s="1017" t="s">
        <v>67</v>
      </c>
      <c r="M65" s="1017"/>
      <c r="N65" s="1017"/>
    </row>
    <row r="66" spans="1:19" x14ac:dyDescent="0.25">
      <c r="A66" s="326">
        <v>42442</v>
      </c>
      <c r="B66" s="329">
        <v>15</v>
      </c>
      <c r="C66" s="1017" t="s">
        <v>35</v>
      </c>
      <c r="D66" s="1017"/>
      <c r="E66" s="1017"/>
      <c r="F66" s="328" t="s">
        <v>86</v>
      </c>
      <c r="G66" s="491"/>
      <c r="H66" s="351" t="s">
        <v>87</v>
      </c>
      <c r="I66" s="1018" t="s">
        <v>34</v>
      </c>
      <c r="J66" s="1018"/>
      <c r="K66" s="1018"/>
      <c r="L66" s="1017" t="s">
        <v>66</v>
      </c>
      <c r="M66" s="1017"/>
      <c r="N66" s="1017"/>
    </row>
    <row r="67" spans="1:19" x14ac:dyDescent="0.25">
      <c r="A67" s="326">
        <v>42448</v>
      </c>
      <c r="B67" s="329">
        <v>14.3</v>
      </c>
      <c r="C67" s="1017" t="s">
        <v>32</v>
      </c>
      <c r="D67" s="1017"/>
      <c r="E67" s="1017"/>
      <c r="F67" s="328" t="s">
        <v>88</v>
      </c>
      <c r="G67" s="491"/>
      <c r="H67" s="351" t="s">
        <v>89</v>
      </c>
      <c r="I67" s="1018" t="s">
        <v>33</v>
      </c>
      <c r="J67" s="1018"/>
      <c r="K67" s="1018"/>
      <c r="L67" s="1017" t="s">
        <v>69</v>
      </c>
      <c r="M67" s="1017"/>
      <c r="N67" s="1017"/>
    </row>
    <row r="68" spans="1:19" x14ac:dyDescent="0.25">
      <c r="A68" s="326">
        <v>42448</v>
      </c>
      <c r="B68" s="329">
        <v>17</v>
      </c>
      <c r="C68" s="1017" t="s">
        <v>39</v>
      </c>
      <c r="D68" s="1017"/>
      <c r="E68" s="1017"/>
      <c r="F68" s="328" t="s">
        <v>90</v>
      </c>
      <c r="G68" s="491"/>
      <c r="H68" s="351" t="s">
        <v>85</v>
      </c>
      <c r="I68" s="1018" t="s">
        <v>35</v>
      </c>
      <c r="J68" s="1018"/>
      <c r="K68" s="1018"/>
      <c r="L68" s="1017" t="s">
        <v>72</v>
      </c>
      <c r="M68" s="1017"/>
      <c r="N68" s="1017"/>
    </row>
    <row r="69" spans="1:19" x14ac:dyDescent="0.25">
      <c r="A69" s="326">
        <v>42448</v>
      </c>
      <c r="B69" s="329">
        <v>20</v>
      </c>
      <c r="C69" s="1017" t="s">
        <v>34</v>
      </c>
      <c r="D69" s="1017"/>
      <c r="E69" s="1017"/>
      <c r="F69" s="328" t="s">
        <v>82</v>
      </c>
      <c r="G69" s="491"/>
      <c r="H69" s="351">
        <v>31</v>
      </c>
      <c r="I69" s="1018" t="s">
        <v>30</v>
      </c>
      <c r="J69" s="1018"/>
      <c r="K69" s="1018"/>
      <c r="L69" s="1017" t="s">
        <v>70</v>
      </c>
      <c r="M69" s="1017"/>
      <c r="N69" s="1017"/>
    </row>
    <row r="70" spans="1:19" x14ac:dyDescent="0.25">
      <c r="A70" s="347"/>
      <c r="B70" s="348" t="s">
        <v>58</v>
      </c>
      <c r="C70" s="349"/>
      <c r="D70" s="350"/>
      <c r="E70" s="349"/>
      <c r="F70" s="350"/>
      <c r="G70" s="494"/>
      <c r="H70" s="349"/>
      <c r="I70" s="349"/>
      <c r="J70" s="349"/>
      <c r="K70" s="349"/>
      <c r="L70" s="349"/>
      <c r="M70" s="349"/>
      <c r="N70" s="349"/>
      <c r="O70" s="330"/>
      <c r="P70" s="1021"/>
      <c r="Q70" s="1021"/>
      <c r="R70" s="330"/>
      <c r="S70" s="330"/>
    </row>
    <row r="71" spans="1:19" x14ac:dyDescent="0.25">
      <c r="A71" s="1019"/>
      <c r="B71" s="1019"/>
      <c r="C71" s="324"/>
      <c r="D71" s="324"/>
      <c r="E71" s="324"/>
      <c r="F71" s="328">
        <v>2015</v>
      </c>
      <c r="G71" s="492"/>
      <c r="H71" s="324"/>
      <c r="I71" s="325"/>
      <c r="J71" s="325"/>
      <c r="K71" s="325"/>
      <c r="L71" s="325"/>
      <c r="M71" s="325"/>
      <c r="N71" s="325"/>
      <c r="O71" s="330"/>
      <c r="P71" s="330"/>
      <c r="Q71" s="330"/>
      <c r="R71" s="330"/>
      <c r="S71" s="330"/>
    </row>
    <row r="72" spans="1:19" x14ac:dyDescent="0.25">
      <c r="A72" s="326">
        <v>42041</v>
      </c>
      <c r="B72" s="329">
        <v>20.05</v>
      </c>
      <c r="C72" s="1017"/>
      <c r="D72" s="1017"/>
      <c r="E72" s="327" t="s">
        <v>32</v>
      </c>
      <c r="F72" s="328">
        <v>16</v>
      </c>
      <c r="G72" s="491"/>
      <c r="H72" s="351">
        <v>21</v>
      </c>
      <c r="I72" s="1018" t="s">
        <v>30</v>
      </c>
      <c r="J72" s="1018"/>
      <c r="K72" s="1018"/>
      <c r="L72" s="1018"/>
      <c r="M72" s="351" t="s">
        <v>91</v>
      </c>
      <c r="N72" s="351"/>
      <c r="O72" s="405"/>
      <c r="P72" s="1020"/>
      <c r="Q72" s="1020"/>
      <c r="R72" s="1020"/>
    </row>
    <row r="73" spans="1:19" x14ac:dyDescent="0.25">
      <c r="A73" s="326">
        <v>42042</v>
      </c>
      <c r="B73" s="329">
        <v>14.3</v>
      </c>
      <c r="C73" s="1017"/>
      <c r="D73" s="1017"/>
      <c r="E73" s="327" t="s">
        <v>33</v>
      </c>
      <c r="F73" s="328">
        <v>3</v>
      </c>
      <c r="G73" s="491"/>
      <c r="H73" s="351">
        <v>26</v>
      </c>
      <c r="I73" s="1018" t="s">
        <v>39</v>
      </c>
      <c r="J73" s="1018"/>
      <c r="K73" s="1018"/>
      <c r="L73" s="1018"/>
      <c r="M73" s="351" t="s">
        <v>68</v>
      </c>
      <c r="N73" s="351"/>
      <c r="O73" s="405"/>
      <c r="P73" s="1020"/>
      <c r="Q73" s="1020"/>
      <c r="R73" s="1020"/>
    </row>
    <row r="74" spans="1:19" x14ac:dyDescent="0.25">
      <c r="A74" s="326">
        <v>42042</v>
      </c>
      <c r="B74" s="329">
        <v>17</v>
      </c>
      <c r="C74" s="1017"/>
      <c r="D74" s="1017"/>
      <c r="E74" s="327" t="s">
        <v>34</v>
      </c>
      <c r="F74" s="328">
        <v>15</v>
      </c>
      <c r="G74" s="491"/>
      <c r="H74" s="351">
        <v>8</v>
      </c>
      <c r="I74" s="1018" t="s">
        <v>35</v>
      </c>
      <c r="J74" s="1018"/>
      <c r="K74" s="1018"/>
      <c r="L74" s="1018"/>
      <c r="M74" s="351" t="s">
        <v>70</v>
      </c>
      <c r="N74" s="351"/>
      <c r="O74" s="405"/>
      <c r="P74" s="1020"/>
      <c r="Q74" s="1020"/>
      <c r="R74" s="1020"/>
    </row>
    <row r="75" spans="1:19" x14ac:dyDescent="0.25">
      <c r="A75" s="326">
        <v>42049</v>
      </c>
      <c r="B75" s="329">
        <v>14.3</v>
      </c>
      <c r="C75" s="1017"/>
      <c r="D75" s="1017"/>
      <c r="E75" s="327" t="s">
        <v>30</v>
      </c>
      <c r="F75" s="328">
        <v>47</v>
      </c>
      <c r="G75" s="491"/>
      <c r="H75" s="351">
        <v>17</v>
      </c>
      <c r="I75" s="1018" t="s">
        <v>33</v>
      </c>
      <c r="J75" s="1018"/>
      <c r="K75" s="1018"/>
      <c r="L75" s="1018"/>
      <c r="M75" s="351" t="s">
        <v>67</v>
      </c>
      <c r="N75" s="351"/>
      <c r="O75" s="405"/>
      <c r="P75" s="1020"/>
      <c r="Q75" s="1020"/>
      <c r="R75" s="1020"/>
    </row>
    <row r="76" spans="1:19" x14ac:dyDescent="0.25">
      <c r="A76" s="326">
        <v>42049</v>
      </c>
      <c r="B76" s="329">
        <v>17</v>
      </c>
      <c r="C76" s="1017"/>
      <c r="D76" s="1017"/>
      <c r="E76" s="327" t="s">
        <v>39</v>
      </c>
      <c r="F76" s="328">
        <v>18</v>
      </c>
      <c r="G76" s="491"/>
      <c r="H76" s="351">
        <v>11</v>
      </c>
      <c r="I76" s="1018" t="s">
        <v>34</v>
      </c>
      <c r="J76" s="1018"/>
      <c r="K76" s="1018"/>
      <c r="L76" s="1018"/>
      <c r="M76" s="351" t="s">
        <v>72</v>
      </c>
      <c r="N76" s="351"/>
      <c r="O76" s="405"/>
      <c r="P76" s="1020"/>
      <c r="Q76" s="1020"/>
      <c r="R76" s="1020"/>
    </row>
    <row r="77" spans="1:19" x14ac:dyDescent="0.25">
      <c r="A77" s="326">
        <v>42050</v>
      </c>
      <c r="B77" s="329">
        <v>15</v>
      </c>
      <c r="C77" s="1017"/>
      <c r="D77" s="1017"/>
      <c r="E77" s="327" t="s">
        <v>35</v>
      </c>
      <c r="F77" s="328">
        <v>23</v>
      </c>
      <c r="G77" s="491"/>
      <c r="H77" s="351">
        <v>26</v>
      </c>
      <c r="I77" s="1018" t="s">
        <v>32</v>
      </c>
      <c r="J77" s="1018"/>
      <c r="K77" s="1018"/>
      <c r="L77" s="1018"/>
      <c r="M77" s="351" t="s">
        <v>66</v>
      </c>
      <c r="N77" s="351"/>
      <c r="O77" s="405"/>
      <c r="P77" s="1020"/>
      <c r="Q77" s="1020"/>
      <c r="R77" s="1020"/>
    </row>
    <row r="78" spans="1:19" x14ac:dyDescent="0.25">
      <c r="A78" s="326">
        <v>42063</v>
      </c>
      <c r="B78" s="329">
        <v>14.3</v>
      </c>
      <c r="C78" s="1017"/>
      <c r="D78" s="1017"/>
      <c r="E78" s="327" t="s">
        <v>35</v>
      </c>
      <c r="F78" s="328">
        <v>19</v>
      </c>
      <c r="G78" s="491"/>
      <c r="H78" s="351">
        <v>22</v>
      </c>
      <c r="I78" s="1018" t="s">
        <v>33</v>
      </c>
      <c r="J78" s="1018"/>
      <c r="K78" s="1018"/>
      <c r="L78" s="1018"/>
      <c r="M78" s="351" t="s">
        <v>66</v>
      </c>
      <c r="N78" s="351"/>
      <c r="O78" s="405"/>
      <c r="P78" s="1020"/>
      <c r="Q78" s="1020"/>
      <c r="R78" s="1020"/>
    </row>
    <row r="79" spans="1:19" x14ac:dyDescent="0.25">
      <c r="A79" s="326">
        <v>42063</v>
      </c>
      <c r="B79" s="329">
        <v>17</v>
      </c>
      <c r="C79" s="1017"/>
      <c r="D79" s="1017"/>
      <c r="E79" s="327" t="s">
        <v>34</v>
      </c>
      <c r="F79" s="328">
        <v>13</v>
      </c>
      <c r="G79" s="491"/>
      <c r="H79" s="351">
        <v>20</v>
      </c>
      <c r="I79" s="1018" t="s">
        <v>32</v>
      </c>
      <c r="J79" s="1018"/>
      <c r="K79" s="1018"/>
      <c r="L79" s="1018"/>
      <c r="M79" s="351" t="s">
        <v>70</v>
      </c>
      <c r="N79" s="351"/>
      <c r="O79" s="405"/>
      <c r="P79" s="1020"/>
      <c r="Q79" s="1020"/>
      <c r="R79" s="1020"/>
    </row>
    <row r="80" spans="1:19" x14ac:dyDescent="0.25">
      <c r="A80" s="326">
        <v>42064</v>
      </c>
      <c r="B80" s="329">
        <v>15</v>
      </c>
      <c r="C80" s="1017"/>
      <c r="D80" s="1017"/>
      <c r="E80" s="327" t="s">
        <v>39</v>
      </c>
      <c r="F80" s="328">
        <v>19</v>
      </c>
      <c r="G80" s="491"/>
      <c r="H80" s="351">
        <v>9</v>
      </c>
      <c r="I80" s="1018" t="s">
        <v>30</v>
      </c>
      <c r="J80" s="1018"/>
      <c r="K80" s="1018"/>
      <c r="L80" s="1018"/>
      <c r="M80" s="351" t="s">
        <v>72</v>
      </c>
      <c r="N80" s="351"/>
      <c r="O80" s="405"/>
      <c r="P80" s="1020"/>
      <c r="Q80" s="1020"/>
      <c r="R80" s="1020"/>
    </row>
    <row r="81" spans="1:18" x14ac:dyDescent="0.25">
      <c r="A81" s="326">
        <v>42077</v>
      </c>
      <c r="B81" s="329">
        <v>14.3</v>
      </c>
      <c r="C81" s="1017"/>
      <c r="D81" s="1017"/>
      <c r="E81" s="327" t="s">
        <v>32</v>
      </c>
      <c r="F81" s="328">
        <v>23</v>
      </c>
      <c r="G81" s="491"/>
      <c r="H81" s="351">
        <v>16</v>
      </c>
      <c r="I81" s="1018" t="s">
        <v>39</v>
      </c>
      <c r="J81" s="1018"/>
      <c r="K81" s="1018"/>
      <c r="L81" s="1018"/>
      <c r="M81" s="351" t="s">
        <v>91</v>
      </c>
      <c r="N81" s="351"/>
      <c r="O81" s="405"/>
      <c r="P81" s="1020"/>
      <c r="Q81" s="1020"/>
      <c r="R81" s="1020"/>
    </row>
    <row r="82" spans="1:18" x14ac:dyDescent="0.25">
      <c r="A82" s="326">
        <v>42077</v>
      </c>
      <c r="B82" s="329">
        <v>17</v>
      </c>
      <c r="C82" s="1017"/>
      <c r="D82" s="1017"/>
      <c r="E82" s="327" t="s">
        <v>30</v>
      </c>
      <c r="F82" s="328">
        <v>25</v>
      </c>
      <c r="G82" s="491"/>
      <c r="H82" s="351">
        <v>13</v>
      </c>
      <c r="I82" s="1018" t="s">
        <v>35</v>
      </c>
      <c r="J82" s="1018"/>
      <c r="K82" s="1018"/>
      <c r="L82" s="1018"/>
      <c r="M82" s="351" t="s">
        <v>67</v>
      </c>
      <c r="N82" s="351"/>
      <c r="O82" s="405"/>
      <c r="P82" s="1020"/>
      <c r="Q82" s="1020"/>
      <c r="R82" s="1020"/>
    </row>
    <row r="83" spans="1:18" x14ac:dyDescent="0.25">
      <c r="A83" s="326">
        <v>42078</v>
      </c>
      <c r="B83" s="329">
        <v>15</v>
      </c>
      <c r="C83" s="1017"/>
      <c r="D83" s="1017"/>
      <c r="E83" s="327" t="s">
        <v>33</v>
      </c>
      <c r="F83" s="328">
        <v>0</v>
      </c>
      <c r="G83" s="491"/>
      <c r="H83" s="351">
        <v>29</v>
      </c>
      <c r="I83" s="1018" t="s">
        <v>34</v>
      </c>
      <c r="J83" s="1018"/>
      <c r="K83" s="1018"/>
      <c r="L83" s="1018"/>
      <c r="M83" s="351" t="s">
        <v>68</v>
      </c>
      <c r="N83" s="351"/>
      <c r="O83" s="405"/>
      <c r="P83" s="1020"/>
      <c r="Q83" s="1020"/>
      <c r="R83" s="1020"/>
    </row>
    <row r="84" spans="1:18" x14ac:dyDescent="0.25">
      <c r="A84" s="326">
        <v>42084</v>
      </c>
      <c r="B84" s="329">
        <v>12.3</v>
      </c>
      <c r="C84" s="1017"/>
      <c r="D84" s="1017"/>
      <c r="E84" s="327" t="s">
        <v>33</v>
      </c>
      <c r="F84" s="328">
        <v>20</v>
      </c>
      <c r="G84" s="491"/>
      <c r="H84" s="351">
        <v>61</v>
      </c>
      <c r="I84" s="1018" t="s">
        <v>32</v>
      </c>
      <c r="J84" s="1018"/>
      <c r="K84" s="1018"/>
      <c r="L84" s="1018"/>
      <c r="M84" s="351" t="s">
        <v>68</v>
      </c>
      <c r="N84" s="351"/>
      <c r="O84" s="405"/>
      <c r="P84" s="1020"/>
      <c r="Q84" s="1020"/>
      <c r="R84" s="1020"/>
    </row>
    <row r="85" spans="1:18" x14ac:dyDescent="0.25">
      <c r="A85" s="326">
        <v>42084</v>
      </c>
      <c r="B85" s="329">
        <v>14.3</v>
      </c>
      <c r="C85" s="1017"/>
      <c r="D85" s="1017"/>
      <c r="E85" s="327" t="s">
        <v>35</v>
      </c>
      <c r="F85" s="328">
        <v>10</v>
      </c>
      <c r="G85" s="491"/>
      <c r="H85" s="351">
        <v>40</v>
      </c>
      <c r="I85" s="1018" t="s">
        <v>39</v>
      </c>
      <c r="J85" s="1018"/>
      <c r="K85" s="1018"/>
      <c r="L85" s="1018"/>
      <c r="M85" s="351" t="s">
        <v>66</v>
      </c>
      <c r="N85" s="351"/>
      <c r="O85" s="405"/>
      <c r="P85" s="1020"/>
      <c r="Q85" s="1020"/>
      <c r="R85" s="1020"/>
    </row>
    <row r="86" spans="1:18" x14ac:dyDescent="0.25">
      <c r="A86" s="326">
        <v>42084</v>
      </c>
      <c r="B86" s="329">
        <v>17</v>
      </c>
      <c r="C86" s="1017"/>
      <c r="D86" s="1017"/>
      <c r="E86" s="327" t="s">
        <v>30</v>
      </c>
      <c r="F86" s="328">
        <v>55</v>
      </c>
      <c r="G86" s="491"/>
      <c r="H86" s="351">
        <v>35</v>
      </c>
      <c r="I86" s="1018" t="s">
        <v>34</v>
      </c>
      <c r="J86" s="1018"/>
      <c r="K86" s="1018"/>
      <c r="L86" s="1018"/>
      <c r="M86" s="351" t="s">
        <v>67</v>
      </c>
      <c r="N86" s="351"/>
      <c r="O86" s="405"/>
      <c r="P86" s="1020"/>
      <c r="Q86" s="1020"/>
      <c r="R86" s="1020"/>
    </row>
    <row r="87" spans="1:18" x14ac:dyDescent="0.25">
      <c r="A87" s="15" t="s">
        <v>28</v>
      </c>
    </row>
  </sheetData>
  <mergeCells count="230">
    <mergeCell ref="C31:E31"/>
    <mergeCell ref="I31:K31"/>
    <mergeCell ref="L31:N31"/>
    <mergeCell ref="C32:E32"/>
    <mergeCell ref="I32:K32"/>
    <mergeCell ref="L32:N32"/>
    <mergeCell ref="C33:E33"/>
    <mergeCell ref="I33:K33"/>
    <mergeCell ref="L33:N33"/>
    <mergeCell ref="C28:E28"/>
    <mergeCell ref="I28:K28"/>
    <mergeCell ref="L28:N28"/>
    <mergeCell ref="C29:E29"/>
    <mergeCell ref="I29:K29"/>
    <mergeCell ref="L29:N29"/>
    <mergeCell ref="C30:E30"/>
    <mergeCell ref="I30:K30"/>
    <mergeCell ref="L30:N30"/>
    <mergeCell ref="C25:E25"/>
    <mergeCell ref="I25:K25"/>
    <mergeCell ref="L25:N25"/>
    <mergeCell ref="C26:E26"/>
    <mergeCell ref="I26:K26"/>
    <mergeCell ref="L26:N26"/>
    <mergeCell ref="C27:E27"/>
    <mergeCell ref="I27:K27"/>
    <mergeCell ref="L27:N27"/>
    <mergeCell ref="C22:E22"/>
    <mergeCell ref="I22:K22"/>
    <mergeCell ref="L22:N22"/>
    <mergeCell ref="C23:E23"/>
    <mergeCell ref="I23:K23"/>
    <mergeCell ref="L23:N23"/>
    <mergeCell ref="C24:E24"/>
    <mergeCell ref="I24:K24"/>
    <mergeCell ref="L24:N24"/>
    <mergeCell ref="A18:B18"/>
    <mergeCell ref="C19:E19"/>
    <mergeCell ref="I19:K19"/>
    <mergeCell ref="L19:N19"/>
    <mergeCell ref="C20:E20"/>
    <mergeCell ref="I20:K20"/>
    <mergeCell ref="L20:N20"/>
    <mergeCell ref="C21:E21"/>
    <mergeCell ref="I21:K21"/>
    <mergeCell ref="L21:N21"/>
    <mergeCell ref="C51:E51"/>
    <mergeCell ref="I51:K51"/>
    <mergeCell ref="L51:N51"/>
    <mergeCell ref="C49:E49"/>
    <mergeCell ref="I49:K49"/>
    <mergeCell ref="L49:N49"/>
    <mergeCell ref="C50:E50"/>
    <mergeCell ref="I50:K50"/>
    <mergeCell ref="L50:N50"/>
    <mergeCell ref="C46:E46"/>
    <mergeCell ref="I46:K46"/>
    <mergeCell ref="L46:N46"/>
    <mergeCell ref="C47:E47"/>
    <mergeCell ref="I47:K47"/>
    <mergeCell ref="L47:N47"/>
    <mergeCell ref="C48:E48"/>
    <mergeCell ref="I48:K48"/>
    <mergeCell ref="L48:N48"/>
    <mergeCell ref="L42:N42"/>
    <mergeCell ref="C43:E43"/>
    <mergeCell ref="I43:K43"/>
    <mergeCell ref="L43:N43"/>
    <mergeCell ref="C44:E44"/>
    <mergeCell ref="I44:K44"/>
    <mergeCell ref="L44:N44"/>
    <mergeCell ref="C45:E45"/>
    <mergeCell ref="I45:K45"/>
    <mergeCell ref="L45:N45"/>
    <mergeCell ref="P70:Q70"/>
    <mergeCell ref="C72:D72"/>
    <mergeCell ref="I72:L72"/>
    <mergeCell ref="P72:R72"/>
    <mergeCell ref="A36:B36"/>
    <mergeCell ref="C37:E37"/>
    <mergeCell ref="I37:K37"/>
    <mergeCell ref="L37:N37"/>
    <mergeCell ref="C38:E38"/>
    <mergeCell ref="I38:K38"/>
    <mergeCell ref="L38:N38"/>
    <mergeCell ref="C39:E39"/>
    <mergeCell ref="I39:K39"/>
    <mergeCell ref="L39:N39"/>
    <mergeCell ref="C40:E40"/>
    <mergeCell ref="I40:K40"/>
    <mergeCell ref="L40:N40"/>
    <mergeCell ref="C41:E41"/>
    <mergeCell ref="I41:K41"/>
    <mergeCell ref="L41:N41"/>
    <mergeCell ref="C42:E42"/>
    <mergeCell ref="I42:K42"/>
    <mergeCell ref="A54:B54"/>
    <mergeCell ref="C61:E61"/>
    <mergeCell ref="P73:R73"/>
    <mergeCell ref="C74:D74"/>
    <mergeCell ref="I74:L74"/>
    <mergeCell ref="P74:R74"/>
    <mergeCell ref="C73:D73"/>
    <mergeCell ref="I73:L73"/>
    <mergeCell ref="P75:R75"/>
    <mergeCell ref="C76:D76"/>
    <mergeCell ref="I76:L76"/>
    <mergeCell ref="P76:R76"/>
    <mergeCell ref="C75:D75"/>
    <mergeCell ref="I75:L75"/>
    <mergeCell ref="P77:R77"/>
    <mergeCell ref="C78:D78"/>
    <mergeCell ref="I78:L78"/>
    <mergeCell ref="P78:R78"/>
    <mergeCell ref="C77:D77"/>
    <mergeCell ref="I77:L77"/>
    <mergeCell ref="P79:R79"/>
    <mergeCell ref="C80:D80"/>
    <mergeCell ref="I80:L80"/>
    <mergeCell ref="P80:R80"/>
    <mergeCell ref="C79:D79"/>
    <mergeCell ref="I79:L79"/>
    <mergeCell ref="P81:R81"/>
    <mergeCell ref="C82:D82"/>
    <mergeCell ref="I82:L82"/>
    <mergeCell ref="P82:R82"/>
    <mergeCell ref="C81:D81"/>
    <mergeCell ref="I81:L81"/>
    <mergeCell ref="P83:R83"/>
    <mergeCell ref="C84:D84"/>
    <mergeCell ref="I84:L84"/>
    <mergeCell ref="P84:R84"/>
    <mergeCell ref="C83:D83"/>
    <mergeCell ref="I83:L83"/>
    <mergeCell ref="P85:R85"/>
    <mergeCell ref="C86:D86"/>
    <mergeCell ref="I86:L86"/>
    <mergeCell ref="P86:R86"/>
    <mergeCell ref="C85:D85"/>
    <mergeCell ref="I85:L85"/>
    <mergeCell ref="C55:E55"/>
    <mergeCell ref="I55:K55"/>
    <mergeCell ref="L55:N55"/>
    <mergeCell ref="C56:E56"/>
    <mergeCell ref="I56:K56"/>
    <mergeCell ref="L56:N56"/>
    <mergeCell ref="C57:E57"/>
    <mergeCell ref="I57:K57"/>
    <mergeCell ref="L57:N57"/>
    <mergeCell ref="C58:E58"/>
    <mergeCell ref="I58:K58"/>
    <mergeCell ref="L58:N58"/>
    <mergeCell ref="C59:E59"/>
    <mergeCell ref="I59:K59"/>
    <mergeCell ref="L59:N59"/>
    <mergeCell ref="C60:E60"/>
    <mergeCell ref="I60:K60"/>
    <mergeCell ref="L60:N60"/>
    <mergeCell ref="I61:K61"/>
    <mergeCell ref="L61:N61"/>
    <mergeCell ref="C62:E62"/>
    <mergeCell ref="I62:K62"/>
    <mergeCell ref="L62:N62"/>
    <mergeCell ref="C63:E63"/>
    <mergeCell ref="I63:K63"/>
    <mergeCell ref="L63:N63"/>
    <mergeCell ref="C64:E64"/>
    <mergeCell ref="I64:K64"/>
    <mergeCell ref="L64:N64"/>
    <mergeCell ref="C65:E65"/>
    <mergeCell ref="I65:K65"/>
    <mergeCell ref="L65:N65"/>
    <mergeCell ref="C66:E66"/>
    <mergeCell ref="I66:K66"/>
    <mergeCell ref="L66:N66"/>
    <mergeCell ref="A71:B71"/>
    <mergeCell ref="C67:E67"/>
    <mergeCell ref="I67:K67"/>
    <mergeCell ref="L67:N67"/>
    <mergeCell ref="C68:E68"/>
    <mergeCell ref="I68:K68"/>
    <mergeCell ref="L68:N68"/>
    <mergeCell ref="C69:E69"/>
    <mergeCell ref="I69:K69"/>
    <mergeCell ref="L69:N69"/>
    <mergeCell ref="C2:E2"/>
    <mergeCell ref="I2:K2"/>
    <mergeCell ref="L2:N2"/>
    <mergeCell ref="C3:E3"/>
    <mergeCell ref="I3:K3"/>
    <mergeCell ref="L3:N3"/>
    <mergeCell ref="C4:E4"/>
    <mergeCell ref="I4:K4"/>
    <mergeCell ref="L4:N4"/>
    <mergeCell ref="C5:E5"/>
    <mergeCell ref="I5:K5"/>
    <mergeCell ref="L5:N5"/>
    <mergeCell ref="C6:E6"/>
    <mergeCell ref="I6:K6"/>
    <mergeCell ref="L6:N6"/>
    <mergeCell ref="C7:E7"/>
    <mergeCell ref="I7:K7"/>
    <mergeCell ref="L7:N7"/>
    <mergeCell ref="C8:E8"/>
    <mergeCell ref="I8:K8"/>
    <mergeCell ref="L8:N8"/>
    <mergeCell ref="C9:E9"/>
    <mergeCell ref="I9:K9"/>
    <mergeCell ref="L9:N9"/>
    <mergeCell ref="C10:E10"/>
    <mergeCell ref="I10:K10"/>
    <mergeCell ref="L10:N10"/>
    <mergeCell ref="C11:E11"/>
    <mergeCell ref="I11:K11"/>
    <mergeCell ref="L11:N11"/>
    <mergeCell ref="C12:E12"/>
    <mergeCell ref="I12:K12"/>
    <mergeCell ref="L12:N12"/>
    <mergeCell ref="C13:E13"/>
    <mergeCell ref="I13:K13"/>
    <mergeCell ref="L13:N13"/>
    <mergeCell ref="C14:E14"/>
    <mergeCell ref="I14:K14"/>
    <mergeCell ref="L14:N14"/>
    <mergeCell ref="C15:E15"/>
    <mergeCell ref="I15:K15"/>
    <mergeCell ref="L15:N15"/>
    <mergeCell ref="C16:E16"/>
    <mergeCell ref="I16:K16"/>
    <mergeCell ref="L16:N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5"/>
  <sheetViews>
    <sheetView workbookViewId="0">
      <selection activeCell="C22" sqref="C22"/>
    </sheetView>
  </sheetViews>
  <sheetFormatPr defaultRowHeight="14.3" x14ac:dyDescent="0.25"/>
  <cols>
    <col min="1" max="1" width="8.875" bestFit="1" customWidth="1"/>
    <col min="3" max="3" width="14.125" bestFit="1" customWidth="1"/>
    <col min="4" max="4" width="7.75" customWidth="1"/>
  </cols>
  <sheetData>
    <row r="1" spans="1:18" ht="14.95" thickBot="1" x14ac:dyDescent="0.3"/>
    <row r="2" spans="1:18" ht="14.95" customHeight="1" thickBot="1" x14ac:dyDescent="0.3">
      <c r="A2" s="202"/>
      <c r="B2" s="1028" t="s">
        <v>54</v>
      </c>
      <c r="C2" s="1029"/>
      <c r="D2" s="1015" t="s">
        <v>55</v>
      </c>
      <c r="E2" s="1016"/>
      <c r="F2" s="241" t="s">
        <v>56</v>
      </c>
      <c r="H2" s="1024" t="s">
        <v>58</v>
      </c>
      <c r="I2" s="1022" t="s">
        <v>92</v>
      </c>
      <c r="J2" s="1023"/>
      <c r="K2" s="1022" t="s">
        <v>93</v>
      </c>
      <c r="L2" s="1026"/>
      <c r="M2" s="1026"/>
      <c r="N2" s="1026"/>
      <c r="O2" s="1023"/>
      <c r="P2" s="353" t="s">
        <v>94</v>
      </c>
      <c r="Q2" s="1022" t="s">
        <v>95</v>
      </c>
      <c r="R2" s="1023"/>
    </row>
    <row r="3" spans="1:18" ht="14.95" customHeight="1" thickBot="1" x14ac:dyDescent="0.3">
      <c r="A3" s="59" t="s">
        <v>39</v>
      </c>
      <c r="B3" s="496">
        <f>Irelandyellow</f>
        <v>0</v>
      </c>
      <c r="C3" s="480"/>
      <c r="D3" s="242">
        <f>Irelandred</f>
        <v>0</v>
      </c>
      <c r="E3" s="243"/>
      <c r="F3" s="244">
        <f t="shared" ref="F3:F8" si="0">SUM(B3+D3*2)</f>
        <v>0</v>
      </c>
      <c r="H3" s="1025"/>
      <c r="I3" s="354" t="s">
        <v>4</v>
      </c>
      <c r="J3" s="354" t="s">
        <v>5</v>
      </c>
      <c r="K3" s="355" t="s">
        <v>96</v>
      </c>
      <c r="L3" s="356" t="s">
        <v>97</v>
      </c>
      <c r="M3" s="356" t="s">
        <v>98</v>
      </c>
      <c r="N3" s="357" t="s">
        <v>99</v>
      </c>
      <c r="O3" s="358" t="s">
        <v>100</v>
      </c>
      <c r="P3" s="359" t="s">
        <v>101</v>
      </c>
      <c r="Q3" s="355" t="s">
        <v>4</v>
      </c>
      <c r="R3" s="358" t="s">
        <v>5</v>
      </c>
    </row>
    <row r="4" spans="1:18" ht="14.95" customHeight="1" thickBot="1" x14ac:dyDescent="0.3">
      <c r="A4" s="403" t="s">
        <v>33</v>
      </c>
      <c r="B4" s="245">
        <f>Italyyellow</f>
        <v>0</v>
      </c>
      <c r="C4" s="248"/>
      <c r="D4" s="242">
        <f>Italyred</f>
        <v>0</v>
      </c>
      <c r="E4" s="243"/>
      <c r="F4" s="244">
        <f t="shared" si="0"/>
        <v>0</v>
      </c>
      <c r="H4" s="391" t="s">
        <v>30</v>
      </c>
      <c r="I4" s="360">
        <v>0</v>
      </c>
      <c r="J4" s="360">
        <v>0</v>
      </c>
      <c r="K4" s="360">
        <v>10</v>
      </c>
      <c r="L4" s="360">
        <v>0</v>
      </c>
      <c r="M4" s="360">
        <v>0</v>
      </c>
      <c r="N4" s="360">
        <v>0</v>
      </c>
      <c r="O4" s="361">
        <f t="shared" ref="O4:O9" si="1">SUM(K4:N4)</f>
        <v>10</v>
      </c>
      <c r="P4" s="360">
        <v>0</v>
      </c>
      <c r="Q4" s="385">
        <f t="shared" ref="Q4" si="2">SUM(I4/O4)*10</f>
        <v>0</v>
      </c>
      <c r="R4" s="386">
        <f t="shared" ref="R4" si="3">SUM(J4/O4)*10</f>
        <v>0</v>
      </c>
    </row>
    <row r="5" spans="1:18" ht="14.95" customHeight="1" thickBot="1" x14ac:dyDescent="0.3">
      <c r="A5" s="9" t="s">
        <v>32</v>
      </c>
      <c r="B5" s="246">
        <f>Walesyellow</f>
        <v>0</v>
      </c>
      <c r="C5" s="547"/>
      <c r="D5" s="242">
        <f>Walesred</f>
        <v>0</v>
      </c>
      <c r="E5" s="243"/>
      <c r="F5" s="244">
        <f t="shared" si="0"/>
        <v>0</v>
      </c>
      <c r="H5" s="337" t="s">
        <v>34</v>
      </c>
      <c r="I5" s="360">
        <v>12</v>
      </c>
      <c r="J5" s="360">
        <v>7</v>
      </c>
      <c r="K5" s="360">
        <v>39</v>
      </c>
      <c r="L5" s="360">
        <v>0</v>
      </c>
      <c r="M5" s="360">
        <v>0</v>
      </c>
      <c r="N5" s="360">
        <v>0</v>
      </c>
      <c r="O5" s="361">
        <f t="shared" si="1"/>
        <v>39</v>
      </c>
      <c r="P5" s="360">
        <v>0</v>
      </c>
      <c r="Q5" s="385">
        <f t="shared" ref="Q5" si="4">SUM(I5/O5)*10</f>
        <v>3.0769230769230771</v>
      </c>
      <c r="R5" s="386">
        <f t="shared" ref="R5" si="5">SUM(J5/O5)*10</f>
        <v>1.7948717948717949</v>
      </c>
    </row>
    <row r="6" spans="1:18" ht="14.95" customHeight="1" thickBot="1" x14ac:dyDescent="0.3">
      <c r="A6" s="402" t="s">
        <v>30</v>
      </c>
      <c r="B6" s="246">
        <f>Englandyellow</f>
        <v>1</v>
      </c>
      <c r="C6" s="247" t="s">
        <v>198</v>
      </c>
      <c r="D6" s="242">
        <f>Englandred</f>
        <v>0</v>
      </c>
      <c r="E6" s="243"/>
      <c r="F6" s="244">
        <f t="shared" si="0"/>
        <v>1</v>
      </c>
      <c r="H6" s="58" t="s">
        <v>39</v>
      </c>
      <c r="I6" s="360">
        <v>0</v>
      </c>
      <c r="J6" s="360">
        <v>0</v>
      </c>
      <c r="K6" s="360">
        <v>0</v>
      </c>
      <c r="L6" s="360">
        <v>0</v>
      </c>
      <c r="M6" s="360">
        <v>0</v>
      </c>
      <c r="N6" s="360">
        <v>0</v>
      </c>
      <c r="O6" s="361">
        <f t="shared" si="1"/>
        <v>0</v>
      </c>
      <c r="P6" s="360">
        <v>0</v>
      </c>
      <c r="Q6" s="385">
        <v>0</v>
      </c>
      <c r="R6" s="386">
        <v>0</v>
      </c>
    </row>
    <row r="7" spans="1:18" ht="14.95" customHeight="1" thickBot="1" x14ac:dyDescent="0.3">
      <c r="A7" s="124" t="s">
        <v>35</v>
      </c>
      <c r="B7" s="246">
        <f>Scotlandyellow</f>
        <v>1</v>
      </c>
      <c r="C7" s="247" t="s">
        <v>184</v>
      </c>
      <c r="D7" s="242">
        <f>Scotlandred</f>
        <v>0</v>
      </c>
      <c r="E7" s="243"/>
      <c r="F7" s="244">
        <f t="shared" si="0"/>
        <v>1</v>
      </c>
      <c r="H7" s="388" t="s">
        <v>33</v>
      </c>
      <c r="I7" s="360">
        <v>0</v>
      </c>
      <c r="J7" s="360">
        <v>0</v>
      </c>
      <c r="K7" s="360">
        <v>0</v>
      </c>
      <c r="L7" s="360">
        <v>0</v>
      </c>
      <c r="M7" s="360">
        <v>0</v>
      </c>
      <c r="N7" s="360">
        <v>0</v>
      </c>
      <c r="O7" s="361">
        <f t="shared" si="1"/>
        <v>0</v>
      </c>
      <c r="P7" s="360">
        <v>0</v>
      </c>
      <c r="Q7" s="385">
        <v>0</v>
      </c>
      <c r="R7" s="386">
        <v>0</v>
      </c>
    </row>
    <row r="8" spans="1:18" ht="14.95" customHeight="1" thickBot="1" x14ac:dyDescent="0.3">
      <c r="A8" s="338" t="s">
        <v>34</v>
      </c>
      <c r="B8" s="245">
        <f>FRanceyellow</f>
        <v>4</v>
      </c>
      <c r="C8" s="535" t="s">
        <v>297</v>
      </c>
      <c r="D8" s="242">
        <f>Francered</f>
        <v>0</v>
      </c>
      <c r="E8" s="243"/>
      <c r="F8" s="244">
        <f t="shared" si="0"/>
        <v>4</v>
      </c>
      <c r="H8" s="123" t="s">
        <v>35</v>
      </c>
      <c r="I8" s="360">
        <v>0</v>
      </c>
      <c r="J8" s="360">
        <v>17</v>
      </c>
      <c r="K8" s="360">
        <v>10</v>
      </c>
      <c r="L8" s="360">
        <v>0</v>
      </c>
      <c r="M8" s="360">
        <v>0</v>
      </c>
      <c r="N8" s="360">
        <v>0</v>
      </c>
      <c r="O8" s="361">
        <f t="shared" si="1"/>
        <v>10</v>
      </c>
      <c r="P8" s="360">
        <v>0</v>
      </c>
      <c r="Q8" s="385">
        <f t="shared" ref="Q8" si="6">SUM(I8/O8)*10</f>
        <v>0</v>
      </c>
      <c r="R8" s="386">
        <f t="shared" ref="R8" si="7">SUM(J8/O8)*10</f>
        <v>17</v>
      </c>
    </row>
    <row r="9" spans="1:18" ht="14.95" customHeight="1" thickBot="1" x14ac:dyDescent="0.3">
      <c r="A9" s="404" t="s">
        <v>57</v>
      </c>
      <c r="B9" s="245">
        <f>SUM(B3:B8)</f>
        <v>6</v>
      </c>
      <c r="C9" s="248"/>
      <c r="D9" s="249">
        <f>SUM(D3:D8)</f>
        <v>0</v>
      </c>
      <c r="E9" s="250"/>
      <c r="F9" s="241" t="s">
        <v>58</v>
      </c>
      <c r="H9" s="8" t="s">
        <v>32</v>
      </c>
      <c r="I9" s="360">
        <v>0</v>
      </c>
      <c r="J9" s="360">
        <v>0</v>
      </c>
      <c r="K9" s="360">
        <v>0</v>
      </c>
      <c r="L9" s="360">
        <v>0</v>
      </c>
      <c r="M9" s="360">
        <v>0</v>
      </c>
      <c r="N9" s="360">
        <v>0</v>
      </c>
      <c r="O9" s="361">
        <f t="shared" si="1"/>
        <v>0</v>
      </c>
      <c r="P9" s="360">
        <v>0</v>
      </c>
      <c r="Q9" s="385">
        <v>0</v>
      </c>
      <c r="R9" s="386">
        <v>0</v>
      </c>
    </row>
    <row r="10" spans="1:18" ht="14.95" thickBot="1" x14ac:dyDescent="0.3">
      <c r="D10" s="251"/>
      <c r="E10" s="252"/>
      <c r="H10" s="369" t="s">
        <v>57</v>
      </c>
      <c r="I10" s="364">
        <f>SUM(I4:I9)</f>
        <v>12</v>
      </c>
      <c r="J10" s="364">
        <f>SUM(J4:J9)</f>
        <v>24</v>
      </c>
      <c r="K10" s="364">
        <f t="shared" ref="K10:P10" si="8">SUM(K4:K9)</f>
        <v>59</v>
      </c>
      <c r="L10" s="364">
        <f t="shared" si="8"/>
        <v>0</v>
      </c>
      <c r="M10" s="364">
        <f t="shared" si="8"/>
        <v>0</v>
      </c>
      <c r="N10" s="364">
        <f t="shared" si="8"/>
        <v>0</v>
      </c>
      <c r="O10" s="364">
        <f t="shared" si="8"/>
        <v>59</v>
      </c>
      <c r="P10" s="364">
        <f t="shared" si="8"/>
        <v>0</v>
      </c>
      <c r="Q10" s="367">
        <f t="shared" ref="Q10" si="9">SUM(I10/O10)*10</f>
        <v>2.0338983050847457</v>
      </c>
      <c r="R10" s="368">
        <f t="shared" ref="R10" si="10">SUM(J10/O10)*10</f>
        <v>4.0677966101694913</v>
      </c>
    </row>
    <row r="11" spans="1:18" x14ac:dyDescent="0.25">
      <c r="A11" s="253" t="s">
        <v>59</v>
      </c>
      <c r="B11" s="253"/>
    </row>
    <row r="12" spans="1:18" x14ac:dyDescent="0.25">
      <c r="A12" s="1027" t="s">
        <v>298</v>
      </c>
      <c r="B12" s="1027"/>
      <c r="C12" s="988"/>
      <c r="D12" s="988"/>
      <c r="I12" s="253" t="s">
        <v>102</v>
      </c>
    </row>
    <row r="13" spans="1:18" ht="14.95" thickBot="1" x14ac:dyDescent="0.3">
      <c r="A13" s="15" t="s">
        <v>28</v>
      </c>
      <c r="B13" s="15"/>
      <c r="E13" t="s">
        <v>58</v>
      </c>
      <c r="I13" s="253"/>
    </row>
    <row r="14" spans="1:18" ht="14.95" thickBot="1" x14ac:dyDescent="0.3">
      <c r="I14" s="1024" t="s">
        <v>58</v>
      </c>
      <c r="J14" s="1022" t="s">
        <v>92</v>
      </c>
      <c r="K14" s="1023"/>
      <c r="L14" s="1022" t="s">
        <v>58</v>
      </c>
      <c r="M14" s="1026"/>
      <c r="N14" s="1026"/>
      <c r="O14" s="1026"/>
      <c r="P14" s="1023"/>
      <c r="Q14" s="1022" t="s">
        <v>95</v>
      </c>
      <c r="R14" s="1023"/>
    </row>
    <row r="15" spans="1:18" ht="14.95" thickBot="1" x14ac:dyDescent="0.3">
      <c r="I15" s="1025"/>
      <c r="J15" s="354" t="s">
        <v>4</v>
      </c>
      <c r="K15" s="354" t="s">
        <v>5</v>
      </c>
      <c r="L15" s="355" t="s">
        <v>103</v>
      </c>
      <c r="M15" s="356" t="s">
        <v>104</v>
      </c>
      <c r="N15" s="356"/>
      <c r="O15" s="357"/>
      <c r="P15" s="358" t="s">
        <v>100</v>
      </c>
      <c r="Q15" s="355" t="s">
        <v>4</v>
      </c>
      <c r="R15" s="358" t="s">
        <v>5</v>
      </c>
    </row>
    <row r="16" spans="1:18" ht="14.95" thickBot="1" x14ac:dyDescent="0.3">
      <c r="I16" s="391" t="s">
        <v>30</v>
      </c>
      <c r="J16" s="360">
        <v>7</v>
      </c>
      <c r="K16" s="360">
        <v>0</v>
      </c>
      <c r="L16" s="360">
        <v>10</v>
      </c>
      <c r="M16" s="360">
        <v>0</v>
      </c>
      <c r="N16" s="360">
        <v>0</v>
      </c>
      <c r="O16" s="360">
        <v>0</v>
      </c>
      <c r="P16" s="361">
        <f t="shared" ref="P16:P21" si="11">SUM(L16:O16)</f>
        <v>10</v>
      </c>
      <c r="Q16" s="362">
        <f t="shared" ref="Q16" si="12">SUM(J16/P16)*10</f>
        <v>7</v>
      </c>
      <c r="R16" s="363">
        <f t="shared" ref="R16" si="13">SUM(K16/P16)*10</f>
        <v>0</v>
      </c>
    </row>
    <row r="17" spans="9:18" ht="14.95" thickBot="1" x14ac:dyDescent="0.3">
      <c r="I17" s="337" t="s">
        <v>34</v>
      </c>
      <c r="J17" s="360">
        <v>0</v>
      </c>
      <c r="K17" s="360">
        <v>0</v>
      </c>
      <c r="L17" s="360">
        <v>0</v>
      </c>
      <c r="M17" s="360">
        <v>0</v>
      </c>
      <c r="N17" s="360">
        <v>0</v>
      </c>
      <c r="O17" s="360">
        <v>0</v>
      </c>
      <c r="P17" s="361">
        <f t="shared" si="11"/>
        <v>0</v>
      </c>
      <c r="Q17" s="362">
        <v>0</v>
      </c>
      <c r="R17" s="363">
        <v>0</v>
      </c>
    </row>
    <row r="18" spans="9:18" ht="14.95" thickBot="1" x14ac:dyDescent="0.3">
      <c r="I18" s="58" t="s">
        <v>39</v>
      </c>
      <c r="J18" s="360">
        <v>0</v>
      </c>
      <c r="K18" s="360">
        <v>7</v>
      </c>
      <c r="L18" s="360">
        <v>20</v>
      </c>
      <c r="M18" s="360">
        <v>0</v>
      </c>
      <c r="N18" s="360">
        <v>0</v>
      </c>
      <c r="O18" s="360">
        <v>0</v>
      </c>
      <c r="P18" s="361">
        <f t="shared" si="11"/>
        <v>20</v>
      </c>
      <c r="Q18" s="362">
        <f t="shared" ref="Q18" si="14">SUM(J18/P18)*10</f>
        <v>0</v>
      </c>
      <c r="R18" s="363">
        <f t="shared" ref="R18" si="15">SUM(K18/P18)*10</f>
        <v>3.5</v>
      </c>
    </row>
    <row r="19" spans="9:18" ht="14.95" thickBot="1" x14ac:dyDescent="0.3">
      <c r="I19" s="388" t="s">
        <v>33</v>
      </c>
      <c r="J19" s="360">
        <v>17</v>
      </c>
      <c r="K19" s="360">
        <v>5</v>
      </c>
      <c r="L19" s="360">
        <v>19</v>
      </c>
      <c r="M19" s="360">
        <v>0</v>
      </c>
      <c r="N19" s="360">
        <v>0</v>
      </c>
      <c r="O19" s="360">
        <v>0</v>
      </c>
      <c r="P19" s="361">
        <f t="shared" si="11"/>
        <v>19</v>
      </c>
      <c r="Q19" s="362">
        <f t="shared" ref="Q19" si="16">SUM(J19/P19)*10</f>
        <v>8.9473684210526319</v>
      </c>
      <c r="R19" s="363">
        <f t="shared" ref="R19" si="17">SUM(K19/P19)*10</f>
        <v>2.6315789473684208</v>
      </c>
    </row>
    <row r="20" spans="9:18" ht="14.95" thickBot="1" x14ac:dyDescent="0.3">
      <c r="I20" s="123" t="s">
        <v>35</v>
      </c>
      <c r="J20" s="360">
        <v>0</v>
      </c>
      <c r="K20" s="360">
        <v>0</v>
      </c>
      <c r="L20" s="360">
        <v>10</v>
      </c>
      <c r="M20" s="360">
        <v>0</v>
      </c>
      <c r="N20" s="360">
        <v>0</v>
      </c>
      <c r="O20" s="360">
        <v>0</v>
      </c>
      <c r="P20" s="361">
        <f t="shared" si="11"/>
        <v>10</v>
      </c>
      <c r="Q20" s="362">
        <f t="shared" ref="Q20" si="18">SUM(J20/P20)*10</f>
        <v>0</v>
      </c>
      <c r="R20" s="363">
        <f t="shared" ref="R20" si="19">SUM(K20/P20)*10</f>
        <v>0</v>
      </c>
    </row>
    <row r="21" spans="9:18" ht="14.95" thickBot="1" x14ac:dyDescent="0.3">
      <c r="I21" s="8" t="s">
        <v>32</v>
      </c>
      <c r="J21" s="360">
        <v>0</v>
      </c>
      <c r="K21" s="360">
        <v>0</v>
      </c>
      <c r="L21" s="360">
        <v>0</v>
      </c>
      <c r="M21" s="360">
        <v>0</v>
      </c>
      <c r="N21" s="360">
        <v>0</v>
      </c>
      <c r="O21" s="360">
        <v>0</v>
      </c>
      <c r="P21" s="361">
        <f t="shared" si="11"/>
        <v>0</v>
      </c>
      <c r="Q21" s="362">
        <v>0</v>
      </c>
      <c r="R21" s="363">
        <v>0</v>
      </c>
    </row>
    <row r="22" spans="9:18" ht="14.95" thickBot="1" x14ac:dyDescent="0.3">
      <c r="I22" s="369" t="s">
        <v>57</v>
      </c>
      <c r="J22" s="364">
        <f t="shared" ref="J22:P22" si="20">SUM(J16:J21)</f>
        <v>24</v>
      </c>
      <c r="K22" s="365">
        <f t="shared" si="20"/>
        <v>12</v>
      </c>
      <c r="L22" s="364">
        <f t="shared" si="20"/>
        <v>59</v>
      </c>
      <c r="M22" s="366">
        <f t="shared" si="20"/>
        <v>0</v>
      </c>
      <c r="N22" s="366">
        <f t="shared" si="20"/>
        <v>0</v>
      </c>
      <c r="O22" s="366">
        <f t="shared" si="20"/>
        <v>0</v>
      </c>
      <c r="P22" s="365">
        <f t="shared" si="20"/>
        <v>59</v>
      </c>
      <c r="Q22" s="367">
        <f t="shared" ref="Q22" si="21">SUM(J22/P22)*10</f>
        <v>4.0677966101694913</v>
      </c>
      <c r="R22" s="368">
        <f t="shared" ref="R22" si="22">SUM(K22/P22)*10</f>
        <v>2.0338983050847457</v>
      </c>
    </row>
    <row r="23" spans="9:18" x14ac:dyDescent="0.25">
      <c r="I23" t="s">
        <v>58</v>
      </c>
    </row>
    <row r="24" spans="9:18" x14ac:dyDescent="0.25">
      <c r="I24" s="253" t="s">
        <v>221</v>
      </c>
      <c r="J24" s="253"/>
      <c r="K24" s="253"/>
      <c r="L24" s="253"/>
    </row>
    <row r="25" spans="9:18" x14ac:dyDescent="0.25">
      <c r="I25" t="s">
        <v>222</v>
      </c>
    </row>
  </sheetData>
  <sortState xmlns:xlrd2="http://schemas.microsoft.com/office/spreadsheetml/2017/richdata2" ref="A3:F8">
    <sortCondition ref="F3:F8"/>
    <sortCondition ref="A3:A8"/>
  </sortState>
  <mergeCells count="11">
    <mergeCell ref="D2:E2"/>
    <mergeCell ref="A12:D12"/>
    <mergeCell ref="H2:H3"/>
    <mergeCell ref="I2:J2"/>
    <mergeCell ref="K2:O2"/>
    <mergeCell ref="B2:C2"/>
    <mergeCell ref="Q2:R2"/>
    <mergeCell ref="I14:I15"/>
    <mergeCell ref="J14:K14"/>
    <mergeCell ref="L14:P14"/>
    <mergeCell ref="Q14:R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27"/>
  <sheetViews>
    <sheetView zoomScaleNormal="100" workbookViewId="0">
      <pane ySplit="2" topLeftCell="A3" activePane="bottomLeft" state="frozen"/>
      <selection pane="bottomLeft" activeCell="U18" sqref="U18"/>
    </sheetView>
  </sheetViews>
  <sheetFormatPr defaultRowHeight="14.3" x14ac:dyDescent="0.25"/>
  <cols>
    <col min="1" max="1" width="7.5" customWidth="1"/>
    <col min="2" max="2" width="5.5" customWidth="1"/>
    <col min="3" max="3" width="11.5" customWidth="1"/>
    <col min="4" max="4" width="4.875" bestFit="1" customWidth="1"/>
    <col min="5" max="18" width="3.75" customWidth="1"/>
    <col min="19" max="20" width="6.25" customWidth="1"/>
    <col min="21" max="21" width="30.5" bestFit="1" customWidth="1"/>
    <col min="22" max="22" width="20.125" bestFit="1" customWidth="1"/>
    <col min="23" max="23" width="20.25" bestFit="1" customWidth="1"/>
    <col min="24" max="24" width="30.5" customWidth="1"/>
    <col min="25" max="40" width="3.7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1054" t="s">
        <v>152</v>
      </c>
      <c r="B1" s="1055"/>
      <c r="C1" s="1055"/>
      <c r="D1" s="220"/>
      <c r="E1" s="1051" t="s">
        <v>24</v>
      </c>
      <c r="F1" s="1053"/>
      <c r="G1" s="1052"/>
      <c r="H1" s="1051" t="s">
        <v>23</v>
      </c>
      <c r="I1" s="1052"/>
      <c r="J1" s="1048" t="s">
        <v>6</v>
      </c>
      <c r="K1" s="1050"/>
      <c r="L1" s="1050"/>
      <c r="M1" s="1049"/>
      <c r="N1" s="1048" t="s">
        <v>7</v>
      </c>
      <c r="O1" s="1049"/>
      <c r="P1" s="1048" t="s">
        <v>25</v>
      </c>
      <c r="Q1" s="1050"/>
      <c r="R1" s="1049"/>
      <c r="S1" s="872" t="s">
        <v>8</v>
      </c>
      <c r="T1" s="872" t="s">
        <v>9</v>
      </c>
      <c r="U1" s="81" t="s">
        <v>10</v>
      </c>
      <c r="V1" s="80" t="s">
        <v>11</v>
      </c>
      <c r="W1" s="82" t="s">
        <v>26</v>
      </c>
      <c r="X1" s="172" t="s">
        <v>27</v>
      </c>
      <c r="Y1" s="1043" t="s">
        <v>20</v>
      </c>
      <c r="Z1" s="1044"/>
      <c r="AA1" s="1044"/>
      <c r="AB1" s="1045"/>
      <c r="AC1" s="1043" t="s">
        <v>61</v>
      </c>
      <c r="AD1" s="1044"/>
      <c r="AE1" s="1044"/>
      <c r="AF1" s="1045"/>
      <c r="AG1" s="1043" t="s">
        <v>62</v>
      </c>
      <c r="AH1" s="1044"/>
      <c r="AI1" s="1044"/>
      <c r="AJ1" s="1045"/>
      <c r="AK1" s="1046" t="s">
        <v>63</v>
      </c>
      <c r="AL1" s="1047"/>
      <c r="AM1" s="1047"/>
      <c r="AN1" s="1047"/>
      <c r="AP1" s="853" t="s">
        <v>637</v>
      </c>
      <c r="AQ1" s="14"/>
      <c r="AS1" s="853" t="s">
        <v>637</v>
      </c>
    </row>
    <row r="2" spans="1:46" ht="14.95" customHeight="1" thickBot="1" x14ac:dyDescent="0.3">
      <c r="A2" s="83" t="s">
        <v>19</v>
      </c>
      <c r="B2" s="84" t="s">
        <v>18</v>
      </c>
      <c r="C2" s="85" t="s">
        <v>17</v>
      </c>
      <c r="D2" s="86" t="s">
        <v>41</v>
      </c>
      <c r="E2" s="86" t="s">
        <v>16</v>
      </c>
      <c r="F2" s="86" t="s">
        <v>4</v>
      </c>
      <c r="G2" s="86" t="s">
        <v>5</v>
      </c>
      <c r="H2" s="87" t="s">
        <v>12</v>
      </c>
      <c r="I2" s="87" t="s">
        <v>3</v>
      </c>
      <c r="J2" s="87" t="s">
        <v>12</v>
      </c>
      <c r="K2" s="87" t="s">
        <v>13</v>
      </c>
      <c r="L2" s="87" t="s">
        <v>2</v>
      </c>
      <c r="M2" s="87" t="s">
        <v>14</v>
      </c>
      <c r="N2" s="87" t="s">
        <v>15</v>
      </c>
      <c r="O2" s="87" t="s">
        <v>16</v>
      </c>
      <c r="P2" s="87" t="s">
        <v>21</v>
      </c>
      <c r="Q2" s="87" t="s">
        <v>22</v>
      </c>
      <c r="R2" s="87" t="s">
        <v>12</v>
      </c>
      <c r="S2" s="88"/>
      <c r="T2" s="221"/>
      <c r="U2" s="89"/>
      <c r="V2" s="88"/>
      <c r="W2" s="90"/>
      <c r="X2" s="91"/>
      <c r="Y2" s="499" t="s">
        <v>0</v>
      </c>
      <c r="Z2" s="499" t="s">
        <v>1</v>
      </c>
      <c r="AA2" s="499" t="s">
        <v>2</v>
      </c>
      <c r="AB2" s="499" t="s">
        <v>3</v>
      </c>
      <c r="AC2" s="499" t="s">
        <v>0</v>
      </c>
      <c r="AD2" s="499" t="s">
        <v>1</v>
      </c>
      <c r="AE2" s="499" t="s">
        <v>2</v>
      </c>
      <c r="AF2" s="499" t="s">
        <v>3</v>
      </c>
      <c r="AG2" s="499" t="s">
        <v>0</v>
      </c>
      <c r="AH2" s="499" t="s">
        <v>1</v>
      </c>
      <c r="AI2" s="499" t="s">
        <v>2</v>
      </c>
      <c r="AJ2" s="499" t="s">
        <v>3</v>
      </c>
      <c r="AK2" s="499" t="s">
        <v>0</v>
      </c>
      <c r="AL2" s="499" t="s">
        <v>1</v>
      </c>
      <c r="AM2" s="499" t="s">
        <v>2</v>
      </c>
      <c r="AN2" s="499" t="s">
        <v>3</v>
      </c>
      <c r="AP2" s="592" t="s">
        <v>112</v>
      </c>
      <c r="AQ2" s="253"/>
      <c r="AS2" s="672" t="s">
        <v>610</v>
      </c>
      <c r="AT2" s="253"/>
    </row>
    <row r="3" spans="1:46" ht="14.95" customHeight="1" thickBot="1" x14ac:dyDescent="0.3">
      <c r="A3" s="195">
        <v>43666</v>
      </c>
      <c r="B3" s="196" t="s">
        <v>109</v>
      </c>
      <c r="C3" s="196" t="s">
        <v>126</v>
      </c>
      <c r="D3" s="196" t="s">
        <v>411</v>
      </c>
      <c r="E3" s="197" t="s">
        <v>3</v>
      </c>
      <c r="F3" s="197">
        <v>16</v>
      </c>
      <c r="G3" s="197">
        <v>20</v>
      </c>
      <c r="H3" s="197">
        <v>0</v>
      </c>
      <c r="I3" s="197">
        <v>1</v>
      </c>
      <c r="J3" s="197">
        <v>1</v>
      </c>
      <c r="K3" s="197">
        <v>1</v>
      </c>
      <c r="L3" s="197">
        <v>0</v>
      </c>
      <c r="M3" s="197">
        <v>3</v>
      </c>
      <c r="N3" s="197">
        <v>0</v>
      </c>
      <c r="O3" s="197">
        <v>0</v>
      </c>
      <c r="P3" s="197">
        <v>0</v>
      </c>
      <c r="Q3" s="197">
        <v>0</v>
      </c>
      <c r="R3" s="197">
        <v>2</v>
      </c>
      <c r="S3" s="209">
        <v>35000</v>
      </c>
      <c r="T3" s="222" t="s">
        <v>720</v>
      </c>
      <c r="U3" s="210" t="s">
        <v>278</v>
      </c>
      <c r="V3" s="209" t="s">
        <v>232</v>
      </c>
      <c r="W3" s="198" t="s">
        <v>129</v>
      </c>
      <c r="X3" s="211" t="s">
        <v>212</v>
      </c>
      <c r="Y3" s="212">
        <v>1</v>
      </c>
      <c r="Z3" s="212">
        <v>0</v>
      </c>
      <c r="AA3" s="212">
        <v>0</v>
      </c>
      <c r="AB3" s="213">
        <v>1</v>
      </c>
      <c r="AC3" s="212">
        <v>1</v>
      </c>
      <c r="AD3" s="212">
        <v>0</v>
      </c>
      <c r="AE3" s="212">
        <v>0</v>
      </c>
      <c r="AF3" s="213">
        <v>1</v>
      </c>
      <c r="AG3" s="212">
        <v>0</v>
      </c>
      <c r="AH3" s="212">
        <v>0</v>
      </c>
      <c r="AI3" s="212">
        <v>0</v>
      </c>
      <c r="AJ3" s="213">
        <v>0</v>
      </c>
      <c r="AK3" s="212">
        <v>0</v>
      </c>
      <c r="AL3" s="212">
        <v>0</v>
      </c>
      <c r="AM3" s="212">
        <v>0</v>
      </c>
      <c r="AN3" s="213">
        <v>0</v>
      </c>
      <c r="AP3" s="849" t="s">
        <v>627</v>
      </c>
      <c r="AQ3" s="850">
        <f>Argentinaalltestsplayed</f>
        <v>449</v>
      </c>
      <c r="AS3" s="849" t="s">
        <v>627</v>
      </c>
      <c r="AT3" s="850">
        <f>ArgentinaWChistplayed</f>
        <v>41</v>
      </c>
    </row>
    <row r="4" spans="1:46" ht="14.95" customHeight="1" thickBot="1" x14ac:dyDescent="0.3">
      <c r="A4" s="187">
        <v>43673</v>
      </c>
      <c r="B4" s="178" t="s">
        <v>109</v>
      </c>
      <c r="C4" s="178" t="s">
        <v>29</v>
      </c>
      <c r="D4" s="178" t="s">
        <v>585</v>
      </c>
      <c r="E4" s="179" t="s">
        <v>3</v>
      </c>
      <c r="F4" s="179">
        <v>10</v>
      </c>
      <c r="G4" s="179">
        <v>16</v>
      </c>
      <c r="H4" s="179">
        <v>0</v>
      </c>
      <c r="I4" s="179">
        <v>1</v>
      </c>
      <c r="J4" s="179">
        <v>1</v>
      </c>
      <c r="K4" s="179">
        <v>1</v>
      </c>
      <c r="L4" s="179">
        <v>0</v>
      </c>
      <c r="M4" s="179">
        <v>1</v>
      </c>
      <c r="N4" s="179">
        <v>0</v>
      </c>
      <c r="O4" s="179">
        <v>0</v>
      </c>
      <c r="P4" s="179">
        <v>0</v>
      </c>
      <c r="Q4" s="179">
        <v>0</v>
      </c>
      <c r="R4" s="179">
        <v>1</v>
      </c>
      <c r="S4" s="180">
        <v>31599</v>
      </c>
      <c r="T4" s="223" t="s">
        <v>228</v>
      </c>
      <c r="U4" s="181" t="s">
        <v>276</v>
      </c>
      <c r="V4" s="180" t="s">
        <v>277</v>
      </c>
      <c r="W4" s="182" t="s">
        <v>273</v>
      </c>
      <c r="X4" s="183" t="s">
        <v>146</v>
      </c>
      <c r="Y4" s="184">
        <v>1</v>
      </c>
      <c r="Z4" s="184">
        <v>0</v>
      </c>
      <c r="AA4" s="184">
        <v>0</v>
      </c>
      <c r="AB4" s="185">
        <v>1</v>
      </c>
      <c r="AC4" s="184">
        <v>0</v>
      </c>
      <c r="AD4" s="184">
        <v>0</v>
      </c>
      <c r="AE4" s="184">
        <v>0</v>
      </c>
      <c r="AF4" s="185">
        <v>0</v>
      </c>
      <c r="AG4" s="184">
        <v>1</v>
      </c>
      <c r="AH4" s="184">
        <v>0</v>
      </c>
      <c r="AI4" s="184">
        <v>0</v>
      </c>
      <c r="AJ4" s="185">
        <v>1</v>
      </c>
      <c r="AK4" s="184">
        <v>0</v>
      </c>
      <c r="AL4" s="184">
        <v>0</v>
      </c>
      <c r="AM4" s="184">
        <v>0</v>
      </c>
      <c r="AN4" s="185">
        <v>0</v>
      </c>
      <c r="AP4" s="851" t="s">
        <v>628</v>
      </c>
      <c r="AQ4" s="852">
        <f>Argentinaalltestswon</f>
        <v>229</v>
      </c>
      <c r="AS4" s="851" t="s">
        <v>628</v>
      </c>
      <c r="AT4" s="852">
        <f>ArgentinaWChistwon</f>
        <v>21</v>
      </c>
    </row>
    <row r="5" spans="1:46" ht="14.95" customHeight="1" thickBot="1" x14ac:dyDescent="0.3">
      <c r="A5" s="195">
        <v>43687</v>
      </c>
      <c r="B5" s="216" t="s">
        <v>109</v>
      </c>
      <c r="C5" s="196" t="s">
        <v>679</v>
      </c>
      <c r="D5" s="230" t="s">
        <v>594</v>
      </c>
      <c r="E5" s="197" t="s">
        <v>3</v>
      </c>
      <c r="F5" s="197">
        <v>13</v>
      </c>
      <c r="G5" s="197">
        <v>46</v>
      </c>
      <c r="H5" s="197">
        <v>0</v>
      </c>
      <c r="I5" s="197">
        <v>0</v>
      </c>
      <c r="J5" s="197">
        <v>1</v>
      </c>
      <c r="K5" s="197">
        <v>1</v>
      </c>
      <c r="L5" s="197">
        <v>0</v>
      </c>
      <c r="M5" s="197">
        <v>2</v>
      </c>
      <c r="N5" s="197">
        <v>0</v>
      </c>
      <c r="O5" s="197">
        <v>0</v>
      </c>
      <c r="P5" s="197">
        <v>1</v>
      </c>
      <c r="Q5" s="197">
        <v>0</v>
      </c>
      <c r="R5" s="197">
        <v>5</v>
      </c>
      <c r="S5" s="209">
        <v>22190</v>
      </c>
      <c r="T5" s="222" t="s">
        <v>765</v>
      </c>
      <c r="U5" s="210" t="s">
        <v>130</v>
      </c>
      <c r="V5" s="209" t="s">
        <v>131</v>
      </c>
      <c r="W5" s="198" t="s">
        <v>766</v>
      </c>
      <c r="X5" s="211" t="s">
        <v>233</v>
      </c>
      <c r="Y5" s="212">
        <v>1</v>
      </c>
      <c r="Z5" s="212">
        <v>0</v>
      </c>
      <c r="AA5" s="212">
        <v>0</v>
      </c>
      <c r="AB5" s="213">
        <v>1</v>
      </c>
      <c r="AC5" s="212">
        <v>1</v>
      </c>
      <c r="AD5" s="212">
        <v>0</v>
      </c>
      <c r="AE5" s="212">
        <v>0</v>
      </c>
      <c r="AF5" s="213">
        <v>1</v>
      </c>
      <c r="AG5" s="212">
        <v>0</v>
      </c>
      <c r="AH5" s="212">
        <v>0</v>
      </c>
      <c r="AI5" s="212">
        <v>0</v>
      </c>
      <c r="AJ5" s="213">
        <v>0</v>
      </c>
      <c r="AK5" s="212">
        <v>0</v>
      </c>
      <c r="AL5" s="212">
        <v>0</v>
      </c>
      <c r="AM5" s="212">
        <v>0</v>
      </c>
      <c r="AN5" s="213">
        <v>0</v>
      </c>
      <c r="AP5" s="851" t="s">
        <v>634</v>
      </c>
      <c r="AQ5" s="852">
        <f>Argentinaalltestsdrawn</f>
        <v>10</v>
      </c>
      <c r="AS5" s="851" t="s">
        <v>634</v>
      </c>
      <c r="AT5" s="852">
        <f>ArgentinaWChistdrawn</f>
        <v>0</v>
      </c>
    </row>
    <row r="6" spans="1:46" ht="14.95" customHeight="1" thickBot="1" x14ac:dyDescent="0.3">
      <c r="A6" s="187">
        <v>43694</v>
      </c>
      <c r="B6" s="178" t="s">
        <v>45</v>
      </c>
      <c r="C6" s="178" t="s">
        <v>679</v>
      </c>
      <c r="D6" s="192" t="s">
        <v>598</v>
      </c>
      <c r="E6" s="179" t="s">
        <v>3</v>
      </c>
      <c r="F6" s="179">
        <v>18</v>
      </c>
      <c r="G6" s="179">
        <v>24</v>
      </c>
      <c r="H6" s="179" t="s">
        <v>108</v>
      </c>
      <c r="I6" s="179" t="s">
        <v>108</v>
      </c>
      <c r="J6" s="179">
        <v>2</v>
      </c>
      <c r="K6" s="179">
        <v>1</v>
      </c>
      <c r="L6" s="179">
        <v>0</v>
      </c>
      <c r="M6" s="179">
        <v>2</v>
      </c>
      <c r="N6" s="179">
        <v>0</v>
      </c>
      <c r="O6" s="179">
        <v>0</v>
      </c>
      <c r="P6" s="179" t="s">
        <v>108</v>
      </c>
      <c r="Q6" s="179" t="s">
        <v>108</v>
      </c>
      <c r="R6" s="179">
        <v>2</v>
      </c>
      <c r="S6" s="182">
        <v>51762</v>
      </c>
      <c r="T6" s="432" t="s">
        <v>797</v>
      </c>
      <c r="U6" s="194" t="s">
        <v>133</v>
      </c>
      <c r="V6" s="182" t="s">
        <v>144</v>
      </c>
      <c r="W6" s="182" t="s">
        <v>129</v>
      </c>
      <c r="X6" s="200" t="s">
        <v>384</v>
      </c>
      <c r="Y6" s="184">
        <v>1</v>
      </c>
      <c r="Z6" s="184">
        <v>0</v>
      </c>
      <c r="AA6" s="184">
        <v>0</v>
      </c>
      <c r="AB6" s="185">
        <v>1</v>
      </c>
      <c r="AC6" s="184">
        <v>0</v>
      </c>
      <c r="AD6" s="184">
        <v>0</v>
      </c>
      <c r="AE6" s="184">
        <v>0</v>
      </c>
      <c r="AF6" s="185">
        <v>0</v>
      </c>
      <c r="AG6" s="184">
        <v>1</v>
      </c>
      <c r="AH6" s="184">
        <v>0</v>
      </c>
      <c r="AI6" s="184">
        <v>0</v>
      </c>
      <c r="AJ6" s="185">
        <v>1</v>
      </c>
      <c r="AK6" s="184">
        <v>0</v>
      </c>
      <c r="AL6" s="184">
        <v>0</v>
      </c>
      <c r="AM6" s="184">
        <v>0</v>
      </c>
      <c r="AN6" s="185">
        <v>0</v>
      </c>
      <c r="AP6" s="851" t="s">
        <v>629</v>
      </c>
      <c r="AQ6" s="852">
        <f>Argentinaalltestslost</f>
        <v>210</v>
      </c>
      <c r="AS6" s="851" t="s">
        <v>629</v>
      </c>
      <c r="AT6" s="852">
        <f>ArgentinaWChistlost</f>
        <v>20</v>
      </c>
    </row>
    <row r="7" spans="1:46" ht="14.95" customHeight="1" thickBot="1" x14ac:dyDescent="0.3">
      <c r="A7" s="188">
        <v>43729</v>
      </c>
      <c r="B7" s="483" t="s">
        <v>158</v>
      </c>
      <c r="C7" s="189" t="s">
        <v>34</v>
      </c>
      <c r="D7" s="483" t="s">
        <v>160</v>
      </c>
      <c r="E7" s="190" t="s">
        <v>3</v>
      </c>
      <c r="F7" s="190">
        <v>21</v>
      </c>
      <c r="G7" s="190">
        <v>23</v>
      </c>
      <c r="H7" s="190">
        <v>0</v>
      </c>
      <c r="I7" s="190">
        <v>1</v>
      </c>
      <c r="J7" s="190">
        <v>2</v>
      </c>
      <c r="K7" s="190">
        <v>1</v>
      </c>
      <c r="L7" s="190">
        <v>0</v>
      </c>
      <c r="M7" s="190">
        <v>3</v>
      </c>
      <c r="N7" s="190">
        <v>0</v>
      </c>
      <c r="O7" s="190">
        <v>0</v>
      </c>
      <c r="P7" s="190">
        <v>0</v>
      </c>
      <c r="Q7" s="190">
        <v>0</v>
      </c>
      <c r="R7" s="190">
        <v>2</v>
      </c>
      <c r="S7" s="191">
        <v>44004</v>
      </c>
      <c r="T7" s="926" t="s">
        <v>802</v>
      </c>
      <c r="U7" s="191" t="s">
        <v>278</v>
      </c>
      <c r="V7" s="191" t="s">
        <v>270</v>
      </c>
      <c r="W7" s="191" t="s">
        <v>229</v>
      </c>
      <c r="X7" s="486" t="s">
        <v>146</v>
      </c>
      <c r="Y7" s="191">
        <v>1</v>
      </c>
      <c r="Z7" s="191">
        <v>0</v>
      </c>
      <c r="AA7" s="191">
        <v>0</v>
      </c>
      <c r="AB7" s="487">
        <v>1</v>
      </c>
      <c r="AC7" s="191">
        <v>0</v>
      </c>
      <c r="AD7" s="191">
        <v>0</v>
      </c>
      <c r="AE7" s="191">
        <v>0</v>
      </c>
      <c r="AF7" s="487">
        <v>0</v>
      </c>
      <c r="AG7" s="191">
        <v>0</v>
      </c>
      <c r="AH7" s="191">
        <v>0</v>
      </c>
      <c r="AI7" s="191">
        <v>0</v>
      </c>
      <c r="AJ7" s="487">
        <v>0</v>
      </c>
      <c r="AK7" s="191">
        <v>1</v>
      </c>
      <c r="AL7" s="191">
        <v>0</v>
      </c>
      <c r="AM7" s="191">
        <v>0</v>
      </c>
      <c r="AN7" s="487">
        <v>1</v>
      </c>
      <c r="AP7" s="851" t="s">
        <v>635</v>
      </c>
      <c r="AQ7" s="852">
        <f>Argentinaalltestsptsscored</f>
        <v>12707</v>
      </c>
      <c r="AS7" s="851" t="s">
        <v>635</v>
      </c>
      <c r="AT7" s="852">
        <f>ArgentinaWChistptsscored</f>
        <v>1098</v>
      </c>
    </row>
    <row r="8" spans="1:46" ht="14.95" customHeight="1" thickBot="1" x14ac:dyDescent="0.35">
      <c r="A8" s="188">
        <v>43736</v>
      </c>
      <c r="B8" s="483" t="s">
        <v>158</v>
      </c>
      <c r="C8" s="189" t="s">
        <v>145</v>
      </c>
      <c r="D8" s="483" t="s">
        <v>872</v>
      </c>
      <c r="E8" s="190" t="s">
        <v>1</v>
      </c>
      <c r="F8" s="190">
        <v>28</v>
      </c>
      <c r="G8" s="484">
        <v>12</v>
      </c>
      <c r="H8" s="484">
        <v>1</v>
      </c>
      <c r="I8" s="190">
        <v>0</v>
      </c>
      <c r="J8" s="190">
        <v>4</v>
      </c>
      <c r="K8" s="190">
        <v>4</v>
      </c>
      <c r="L8" s="190">
        <v>0</v>
      </c>
      <c r="M8" s="190">
        <v>0</v>
      </c>
      <c r="N8" s="190">
        <v>0</v>
      </c>
      <c r="O8" s="190">
        <v>0</v>
      </c>
      <c r="P8" s="190">
        <v>0</v>
      </c>
      <c r="Q8" s="190">
        <v>0</v>
      </c>
      <c r="R8" s="190">
        <v>2</v>
      </c>
      <c r="S8" s="203">
        <v>21971</v>
      </c>
      <c r="T8" s="411" t="s">
        <v>897</v>
      </c>
      <c r="U8" s="204" t="s">
        <v>229</v>
      </c>
      <c r="V8" s="203" t="s">
        <v>131</v>
      </c>
      <c r="W8" s="191" t="s">
        <v>276</v>
      </c>
      <c r="X8" s="205" t="s">
        <v>146</v>
      </c>
      <c r="Y8" s="191">
        <v>1</v>
      </c>
      <c r="Z8" s="191">
        <v>1</v>
      </c>
      <c r="AA8" s="191">
        <v>0</v>
      </c>
      <c r="AB8" s="487">
        <v>0</v>
      </c>
      <c r="AC8" s="191">
        <v>0</v>
      </c>
      <c r="AD8" s="191">
        <v>0</v>
      </c>
      <c r="AE8" s="191">
        <v>0</v>
      </c>
      <c r="AF8" s="487">
        <v>0</v>
      </c>
      <c r="AG8" s="191">
        <v>0</v>
      </c>
      <c r="AH8" s="191">
        <v>0</v>
      </c>
      <c r="AI8" s="191">
        <v>0</v>
      </c>
      <c r="AJ8" s="487">
        <v>0</v>
      </c>
      <c r="AK8" s="191">
        <v>1</v>
      </c>
      <c r="AL8" s="191">
        <v>1</v>
      </c>
      <c r="AM8" s="191">
        <v>0</v>
      </c>
      <c r="AN8" s="487">
        <v>0</v>
      </c>
      <c r="AP8" s="851" t="s">
        <v>636</v>
      </c>
      <c r="AQ8" s="852">
        <f>Argentinaalltestsptsagainst</f>
        <v>9182</v>
      </c>
      <c r="AS8" s="851" t="s">
        <v>636</v>
      </c>
      <c r="AT8" s="852">
        <f>ArgentinaWChistptsagainst</f>
        <v>839</v>
      </c>
    </row>
    <row r="9" spans="1:46" ht="14.95" customHeight="1" thickBot="1" x14ac:dyDescent="0.3">
      <c r="A9" s="188">
        <v>43743</v>
      </c>
      <c r="B9" s="483" t="s">
        <v>158</v>
      </c>
      <c r="C9" s="189" t="s">
        <v>30</v>
      </c>
      <c r="D9" s="189" t="s">
        <v>160</v>
      </c>
      <c r="E9" s="190" t="s">
        <v>3</v>
      </c>
      <c r="F9" s="190">
        <v>10</v>
      </c>
      <c r="G9" s="484">
        <v>39</v>
      </c>
      <c r="H9" s="634">
        <v>0</v>
      </c>
      <c r="I9" s="484">
        <v>0</v>
      </c>
      <c r="J9" s="190">
        <v>1</v>
      </c>
      <c r="K9" s="190">
        <v>1</v>
      </c>
      <c r="L9" s="190">
        <v>0</v>
      </c>
      <c r="M9" s="190">
        <v>1</v>
      </c>
      <c r="N9" s="190">
        <v>0</v>
      </c>
      <c r="O9" s="190">
        <v>1</v>
      </c>
      <c r="P9" s="190">
        <v>1</v>
      </c>
      <c r="Q9" s="190">
        <v>0</v>
      </c>
      <c r="R9" s="190">
        <v>6</v>
      </c>
      <c r="S9" s="203">
        <v>48185</v>
      </c>
      <c r="T9" s="406" t="s">
        <v>813</v>
      </c>
      <c r="U9" s="204" t="s">
        <v>219</v>
      </c>
      <c r="V9" s="203" t="s">
        <v>270</v>
      </c>
      <c r="W9" s="191" t="s">
        <v>276</v>
      </c>
      <c r="X9" s="205" t="s">
        <v>129</v>
      </c>
      <c r="Y9" s="191">
        <v>1</v>
      </c>
      <c r="Z9" s="191">
        <v>0</v>
      </c>
      <c r="AA9" s="191">
        <v>0</v>
      </c>
      <c r="AB9" s="487">
        <v>1</v>
      </c>
      <c r="AC9" s="191">
        <v>0</v>
      </c>
      <c r="AD9" s="191">
        <v>0</v>
      </c>
      <c r="AE9" s="191">
        <v>0</v>
      </c>
      <c r="AF9" s="487">
        <v>0</v>
      </c>
      <c r="AG9" s="191">
        <v>0</v>
      </c>
      <c r="AH9" s="191">
        <v>0</v>
      </c>
      <c r="AI9" s="191">
        <v>0</v>
      </c>
      <c r="AJ9" s="487">
        <v>0</v>
      </c>
      <c r="AK9" s="191">
        <v>1</v>
      </c>
      <c r="AL9" s="191">
        <v>0</v>
      </c>
      <c r="AM9" s="191">
        <v>0</v>
      </c>
      <c r="AN9" s="487">
        <v>1</v>
      </c>
      <c r="AP9" s="851" t="s">
        <v>623</v>
      </c>
      <c r="AQ9" s="852">
        <f>Argentinaallteststriesscored</f>
        <v>1593</v>
      </c>
      <c r="AS9" s="851" t="s">
        <v>623</v>
      </c>
      <c r="AT9" s="852">
        <f>ArgentinaWChisttriesscored</f>
        <v>115</v>
      </c>
    </row>
    <row r="10" spans="1:46" ht="14.95" customHeight="1" thickBot="1" x14ac:dyDescent="0.35">
      <c r="A10" s="188">
        <v>43747</v>
      </c>
      <c r="B10" s="483" t="s">
        <v>158</v>
      </c>
      <c r="C10" s="189" t="s">
        <v>60</v>
      </c>
      <c r="D10" s="483" t="s">
        <v>603</v>
      </c>
      <c r="E10" s="190" t="s">
        <v>1</v>
      </c>
      <c r="F10" s="190">
        <v>47</v>
      </c>
      <c r="G10" s="484">
        <v>17</v>
      </c>
      <c r="H10" s="484">
        <v>1</v>
      </c>
      <c r="I10" s="190">
        <v>0</v>
      </c>
      <c r="J10" s="190">
        <v>7</v>
      </c>
      <c r="K10" s="190">
        <v>6</v>
      </c>
      <c r="L10" s="190">
        <v>0</v>
      </c>
      <c r="M10" s="190">
        <v>0</v>
      </c>
      <c r="N10" s="190">
        <v>0</v>
      </c>
      <c r="O10" s="190">
        <v>0</v>
      </c>
      <c r="P10" s="190">
        <v>0</v>
      </c>
      <c r="Q10" s="190">
        <v>0</v>
      </c>
      <c r="R10" s="190">
        <v>3</v>
      </c>
      <c r="S10" s="191">
        <v>24377</v>
      </c>
      <c r="T10" s="501" t="s">
        <v>946</v>
      </c>
      <c r="U10" s="191" t="s">
        <v>273</v>
      </c>
      <c r="V10" s="191" t="s">
        <v>232</v>
      </c>
      <c r="W10" s="191" t="s">
        <v>229</v>
      </c>
      <c r="X10" s="191" t="s">
        <v>146</v>
      </c>
      <c r="Y10" s="191">
        <v>1</v>
      </c>
      <c r="Z10" s="191">
        <v>1</v>
      </c>
      <c r="AA10" s="191">
        <v>0</v>
      </c>
      <c r="AB10" s="487">
        <v>0</v>
      </c>
      <c r="AC10" s="191">
        <v>0</v>
      </c>
      <c r="AD10" s="191">
        <v>0</v>
      </c>
      <c r="AE10" s="191">
        <v>0</v>
      </c>
      <c r="AF10" s="487">
        <v>0</v>
      </c>
      <c r="AG10" s="191">
        <v>0</v>
      </c>
      <c r="AH10" s="191">
        <v>0</v>
      </c>
      <c r="AI10" s="191">
        <v>0</v>
      </c>
      <c r="AJ10" s="487">
        <v>0</v>
      </c>
      <c r="AK10" s="191">
        <v>1</v>
      </c>
      <c r="AL10" s="191">
        <v>1</v>
      </c>
      <c r="AM10" s="191">
        <v>0</v>
      </c>
      <c r="AN10" s="487">
        <v>0</v>
      </c>
    </row>
    <row r="11" spans="1:46" ht="14.95" customHeight="1" thickBot="1" x14ac:dyDescent="0.3">
      <c r="A11" s="438"/>
      <c r="B11" s="439"/>
      <c r="C11" s="1031" t="s">
        <v>113</v>
      </c>
      <c r="D11" s="1032"/>
      <c r="E11" s="1033"/>
      <c r="F11" s="465">
        <f t="shared" ref="F11:R11" si="0">SUM(F3:F5)</f>
        <v>39</v>
      </c>
      <c r="G11" s="465">
        <f t="shared" si="0"/>
        <v>82</v>
      </c>
      <c r="H11" s="465">
        <f t="shared" si="0"/>
        <v>0</v>
      </c>
      <c r="I11" s="465">
        <f t="shared" si="0"/>
        <v>2</v>
      </c>
      <c r="J11" s="465">
        <f t="shared" si="0"/>
        <v>3</v>
      </c>
      <c r="K11" s="465">
        <f t="shared" si="0"/>
        <v>3</v>
      </c>
      <c r="L11" s="465">
        <f t="shared" si="0"/>
        <v>0</v>
      </c>
      <c r="M11" s="465">
        <f t="shared" si="0"/>
        <v>6</v>
      </c>
      <c r="N11" s="465">
        <f t="shared" si="0"/>
        <v>0</v>
      </c>
      <c r="O11" s="465">
        <f t="shared" si="0"/>
        <v>0</v>
      </c>
      <c r="P11" s="465">
        <f t="shared" si="0"/>
        <v>1</v>
      </c>
      <c r="Q11" s="465">
        <f t="shared" si="0"/>
        <v>0</v>
      </c>
      <c r="R11" s="465">
        <f t="shared" si="0"/>
        <v>8</v>
      </c>
      <c r="S11" s="466"/>
      <c r="T11" s="466"/>
      <c r="U11" s="466"/>
      <c r="V11" s="466"/>
      <c r="W11" s="467"/>
      <c r="X11" s="468" t="s">
        <v>113</v>
      </c>
      <c r="Y11" s="472">
        <f t="shared" ref="Y11:AN11" si="1">SUM(Y3:Y5)</f>
        <v>3</v>
      </c>
      <c r="Z11" s="465">
        <f t="shared" si="1"/>
        <v>0</v>
      </c>
      <c r="AA11" s="465">
        <f t="shared" si="1"/>
        <v>0</v>
      </c>
      <c r="AB11" s="465">
        <f t="shared" si="1"/>
        <v>3</v>
      </c>
      <c r="AC11" s="469">
        <f t="shared" si="1"/>
        <v>2</v>
      </c>
      <c r="AD11" s="469">
        <f t="shared" si="1"/>
        <v>0</v>
      </c>
      <c r="AE11" s="469">
        <f t="shared" si="1"/>
        <v>0</v>
      </c>
      <c r="AF11" s="469">
        <f t="shared" si="1"/>
        <v>2</v>
      </c>
      <c r="AG11" s="470">
        <f t="shared" si="1"/>
        <v>1</v>
      </c>
      <c r="AH11" s="470">
        <f t="shared" si="1"/>
        <v>0</v>
      </c>
      <c r="AI11" s="470">
        <f t="shared" si="1"/>
        <v>0</v>
      </c>
      <c r="AJ11" s="470">
        <f t="shared" si="1"/>
        <v>1</v>
      </c>
      <c r="AK11" s="471">
        <f t="shared" si="1"/>
        <v>0</v>
      </c>
      <c r="AL11" s="471">
        <f t="shared" si="1"/>
        <v>0</v>
      </c>
      <c r="AM11" s="471">
        <f t="shared" si="1"/>
        <v>0</v>
      </c>
      <c r="AN11" s="471">
        <f t="shared" si="1"/>
        <v>0</v>
      </c>
    </row>
    <row r="12" spans="1:46" ht="14.95" thickBot="1" x14ac:dyDescent="0.3">
      <c r="A12" s="438"/>
      <c r="B12" s="439"/>
      <c r="C12" s="1037" t="s">
        <v>163</v>
      </c>
      <c r="D12" s="1038"/>
      <c r="E12" s="1039"/>
      <c r="F12" s="446">
        <f>SUM(F6:F6)</f>
        <v>18</v>
      </c>
      <c r="G12" s="446">
        <f>SUM(G6:G6)</f>
        <v>24</v>
      </c>
      <c r="H12" s="446" t="s">
        <v>108</v>
      </c>
      <c r="I12" s="446" t="s">
        <v>108</v>
      </c>
      <c r="J12" s="446">
        <f t="shared" ref="J12:O12" si="2">SUM(J6:J6)</f>
        <v>2</v>
      </c>
      <c r="K12" s="446">
        <f t="shared" si="2"/>
        <v>1</v>
      </c>
      <c r="L12" s="446">
        <f t="shared" si="2"/>
        <v>0</v>
      </c>
      <c r="M12" s="446">
        <f t="shared" si="2"/>
        <v>2</v>
      </c>
      <c r="N12" s="446">
        <f t="shared" si="2"/>
        <v>0</v>
      </c>
      <c r="O12" s="446">
        <f t="shared" si="2"/>
        <v>0</v>
      </c>
      <c r="P12" s="446" t="s">
        <v>108</v>
      </c>
      <c r="Q12" s="446" t="s">
        <v>108</v>
      </c>
      <c r="R12" s="446">
        <f>SUM(R6:R6)</f>
        <v>2</v>
      </c>
      <c r="S12" s="447"/>
      <c r="T12" s="447"/>
      <c r="U12" s="447"/>
      <c r="V12" s="447"/>
      <c r="W12" s="448"/>
      <c r="X12" s="623" t="s">
        <v>163</v>
      </c>
      <c r="Y12" s="638">
        <f t="shared" ref="Y12:AN12" si="3">SUM(Y6:Y6)</f>
        <v>1</v>
      </c>
      <c r="Z12" s="639">
        <f t="shared" si="3"/>
        <v>0</v>
      </c>
      <c r="AA12" s="446">
        <f t="shared" si="3"/>
        <v>0</v>
      </c>
      <c r="AB12" s="446">
        <f t="shared" si="3"/>
        <v>1</v>
      </c>
      <c r="AC12" s="450">
        <f t="shared" si="3"/>
        <v>0</v>
      </c>
      <c r="AD12" s="450">
        <f t="shared" si="3"/>
        <v>0</v>
      </c>
      <c r="AE12" s="450">
        <f t="shared" si="3"/>
        <v>0</v>
      </c>
      <c r="AF12" s="450">
        <f t="shared" si="3"/>
        <v>0</v>
      </c>
      <c r="AG12" s="451">
        <f t="shared" si="3"/>
        <v>1</v>
      </c>
      <c r="AH12" s="451">
        <f t="shared" si="3"/>
        <v>0</v>
      </c>
      <c r="AI12" s="451">
        <f t="shared" si="3"/>
        <v>0</v>
      </c>
      <c r="AJ12" s="451">
        <f t="shared" si="3"/>
        <v>1</v>
      </c>
      <c r="AK12" s="452">
        <f t="shared" si="3"/>
        <v>0</v>
      </c>
      <c r="AL12" s="452">
        <f t="shared" si="3"/>
        <v>0</v>
      </c>
      <c r="AM12" s="452">
        <f t="shared" si="3"/>
        <v>0</v>
      </c>
      <c r="AN12" s="452">
        <f t="shared" si="3"/>
        <v>0</v>
      </c>
    </row>
    <row r="13" spans="1:46" ht="14.95" thickBot="1" x14ac:dyDescent="0.3">
      <c r="A13" s="438"/>
      <c r="B13" s="439"/>
      <c r="C13" s="1040" t="s">
        <v>611</v>
      </c>
      <c r="D13" s="1041"/>
      <c r="E13" s="1042"/>
      <c r="F13" s="685">
        <f t="shared" ref="F13:R13" si="4">SUM(F7:F10)</f>
        <v>106</v>
      </c>
      <c r="G13" s="685">
        <f t="shared" si="4"/>
        <v>91</v>
      </c>
      <c r="H13" s="685">
        <f t="shared" si="4"/>
        <v>2</v>
      </c>
      <c r="I13" s="685">
        <f t="shared" si="4"/>
        <v>1</v>
      </c>
      <c r="J13" s="685">
        <f t="shared" si="4"/>
        <v>14</v>
      </c>
      <c r="K13" s="685">
        <f t="shared" si="4"/>
        <v>12</v>
      </c>
      <c r="L13" s="685">
        <f t="shared" si="4"/>
        <v>0</v>
      </c>
      <c r="M13" s="685">
        <f t="shared" si="4"/>
        <v>4</v>
      </c>
      <c r="N13" s="685">
        <f t="shared" si="4"/>
        <v>0</v>
      </c>
      <c r="O13" s="685">
        <f t="shared" si="4"/>
        <v>1</v>
      </c>
      <c r="P13" s="685">
        <f t="shared" si="4"/>
        <v>1</v>
      </c>
      <c r="Q13" s="685">
        <f t="shared" si="4"/>
        <v>0</v>
      </c>
      <c r="R13" s="685">
        <f t="shared" si="4"/>
        <v>13</v>
      </c>
      <c r="S13" s="686"/>
      <c r="T13" s="686"/>
      <c r="U13" s="686"/>
      <c r="V13" s="686"/>
      <c r="W13" s="687"/>
      <c r="X13" s="688" t="s">
        <v>611</v>
      </c>
      <c r="Y13" s="689">
        <f t="shared" ref="Y13:AN13" si="5">SUM(Y7:Y10)</f>
        <v>4</v>
      </c>
      <c r="Z13" s="690">
        <f t="shared" si="5"/>
        <v>2</v>
      </c>
      <c r="AA13" s="685">
        <f t="shared" si="5"/>
        <v>0</v>
      </c>
      <c r="AB13" s="685">
        <f t="shared" si="5"/>
        <v>2</v>
      </c>
      <c r="AC13" s="691">
        <f t="shared" si="5"/>
        <v>0</v>
      </c>
      <c r="AD13" s="691">
        <f t="shared" si="5"/>
        <v>0</v>
      </c>
      <c r="AE13" s="691">
        <f t="shared" si="5"/>
        <v>0</v>
      </c>
      <c r="AF13" s="691">
        <f t="shared" si="5"/>
        <v>0</v>
      </c>
      <c r="AG13" s="692">
        <f t="shared" si="5"/>
        <v>0</v>
      </c>
      <c r="AH13" s="692">
        <f t="shared" si="5"/>
        <v>0</v>
      </c>
      <c r="AI13" s="692">
        <f t="shared" si="5"/>
        <v>0</v>
      </c>
      <c r="AJ13" s="692">
        <f t="shared" si="5"/>
        <v>0</v>
      </c>
      <c r="AK13" s="693">
        <f t="shared" si="5"/>
        <v>4</v>
      </c>
      <c r="AL13" s="693">
        <f t="shared" si="5"/>
        <v>2</v>
      </c>
      <c r="AM13" s="693">
        <f t="shared" si="5"/>
        <v>0</v>
      </c>
      <c r="AN13" s="693">
        <f t="shared" si="5"/>
        <v>2</v>
      </c>
    </row>
    <row r="14" spans="1:46" ht="14.95" thickBot="1" x14ac:dyDescent="0.3">
      <c r="A14" s="438"/>
      <c r="B14" s="439"/>
      <c r="C14" s="1040" t="s">
        <v>612</v>
      </c>
      <c r="D14" s="1041"/>
      <c r="E14" s="1042"/>
      <c r="F14" s="694" t="s">
        <v>108</v>
      </c>
      <c r="G14" s="685" t="s">
        <v>108</v>
      </c>
      <c r="H14" s="685" t="s">
        <v>108</v>
      </c>
      <c r="I14" s="685" t="s">
        <v>108</v>
      </c>
      <c r="J14" s="685" t="s">
        <v>108</v>
      </c>
      <c r="K14" s="685" t="s">
        <v>108</v>
      </c>
      <c r="L14" s="685" t="s">
        <v>108</v>
      </c>
      <c r="M14" s="685" t="s">
        <v>108</v>
      </c>
      <c r="N14" s="685" t="s">
        <v>108</v>
      </c>
      <c r="O14" s="685" t="s">
        <v>108</v>
      </c>
      <c r="P14" s="685" t="s">
        <v>108</v>
      </c>
      <c r="Q14" s="685" t="s">
        <v>108</v>
      </c>
      <c r="R14" s="685" t="s">
        <v>108</v>
      </c>
      <c r="S14" s="686"/>
      <c r="T14" s="686"/>
      <c r="U14" s="686"/>
      <c r="V14" s="686"/>
      <c r="W14" s="687"/>
      <c r="X14" s="688" t="s">
        <v>612</v>
      </c>
      <c r="Y14" s="689" t="s">
        <v>108</v>
      </c>
      <c r="Z14" s="690" t="s">
        <v>108</v>
      </c>
      <c r="AA14" s="685" t="s">
        <v>108</v>
      </c>
      <c r="AB14" s="685" t="s">
        <v>108</v>
      </c>
      <c r="AC14" s="691" t="s">
        <v>108</v>
      </c>
      <c r="AD14" s="691" t="s">
        <v>108</v>
      </c>
      <c r="AE14" s="691" t="s">
        <v>108</v>
      </c>
      <c r="AF14" s="691" t="s">
        <v>108</v>
      </c>
      <c r="AG14" s="692" t="s">
        <v>108</v>
      </c>
      <c r="AH14" s="692" t="s">
        <v>108</v>
      </c>
      <c r="AI14" s="692" t="s">
        <v>108</v>
      </c>
      <c r="AJ14" s="692" t="s">
        <v>108</v>
      </c>
      <c r="AK14" s="693" t="s">
        <v>108</v>
      </c>
      <c r="AL14" s="693" t="s">
        <v>108</v>
      </c>
      <c r="AM14" s="693" t="s">
        <v>108</v>
      </c>
      <c r="AN14" s="693" t="s">
        <v>108</v>
      </c>
    </row>
    <row r="15" spans="1:46" ht="14.95" thickBot="1" x14ac:dyDescent="0.3">
      <c r="A15" s="438"/>
      <c r="B15" s="439"/>
      <c r="C15" s="1040" t="s">
        <v>613</v>
      </c>
      <c r="D15" s="1041"/>
      <c r="E15" s="1042"/>
      <c r="F15" s="685">
        <f>SUM(F13:F14)</f>
        <v>106</v>
      </c>
      <c r="G15" s="685">
        <f t="shared" ref="G15:R15" si="6">SUM(G13:G14)</f>
        <v>91</v>
      </c>
      <c r="H15" s="685">
        <f t="shared" si="6"/>
        <v>2</v>
      </c>
      <c r="I15" s="685">
        <f t="shared" si="6"/>
        <v>1</v>
      </c>
      <c r="J15" s="685">
        <f t="shared" si="6"/>
        <v>14</v>
      </c>
      <c r="K15" s="685">
        <f t="shared" si="6"/>
        <v>12</v>
      </c>
      <c r="L15" s="685">
        <f t="shared" si="6"/>
        <v>0</v>
      </c>
      <c r="M15" s="685">
        <f t="shared" si="6"/>
        <v>4</v>
      </c>
      <c r="N15" s="685">
        <f t="shared" si="6"/>
        <v>0</v>
      </c>
      <c r="O15" s="685">
        <f t="shared" si="6"/>
        <v>1</v>
      </c>
      <c r="P15" s="685">
        <f t="shared" si="6"/>
        <v>1</v>
      </c>
      <c r="Q15" s="685">
        <f t="shared" si="6"/>
        <v>0</v>
      </c>
      <c r="R15" s="685">
        <f t="shared" si="6"/>
        <v>13</v>
      </c>
      <c r="S15" s="686"/>
      <c r="T15" s="686"/>
      <c r="U15" s="686"/>
      <c r="V15" s="686"/>
      <c r="W15" s="687"/>
      <c r="X15" s="688" t="s">
        <v>613</v>
      </c>
      <c r="Y15" s="689">
        <f t="shared" ref="Y15:AN15" si="7">SUM(Y13:Y14)</f>
        <v>4</v>
      </c>
      <c r="Z15" s="690">
        <f t="shared" si="7"/>
        <v>2</v>
      </c>
      <c r="AA15" s="685">
        <f t="shared" si="7"/>
        <v>0</v>
      </c>
      <c r="AB15" s="685">
        <f t="shared" si="7"/>
        <v>2</v>
      </c>
      <c r="AC15" s="691">
        <f t="shared" si="7"/>
        <v>0</v>
      </c>
      <c r="AD15" s="691">
        <f t="shared" si="7"/>
        <v>0</v>
      </c>
      <c r="AE15" s="691">
        <f t="shared" si="7"/>
        <v>0</v>
      </c>
      <c r="AF15" s="691">
        <f t="shared" si="7"/>
        <v>0</v>
      </c>
      <c r="AG15" s="692">
        <f t="shared" si="7"/>
        <v>0</v>
      </c>
      <c r="AH15" s="692">
        <f t="shared" si="7"/>
        <v>0</v>
      </c>
      <c r="AI15" s="692">
        <f t="shared" si="7"/>
        <v>0</v>
      </c>
      <c r="AJ15" s="692">
        <f t="shared" si="7"/>
        <v>0</v>
      </c>
      <c r="AK15" s="693">
        <f t="shared" si="7"/>
        <v>4</v>
      </c>
      <c r="AL15" s="693">
        <f t="shared" si="7"/>
        <v>2</v>
      </c>
      <c r="AM15" s="693">
        <f t="shared" si="7"/>
        <v>0</v>
      </c>
      <c r="AN15" s="693">
        <f t="shared" si="7"/>
        <v>2</v>
      </c>
    </row>
    <row r="16" spans="1:46" ht="14.95" thickBot="1" x14ac:dyDescent="0.3">
      <c r="A16" s="438"/>
      <c r="B16" s="439"/>
      <c r="C16" s="1034" t="s">
        <v>112</v>
      </c>
      <c r="D16" s="1035"/>
      <c r="E16" s="1036"/>
      <c r="F16" s="453">
        <f t="shared" ref="F16:R16" si="8">SUM(F3:F10)</f>
        <v>163</v>
      </c>
      <c r="G16" s="453">
        <f t="shared" si="8"/>
        <v>197</v>
      </c>
      <c r="H16" s="453">
        <f t="shared" si="8"/>
        <v>2</v>
      </c>
      <c r="I16" s="453">
        <f t="shared" si="8"/>
        <v>3</v>
      </c>
      <c r="J16" s="453">
        <f t="shared" si="8"/>
        <v>19</v>
      </c>
      <c r="K16" s="453">
        <f t="shared" si="8"/>
        <v>16</v>
      </c>
      <c r="L16" s="453">
        <f t="shared" si="8"/>
        <v>0</v>
      </c>
      <c r="M16" s="453">
        <f t="shared" si="8"/>
        <v>12</v>
      </c>
      <c r="N16" s="453">
        <f t="shared" si="8"/>
        <v>0</v>
      </c>
      <c r="O16" s="453">
        <f t="shared" si="8"/>
        <v>1</v>
      </c>
      <c r="P16" s="453">
        <f t="shared" si="8"/>
        <v>2</v>
      </c>
      <c r="Q16" s="453">
        <f t="shared" si="8"/>
        <v>0</v>
      </c>
      <c r="R16" s="453">
        <f t="shared" si="8"/>
        <v>23</v>
      </c>
      <c r="S16" s="454"/>
      <c r="T16" s="454"/>
      <c r="U16" s="454"/>
      <c r="V16" s="454"/>
      <c r="W16" s="455"/>
      <c r="X16" s="462" t="s">
        <v>112</v>
      </c>
      <c r="Y16" s="882">
        <f t="shared" ref="Y16:AN16" si="9">SUM(Y3:Y10)</f>
        <v>8</v>
      </c>
      <c r="Z16" s="453">
        <f t="shared" si="9"/>
        <v>2</v>
      </c>
      <c r="AA16" s="453">
        <f t="shared" si="9"/>
        <v>0</v>
      </c>
      <c r="AB16" s="453">
        <f t="shared" si="9"/>
        <v>6</v>
      </c>
      <c r="AC16" s="456">
        <f t="shared" si="9"/>
        <v>2</v>
      </c>
      <c r="AD16" s="456">
        <f t="shared" si="9"/>
        <v>0</v>
      </c>
      <c r="AE16" s="456">
        <f t="shared" si="9"/>
        <v>0</v>
      </c>
      <c r="AF16" s="456">
        <f t="shared" si="9"/>
        <v>2</v>
      </c>
      <c r="AG16" s="457">
        <f t="shared" si="9"/>
        <v>2</v>
      </c>
      <c r="AH16" s="457">
        <f t="shared" si="9"/>
        <v>0</v>
      </c>
      <c r="AI16" s="457">
        <f t="shared" si="9"/>
        <v>0</v>
      </c>
      <c r="AJ16" s="457">
        <f t="shared" si="9"/>
        <v>2</v>
      </c>
      <c r="AK16" s="458">
        <f t="shared" si="9"/>
        <v>4</v>
      </c>
      <c r="AL16" s="458">
        <f t="shared" si="9"/>
        <v>2</v>
      </c>
      <c r="AM16" s="458">
        <f t="shared" si="9"/>
        <v>0</v>
      </c>
      <c r="AN16" s="458">
        <f t="shared" si="9"/>
        <v>2</v>
      </c>
    </row>
    <row r="17" spans="1:18" x14ac:dyDescent="0.25">
      <c r="A17" t="s">
        <v>593</v>
      </c>
    </row>
    <row r="18" spans="1:18" x14ac:dyDescent="0.25">
      <c r="A18" s="1030" t="s">
        <v>600</v>
      </c>
      <c r="B18" s="988"/>
      <c r="C18" s="988"/>
      <c r="D18" s="988"/>
      <c r="E18" s="988"/>
      <c r="F18" s="988"/>
      <c r="G18" s="988"/>
      <c r="H18" s="988"/>
      <c r="I18" s="988"/>
      <c r="J18" s="988"/>
      <c r="K18" s="988"/>
      <c r="L18" s="988"/>
      <c r="M18" s="988"/>
      <c r="N18" s="988"/>
      <c r="O18" s="988"/>
      <c r="P18" s="988"/>
      <c r="Q18" s="988"/>
      <c r="R18" s="988"/>
    </row>
    <row r="19" spans="1:18" x14ac:dyDescent="0.25">
      <c r="A19" t="s">
        <v>855</v>
      </c>
    </row>
    <row r="20" spans="1:18" x14ac:dyDescent="0.25">
      <c r="A20" t="s">
        <v>711</v>
      </c>
    </row>
    <row r="21" spans="1:18" x14ac:dyDescent="0.25">
      <c r="A21" t="s">
        <v>182</v>
      </c>
    </row>
    <row r="22" spans="1:18" x14ac:dyDescent="0.25">
      <c r="A22" t="s">
        <v>181</v>
      </c>
    </row>
    <row r="24" spans="1:18" x14ac:dyDescent="0.25">
      <c r="A24" s="159"/>
      <c r="B24" t="s">
        <v>44</v>
      </c>
    </row>
    <row r="25" spans="1:18" x14ac:dyDescent="0.25">
      <c r="A25" s="157"/>
      <c r="B25" t="s">
        <v>42</v>
      </c>
    </row>
    <row r="26" spans="1:18" x14ac:dyDescent="0.25">
      <c r="A26" s="158"/>
      <c r="B26" t="s">
        <v>43</v>
      </c>
    </row>
    <row r="27" spans="1:18" x14ac:dyDescent="0.25">
      <c r="A27" s="15" t="s">
        <v>28</v>
      </c>
    </row>
  </sheetData>
  <mergeCells count="17">
    <mergeCell ref="Y1:AB1"/>
    <mergeCell ref="AC1:AF1"/>
    <mergeCell ref="AG1:AJ1"/>
    <mergeCell ref="AK1:AN1"/>
    <mergeCell ref="C13:E13"/>
    <mergeCell ref="N1:O1"/>
    <mergeCell ref="P1:R1"/>
    <mergeCell ref="H1:I1"/>
    <mergeCell ref="E1:G1"/>
    <mergeCell ref="A1:C1"/>
    <mergeCell ref="J1:M1"/>
    <mergeCell ref="A18:R18"/>
    <mergeCell ref="C11:E11"/>
    <mergeCell ref="C16:E16"/>
    <mergeCell ref="C12:E12"/>
    <mergeCell ref="C14:E14"/>
    <mergeCell ref="C15:E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998</vt:i4>
      </vt:variant>
    </vt:vector>
  </HeadingPairs>
  <TitlesOfParts>
    <vt:vector size="1027" baseType="lpstr">
      <vt:lpstr>Sum</vt:lpstr>
      <vt:lpstr>Results</vt:lpstr>
      <vt:lpstr>WC Res &amp; Tabs</vt:lpstr>
      <vt:lpstr>WC Cds</vt:lpstr>
      <vt:lpstr>WC Stats</vt:lpstr>
      <vt:lpstr>6N Tab</vt:lpstr>
      <vt:lpstr>6N Res</vt:lpstr>
      <vt:lpstr>6N Cds</vt:lpstr>
      <vt:lpstr>ARG</vt:lpstr>
      <vt:lpstr>AUS</vt:lpstr>
      <vt:lpstr>CAN</vt:lpstr>
      <vt:lpstr>ENG</vt:lpstr>
      <vt:lpstr>FRA</vt:lpstr>
      <vt:lpstr>FIJ</vt:lpstr>
      <vt:lpstr>GEO</vt:lpstr>
      <vt:lpstr>IRE</vt:lpstr>
      <vt:lpstr>ITA</vt:lpstr>
      <vt:lpstr>JPN</vt:lpstr>
      <vt:lpstr>NAM</vt:lpstr>
      <vt:lpstr>NZL</vt:lpstr>
      <vt:lpstr>ROM</vt:lpstr>
      <vt:lpstr>RUS</vt:lpstr>
      <vt:lpstr>SAM</vt:lpstr>
      <vt:lpstr>SCO</vt:lpstr>
      <vt:lpstr>RSA</vt:lpstr>
      <vt:lpstr>TGA</vt:lpstr>
      <vt:lpstr>USA</vt:lpstr>
      <vt:lpstr>URU</vt:lpstr>
      <vt:lpstr>WAL</vt:lpstr>
      <vt:lpstr>alltestshistlost</vt:lpstr>
      <vt:lpstr>alltestshistwon</vt:lpstr>
      <vt:lpstr>arg2019dg</vt:lpstr>
      <vt:lpstr>arg2019drawn</vt:lpstr>
      <vt:lpstr>arg2019lost</vt:lpstr>
      <vt:lpstr>arg2019played</vt:lpstr>
      <vt:lpstr>arg2019ptsconc</vt:lpstr>
      <vt:lpstr>arg2019ptsscored</vt:lpstr>
      <vt:lpstr>arg2019rwcdrawn</vt:lpstr>
      <vt:lpstr>arg2019rwclost</vt:lpstr>
      <vt:lpstr>arg2019rwcplayed</vt:lpstr>
      <vt:lpstr>arg2019rwcptsconc</vt:lpstr>
      <vt:lpstr>arg2019rwcptsscored</vt:lpstr>
      <vt:lpstr>arg2019rwcrc</vt:lpstr>
      <vt:lpstr>arg2019rwctriesconc</vt:lpstr>
      <vt:lpstr>arg2019rwctriesscored</vt:lpstr>
      <vt:lpstr>arg2019rwcwon</vt:lpstr>
      <vt:lpstr>arg2019rwcyc</vt:lpstr>
      <vt:lpstr>arg2019triesconc</vt:lpstr>
      <vt:lpstr>arg2019triesscored</vt:lpstr>
      <vt:lpstr>arg2019won</vt:lpstr>
      <vt:lpstr>Argentinaalltestsdrawn</vt:lpstr>
      <vt:lpstr>Argentinaalltestslost</vt:lpstr>
      <vt:lpstr>Argentinaalltestsplayed</vt:lpstr>
      <vt:lpstr>Argentinaalltestsptsagainst</vt:lpstr>
      <vt:lpstr>Argentinaalltestsptsscored</vt:lpstr>
      <vt:lpstr>Argentinaallteststriesscored</vt:lpstr>
      <vt:lpstr>Argentinaalltestswon</vt:lpstr>
      <vt:lpstr>ArgentinaWChistdrawn</vt:lpstr>
      <vt:lpstr>ArgentinaWChistlost</vt:lpstr>
      <vt:lpstr>ArgentinaWChistplayed</vt:lpstr>
      <vt:lpstr>ArgentinaWChistptsagainst</vt:lpstr>
      <vt:lpstr>ArgentinaWChistptsscored</vt:lpstr>
      <vt:lpstr>ArgentinaWChisttriesscored</vt:lpstr>
      <vt:lpstr>ArgentinaWChistwon</vt:lpstr>
      <vt:lpstr>ArgPool2019drawn</vt:lpstr>
      <vt:lpstr>ArgPool2019lost</vt:lpstr>
      <vt:lpstr>ArgPool2019won</vt:lpstr>
      <vt:lpstr>ArgPoolagainst</vt:lpstr>
      <vt:lpstr>ArgPoolfor</vt:lpstr>
      <vt:lpstr>ArgPoollbfor</vt:lpstr>
      <vt:lpstr>argpoollbscored</vt:lpstr>
      <vt:lpstr>ArgPoolplayed</vt:lpstr>
      <vt:lpstr>ArgPooltbagainst</vt:lpstr>
      <vt:lpstr>ArgPooltbfor</vt:lpstr>
      <vt:lpstr>argpooltbscored</vt:lpstr>
      <vt:lpstr>ArgPooltriesagainst</vt:lpstr>
      <vt:lpstr>argpooltriesconcorrect</vt:lpstr>
      <vt:lpstr>ArgPooltriesscored</vt:lpstr>
      <vt:lpstr>argpooltriesscoredcorrect</vt:lpstr>
      <vt:lpstr>Aus2019pooldrawn</vt:lpstr>
      <vt:lpstr>Aus2019poollbcon</vt:lpstr>
      <vt:lpstr>Aus2019poollbscored</vt:lpstr>
      <vt:lpstr>Aus2019poollost</vt:lpstr>
      <vt:lpstr>Aus2019poolplayed</vt:lpstr>
      <vt:lpstr>Aus2019poolptsagainst</vt:lpstr>
      <vt:lpstr>Aus2019poolptsscored</vt:lpstr>
      <vt:lpstr>Aus2019pooltbcon</vt:lpstr>
      <vt:lpstr>Aus2019pooltbscored</vt:lpstr>
      <vt:lpstr>Aus2019pooltriesconc</vt:lpstr>
      <vt:lpstr>Aus2019pooltriesscored</vt:lpstr>
      <vt:lpstr>Aus2019poolwon</vt:lpstr>
      <vt:lpstr>Aus2019rwcdrawn</vt:lpstr>
      <vt:lpstr>Aus2019rwclost</vt:lpstr>
      <vt:lpstr>Aus2019rwclostcorrect</vt:lpstr>
      <vt:lpstr>Aus2019rwcplayed</vt:lpstr>
      <vt:lpstr>Aus2019rwcptsagainst</vt:lpstr>
      <vt:lpstr>Aus2019rwcptsscored</vt:lpstr>
      <vt:lpstr>Aus2019rwcrc</vt:lpstr>
      <vt:lpstr>Aus2019rwctriesconc</vt:lpstr>
      <vt:lpstr>Aus2019rwctriesscored</vt:lpstr>
      <vt:lpstr>Aus2019rwcwon</vt:lpstr>
      <vt:lpstr>Aus2019rwcyc</vt:lpstr>
      <vt:lpstr>australiaalltests2019drawn</vt:lpstr>
      <vt:lpstr>australiaalltests2019lost</vt:lpstr>
      <vt:lpstr>australiaalltests2019played</vt:lpstr>
      <vt:lpstr>australiaalltests2019playedcorrect</vt:lpstr>
      <vt:lpstr>australiaalltests2019ptsagainst</vt:lpstr>
      <vt:lpstr>australiaalltests2019ptsscored</vt:lpstr>
      <vt:lpstr>australiaalltests2019triesconc</vt:lpstr>
      <vt:lpstr>australiaalltests2019triesscored</vt:lpstr>
      <vt:lpstr>australiaalltests2019won</vt:lpstr>
      <vt:lpstr>Australiaalltestshistdrawn</vt:lpstr>
      <vt:lpstr>Australiaalltestshistlost</vt:lpstr>
      <vt:lpstr>Australiaalltestshistplayed</vt:lpstr>
      <vt:lpstr>Australiaalltestshistptsagainst</vt:lpstr>
      <vt:lpstr>Australiaalltestshistptsscored</vt:lpstr>
      <vt:lpstr>Australiaalltestshisttriesscored</vt:lpstr>
      <vt:lpstr>Australiaalltestshistwon</vt:lpstr>
      <vt:lpstr>AustraliaWChistdrawn</vt:lpstr>
      <vt:lpstr>AustraliaWChistlost</vt:lpstr>
      <vt:lpstr>AustraliaWChistplayed</vt:lpstr>
      <vt:lpstr>AustraliaWChistptsagainst</vt:lpstr>
      <vt:lpstr>AustraliaWChistptsscored</vt:lpstr>
      <vt:lpstr>AustraliaWChisttriesscored</vt:lpstr>
      <vt:lpstr>AustraliaWChistwon</vt:lpstr>
      <vt:lpstr>can2019alltestsdrawn</vt:lpstr>
      <vt:lpstr>can2019alltestslost</vt:lpstr>
      <vt:lpstr>can2019alltestsplayed</vt:lpstr>
      <vt:lpstr>can2019alltestsptsagainst</vt:lpstr>
      <vt:lpstr>can2019alltestsptsscored</vt:lpstr>
      <vt:lpstr>can2019allteststriescon</vt:lpstr>
      <vt:lpstr>can2019allteststriesscored</vt:lpstr>
      <vt:lpstr>can2019alltestswon</vt:lpstr>
      <vt:lpstr>can2019pooldrawn</vt:lpstr>
      <vt:lpstr>can2019poollbcon</vt:lpstr>
      <vt:lpstr>can2019poollbscored</vt:lpstr>
      <vt:lpstr>can2019poollost</vt:lpstr>
      <vt:lpstr>can2019poolplayed</vt:lpstr>
      <vt:lpstr>can2019poolptsagainst</vt:lpstr>
      <vt:lpstr>can2019poolptsscored</vt:lpstr>
      <vt:lpstr>can2019pooltbcon</vt:lpstr>
      <vt:lpstr>can2019pooltbscored</vt:lpstr>
      <vt:lpstr>can2019pooltriescon</vt:lpstr>
      <vt:lpstr>can2019pooltriesscored</vt:lpstr>
      <vt:lpstr>can2019pooltriesscoredcorrect</vt:lpstr>
      <vt:lpstr>can2019poolwon</vt:lpstr>
      <vt:lpstr>can2019rwcdrawn</vt:lpstr>
      <vt:lpstr>can2019rwclost</vt:lpstr>
      <vt:lpstr>can2019rwcplayed</vt:lpstr>
      <vt:lpstr>can2019rwcptsagainst</vt:lpstr>
      <vt:lpstr>can2019rwcptsscored</vt:lpstr>
      <vt:lpstr>can2019rwcrc</vt:lpstr>
      <vt:lpstr>can2019rwctriescon</vt:lpstr>
      <vt:lpstr>can2019rwctriesscored</vt:lpstr>
      <vt:lpstr>can2019rwcwon</vt:lpstr>
      <vt:lpstr>can2019rwcyc</vt:lpstr>
      <vt:lpstr>Canadaalltestshistdrawn</vt:lpstr>
      <vt:lpstr>Canadaalltestshistlost</vt:lpstr>
      <vt:lpstr>Canadaalltestshistplayed</vt:lpstr>
      <vt:lpstr>Canadaalltestshistptsagainst</vt:lpstr>
      <vt:lpstr>Canadaalltestshistptsscored</vt:lpstr>
      <vt:lpstr>Canadaalltestshisttriesscored</vt:lpstr>
      <vt:lpstr>Canadaalltestshistwon</vt:lpstr>
      <vt:lpstr>CanadaRWChistdrawn</vt:lpstr>
      <vt:lpstr>CanadaRWChistlost</vt:lpstr>
      <vt:lpstr>CanadaRWChistplayed</vt:lpstr>
      <vt:lpstr>CanadaRWChistptsagainst</vt:lpstr>
      <vt:lpstr>CanadaRWChistptsscored</vt:lpstr>
      <vt:lpstr>CanadaRWChisttriesscored</vt:lpstr>
      <vt:lpstr>CanadaRWChistwon</vt:lpstr>
      <vt:lpstr>drawn</vt:lpstr>
      <vt:lpstr>Eng2019alltestsdrawn</vt:lpstr>
      <vt:lpstr>Eng2019alltestslost</vt:lpstr>
      <vt:lpstr>Eng2019alltestsplayed</vt:lpstr>
      <vt:lpstr>Eng2019alltestsptsagainst</vt:lpstr>
      <vt:lpstr>Eng2019alltestsptsscored</vt:lpstr>
      <vt:lpstr>Eng2019allteststriescon</vt:lpstr>
      <vt:lpstr>Eng2019allteststriesscored</vt:lpstr>
      <vt:lpstr>Eng2019alltestswon</vt:lpstr>
      <vt:lpstr>Eng2019pooldrawn</vt:lpstr>
      <vt:lpstr>Eng2019poollbcon</vt:lpstr>
      <vt:lpstr>Eng2019poollbscored</vt:lpstr>
      <vt:lpstr>Eng2019poollost</vt:lpstr>
      <vt:lpstr>Eng2019poolplayed</vt:lpstr>
      <vt:lpstr>Eng2019poolptsagainst</vt:lpstr>
      <vt:lpstr>Eng2019poolptsscored</vt:lpstr>
      <vt:lpstr>Eng2019pooltbcon</vt:lpstr>
      <vt:lpstr>Eng2019pooltbscored</vt:lpstr>
      <vt:lpstr>Eng2019pooltriescon</vt:lpstr>
      <vt:lpstr>Eng2019pooltriesscored</vt:lpstr>
      <vt:lpstr>Eng2019poolwon</vt:lpstr>
      <vt:lpstr>Eng2019RWCdrawn</vt:lpstr>
      <vt:lpstr>Eng2019RWClost</vt:lpstr>
      <vt:lpstr>Eng2019RWCplayed</vt:lpstr>
      <vt:lpstr>Eng2019RWCptsagainst</vt:lpstr>
      <vt:lpstr>Eng2019RWCptsscored</vt:lpstr>
      <vt:lpstr>Eng2019RWCrc</vt:lpstr>
      <vt:lpstr>Eng2019RWCtriescon</vt:lpstr>
      <vt:lpstr>Eng2019RWCtriesscored</vt:lpstr>
      <vt:lpstr>Eng2019RWCwon</vt:lpstr>
      <vt:lpstr>Eng2019RWCyc</vt:lpstr>
      <vt:lpstr>Englandalltestshistdrawn</vt:lpstr>
      <vt:lpstr>Englandalltestshistlost</vt:lpstr>
      <vt:lpstr>Englandalltestshistplayed</vt:lpstr>
      <vt:lpstr>Englandalltestshistptsagainst</vt:lpstr>
      <vt:lpstr>Englandalltestshistptsscored</vt:lpstr>
      <vt:lpstr>Englandalltestshisttriesscored</vt:lpstr>
      <vt:lpstr>Englandalltestshistwon</vt:lpstr>
      <vt:lpstr>Englanddrawn</vt:lpstr>
      <vt:lpstr>Englandlosingbonus</vt:lpstr>
      <vt:lpstr>Englandlost</vt:lpstr>
      <vt:lpstr>Englandplayed</vt:lpstr>
      <vt:lpstr>Englandptsagainst</vt:lpstr>
      <vt:lpstr>Englandptsscored</vt:lpstr>
      <vt:lpstr>Englandred</vt:lpstr>
      <vt:lpstr>EnglandRWChistdrawn</vt:lpstr>
      <vt:lpstr>EnglandRWChistlost</vt:lpstr>
      <vt:lpstr>EnglandRWChistplayed</vt:lpstr>
      <vt:lpstr>EnglandRWChistptsagainst</vt:lpstr>
      <vt:lpstr>EnglandRWChistptsscored</vt:lpstr>
      <vt:lpstr>EnglandRWChisttriesscored</vt:lpstr>
      <vt:lpstr>EnglandRWChistwon</vt:lpstr>
      <vt:lpstr>Englandtriesagainst</vt:lpstr>
      <vt:lpstr>Englandtriesscored</vt:lpstr>
      <vt:lpstr>Englandtrybonus</vt:lpstr>
      <vt:lpstr>Englandwon</vt:lpstr>
      <vt:lpstr>Englandyellow</vt:lpstr>
      <vt:lpstr>Fij2019alltestsdrawn</vt:lpstr>
      <vt:lpstr>Fij2019alltestslost</vt:lpstr>
      <vt:lpstr>Fij2019alltestsplayed</vt:lpstr>
      <vt:lpstr>Fij2019alltestsptsagainst</vt:lpstr>
      <vt:lpstr>Fij2019alltestsptsscored</vt:lpstr>
      <vt:lpstr>Fij2019allteststriescon</vt:lpstr>
      <vt:lpstr>Fij2019allteststriesscored</vt:lpstr>
      <vt:lpstr>Fij2019alltestswon</vt:lpstr>
      <vt:lpstr>Fij2019pooldrawn</vt:lpstr>
      <vt:lpstr>Fij2019poollbcon</vt:lpstr>
      <vt:lpstr>Fij2019poollbscored</vt:lpstr>
      <vt:lpstr>Fij2019poollost</vt:lpstr>
      <vt:lpstr>Fij2019poolplayed</vt:lpstr>
      <vt:lpstr>Fij2019poolptsagainst</vt:lpstr>
      <vt:lpstr>Fij2019poolptsscored</vt:lpstr>
      <vt:lpstr>Fij2019pooltbcon</vt:lpstr>
      <vt:lpstr>Fij2019pooltbscored</vt:lpstr>
      <vt:lpstr>Fij2019pooltriescon</vt:lpstr>
      <vt:lpstr>Fij2019pooltriesscored</vt:lpstr>
      <vt:lpstr>Fij2019poolwon</vt:lpstr>
      <vt:lpstr>Fij2019RWCdrawn</vt:lpstr>
      <vt:lpstr>Fij2019RWClost</vt:lpstr>
      <vt:lpstr>Fij2019RWCplayed</vt:lpstr>
      <vt:lpstr>Fij2019RWCptsagainst</vt:lpstr>
      <vt:lpstr>Fij2019RWCptsscored</vt:lpstr>
      <vt:lpstr>Fij2019RWCrc</vt:lpstr>
      <vt:lpstr>Fij2019RWCtriescon</vt:lpstr>
      <vt:lpstr>Fij2019RWCtriesscored</vt:lpstr>
      <vt:lpstr>Fij2019RWCwonj</vt:lpstr>
      <vt:lpstr>Fij2019RWCyc</vt:lpstr>
      <vt:lpstr>Fijialltestshistdrawn</vt:lpstr>
      <vt:lpstr>Fijialltestshistlost</vt:lpstr>
      <vt:lpstr>Fijialltestshistplayed</vt:lpstr>
      <vt:lpstr>Fijialltestshistptsagainst</vt:lpstr>
      <vt:lpstr>Fijialltestshistptsscored</vt:lpstr>
      <vt:lpstr>Fijialltestshisttriesscored</vt:lpstr>
      <vt:lpstr>Fijialltestshistwon</vt:lpstr>
      <vt:lpstr>FijiRWChistdrawn</vt:lpstr>
      <vt:lpstr>FijiRWChistlost</vt:lpstr>
      <vt:lpstr>FijiRWChistplayed</vt:lpstr>
      <vt:lpstr>FijiRWChistptsagainst</vt:lpstr>
      <vt:lpstr>FijiRWChistptsscored</vt:lpstr>
      <vt:lpstr>FijiRWChisttriesscored</vt:lpstr>
      <vt:lpstr>FijiRWChistwon</vt:lpstr>
      <vt:lpstr>Fra2019alltestsdrawn</vt:lpstr>
      <vt:lpstr>Fra2019alltestslost</vt:lpstr>
      <vt:lpstr>Fra2019alltestsplayed</vt:lpstr>
      <vt:lpstr>Fra2019alltestsptsagainst</vt:lpstr>
      <vt:lpstr>Fra2019alltestsptsscored</vt:lpstr>
      <vt:lpstr>Fra2019allteststriescon</vt:lpstr>
      <vt:lpstr>Fra2019allteststriesscored</vt:lpstr>
      <vt:lpstr>Fra2019alltestswon</vt:lpstr>
      <vt:lpstr>Fra2019pooldrawn</vt:lpstr>
      <vt:lpstr>Fra2019poollbcon</vt:lpstr>
      <vt:lpstr>Fra2019poollbscored</vt:lpstr>
      <vt:lpstr>Fra2019poollost</vt:lpstr>
      <vt:lpstr>Fra2019poolplayed</vt:lpstr>
      <vt:lpstr>Fra2019poolptsagainst</vt:lpstr>
      <vt:lpstr>Fra2019poolptsagaints</vt:lpstr>
      <vt:lpstr>Fra2019poolptsscored</vt:lpstr>
      <vt:lpstr>Fra2019pooltbcon</vt:lpstr>
      <vt:lpstr>Fra2019pooltbscored</vt:lpstr>
      <vt:lpstr>Fra2019pooltriescon</vt:lpstr>
      <vt:lpstr>Fra2019pooltriesscored</vt:lpstr>
      <vt:lpstr>Fra2019pooltriesscoredcorrect</vt:lpstr>
      <vt:lpstr>Fra2019poolwon</vt:lpstr>
      <vt:lpstr>Fra2019RWCdrawn</vt:lpstr>
      <vt:lpstr>Fra2019RWClost</vt:lpstr>
      <vt:lpstr>Fra2019RWCplayed</vt:lpstr>
      <vt:lpstr>Fra2019RWCptsagainst</vt:lpstr>
      <vt:lpstr>Fra2019RWCptsscored</vt:lpstr>
      <vt:lpstr>Fra2019RWCrc</vt:lpstr>
      <vt:lpstr>Fra2019RWCtriescon</vt:lpstr>
      <vt:lpstr>Fra2019RWCtriesscored</vt:lpstr>
      <vt:lpstr>Fra2019RWCwon</vt:lpstr>
      <vt:lpstr>Fra2019RWCyc</vt:lpstr>
      <vt:lpstr>Francealltestshistdrawn</vt:lpstr>
      <vt:lpstr>Francealltestshistlost</vt:lpstr>
      <vt:lpstr>Francealltestshistplayed</vt:lpstr>
      <vt:lpstr>Francealltestshistptscon</vt:lpstr>
      <vt:lpstr>Francealltestshistptsscored</vt:lpstr>
      <vt:lpstr>Francealltestshisttriesscored</vt:lpstr>
      <vt:lpstr>Francealltestshistwon</vt:lpstr>
      <vt:lpstr>Francedrawn</vt:lpstr>
      <vt:lpstr>Francelosingbonus</vt:lpstr>
      <vt:lpstr>Francelost</vt:lpstr>
      <vt:lpstr>Franceplayed</vt:lpstr>
      <vt:lpstr>Franceptsagainst</vt:lpstr>
      <vt:lpstr>Franceptsscored</vt:lpstr>
      <vt:lpstr>Francered</vt:lpstr>
      <vt:lpstr>FranceRWChistdrawn</vt:lpstr>
      <vt:lpstr>FranceRWChistlost</vt:lpstr>
      <vt:lpstr>FranceRWChistplayed</vt:lpstr>
      <vt:lpstr>FranceRWChistptsagainst</vt:lpstr>
      <vt:lpstr>FranceRWChistptsscored</vt:lpstr>
      <vt:lpstr>FranceRWChisttriesscored</vt:lpstr>
      <vt:lpstr>FranceRWChistwon</vt:lpstr>
      <vt:lpstr>Francetriesagainst</vt:lpstr>
      <vt:lpstr>Francetriesscored</vt:lpstr>
      <vt:lpstr>Francetrybonus</vt:lpstr>
      <vt:lpstr>Francewon</vt:lpstr>
      <vt:lpstr>FRanceyellow</vt:lpstr>
      <vt:lpstr>Geo2019alltestsdrawn</vt:lpstr>
      <vt:lpstr>Geo2019alltestslost</vt:lpstr>
      <vt:lpstr>Geo2019alltestsplayed</vt:lpstr>
      <vt:lpstr>Geo2019alltestsptsagainst</vt:lpstr>
      <vt:lpstr>Geo2019alltestsptsscored</vt:lpstr>
      <vt:lpstr>Geo2019allteststriesconceded</vt:lpstr>
      <vt:lpstr>Geo2019allteststriesscored</vt:lpstr>
      <vt:lpstr>Geo2019alltestswon</vt:lpstr>
      <vt:lpstr>Geo2019pooldrawn</vt:lpstr>
      <vt:lpstr>Geo2019poollbcon</vt:lpstr>
      <vt:lpstr>Geo2019poollbscored</vt:lpstr>
      <vt:lpstr>Geo2019poollost</vt:lpstr>
      <vt:lpstr>Geo2019poolplayed</vt:lpstr>
      <vt:lpstr>Geo2019poolptsagainst</vt:lpstr>
      <vt:lpstr>Geo2019poolptsscored</vt:lpstr>
      <vt:lpstr>Geo2019pooltbcon</vt:lpstr>
      <vt:lpstr>Geo2019pooltbscored</vt:lpstr>
      <vt:lpstr>Geo2019pooltriescon</vt:lpstr>
      <vt:lpstr>Geo2019pooltriesscored</vt:lpstr>
      <vt:lpstr>Geo2019poolwon</vt:lpstr>
      <vt:lpstr>Geo2019RWCdrawn</vt:lpstr>
      <vt:lpstr>Geo2019RWClost</vt:lpstr>
      <vt:lpstr>Geo2019RWCplayed</vt:lpstr>
      <vt:lpstr>Geo2019RWCptsagainst</vt:lpstr>
      <vt:lpstr>Geo2019RWCptsscored</vt:lpstr>
      <vt:lpstr>Geo2019RWCrc</vt:lpstr>
      <vt:lpstr>Geo2019RWCtriescon</vt:lpstr>
      <vt:lpstr>Geo2019RWCtriesscored</vt:lpstr>
      <vt:lpstr>Geo2019RWCwon</vt:lpstr>
      <vt:lpstr>Geo2019RWCyc</vt:lpstr>
      <vt:lpstr>Georgiaalltestshistdrawn</vt:lpstr>
      <vt:lpstr>Georgiaalltestshistlost</vt:lpstr>
      <vt:lpstr>Georgiaalltestshistplayed</vt:lpstr>
      <vt:lpstr>Georgiaalltestshistptsagainst</vt:lpstr>
      <vt:lpstr>Georgiaalltestshistptsscored</vt:lpstr>
      <vt:lpstr>Georgiaalltestshisttriesscored</vt:lpstr>
      <vt:lpstr>Georgiaalltestshistwon</vt:lpstr>
      <vt:lpstr>GeorgiaRWChistdrawn</vt:lpstr>
      <vt:lpstr>GeorgiaRWChistlost</vt:lpstr>
      <vt:lpstr>GeorgiaRWChistplayed</vt:lpstr>
      <vt:lpstr>GeorgiaRWChistptsagainst</vt:lpstr>
      <vt:lpstr>GeorgiaRWChistptsscored</vt:lpstr>
      <vt:lpstr>GeorgiaRWChisttriesscored</vt:lpstr>
      <vt:lpstr>GeorgiaRWChistwon</vt:lpstr>
      <vt:lpstr>Ire2019alltestsdrawn</vt:lpstr>
      <vt:lpstr>Ire2019alltestslost</vt:lpstr>
      <vt:lpstr>Ire2019alltestsplayed</vt:lpstr>
      <vt:lpstr>Ire2019alltestsptscon</vt:lpstr>
      <vt:lpstr>Ire2019alltestsptsscored</vt:lpstr>
      <vt:lpstr>Ire2019allteststriescon</vt:lpstr>
      <vt:lpstr>Ire2019allteststriesscored</vt:lpstr>
      <vt:lpstr>Ire2019alltestswon</vt:lpstr>
      <vt:lpstr>Ire2019pooldrawn</vt:lpstr>
      <vt:lpstr>Ire2019poollbcon</vt:lpstr>
      <vt:lpstr>Ire2019poollbscored</vt:lpstr>
      <vt:lpstr>Ire2019poollost</vt:lpstr>
      <vt:lpstr>Ire2019poolplayed</vt:lpstr>
      <vt:lpstr>Ire2019poolptscon</vt:lpstr>
      <vt:lpstr>Ire2019poolptsscored</vt:lpstr>
      <vt:lpstr>Ire2019pooltbcon</vt:lpstr>
      <vt:lpstr>Ire2019pooltbscored</vt:lpstr>
      <vt:lpstr>Ire2019pooltriescon</vt:lpstr>
      <vt:lpstr>Ire2019pooltriesscored</vt:lpstr>
      <vt:lpstr>Ire2019poolwon</vt:lpstr>
      <vt:lpstr>Ire2019RWCdrawn</vt:lpstr>
      <vt:lpstr>Ire2019RWClost</vt:lpstr>
      <vt:lpstr>Ire2019RWCplayed</vt:lpstr>
      <vt:lpstr>Ire2019RWCptsagainst</vt:lpstr>
      <vt:lpstr>Ire2019RWCptsscored</vt:lpstr>
      <vt:lpstr>Ire2019RWCrc</vt:lpstr>
      <vt:lpstr>Ire2019RWCtriescon</vt:lpstr>
      <vt:lpstr>Ire2019RWCtriesscored</vt:lpstr>
      <vt:lpstr>Ire2019RWCwon</vt:lpstr>
      <vt:lpstr>Ire2019RWCyc</vt:lpstr>
      <vt:lpstr>Irelandalltestshistdrawn</vt:lpstr>
      <vt:lpstr>Irelandalltestshistlost</vt:lpstr>
      <vt:lpstr>Irelandalltestshistplayed</vt:lpstr>
      <vt:lpstr>Irelandalltestshistptsagainst</vt:lpstr>
      <vt:lpstr>Irelandalltestshistptsscored</vt:lpstr>
      <vt:lpstr>Irelandalltestshisttriesscored</vt:lpstr>
      <vt:lpstr>Irelandalltestshistwon</vt:lpstr>
      <vt:lpstr>Irelanddrawn</vt:lpstr>
      <vt:lpstr>Irelandlosingbonus</vt:lpstr>
      <vt:lpstr>Irelandlost</vt:lpstr>
      <vt:lpstr>Irelandplayed</vt:lpstr>
      <vt:lpstr>Irelandptsagainst</vt:lpstr>
      <vt:lpstr>Irelandptsscored</vt:lpstr>
      <vt:lpstr>Irelandred</vt:lpstr>
      <vt:lpstr>IrelandRWChistdrawn</vt:lpstr>
      <vt:lpstr>IrelandRWChistlost</vt:lpstr>
      <vt:lpstr>IrelandRWChistplayed</vt:lpstr>
      <vt:lpstr>IrelandRWChistptsagainst</vt:lpstr>
      <vt:lpstr>IrelandRWChistptsscored</vt:lpstr>
      <vt:lpstr>IrelandRWChisttriesscored</vt:lpstr>
      <vt:lpstr>IrelandRWChistwon</vt:lpstr>
      <vt:lpstr>Irelandtriesagainst</vt:lpstr>
      <vt:lpstr>Irelandtriesscored</vt:lpstr>
      <vt:lpstr>Irelandtrybonus</vt:lpstr>
      <vt:lpstr>Irelandwon</vt:lpstr>
      <vt:lpstr>Irelandyellow</vt:lpstr>
      <vt:lpstr>ita2019alltestsdrawn</vt:lpstr>
      <vt:lpstr>ita2019alltestslost</vt:lpstr>
      <vt:lpstr>ita2019alltestsplayed</vt:lpstr>
      <vt:lpstr>ita2019alltestsptscon</vt:lpstr>
      <vt:lpstr>ita2019alltestsptsscored</vt:lpstr>
      <vt:lpstr>ita2019allteststriescon</vt:lpstr>
      <vt:lpstr>ita2019allteststriesscored</vt:lpstr>
      <vt:lpstr>ita2019alltestswon</vt:lpstr>
      <vt:lpstr>ita2019pooldrawn</vt:lpstr>
      <vt:lpstr>ita2019poollbcon</vt:lpstr>
      <vt:lpstr>ita2019poollbscored</vt:lpstr>
      <vt:lpstr>ita2019poollost</vt:lpstr>
      <vt:lpstr>ita2019poolplayed</vt:lpstr>
      <vt:lpstr>ita2019poolptscon</vt:lpstr>
      <vt:lpstr>ita2019poolptsscored</vt:lpstr>
      <vt:lpstr>ita2019pooltbcon</vt:lpstr>
      <vt:lpstr>ita2019pooltbscored</vt:lpstr>
      <vt:lpstr>ita2019pooltriescon</vt:lpstr>
      <vt:lpstr>ita2019pooltriesscored</vt:lpstr>
      <vt:lpstr>ita2019poolwon</vt:lpstr>
      <vt:lpstr>ita2019RWCdrawn</vt:lpstr>
      <vt:lpstr>ita2019RWClost</vt:lpstr>
      <vt:lpstr>ita2019RWCplayed</vt:lpstr>
      <vt:lpstr>ita2019RWCptscon</vt:lpstr>
      <vt:lpstr>ita2019RWCptsscored</vt:lpstr>
      <vt:lpstr>ita2019RWCrc</vt:lpstr>
      <vt:lpstr>ita2019RWCtriescon</vt:lpstr>
      <vt:lpstr>ita2019RWCtriesscored</vt:lpstr>
      <vt:lpstr>ita2019RWCwon</vt:lpstr>
      <vt:lpstr>ita2019RWCyc</vt:lpstr>
      <vt:lpstr>Italyalltestshistdrawn</vt:lpstr>
      <vt:lpstr>Italyalltestshistlost</vt:lpstr>
      <vt:lpstr>Italyalltestshistplayed</vt:lpstr>
      <vt:lpstr>Italyalltestshistptsagainst</vt:lpstr>
      <vt:lpstr>Italyalltestshistptsscored</vt:lpstr>
      <vt:lpstr>Italyalltestshisttriesscored</vt:lpstr>
      <vt:lpstr>Italyalltestshistwon</vt:lpstr>
      <vt:lpstr>Italydrawn</vt:lpstr>
      <vt:lpstr>Italylosingbonus</vt:lpstr>
      <vt:lpstr>Italylost</vt:lpstr>
      <vt:lpstr>Italyplayed</vt:lpstr>
      <vt:lpstr>Italyptsagainst</vt:lpstr>
      <vt:lpstr>Italyptsscored</vt:lpstr>
      <vt:lpstr>Italyred</vt:lpstr>
      <vt:lpstr>ItalyRWChistdrawn</vt:lpstr>
      <vt:lpstr>ItalyRWChistlost</vt:lpstr>
      <vt:lpstr>ItalyRWChistplayed</vt:lpstr>
      <vt:lpstr>ItalyRWChistptsagainst</vt:lpstr>
      <vt:lpstr>ItalyRWChistptsscored</vt:lpstr>
      <vt:lpstr>ItalyRWChisttriesscored</vt:lpstr>
      <vt:lpstr>ItalyRWChistwon</vt:lpstr>
      <vt:lpstr>Italytriesagainst</vt:lpstr>
      <vt:lpstr>Italytriesscored</vt:lpstr>
      <vt:lpstr>Italytrybonus</vt:lpstr>
      <vt:lpstr>Italywon</vt:lpstr>
      <vt:lpstr>Italyyellow</vt:lpstr>
      <vt:lpstr>Japanalltestshistdrawn</vt:lpstr>
      <vt:lpstr>Japanalltestshistlost</vt:lpstr>
      <vt:lpstr>Japanalltestshistplayed</vt:lpstr>
      <vt:lpstr>Japanalltestshistptscon</vt:lpstr>
      <vt:lpstr>Japanalltestshistptsscored</vt:lpstr>
      <vt:lpstr>Japanalltestshisttriesscored</vt:lpstr>
      <vt:lpstr>Japanalltestshisttriesscoredcorrect</vt:lpstr>
      <vt:lpstr>Japanalltestshistwon</vt:lpstr>
      <vt:lpstr>JapanRWChistdrawn</vt:lpstr>
      <vt:lpstr>JapanRWChistlost</vt:lpstr>
      <vt:lpstr>JapanRWChistplayed</vt:lpstr>
      <vt:lpstr>JapanRWChistptsagainst</vt:lpstr>
      <vt:lpstr>JapanRWChistptsscored</vt:lpstr>
      <vt:lpstr>JapanRWChisttriesscored</vt:lpstr>
      <vt:lpstr>JapanRWChistwon</vt:lpstr>
      <vt:lpstr>jpn2019alltestsdrawn</vt:lpstr>
      <vt:lpstr>jpn2019alltestslost</vt:lpstr>
      <vt:lpstr>jpn2019alltestsplayed</vt:lpstr>
      <vt:lpstr>jpn2019alltestsptsagainst</vt:lpstr>
      <vt:lpstr>jpn2019alltestsptsscored</vt:lpstr>
      <vt:lpstr>jpn2019allteststriescon</vt:lpstr>
      <vt:lpstr>jpn2019allteststriesscored</vt:lpstr>
      <vt:lpstr>jpn2019alltestswon</vt:lpstr>
      <vt:lpstr>jpn2019pooldrawn</vt:lpstr>
      <vt:lpstr>jpn2019poollbcon</vt:lpstr>
      <vt:lpstr>jpn2019poollbscored</vt:lpstr>
      <vt:lpstr>jpn2019poollost</vt:lpstr>
      <vt:lpstr>jpn2019poolplayed</vt:lpstr>
      <vt:lpstr>jpn2019poolptscon</vt:lpstr>
      <vt:lpstr>jpn2019poolptsscored</vt:lpstr>
      <vt:lpstr>jpn2019pooltbcon</vt:lpstr>
      <vt:lpstr>jpn2019pooltbscored</vt:lpstr>
      <vt:lpstr>jpn2019pooltriescon</vt:lpstr>
      <vt:lpstr>jpn2019pooltriesscored</vt:lpstr>
      <vt:lpstr>jpn2019poolwon</vt:lpstr>
      <vt:lpstr>jpn2019rwcdrawn</vt:lpstr>
      <vt:lpstr>jpn2019rwclost</vt:lpstr>
      <vt:lpstr>jpn2019rwcplayed</vt:lpstr>
      <vt:lpstr>jpn2019rwcptsagainst</vt:lpstr>
      <vt:lpstr>jpn2019rwcptsscored</vt:lpstr>
      <vt:lpstr>jpn2019rwcrc</vt:lpstr>
      <vt:lpstr>jpn2019rwctriescon</vt:lpstr>
      <vt:lpstr>jpn2019rwctriesscored</vt:lpstr>
      <vt:lpstr>jpn2019rwcwon</vt:lpstr>
      <vt:lpstr>jpn2019rwcyc</vt:lpstr>
      <vt:lpstr>Nam2019alltestsdrawn</vt:lpstr>
      <vt:lpstr>Nam2019alltestslost</vt:lpstr>
      <vt:lpstr>Nam2019alltestsplayed</vt:lpstr>
      <vt:lpstr>Nam2019alltestsptscon</vt:lpstr>
      <vt:lpstr>Nam2019alltestsptsscored</vt:lpstr>
      <vt:lpstr>Nam2019allteststriescon</vt:lpstr>
      <vt:lpstr>Nam2019allteststriesscored</vt:lpstr>
      <vt:lpstr>Nam2019alltestswon</vt:lpstr>
      <vt:lpstr>Nam2019pooldrawn</vt:lpstr>
      <vt:lpstr>Nam2019poollbcon</vt:lpstr>
      <vt:lpstr>Nam2019poollbscored</vt:lpstr>
      <vt:lpstr>Nam2019poollost</vt:lpstr>
      <vt:lpstr>Nam2019poolplayed</vt:lpstr>
      <vt:lpstr>Nam2019poolptscon</vt:lpstr>
      <vt:lpstr>Nam2019poolptsscored</vt:lpstr>
      <vt:lpstr>Nam2019pooltbcon</vt:lpstr>
      <vt:lpstr>Nam2019pooltbscored</vt:lpstr>
      <vt:lpstr>Nam2019pooltriescon</vt:lpstr>
      <vt:lpstr>Nam2019pooltriesscored</vt:lpstr>
      <vt:lpstr>Nam2019poolwon</vt:lpstr>
      <vt:lpstr>Nam2019RWCdrawn</vt:lpstr>
      <vt:lpstr>Nam2019RWClost</vt:lpstr>
      <vt:lpstr>Nam2019RWCplayed</vt:lpstr>
      <vt:lpstr>Nam2019RWCptsagainst</vt:lpstr>
      <vt:lpstr>Nam2019RWCptsscored</vt:lpstr>
      <vt:lpstr>Nam2019RWCrc</vt:lpstr>
      <vt:lpstr>Nam2019RWCtriescon</vt:lpstr>
      <vt:lpstr>Nam2019RWCtriesscored</vt:lpstr>
      <vt:lpstr>Nam2019RWCwon</vt:lpstr>
      <vt:lpstr>Nam2019RWCyc</vt:lpstr>
      <vt:lpstr>Namibiaalltestshistdrawn</vt:lpstr>
      <vt:lpstr>Namibiaalltestshistlost</vt:lpstr>
      <vt:lpstr>Namibiaalltestshistplayed</vt:lpstr>
      <vt:lpstr>Namibiaalltestshistptscon</vt:lpstr>
      <vt:lpstr>Namibiaalltestshistptsscored</vt:lpstr>
      <vt:lpstr>Namibiaalltestshisttriesscored</vt:lpstr>
      <vt:lpstr>Namibiaalltestshistwon</vt:lpstr>
      <vt:lpstr>NamibiaRWChistdrawn</vt:lpstr>
      <vt:lpstr>NamibiaRWChistlost</vt:lpstr>
      <vt:lpstr>NamibiaRWChistplayed</vt:lpstr>
      <vt:lpstr>NamibiaRWChistptsagainst</vt:lpstr>
      <vt:lpstr>NamibiaRWChistptsscored</vt:lpstr>
      <vt:lpstr>NamibiaRWChisttriesscored</vt:lpstr>
      <vt:lpstr>NamibiaRWChistwon</vt:lpstr>
      <vt:lpstr>New_ZealandRWChistdrawn</vt:lpstr>
      <vt:lpstr>New_ZealandRWChistlost</vt:lpstr>
      <vt:lpstr>New_ZealandRWChistplayed</vt:lpstr>
      <vt:lpstr>New_ZealandRWChistptscon</vt:lpstr>
      <vt:lpstr>New_ZealandRWChistptsconcorrect</vt:lpstr>
      <vt:lpstr>New_ZealandRWChistptsscored</vt:lpstr>
      <vt:lpstr>New_ZealandRWChisttriesscored</vt:lpstr>
      <vt:lpstr>New_ZealandRWChistwon</vt:lpstr>
      <vt:lpstr>Nzl2019alltestsdrawn</vt:lpstr>
      <vt:lpstr>Nzl2019alltestshistdrawn</vt:lpstr>
      <vt:lpstr>Nzl2019alltestshistlost</vt:lpstr>
      <vt:lpstr>Nzl2019alltestshistplayed</vt:lpstr>
      <vt:lpstr>Nzl2019alltestshistptscon</vt:lpstr>
      <vt:lpstr>Nzl2019alltestshistptsscored</vt:lpstr>
      <vt:lpstr>Nzl2019alltestshisttriesscored</vt:lpstr>
      <vt:lpstr>Nzl2019alltestshistwon</vt:lpstr>
      <vt:lpstr>Nzl2019alltestslost</vt:lpstr>
      <vt:lpstr>Nzl2019alltestsplayed</vt:lpstr>
      <vt:lpstr>Nzl2019alltestsptscon</vt:lpstr>
      <vt:lpstr>Nzl2019alltestsptsscored</vt:lpstr>
      <vt:lpstr>Nzl2019allteststriescon</vt:lpstr>
      <vt:lpstr>Nzl2019allteststriesscored</vt:lpstr>
      <vt:lpstr>Nzl2019alltestswon</vt:lpstr>
      <vt:lpstr>Nzl2019pooldrawn</vt:lpstr>
      <vt:lpstr>Nzl2019poollbcon</vt:lpstr>
      <vt:lpstr>Nzl2019poollbscored</vt:lpstr>
      <vt:lpstr>Nzl2019poollost</vt:lpstr>
      <vt:lpstr>Nzl2019poolplayed</vt:lpstr>
      <vt:lpstr>Nzl2019poolptscon</vt:lpstr>
      <vt:lpstr>Nzl2019poolptsscored</vt:lpstr>
      <vt:lpstr>Nzl2019pooltbcon</vt:lpstr>
      <vt:lpstr>Nzl2019pooltbscored</vt:lpstr>
      <vt:lpstr>Nzl2019pooltriescon</vt:lpstr>
      <vt:lpstr>Nzl2019pooltriesscored</vt:lpstr>
      <vt:lpstr>Nzl2019poolwon</vt:lpstr>
      <vt:lpstr>Nzl2019RWCdrawn</vt:lpstr>
      <vt:lpstr>Nzl2019RWClost</vt:lpstr>
      <vt:lpstr>Nzl2019RWCplayed</vt:lpstr>
      <vt:lpstr>Nzl2019RWCptsscon</vt:lpstr>
      <vt:lpstr>Nzl2019RWCptsscored</vt:lpstr>
      <vt:lpstr>Nzl2019RWCrc</vt:lpstr>
      <vt:lpstr>Nzl2019RWCtriescon</vt:lpstr>
      <vt:lpstr>Nzl2019RWCtriesscored</vt:lpstr>
      <vt:lpstr>Nzl2019RWCwon</vt:lpstr>
      <vt:lpstr>Nzl2019RWCyc</vt:lpstr>
      <vt:lpstr>Rsa2019alltestsdrawn</vt:lpstr>
      <vt:lpstr>Rsa2019alltestslost</vt:lpstr>
      <vt:lpstr>Rsa2019alltestsplayed</vt:lpstr>
      <vt:lpstr>Rsa2019alltestsptscon</vt:lpstr>
      <vt:lpstr>Rsa2019alltestsptsscored</vt:lpstr>
      <vt:lpstr>Rsa2019allteststriescon</vt:lpstr>
      <vt:lpstr>Rsa2019allteststriesscored</vt:lpstr>
      <vt:lpstr>Rsa2019alltestswon</vt:lpstr>
      <vt:lpstr>Rsa2019pooldrawn</vt:lpstr>
      <vt:lpstr>Rsa2019poollbcon</vt:lpstr>
      <vt:lpstr>Rsa2019poollbscored</vt:lpstr>
      <vt:lpstr>Rsa2019poollost</vt:lpstr>
      <vt:lpstr>Rsa2019poolplayed</vt:lpstr>
      <vt:lpstr>Rsa2019poolptscon</vt:lpstr>
      <vt:lpstr>Rsa2019poolptsscored</vt:lpstr>
      <vt:lpstr>Rsa2019pooltbcon</vt:lpstr>
      <vt:lpstr>Rsa2019pooltbscored</vt:lpstr>
      <vt:lpstr>Rsa2019pooltriescon</vt:lpstr>
      <vt:lpstr>Rsa2019pooltriesscored</vt:lpstr>
      <vt:lpstr>Rsa2019poolwon</vt:lpstr>
      <vt:lpstr>Rsa2019RWCdrawn</vt:lpstr>
      <vt:lpstr>Rsa2019RWClost</vt:lpstr>
      <vt:lpstr>Rsa2019RWCplayed</vt:lpstr>
      <vt:lpstr>Rsa2019RWCptscon</vt:lpstr>
      <vt:lpstr>Rsa2019RWCptsscored</vt:lpstr>
      <vt:lpstr>Rsa2019RWCrc</vt:lpstr>
      <vt:lpstr>Rsa2019RWCtriescon</vt:lpstr>
      <vt:lpstr>Rsa2019RWCtriesscored</vt:lpstr>
      <vt:lpstr>Rsa2019RWCwon</vt:lpstr>
      <vt:lpstr>Rsa2019RWCyc</vt:lpstr>
      <vt:lpstr>Rsaalltestshistdrawn</vt:lpstr>
      <vt:lpstr>Rsaalltestshistlost</vt:lpstr>
      <vt:lpstr>Rsaalltestshistplayed</vt:lpstr>
      <vt:lpstr>Rsaalltestshistptscon</vt:lpstr>
      <vt:lpstr>Rsaalltestshistptsscored</vt:lpstr>
      <vt:lpstr>Rsaalltestshisttriesscored</vt:lpstr>
      <vt:lpstr>Rsaalltestshistwon</vt:lpstr>
      <vt:lpstr>RsaRWChistdrawn</vt:lpstr>
      <vt:lpstr>RsaRWChistlost</vt:lpstr>
      <vt:lpstr>RsaRWChistplayed</vt:lpstr>
      <vt:lpstr>RsaRWChistptscon</vt:lpstr>
      <vt:lpstr>RsaRWChistptsscored</vt:lpstr>
      <vt:lpstr>RsaRWChisttriesscored</vt:lpstr>
      <vt:lpstr>RsaRWChistwon</vt:lpstr>
      <vt:lpstr>Rus2019alltestsdrawn</vt:lpstr>
      <vt:lpstr>Rus2019alltestslost</vt:lpstr>
      <vt:lpstr>Rus2019alltestsplayed</vt:lpstr>
      <vt:lpstr>Rus2019alltestsptscon</vt:lpstr>
      <vt:lpstr>Rus2019alltestsptsscored</vt:lpstr>
      <vt:lpstr>Rus2019allteststriescon</vt:lpstr>
      <vt:lpstr>Rus2019allteststriescored</vt:lpstr>
      <vt:lpstr>Rus2019alltestswon</vt:lpstr>
      <vt:lpstr>Rus2019pooldrawn</vt:lpstr>
      <vt:lpstr>Rus2019poollbcon</vt:lpstr>
      <vt:lpstr>Rus2019poollbscored</vt:lpstr>
      <vt:lpstr>Rus2019poollost</vt:lpstr>
      <vt:lpstr>Rus2019poolplayed</vt:lpstr>
      <vt:lpstr>Rus2019poolplayedcorrect</vt:lpstr>
      <vt:lpstr>Rus2019poolptscon</vt:lpstr>
      <vt:lpstr>Rus2019poolptsscored</vt:lpstr>
      <vt:lpstr>Rus2019pooltbcon</vt:lpstr>
      <vt:lpstr>Rus2019pooltbscored</vt:lpstr>
      <vt:lpstr>Rus2019pooltriescon</vt:lpstr>
      <vt:lpstr>Rus2019pooltriesscored</vt:lpstr>
      <vt:lpstr>Rus2019poolwon</vt:lpstr>
      <vt:lpstr>Rus2019poolwoncorrect</vt:lpstr>
      <vt:lpstr>Rus2019RWCdrawn</vt:lpstr>
      <vt:lpstr>Rus2019RWClost</vt:lpstr>
      <vt:lpstr>Rus2019RWCplayed</vt:lpstr>
      <vt:lpstr>Rus2019RWCptscon</vt:lpstr>
      <vt:lpstr>Rus2019RWCptsscored</vt:lpstr>
      <vt:lpstr>Rus2019RWCrc</vt:lpstr>
      <vt:lpstr>Rus2019RWCtriescon</vt:lpstr>
      <vt:lpstr>Rus2019RWCtriesscored</vt:lpstr>
      <vt:lpstr>Rus2019RWCwon</vt:lpstr>
      <vt:lpstr>Rus2019RWCyc</vt:lpstr>
      <vt:lpstr>Russiaalltestshistdrawn</vt:lpstr>
      <vt:lpstr>Russiaalltestshistlost</vt:lpstr>
      <vt:lpstr>Russiaalltestshistplayed</vt:lpstr>
      <vt:lpstr>Russiaalltestshistptsagainst</vt:lpstr>
      <vt:lpstr>Russiaalltestshistptsscored</vt:lpstr>
      <vt:lpstr>Russiaalltestshisttriesscored</vt:lpstr>
      <vt:lpstr>Russiaalltestshistwon</vt:lpstr>
      <vt:lpstr>RussiaRWChistdrawn</vt:lpstr>
      <vt:lpstr>RussiaRWChistlost</vt:lpstr>
      <vt:lpstr>RussiaRWChistplayed</vt:lpstr>
      <vt:lpstr>RussiaRWChistptscon</vt:lpstr>
      <vt:lpstr>RussiaRWChistptsscored</vt:lpstr>
      <vt:lpstr>RussiaRWChisttriesscored</vt:lpstr>
      <vt:lpstr>RussiaRWChistwon</vt:lpstr>
      <vt:lpstr>RWC2019startarg</vt:lpstr>
      <vt:lpstr>RWC2019startaus</vt:lpstr>
      <vt:lpstr>RWC2019startcan</vt:lpstr>
      <vt:lpstr>RWC2019starteng</vt:lpstr>
      <vt:lpstr>RWC2019startfij</vt:lpstr>
      <vt:lpstr>RWC2019startfra</vt:lpstr>
      <vt:lpstr>RWC2019startgeo</vt:lpstr>
      <vt:lpstr>RWC2019startire</vt:lpstr>
      <vt:lpstr>RWC2019startita</vt:lpstr>
      <vt:lpstr>RWC2019startjpn</vt:lpstr>
      <vt:lpstr>RWC2019startnam</vt:lpstr>
      <vt:lpstr>RWC2019startnzl</vt:lpstr>
      <vt:lpstr>RWC2019startrsa</vt:lpstr>
      <vt:lpstr>RWC2019startrus</vt:lpstr>
      <vt:lpstr>RWC2019startsam</vt:lpstr>
      <vt:lpstr>RWC2019startsco</vt:lpstr>
      <vt:lpstr>RWCstartton</vt:lpstr>
      <vt:lpstr>RWCstartUru</vt:lpstr>
      <vt:lpstr>RWCstartUSA</vt:lpstr>
      <vt:lpstr>RWCstartwal</vt:lpstr>
      <vt:lpstr>Sam2019alltestsdrawn</vt:lpstr>
      <vt:lpstr>Sam2019alltestslost</vt:lpstr>
      <vt:lpstr>Sam2019alltestsplayed</vt:lpstr>
      <vt:lpstr>Sam2019alltestsptscon</vt:lpstr>
      <vt:lpstr>Sam2019alltestsptsscored</vt:lpstr>
      <vt:lpstr>Sam2019allteststriescon</vt:lpstr>
      <vt:lpstr>Sam2019allteststriescored</vt:lpstr>
      <vt:lpstr>Sam2019alltestswon</vt:lpstr>
      <vt:lpstr>Sam2019pooldrawn</vt:lpstr>
      <vt:lpstr>Sam2019poollbcon</vt:lpstr>
      <vt:lpstr>Sam2019poollbscored</vt:lpstr>
      <vt:lpstr>Sam2019poollost</vt:lpstr>
      <vt:lpstr>Sam2019poolplayed</vt:lpstr>
      <vt:lpstr>Sam2019poolptscon</vt:lpstr>
      <vt:lpstr>Sam2019poolptsscored</vt:lpstr>
      <vt:lpstr>Sam2019pooltbcon</vt:lpstr>
      <vt:lpstr>Sam2019pooltbscored</vt:lpstr>
      <vt:lpstr>Sam2019pooltriescon</vt:lpstr>
      <vt:lpstr>Sam2019pooltriesscored</vt:lpstr>
      <vt:lpstr>Sam2019poolwon</vt:lpstr>
      <vt:lpstr>Sam2019RWCdrawn</vt:lpstr>
      <vt:lpstr>Sam2019RWClost</vt:lpstr>
      <vt:lpstr>Sam2019RWCplayed</vt:lpstr>
      <vt:lpstr>Sam2019RWCptscon</vt:lpstr>
      <vt:lpstr>Sam2019RWCptsscored</vt:lpstr>
      <vt:lpstr>SAM2019rwcRC</vt:lpstr>
      <vt:lpstr>Sam2019RWCtriescon</vt:lpstr>
      <vt:lpstr>Sam2019RWCtriescored</vt:lpstr>
      <vt:lpstr>Sam2019RWCwon</vt:lpstr>
      <vt:lpstr>Sam2019RWCyc</vt:lpstr>
      <vt:lpstr>Samalltestshistdrawn</vt:lpstr>
      <vt:lpstr>Samalltestshistlost</vt:lpstr>
      <vt:lpstr>Samalltestshistplayed</vt:lpstr>
      <vt:lpstr>Samalltestshistptscon</vt:lpstr>
      <vt:lpstr>Samalltestshistptsscored</vt:lpstr>
      <vt:lpstr>SamalltestshistTRIESSCORED</vt:lpstr>
      <vt:lpstr>Samalltestshistwon</vt:lpstr>
      <vt:lpstr>SamRWChistdrawn</vt:lpstr>
      <vt:lpstr>SamRWChistlost</vt:lpstr>
      <vt:lpstr>SamRWChistplayed</vt:lpstr>
      <vt:lpstr>SamRWChistptscon</vt:lpstr>
      <vt:lpstr>SamRWChistptsscored</vt:lpstr>
      <vt:lpstr>SamRWChisttriesscored</vt:lpstr>
      <vt:lpstr>SamRWChistwon</vt:lpstr>
      <vt:lpstr>Sco2019alltestsdrawn</vt:lpstr>
      <vt:lpstr>Sco2019alltestslost</vt:lpstr>
      <vt:lpstr>Sco2019alltestsplayed</vt:lpstr>
      <vt:lpstr>Sco2019alltestsptsagainst</vt:lpstr>
      <vt:lpstr>Sco2019alltestsptsscored</vt:lpstr>
      <vt:lpstr>Sco2019allteststriescon</vt:lpstr>
      <vt:lpstr>Sco2019allteststriesscored</vt:lpstr>
      <vt:lpstr>Sco2019alltestswon</vt:lpstr>
      <vt:lpstr>Sco2019pooldrawn</vt:lpstr>
      <vt:lpstr>Sco2019poollbcon</vt:lpstr>
      <vt:lpstr>Sco2019poollbscored</vt:lpstr>
      <vt:lpstr>sco2019poollost</vt:lpstr>
      <vt:lpstr>Sco2019poolplayed</vt:lpstr>
      <vt:lpstr>Sco2019poolptsagainst</vt:lpstr>
      <vt:lpstr>Sco2019poolptsscored</vt:lpstr>
      <vt:lpstr>Sco2019pooltbcon</vt:lpstr>
      <vt:lpstr>Sco2019pooltbscored</vt:lpstr>
      <vt:lpstr>Sco2019pooltriescon</vt:lpstr>
      <vt:lpstr>Sco2019pooltriesscored</vt:lpstr>
      <vt:lpstr>Sco2019poolwon</vt:lpstr>
      <vt:lpstr>Sco2019RWCdrawn</vt:lpstr>
      <vt:lpstr>Sco2019RWClost</vt:lpstr>
      <vt:lpstr>Sco2019RWCplayed</vt:lpstr>
      <vt:lpstr>Sco2019RWCptscon</vt:lpstr>
      <vt:lpstr>Sco2019RWCptsscored</vt:lpstr>
      <vt:lpstr>Sco2019RWCrc</vt:lpstr>
      <vt:lpstr>Sco2019RWCtriescon</vt:lpstr>
      <vt:lpstr>Sco2019RWCtriesscored</vt:lpstr>
      <vt:lpstr>Sco2019RWCwon</vt:lpstr>
      <vt:lpstr>Sco2019RWCyc</vt:lpstr>
      <vt:lpstr>Scotlandalltestshistdrawn</vt:lpstr>
      <vt:lpstr>Scotlandalltestshistlost</vt:lpstr>
      <vt:lpstr>Scotlandalltestshistplayed</vt:lpstr>
      <vt:lpstr>Scotlandalltestshistptscon</vt:lpstr>
      <vt:lpstr>Scotlandalltestshistptsscored</vt:lpstr>
      <vt:lpstr>Scotlandalltestshisttriesscored</vt:lpstr>
      <vt:lpstr>Scotlandalltestshistwon</vt:lpstr>
      <vt:lpstr>Scotlanddrawn</vt:lpstr>
      <vt:lpstr>Scotlandlosingbonus</vt:lpstr>
      <vt:lpstr>Scotlandlost</vt:lpstr>
      <vt:lpstr>Scotlandplayed</vt:lpstr>
      <vt:lpstr>Scotlandptsagainst</vt:lpstr>
      <vt:lpstr>Scotlandptsscored</vt:lpstr>
      <vt:lpstr>Scotlandred</vt:lpstr>
      <vt:lpstr>ScotlandRWChistdrawn</vt:lpstr>
      <vt:lpstr>ScotlandRWChistlost</vt:lpstr>
      <vt:lpstr>ScotlandRWChistplayed</vt:lpstr>
      <vt:lpstr>ScotlandRWChistptscon</vt:lpstr>
      <vt:lpstr>ScotlandRWChistptsscored</vt:lpstr>
      <vt:lpstr>ScotlandRWChisttriesscored</vt:lpstr>
      <vt:lpstr>ScotlandRWChistwon</vt:lpstr>
      <vt:lpstr>Scotlandtriesagainst</vt:lpstr>
      <vt:lpstr>Scotlandtriesscored</vt:lpstr>
      <vt:lpstr>Scotlandtrybonus</vt:lpstr>
      <vt:lpstr>Scotlandwon</vt:lpstr>
      <vt:lpstr>Scotlandyellow</vt:lpstr>
      <vt:lpstr>Ton2019alltestsdrawn</vt:lpstr>
      <vt:lpstr>Ton2019alltestslost</vt:lpstr>
      <vt:lpstr>Ton2019alltestsplayed</vt:lpstr>
      <vt:lpstr>Ton2019alltestsptscon</vt:lpstr>
      <vt:lpstr>Ton2019alltestsptsscored</vt:lpstr>
      <vt:lpstr>Ton2019allteststriescon</vt:lpstr>
      <vt:lpstr>Ton2019allteststriesscored</vt:lpstr>
      <vt:lpstr>Ton2019alltestswon</vt:lpstr>
      <vt:lpstr>Ton2019pooldrawn</vt:lpstr>
      <vt:lpstr>Ton2019poollbcon</vt:lpstr>
      <vt:lpstr>Ton2019poollbscored</vt:lpstr>
      <vt:lpstr>Ton2019poollost</vt:lpstr>
      <vt:lpstr>Ton2019poolplayed</vt:lpstr>
      <vt:lpstr>Ton2019poolplayedcorrect</vt:lpstr>
      <vt:lpstr>Ton2019poolptscon</vt:lpstr>
      <vt:lpstr>Ton2019poolptsscored</vt:lpstr>
      <vt:lpstr>Ton2019poolrtbcon</vt:lpstr>
      <vt:lpstr>Ton2019pooltbscored</vt:lpstr>
      <vt:lpstr>Ton2019pooltriescon</vt:lpstr>
      <vt:lpstr>Ton2019pooltriesscored</vt:lpstr>
      <vt:lpstr>Ton2019poolwon</vt:lpstr>
      <vt:lpstr>Ton2019RWCdrawn</vt:lpstr>
      <vt:lpstr>Ton2019RWClost</vt:lpstr>
      <vt:lpstr>Ton2019RWCplayed</vt:lpstr>
      <vt:lpstr>Ton2019RWCptscon</vt:lpstr>
      <vt:lpstr>Ton2019RWCptsscored</vt:lpstr>
      <vt:lpstr>Ton2019RWCrc</vt:lpstr>
      <vt:lpstr>Ton2019RWCtriescon</vt:lpstr>
      <vt:lpstr>Ton2019RWCtriesscored</vt:lpstr>
      <vt:lpstr>Ton2019RWCwon</vt:lpstr>
      <vt:lpstr>Ton2019RWCyc</vt:lpstr>
      <vt:lpstr>Tongaalltestshistdrawn</vt:lpstr>
      <vt:lpstr>Tongaalltestshistlost</vt:lpstr>
      <vt:lpstr>Tongaalltestshistplayed</vt:lpstr>
      <vt:lpstr>Tongaalltestshistptsagainst</vt:lpstr>
      <vt:lpstr>Tongaalltestshistptsscored</vt:lpstr>
      <vt:lpstr>Tongaalltestshisttriesscored</vt:lpstr>
      <vt:lpstr>Tongaalltestshistwon</vt:lpstr>
      <vt:lpstr>TongaRWChistdrawn</vt:lpstr>
      <vt:lpstr>TongaRWChistlost</vt:lpstr>
      <vt:lpstr>TongaRWChistplayed</vt:lpstr>
      <vt:lpstr>TongaRWChistptscon</vt:lpstr>
      <vt:lpstr>TongaRWChistptsscored</vt:lpstr>
      <vt:lpstr>TongaRWChisttriesscored</vt:lpstr>
      <vt:lpstr>TongaRWChistwon</vt:lpstr>
      <vt:lpstr>United_Statesalltestshistdrawn</vt:lpstr>
      <vt:lpstr>United_Statesalltestshistlost</vt:lpstr>
      <vt:lpstr>United_Statesalltestshistplayed</vt:lpstr>
      <vt:lpstr>United_Statesalltestshistptscon</vt:lpstr>
      <vt:lpstr>United_Statesalltestshistptsscored</vt:lpstr>
      <vt:lpstr>United_Statesalltestshisttriesscored</vt:lpstr>
      <vt:lpstr>United_Statesalltestshistwon</vt:lpstr>
      <vt:lpstr>United_StatesRWChistdrawn</vt:lpstr>
      <vt:lpstr>United_StatesRWChistlost</vt:lpstr>
      <vt:lpstr>United_StatesRWChistplayed</vt:lpstr>
      <vt:lpstr>United_StatesRWChistptscon</vt:lpstr>
      <vt:lpstr>United_StatesRWChistptsscored</vt:lpstr>
      <vt:lpstr>United_StatesRWChisttriesscored</vt:lpstr>
      <vt:lpstr>United_StatesRWChistwon</vt:lpstr>
      <vt:lpstr>Uru2019alltestsdrawn</vt:lpstr>
      <vt:lpstr>Uru2019alltestslost</vt:lpstr>
      <vt:lpstr>Uru2019alltestsplayed</vt:lpstr>
      <vt:lpstr>Uru2019alltestsplayedcorrect</vt:lpstr>
      <vt:lpstr>Uru2019alltestsptscon</vt:lpstr>
      <vt:lpstr>Uru2019alltestsptsscored</vt:lpstr>
      <vt:lpstr>Uru2019allteststriescon</vt:lpstr>
      <vt:lpstr>Uru2019allteststriesconcorrect</vt:lpstr>
      <vt:lpstr>Uru2019allteststriesscored</vt:lpstr>
      <vt:lpstr>Uru2019alltestswon</vt:lpstr>
      <vt:lpstr>Uru2019pooldrawn</vt:lpstr>
      <vt:lpstr>Uru2019poollbcon</vt:lpstr>
      <vt:lpstr>Uru2019poollbscored</vt:lpstr>
      <vt:lpstr>Uru2019poollost</vt:lpstr>
      <vt:lpstr>Uru2019poolplayed</vt:lpstr>
      <vt:lpstr>Uru2019poolptsagainst</vt:lpstr>
      <vt:lpstr>Uru2019poolptscon</vt:lpstr>
      <vt:lpstr>Uru2019poolptsconcorrect</vt:lpstr>
      <vt:lpstr>Uru2019poolptsscored</vt:lpstr>
      <vt:lpstr>Uru2019pooltbcon</vt:lpstr>
      <vt:lpstr>Uru2019pooltbscored</vt:lpstr>
      <vt:lpstr>Uru2019pooltriescon</vt:lpstr>
      <vt:lpstr>Uru2019pooltriesscored</vt:lpstr>
      <vt:lpstr>uru2019poolwon</vt:lpstr>
      <vt:lpstr>Uru2019RWCdrawn</vt:lpstr>
      <vt:lpstr>Uru2019RWClostcorrect</vt:lpstr>
      <vt:lpstr>Uru2019RWCplayed</vt:lpstr>
      <vt:lpstr>Uru2019RWCptscon</vt:lpstr>
      <vt:lpstr>Uru2019RWCptsscored</vt:lpstr>
      <vt:lpstr>Uru2019RWCrc</vt:lpstr>
      <vt:lpstr>Uru2019RWCtriescon</vt:lpstr>
      <vt:lpstr>Uru2019RWCtriesscored</vt:lpstr>
      <vt:lpstr>Uru2019RWCwon</vt:lpstr>
      <vt:lpstr>Uru2019RWCyc</vt:lpstr>
      <vt:lpstr>Urualltestshistdrawn</vt:lpstr>
      <vt:lpstr>Urualltestshistlost</vt:lpstr>
      <vt:lpstr>Urualltestshistplayed</vt:lpstr>
      <vt:lpstr>Urualltestshistptscon</vt:lpstr>
      <vt:lpstr>Urualltestshistptsscored</vt:lpstr>
      <vt:lpstr>Urualltestshisttriesscored</vt:lpstr>
      <vt:lpstr>Urualltestshistwon</vt:lpstr>
      <vt:lpstr>UruRWChistdrawn</vt:lpstr>
      <vt:lpstr>UruRWChistlost</vt:lpstr>
      <vt:lpstr>UruRWChistplayed</vt:lpstr>
      <vt:lpstr>UruRWChistptscon</vt:lpstr>
      <vt:lpstr>UruRWChistptsscored</vt:lpstr>
      <vt:lpstr>UruRWChisttriesscored</vt:lpstr>
      <vt:lpstr>UruRWChistwon</vt:lpstr>
      <vt:lpstr>USA2019alltestsdrawn</vt:lpstr>
      <vt:lpstr>USA2019alltestslost</vt:lpstr>
      <vt:lpstr>USA2019alltestsplayed</vt:lpstr>
      <vt:lpstr>USA2019alltestsptscon</vt:lpstr>
      <vt:lpstr>USA2019alltestsptsscored</vt:lpstr>
      <vt:lpstr>USA2019allteststriescon</vt:lpstr>
      <vt:lpstr>USA2019allteststriesscored</vt:lpstr>
      <vt:lpstr>USA2019alltestswon</vt:lpstr>
      <vt:lpstr>USA2019pooldrawn</vt:lpstr>
      <vt:lpstr>USA2019poollbcon</vt:lpstr>
      <vt:lpstr>USA2019poollbscored</vt:lpstr>
      <vt:lpstr>USA2019poollost</vt:lpstr>
      <vt:lpstr>USA2019poolplayed</vt:lpstr>
      <vt:lpstr>USA2019poolptscon</vt:lpstr>
      <vt:lpstr>USA2019poolptsscored</vt:lpstr>
      <vt:lpstr>USA2019pooltbcon</vt:lpstr>
      <vt:lpstr>USA2019pooltbscored</vt:lpstr>
      <vt:lpstr>USA2019pooltriescon</vt:lpstr>
      <vt:lpstr>USA2019pooltriesscored</vt:lpstr>
      <vt:lpstr>USA2019poolwon</vt:lpstr>
      <vt:lpstr>USA2019RWCdrawn</vt:lpstr>
      <vt:lpstr>USA2019RWClost</vt:lpstr>
      <vt:lpstr>USA2019RWCplayed</vt:lpstr>
      <vt:lpstr>USA2019RWCptscon</vt:lpstr>
      <vt:lpstr>USA2019RWCptsscored</vt:lpstr>
      <vt:lpstr>USA2019RWCrc</vt:lpstr>
      <vt:lpstr>USA2019RWCtriescon</vt:lpstr>
      <vt:lpstr>USA2019RWCtriesscored</vt:lpstr>
      <vt:lpstr>USA2019RWCwon</vt:lpstr>
      <vt:lpstr>USA2019RWCyc</vt:lpstr>
      <vt:lpstr>vdrawn</vt:lpstr>
      <vt:lpstr>vlost</vt:lpstr>
      <vt:lpstr>vrc</vt:lpstr>
      <vt:lpstr>vtriesscored</vt:lpstr>
      <vt:lpstr>vwon</vt:lpstr>
      <vt:lpstr>Wal2019alltestsdrawn</vt:lpstr>
      <vt:lpstr>Wal2019alltestslostcorrect</vt:lpstr>
      <vt:lpstr>Wal2019alltestsplayed</vt:lpstr>
      <vt:lpstr>Wal2019alltestsptscon</vt:lpstr>
      <vt:lpstr>Wal2019alltestsptsscored</vt:lpstr>
      <vt:lpstr>Wal2019allteststriescon</vt:lpstr>
      <vt:lpstr>Wal2019allteststriesscored</vt:lpstr>
      <vt:lpstr>Wal2019alltestswon</vt:lpstr>
      <vt:lpstr>Wal2019pooldrawn</vt:lpstr>
      <vt:lpstr>Wal2019poollbcon</vt:lpstr>
      <vt:lpstr>Wal2019poollbscored</vt:lpstr>
      <vt:lpstr>Wal2019poollostcorrect</vt:lpstr>
      <vt:lpstr>Wal2019poolplayed</vt:lpstr>
      <vt:lpstr>Wal2019poolptscon</vt:lpstr>
      <vt:lpstr>Wal2019poolptsscored</vt:lpstr>
      <vt:lpstr>Wal2019pooltbcon</vt:lpstr>
      <vt:lpstr>Wal2019pooltbscored</vt:lpstr>
      <vt:lpstr>Wal2019pooltriescon</vt:lpstr>
      <vt:lpstr>Wal2019pooltriesscored</vt:lpstr>
      <vt:lpstr>Wal2019poolwon</vt:lpstr>
      <vt:lpstr>Wal2019RWCdrawn</vt:lpstr>
      <vt:lpstr>Wal2019RWClost</vt:lpstr>
      <vt:lpstr>Wal2019RWCplayed</vt:lpstr>
      <vt:lpstr>Wal2019RWCptscon</vt:lpstr>
      <vt:lpstr>Wal2019RWCptsscored</vt:lpstr>
      <vt:lpstr>Wal2019RWCrc</vt:lpstr>
      <vt:lpstr>Wal2019RWCtriescon</vt:lpstr>
      <vt:lpstr>Wal2019RWCtriesscored</vt:lpstr>
      <vt:lpstr>Wal2019RWCwon</vt:lpstr>
      <vt:lpstr>Wal2019RWCyc</vt:lpstr>
      <vt:lpstr>Walesalltestshistdrawn</vt:lpstr>
      <vt:lpstr>Walesalltestshistlost</vt:lpstr>
      <vt:lpstr>Walesalltestshistplayed</vt:lpstr>
      <vt:lpstr>Walesalltestshistptscon</vt:lpstr>
      <vt:lpstr>Walesalltestshistptsscored</vt:lpstr>
      <vt:lpstr>Walesalltestshisttriesscored</vt:lpstr>
      <vt:lpstr>Walesalltestshistwon</vt:lpstr>
      <vt:lpstr>Walesdrawn</vt:lpstr>
      <vt:lpstr>Waleslosingbonus</vt:lpstr>
      <vt:lpstr>Waleslost</vt:lpstr>
      <vt:lpstr>Walesplayed</vt:lpstr>
      <vt:lpstr>Walesptsagainst</vt:lpstr>
      <vt:lpstr>Walesptsscored</vt:lpstr>
      <vt:lpstr>Walesred</vt:lpstr>
      <vt:lpstr>WalesRWChistdrawn</vt:lpstr>
      <vt:lpstr>WalesRWChistlost</vt:lpstr>
      <vt:lpstr>WalesRWChistplayed</vt:lpstr>
      <vt:lpstr>WalesRWChistptscon</vt:lpstr>
      <vt:lpstr>WalesRWChistptsscored</vt:lpstr>
      <vt:lpstr>WalesRWChisttriesscored</vt:lpstr>
      <vt:lpstr>WalesRWChistwon</vt:lpstr>
      <vt:lpstr>Walestriesagainst</vt:lpstr>
      <vt:lpstr>Walestriesscored</vt:lpstr>
      <vt:lpstr>Walestrybonus</vt:lpstr>
      <vt:lpstr>Waleswon</vt:lpstr>
      <vt:lpstr>Walesyellow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cp:lastPrinted>2014-11-10T19:20:47Z</cp:lastPrinted>
  <dcterms:created xsi:type="dcterms:W3CDTF">2013-06-01T17:42:48Z</dcterms:created>
  <dcterms:modified xsi:type="dcterms:W3CDTF">2023-10-26T08:40:32Z</dcterms:modified>
</cp:coreProperties>
</file>