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d.docs.live.net/97d62a7607d3ee9b/Hillsport Media/INTERNATIONAL MEN'S RUGBY/2023/"/>
    </mc:Choice>
  </mc:AlternateContent>
  <xr:revisionPtr revIDLastSave="678" documentId="8_{1C27E33A-2FF5-4942-ABDC-4A920A5EA597}" xr6:coauthVersionLast="47" xr6:coauthVersionMax="47" xr10:uidLastSave="{83A7A83E-FDCD-45F0-83C0-135760FA79F4}"/>
  <bookViews>
    <workbookView xWindow="-26192" yWindow="747" windowWidth="26301" windowHeight="14169" tabRatio="994" firstSheet="4" activeTab="27" xr2:uid="{00000000-000D-0000-FFFF-FFFF00000000}"/>
  </bookViews>
  <sheets>
    <sheet name="Sum" sheetId="41" r:id="rId1"/>
    <sheet name="Res" sheetId="34" r:id="rId2"/>
    <sheet name="WC Res &amp; Tabs" sheetId="47" r:id="rId3"/>
    <sheet name="WC Cds" sheetId="43" r:id="rId4"/>
    <sheet name="WC Sts" sheetId="48" r:id="rId5"/>
    <sheet name="6N Tab" sheetId="31" r:id="rId6"/>
    <sheet name="6N Res" sheetId="33" r:id="rId7"/>
    <sheet name="6N Cds" sheetId="32" r:id="rId8"/>
    <sheet name="TRC Tab" sheetId="45" r:id="rId9"/>
    <sheet name="TRC Res" sheetId="46" r:id="rId10"/>
    <sheet name="TRC Cds" sheetId="42" r:id="rId11"/>
    <sheet name="ARG" sheetId="9" r:id="rId12"/>
    <sheet name="AUS" sheetId="10" r:id="rId13"/>
    <sheet name="CAN" sheetId="14" r:id="rId14"/>
    <sheet name="CHI" sheetId="49" r:id="rId15"/>
    <sheet name="ENG" sheetId="11" r:id="rId16"/>
    <sheet name="FIJ" sheetId="12" r:id="rId17"/>
    <sheet name="FRA" sheetId="13" r:id="rId18"/>
    <sheet name="GEO" sheetId="20" r:id="rId19"/>
    <sheet name="IRE" sheetId="16" r:id="rId20"/>
    <sheet name="ITA" sheetId="17" r:id="rId21"/>
    <sheet name="JPN" sheetId="18" r:id="rId22"/>
    <sheet name="NAM" sheetId="35" r:id="rId23"/>
    <sheet name="NZL" sheetId="15" r:id="rId24"/>
    <sheet name="POR" sheetId="44" r:id="rId25"/>
    <sheet name="ROM" sheetId="23" r:id="rId26"/>
    <sheet name="SAM" sheetId="24" r:id="rId27"/>
    <sheet name="SCO" sheetId="25" r:id="rId28"/>
    <sheet name="RSA" sheetId="26" r:id="rId29"/>
    <sheet name="TGA" sheetId="27" r:id="rId30"/>
    <sheet name="USA" sheetId="28" r:id="rId31"/>
    <sheet name="URU" sheetId="29" r:id="rId32"/>
    <sheet name="WAL" sheetId="30" r:id="rId33"/>
  </sheets>
  <externalReferences>
    <externalReference r:id="rId34"/>
    <externalReference r:id="rId35"/>
    <externalReference r:id="rId36"/>
  </externalReferences>
  <definedNames>
    <definedName name="alltestshistlost">Sum!$D$14</definedName>
    <definedName name="alltestshistwon">Sum!$C$14</definedName>
    <definedName name="arg2019dg">ARG!$L$20</definedName>
    <definedName name="arg2019drawn">ARG!$AA$20</definedName>
    <definedName name="arg2019lost">ARG!$AB$20</definedName>
    <definedName name="arg2019played">ARG!$Y$20</definedName>
    <definedName name="arg2019ptsconc">ARG!$G$20</definedName>
    <definedName name="arg2019ptsscored">ARG!$F$20</definedName>
    <definedName name="arg2019rwcdrawn">ARG!#REF!</definedName>
    <definedName name="arg2019rwclost">ARG!#REF!</definedName>
    <definedName name="arg2019rwcplayed">ARG!#REF!</definedName>
    <definedName name="arg2019rwcptsconc">ARG!#REF!</definedName>
    <definedName name="arg2019rwcptsscored">ARG!#REF!</definedName>
    <definedName name="arg2019rwcrc">ARG!#REF!</definedName>
    <definedName name="arg2019rwctriesconc">ARG!#REF!</definedName>
    <definedName name="arg2019rwctriesscored">ARG!#REF!</definedName>
    <definedName name="arg2019rwcwon">ARG!#REF!</definedName>
    <definedName name="arg2019rwcyc">ARG!#REF!</definedName>
    <definedName name="arg2019triesconc">ARG!$R$20</definedName>
    <definedName name="arg2019triesscored">ARG!$J$20</definedName>
    <definedName name="arg2019won">ARG!$Z$20</definedName>
    <definedName name="arg2023wcoveralldg">ARG!$L$19</definedName>
    <definedName name="arg2023wcoveralldrawn">ARG!$AA$19</definedName>
    <definedName name="arg2023wcoveralllost">ARG!$AB$19</definedName>
    <definedName name="arg2023wcoverallplayed">ARG!$Y$19</definedName>
    <definedName name="arg2023wcoverallptsconc">ARG!$G$19</definedName>
    <definedName name="arg2023wcoverallptsscored">ARG!$F$19</definedName>
    <definedName name="arg2023wcoverallrc">ARG!$O$19</definedName>
    <definedName name="arg2023wcoveralltriesconc">ARG!$R$19</definedName>
    <definedName name="arg2023wcoveralltriescored">ARG!$J$19</definedName>
    <definedName name="arg2023wcoverallwon">ARG!$Z$19</definedName>
    <definedName name="arg2023wcoverallyc">ARG!$N$19</definedName>
    <definedName name="arg2023wcpooldrawn">ARG!$AA$17</definedName>
    <definedName name="arg2023wcpoollb">ARG!$I$17</definedName>
    <definedName name="arg2023wcpoollost">ARG!$AB$17</definedName>
    <definedName name="arg2023wcpoolplayed">ARG!$Y$17</definedName>
    <definedName name="arg2023wcpoolptsconc">ARG!$G$17</definedName>
    <definedName name="arg2023wcpoolptsscored">ARG!$F$17</definedName>
    <definedName name="arg2023wcpooltb">ARG!$H$17</definedName>
    <definedName name="arg2023wcpooltbconc">ARG!$P$17</definedName>
    <definedName name="arg2023wcpooltriesconc">ARG!$R$17</definedName>
    <definedName name="arg2023wcpooltriesscored">ARG!$J$17</definedName>
    <definedName name="arg2023wcpoolwon">ARG!$Z$17</definedName>
    <definedName name="Argentinaalltestsdrawn">Sum!$E$3</definedName>
    <definedName name="Argentinaalltestslost">Sum!$D$3</definedName>
    <definedName name="Argentinaalltestsplayed">Sum!$B$3</definedName>
    <definedName name="Argentinaalltestsptsagainst">Sum!$H$3</definedName>
    <definedName name="Argentinaalltestsptsscored">Sum!$G$3</definedName>
    <definedName name="Argentinaallteststriesscored">Sum!$I$3</definedName>
    <definedName name="Argentinaalltestswon">Sum!$C$3</definedName>
    <definedName name="ArgentinaWChistdrawn">Sum!$E$29</definedName>
    <definedName name="ArgentinaWChistlost">Sum!$D$29</definedName>
    <definedName name="ArgentinaWChistplayed">Sum!$B$29</definedName>
    <definedName name="ArgentinaWChistptsagainst">Sum!$H$29</definedName>
    <definedName name="ArgentinaWChistptsscored">Sum!$G$29</definedName>
    <definedName name="ArgentinaWChisttriesscored">Sum!$I$29</definedName>
    <definedName name="ArgentinaWChistwon">Sum!$C$29</definedName>
    <definedName name="argoveralllb">ARG!#REF!</definedName>
    <definedName name="argoverallptsag">ARG!#REF!</definedName>
    <definedName name="argoverallptsfor">ARG!#REF!</definedName>
    <definedName name="argoverallreds">ARG!#REF!</definedName>
    <definedName name="argoveralltb">ARG!#REF!</definedName>
    <definedName name="argoveralltbcon">ARG!#REF!</definedName>
    <definedName name="argoveralltries">ARG!#REF!</definedName>
    <definedName name="argoveralltriescon">ARG!#REF!</definedName>
    <definedName name="argoverallyellows">ARG!#REF!</definedName>
    <definedName name="ArgPool2019drawn">ARG!#REF!</definedName>
    <definedName name="ArgPool2019lost">ARG!#REF!</definedName>
    <definedName name="ArgPool2019won">ARG!#REF!</definedName>
    <definedName name="ArgPoolagainst">ARG!#REF!</definedName>
    <definedName name="Argpooldrawn">ARG!#REF!</definedName>
    <definedName name="ArgPoolfor">ARG!#REF!</definedName>
    <definedName name="Argpoollb">ARG!#REF!</definedName>
    <definedName name="ArgPoollbfor">ARG!#REF!</definedName>
    <definedName name="argpoollbscored">ARG!#REF!</definedName>
    <definedName name="Argpoollost">ARG!#REF!</definedName>
    <definedName name="ArgPoolplayed">ARG!#REF!</definedName>
    <definedName name="Argpoolpld">ARG!#REF!</definedName>
    <definedName name="Argpoolptsag">ARG!#REF!</definedName>
    <definedName name="Argpoolreds">ARG!#REF!</definedName>
    <definedName name="Argpooltb">ARG!#REF!</definedName>
    <definedName name="ArgPooltbagainst">ARG!#REF!</definedName>
    <definedName name="Argpooltbcon">ARG!#REF!</definedName>
    <definedName name="ArgPooltbfor">ARG!#REF!</definedName>
    <definedName name="argpooltbscored">ARG!#REF!</definedName>
    <definedName name="ArgPooltriesagainst">ARG!#REF!</definedName>
    <definedName name="Argpooltriescon">ARG!#REF!</definedName>
    <definedName name="argpooltriesconcorrect">ARG!#REF!</definedName>
    <definedName name="Argpooltriesfor">ARG!#REF!</definedName>
    <definedName name="ArgPooltriesscored">ARG!#REF!</definedName>
    <definedName name="argpooltriesscoredcorrect">ARG!#REF!</definedName>
    <definedName name="Argpoolwon">ARG!#REF!</definedName>
    <definedName name="Argpoolyellows">ARG!#REF!</definedName>
    <definedName name="Argptsfor">ARG!#REF!</definedName>
    <definedName name="argtrcdrawn">ARG!$AA$15</definedName>
    <definedName name="argtrclb">ARG!$I$15</definedName>
    <definedName name="argtrclost">ARG!$AB$15</definedName>
    <definedName name="argtrcplayed">ARG!$Y$15</definedName>
    <definedName name="argtrcptsconc">ARG!$G$15</definedName>
    <definedName name="argtrcptsscored">ARG!$F$15</definedName>
    <definedName name="argtrctb">ARG!$H$15</definedName>
    <definedName name="argtrctriesconc">ARG!$R$15</definedName>
    <definedName name="argtrctriesscored">ARG!$J$15</definedName>
    <definedName name="argtrcwon">ARG!$Z$15</definedName>
    <definedName name="Aus2019pooldrawn">AUS!#REF!</definedName>
    <definedName name="Aus2019poollbcon">AUS!#REF!</definedName>
    <definedName name="Aus2019poollbscored">AUS!#REF!</definedName>
    <definedName name="Aus2019poollost">AUS!#REF!</definedName>
    <definedName name="Aus2019poolplayed">AUS!#REF!</definedName>
    <definedName name="Aus2019poolptsagainst">AUS!#REF!</definedName>
    <definedName name="Aus2019poolptsscored">AUS!#REF!</definedName>
    <definedName name="Aus2019pooltbcon">AUS!#REF!</definedName>
    <definedName name="Aus2019pooltbscored">AUS!#REF!</definedName>
    <definedName name="Aus2019pooltriesconc">AUS!#REF!</definedName>
    <definedName name="Aus2019pooltriesscored">AUS!#REF!</definedName>
    <definedName name="Aus2019poolwon">AUS!#REF!</definedName>
    <definedName name="Aus2019rwcdrawn">AUS!#REF!</definedName>
    <definedName name="Aus2019rwclost">AUS!#REF!</definedName>
    <definedName name="Aus2019rwclostcorrect">AUS!#REF!</definedName>
    <definedName name="Aus2019rwcplayed">AUS!#REF!</definedName>
    <definedName name="Aus2019rwcptsagainst">AUS!#REF!</definedName>
    <definedName name="Aus2019rwcptsscored">AUS!#REF!</definedName>
    <definedName name="Aus2019rwcrc">AUS!#REF!</definedName>
    <definedName name="Aus2019rwctriesconc">AUS!#REF!</definedName>
    <definedName name="Aus2019rwctriesscored">AUS!#REF!</definedName>
    <definedName name="Aus2019rwcwon">AUS!#REF!</definedName>
    <definedName name="Aus2019rwcyc">AUS!#REF!</definedName>
    <definedName name="aus2023wcoveralldg">AUS!$L$16</definedName>
    <definedName name="aus2023wcoveralldrawn">AUS!$AA$16</definedName>
    <definedName name="aus2023wcoveralllost">AUS!$AB$16</definedName>
    <definedName name="aus2023wcoverallplayed">AUS!$Y$16</definedName>
    <definedName name="aus2023wcoverallptsconc">AUS!$G$16</definedName>
    <definedName name="aus2023wcoverallptsscored">AUS!$F$16</definedName>
    <definedName name="aus2023wcoverallrc">AUS!$O$16</definedName>
    <definedName name="aus2023wcoveralltriesconc">AUS!$R$16</definedName>
    <definedName name="aus2023wcoveralltriesscored">AUS!$J$16</definedName>
    <definedName name="aus2023wcoverallwon">AUS!$Z$16</definedName>
    <definedName name="aus2023wcoverallyc">AUS!$N$16</definedName>
    <definedName name="aus2023wcpoolsdg">AUS!$L$14</definedName>
    <definedName name="aus2023wcpoolsdrawn">AUS!$AA$14</definedName>
    <definedName name="aus2023wcpoolslb">AUS!$J$14</definedName>
    <definedName name="aus2023wcpoolslbconc">AUS!$Q$14</definedName>
    <definedName name="aus2023wcpoolslbcorrect">AUS!$I$14</definedName>
    <definedName name="aus2023wcpoolslost">AUS!$AB$14</definedName>
    <definedName name="aus2023wcpoolsplayed">AUS!$Y$14</definedName>
    <definedName name="aus2023wcpoolsptsconc">AUS!$G$14</definedName>
    <definedName name="aus2023wcpoolsptsscored">AUS!$F$14</definedName>
    <definedName name="aus2023wcpoolstb">AUS!$H$14</definedName>
    <definedName name="aus2023wcpoolstbconc">AUS!$P$14</definedName>
    <definedName name="aus2023wcpoolstriesconc">AUS!$R$14</definedName>
    <definedName name="aus2023wcpoolstriesscored">AUS!$J$14</definedName>
    <definedName name="aus2023wcpoolstriesscoredcorrect">AUS!$J$14</definedName>
    <definedName name="aus2023wcpoolswon">AUS!$Z$14</definedName>
    <definedName name="ausbp">AUS!#REF!</definedName>
    <definedName name="ausd">AUS!#REF!</definedName>
    <definedName name="ausl">AUS!#REF!</definedName>
    <definedName name="auslb">AUS!#REF!</definedName>
    <definedName name="auslbcon">AUS!#REF!</definedName>
    <definedName name="ausoveralldrawn">AUS!#REF!</definedName>
    <definedName name="ausoveralllost">AUS!#REF!</definedName>
    <definedName name="ausoverallpld">AUS!#REF!</definedName>
    <definedName name="ausoverallptsaga">AUS!#REF!</definedName>
    <definedName name="ausoverallptsfor">AUS!#REF!</definedName>
    <definedName name="ausoveralltriescon">AUS!#REF!</definedName>
    <definedName name="ausoveralltriesscored">AUS!#REF!</definedName>
    <definedName name="ausoverallwon">AUS!#REF!</definedName>
    <definedName name="auspl">AUS!#REF!</definedName>
    <definedName name="auspooldrawn">AUS!#REF!</definedName>
    <definedName name="auspoollb">AUS!#REF!</definedName>
    <definedName name="auspoollost">AUS!#REF!</definedName>
    <definedName name="auspoolpld">AUS!#REF!</definedName>
    <definedName name="auspoolptsag">AUS!#REF!</definedName>
    <definedName name="auspoolptsfor">AUS!#REF!</definedName>
    <definedName name="auspooltb">AUS!#REF!</definedName>
    <definedName name="auspooltriescon">AUS!#REF!</definedName>
    <definedName name="auspooltriesscored">AUS!#REF!</definedName>
    <definedName name="auspoolwon">AUS!#REF!</definedName>
    <definedName name="ausptsa">AUS!#REF!</definedName>
    <definedName name="ausptsf">AUS!#REF!</definedName>
    <definedName name="ausred">AUS!#REF!</definedName>
    <definedName name="austb">AUS!#REF!</definedName>
    <definedName name="austbcon">AUS!#REF!</definedName>
    <definedName name="austra">AUS!#REF!</definedName>
    <definedName name="australiaalltests2019drawn">AUS!$AA$17</definedName>
    <definedName name="australiaalltests2019lost">AUS!$AB$17</definedName>
    <definedName name="australiaalltests2019played">AUS!$F$17</definedName>
    <definedName name="australiaalltests2019playedcorrect">AUS!$Y$17</definedName>
    <definedName name="australiaalltests2019ptsagainst">AUS!$G$17</definedName>
    <definedName name="australiaalltests2019ptsscored">AUS!$F$17</definedName>
    <definedName name="australiaalltests2019triesconc">AUS!$R$17</definedName>
    <definedName name="australiaalltests2019triesscored">AUS!$J$17</definedName>
    <definedName name="australiaalltests2019won">AUS!$Z$17</definedName>
    <definedName name="Australiaalltestshistdrawn">Sum!$E$4</definedName>
    <definedName name="Australiaalltestshistlost">Sum!$D$4</definedName>
    <definedName name="Australiaalltestshistplayed">Sum!$B$4</definedName>
    <definedName name="Australiaalltestshistptsagainst">Sum!$H$4</definedName>
    <definedName name="Australiaalltestshistptsscored">Sum!$G$4</definedName>
    <definedName name="Australiaalltestshisttriesscored">Sum!$I$4</definedName>
    <definedName name="Australiaalltestshistwon">Sum!$C$4</definedName>
    <definedName name="AustraliaWChistdrawn">Sum!$E$30</definedName>
    <definedName name="AustraliaWChistlost">Sum!$D$30</definedName>
    <definedName name="AustraliaWChistplayed">Sum!$B$30</definedName>
    <definedName name="AustraliaWChistptsagainst">Sum!$H$30</definedName>
    <definedName name="AustraliaWChistptsscored">Sum!$G$30</definedName>
    <definedName name="AustraliaWChisttriesscored">Sum!$I$30</definedName>
    <definedName name="AustraliaWChistwon">Sum!$C$30</definedName>
    <definedName name="austrcdrawn">AUS!$AA$12</definedName>
    <definedName name="austrclb">AUS!$I$12</definedName>
    <definedName name="austrclost">AUS!$AB$12</definedName>
    <definedName name="austrcplayed">AUS!$Y$12</definedName>
    <definedName name="austrcptsconc">AUS!$G$12</definedName>
    <definedName name="austrcptsscored">AUS!$F$12</definedName>
    <definedName name="austrctb">AUS!$H$12</definedName>
    <definedName name="austrctriesconc">AUS!$R$12</definedName>
    <definedName name="austrctriesscored">AUS!$J$12</definedName>
    <definedName name="austrcwon">AUS!$Z$12</definedName>
    <definedName name="austrf">AUS!#REF!</definedName>
    <definedName name="auswon">AUS!#REF!</definedName>
    <definedName name="ausyellow">AUS!#REF!</definedName>
    <definedName name="bathbonus">ARG!#REF!</definedName>
    <definedName name="bathbonusccorrect">ARG!#REF!</definedName>
    <definedName name="bathconceded">ARG!#REF!</definedName>
    <definedName name="bathdrawn">ARG!#REF!</definedName>
    <definedName name="bathdropgoals">ARG!#REF!</definedName>
    <definedName name="bathlost">ARG!#REF!</definedName>
    <definedName name="bathpld">ARG!#REF!</definedName>
    <definedName name="bathpodrawn">ARG!#REF!</definedName>
    <definedName name="bathpolost">ARG!#REF!</definedName>
    <definedName name="bathpopld">ARG!#REF!</definedName>
    <definedName name="bathpoptsconceded">ARG!#REF!</definedName>
    <definedName name="bathpoptsscored">ARG!#REF!</definedName>
    <definedName name="bathpored">ARG!#REF!</definedName>
    <definedName name="bathpotriesconceded">ARG!#REF!</definedName>
    <definedName name="bathpotriesscored">ARG!#REF!</definedName>
    <definedName name="bathpowon">ARG!#REF!</definedName>
    <definedName name="bathpoyellow">ARG!#REF!</definedName>
    <definedName name="bathred">ARG!#REF!</definedName>
    <definedName name="bathscored">ARG!#REF!</definedName>
    <definedName name="bathtriesconceded">ARG!#REF!</definedName>
    <definedName name="bathtriesscored">ARG!#REF!</definedName>
    <definedName name="bathtrybonus">ARG!#REF!</definedName>
    <definedName name="bathtrybonusconceded">ARG!#REF!</definedName>
    <definedName name="bathwon">ARG!#REF!</definedName>
    <definedName name="bathyellow">ARG!#REF!</definedName>
    <definedName name="Bristolpremseasontotalsdgs">[1]BRI!$L$38</definedName>
    <definedName name="Bristolpremseasontotalsdrawn">[1]BRI!$AA$38</definedName>
    <definedName name="Bristolpremseasontotalslost">[1]BRI!$AB$38</definedName>
    <definedName name="Bristolpremseasontotalsplayed">[1]BRI!$Y$38</definedName>
    <definedName name="Bristolpremseasontotalsptsagainst">[1]BRI!$G$38</definedName>
    <definedName name="Bristolpremseasontotalsptsscored">[1]BRI!$F$38</definedName>
    <definedName name="BristolpremseasontotalsRC">[1]BRI!$O$38</definedName>
    <definedName name="Bristolpremseasontotalstriesconceded">[1]BRI!$R$38</definedName>
    <definedName name="Bristolpremseasontotalstriesscored">[1]BRI!$J$38</definedName>
    <definedName name="Bristolpremseasontotalswon">[1]BRI!$Z$38</definedName>
    <definedName name="BristolpremseasontotalsYC">[1]BRI!$N$38</definedName>
    <definedName name="bstred">[2]BRI!$O$35</definedName>
    <definedName name="bsttrybonusconceded">[1]BRI!$P$36</definedName>
    <definedName name="bsttrybonusscored">[1]BRI!$H$36</definedName>
    <definedName name="bstyellow">[2]BRI!$N$35</definedName>
    <definedName name="Bthhistagainst">[1]Sum!$H$3</definedName>
    <definedName name="Bthhistdrawn">[1]Sum!$E$3</definedName>
    <definedName name="Bthhistfor">[1]Sum!$G$3</definedName>
    <definedName name="Bthhistlost">[1]Sum!$D$3</definedName>
    <definedName name="Bthhistplayed">[1]Sum!$B$3</definedName>
    <definedName name="Bthhisttriesscored">[1]Sum!$J$3</definedName>
    <definedName name="Bthhistwon">[1]Sum!$C$3</definedName>
    <definedName name="bthpremseasontotalsdgs">[1]BTH!$L$37</definedName>
    <definedName name="bthpremseasontotalslost">[1]BTH!$AB$37</definedName>
    <definedName name="bthpremseasontotalsplayed">[1]BTH!$Y$37</definedName>
    <definedName name="bthpremseasontotalsptsagainst">[1]BTH!$G$37</definedName>
    <definedName name="bthpremseasontotalsptsscored">[1]BTH!$F$37</definedName>
    <definedName name="bthpremseasontotalsRC">[1]BTH!$O$37</definedName>
    <definedName name="bthpremseasontotalstriesconceded">[1]BTH!$R$37</definedName>
    <definedName name="bthpremseasontotalstriesscored">[1]BTH!$J$37</definedName>
    <definedName name="bthpremseasontotalswon">[1]BTH!$Y$37</definedName>
    <definedName name="bthpremseasontotalsYC">[1]BTH!$N$37</definedName>
    <definedName name="can2019alltestsdrawn">CAN!$AA$8</definedName>
    <definedName name="can2019alltestslost">CAN!$AB$8</definedName>
    <definedName name="can2019alltestsplayed">CAN!$Y$8</definedName>
    <definedName name="can2019alltestsptsagainst">CAN!$G$8</definedName>
    <definedName name="can2019alltestsptsscored">CAN!$F$8</definedName>
    <definedName name="can2019allteststriescon">CAN!$R$8</definedName>
    <definedName name="can2019allteststriesscored">CAN!$J$8</definedName>
    <definedName name="can2019alltestswon">CAN!$Z$8</definedName>
    <definedName name="can2019pooldrawn">CAN!#REF!</definedName>
    <definedName name="can2019poollbcon">CAN!#REF!</definedName>
    <definedName name="can2019poollbscored">CAN!#REF!</definedName>
    <definedName name="can2019poollost">CAN!#REF!</definedName>
    <definedName name="can2019poolplayed">CAN!#REF!</definedName>
    <definedName name="can2019poolptsagainst">CAN!#REF!</definedName>
    <definedName name="can2019poolptsscored">CAN!#REF!</definedName>
    <definedName name="can2019pooltbcon">CAN!#REF!</definedName>
    <definedName name="can2019pooltbscored">CAN!#REF!</definedName>
    <definedName name="can2019pooltriescon">CAN!#REF!</definedName>
    <definedName name="can2019pooltriesscored">CAN!#REF!</definedName>
    <definedName name="can2019pooltriesscoredcorrect">CAN!#REF!</definedName>
    <definedName name="can2019poolwon">CAN!#REF!</definedName>
    <definedName name="can2019rwcdrawn">CAN!#REF!</definedName>
    <definedName name="can2019rwclost">CAN!#REF!</definedName>
    <definedName name="can2019rwcplayed">CAN!#REF!</definedName>
    <definedName name="can2019rwcptsagainst">CAN!#REF!</definedName>
    <definedName name="can2019rwcptsscored">CAN!#REF!</definedName>
    <definedName name="can2019rwcrc">CAN!#REF!</definedName>
    <definedName name="can2019rwctriescon">CAN!#REF!</definedName>
    <definedName name="can2019rwctriesscored">CAN!#REF!</definedName>
    <definedName name="can2019rwcwon">CAN!#REF!</definedName>
    <definedName name="can2019rwcyc">CAN!#REF!</definedName>
    <definedName name="Canadaalltestshistdrawn">Sum!$E$5</definedName>
    <definedName name="Canadaalltestshistlost">Sum!$D$5</definedName>
    <definedName name="Canadaalltestshistplayed">Sum!$B$5</definedName>
    <definedName name="Canadaalltestshistptsagainst">Sum!$H$5</definedName>
    <definedName name="Canadaalltestshistptsscored">Sum!$G$5</definedName>
    <definedName name="Canadaalltestshisttriesscored">Sum!$I$5</definedName>
    <definedName name="Canadaalltestshistwon">Sum!$C$5</definedName>
    <definedName name="CanadaRWChistdrawn">Sum!$E$31</definedName>
    <definedName name="CanadaRWChistlost">Sum!$D$31</definedName>
    <definedName name="CanadaRWChistplayed">Sum!$B$31</definedName>
    <definedName name="CanadaRWChistptsagainst">Sum!$H$31</definedName>
    <definedName name="CanadaRWChistptsscored">Sum!$G$31</definedName>
    <definedName name="CanadaRWChisttriesscored">Sum!$I$31</definedName>
    <definedName name="CanadaRWChistwon">Sum!$C$31</definedName>
    <definedName name="canlb">CAN!#REF!</definedName>
    <definedName name="canlbcon">CAN!#REF!</definedName>
    <definedName name="canoveralldrwn">CAN!#REF!</definedName>
    <definedName name="canoveralllost">CAN!#REF!</definedName>
    <definedName name="canoverallpld">CAN!#REF!</definedName>
    <definedName name="canoverallptsag">CAN!#REF!</definedName>
    <definedName name="canoverallptsscored">CAN!#REF!</definedName>
    <definedName name="canoveralltriescon">CAN!#REF!</definedName>
    <definedName name="canoveralltriesscored">CAN!#REF!</definedName>
    <definedName name="canoverallwon">CAN!#REF!</definedName>
    <definedName name="canpooldrawn">CAN!#REF!</definedName>
    <definedName name="canpoollost">CAN!#REF!</definedName>
    <definedName name="canpoolpld">CAN!#REF!</definedName>
    <definedName name="canpoolptsag">CAN!#REF!</definedName>
    <definedName name="canpoolptsscored">CAN!#REF!</definedName>
    <definedName name="canpooltriescon">CAN!#REF!</definedName>
    <definedName name="canpooltriesscored">CAN!#REF!</definedName>
    <definedName name="canpoolwoin">CAN!#REF!</definedName>
    <definedName name="canred">CAN!#REF!</definedName>
    <definedName name="cantb">CAN!#REF!</definedName>
    <definedName name="cantbcon">CAN!#REF!</definedName>
    <definedName name="canyellow">CAN!#REF!</definedName>
    <definedName name="Chilealltesthistdrawn">Sum!$E$6</definedName>
    <definedName name="Chilealltesthistlost">Sum!$D$6</definedName>
    <definedName name="Chilealltesthistplayed">Sum!$B$6</definedName>
    <definedName name="Chilealltesthistptsconc">Sum!$H$6</definedName>
    <definedName name="Chilealltesthistptsscored">Sum!$G$6</definedName>
    <definedName name="Chilealltesthistwon">Sum!$C$6</definedName>
    <definedName name="ChileRWChistdrawn">Sum!$E$32</definedName>
    <definedName name="ChileRWChistlost">Sum!$D$32</definedName>
    <definedName name="ChileRWChistplayed">Sum!$B$32</definedName>
    <definedName name="ChileRWChistptsconc">Sum!$H$32</definedName>
    <definedName name="ChileRWChistptsscored">Sum!$G$32</definedName>
    <definedName name="ChileRWChisttriesscored">Sum!$I$32</definedName>
    <definedName name="ChileRWChistwon">Sum!$C$32</definedName>
    <definedName name="chl2023wcoveralldg">CHI!$L$12</definedName>
    <definedName name="chl2023wcoveralldrawn">CHI!$AA$12</definedName>
    <definedName name="chl2023wcoveralllost">CHI!$AB$12</definedName>
    <definedName name="chl2023wcoverallplayed">CHI!$Y$12</definedName>
    <definedName name="chl2023wcoverallptsconc">CHI!$G$12</definedName>
    <definedName name="chl2023wcoverallptsscored">CHI!$F$12</definedName>
    <definedName name="chl2023wcoverallrc">CHI!$O$12</definedName>
    <definedName name="chl2023wcoveralltriesconc">CHI!$R$12</definedName>
    <definedName name="chl2023wcoveralltriesscored">CHI!$J$12</definedName>
    <definedName name="chl2023wcoverallwon">CHI!$Z$12</definedName>
    <definedName name="chl2023wcoverallyc">CHI!$N$12</definedName>
    <definedName name="chl2023wcpoolsdrawn">CHI!$AA$10</definedName>
    <definedName name="chl2023wcpoolslb">CHI!$I$10</definedName>
    <definedName name="chl2023wcpoolslbcon">CHI!$Q$10</definedName>
    <definedName name="chl2023wcpoolslost">CHI!$AB$10</definedName>
    <definedName name="chl2023wcpoolsplayed">CHI!$Y$10</definedName>
    <definedName name="chl2023wcpoolsptsconc">CHI!$G$10</definedName>
    <definedName name="chl2023wcpoolsptsscored">CHI!$F$10</definedName>
    <definedName name="chl2023wcpoolstb">CHI!$H$10</definedName>
    <definedName name="chl2023wcpoolstbcon">CHI!$P$10</definedName>
    <definedName name="chl2023wcpoolstriesconc">CHI!$R$10</definedName>
    <definedName name="chl2023wcpoolstriesscored">CHI!$J$10</definedName>
    <definedName name="chl2023wcpoolswon">CHI!$Z$10</definedName>
    <definedName name="chlyrdg">CHI!$L$13</definedName>
    <definedName name="chlyrdrawn">CHI!$AA$13</definedName>
    <definedName name="chlyrlost">CHI!$AB$13</definedName>
    <definedName name="chlyrplayed">CHI!$Y$13</definedName>
    <definedName name="chlyrptsconc">CHI!$G$13</definedName>
    <definedName name="chlyrptsscored">CHI!$F$13</definedName>
    <definedName name="chlyrtriesconc">CHI!$R$13</definedName>
    <definedName name="chlyrtriesscored">CHI!$J$13</definedName>
    <definedName name="chlyrwon">CHI!$Z$13</definedName>
    <definedName name="drawn">NZL!$AA$20</definedName>
    <definedName name="Eng2019alltestsdrawn">ENG!$AA$24</definedName>
    <definedName name="Eng2019alltestslost">ENG!$AB$24</definedName>
    <definedName name="Eng2019alltestsplayed">ENG!$Y$24</definedName>
    <definedName name="Eng2019alltestsptsagainst">ENG!$G$24</definedName>
    <definedName name="Eng2019alltestsptsscored">ENG!$F$24</definedName>
    <definedName name="Eng2019allteststriescon">ENG!$R$24</definedName>
    <definedName name="Eng2019allteststriesscored">ENG!$J$24</definedName>
    <definedName name="Eng2019alltestswon">ENG!$Z$24</definedName>
    <definedName name="Eng2019pooldrawn">ENG!#REF!</definedName>
    <definedName name="Eng2019poollbcon">ENG!#REF!</definedName>
    <definedName name="Eng2019poollbscored">ENG!#REF!</definedName>
    <definedName name="Eng2019poollost">ENG!#REF!</definedName>
    <definedName name="Eng2019poolplayed">ENG!#REF!</definedName>
    <definedName name="Eng2019poolptsagainst">ENG!#REF!</definedName>
    <definedName name="Eng2019poolptsscored">ENG!#REF!</definedName>
    <definedName name="Eng2019pooltbcon">ENG!#REF!</definedName>
    <definedName name="Eng2019pooltbscored">ENG!#REF!</definedName>
    <definedName name="Eng2019pooltriescon">ENG!#REF!</definedName>
    <definedName name="Eng2019pooltriesscored">ENG!#REF!</definedName>
    <definedName name="Eng2019poolwon">ENG!#REF!</definedName>
    <definedName name="Eng2019RWCdrawn">ENG!#REF!</definedName>
    <definedName name="Eng2019RWClost">ENG!#REF!</definedName>
    <definedName name="Eng2019RWCplayed">ENG!#REF!</definedName>
    <definedName name="Eng2019RWCptsagainst">ENG!#REF!</definedName>
    <definedName name="Eng2019RWCptsscored">ENG!#REF!</definedName>
    <definedName name="Eng2019RWCrc">ENG!#REF!</definedName>
    <definedName name="Eng2019RWCtriescon">ENG!#REF!</definedName>
    <definedName name="Eng2019RWCtriesscored">ENG!#REF!</definedName>
    <definedName name="Eng2019RWCwon">ENG!#REF!</definedName>
    <definedName name="Eng2019RWCyc">ENG!#REF!</definedName>
    <definedName name="eng6ntriesconc">ENG!$R$19</definedName>
    <definedName name="Englandalltestshistdrawn">Sum!$E$7</definedName>
    <definedName name="Englandalltestshistlost">Sum!$D$7</definedName>
    <definedName name="Englandalltestshistplayed">Sum!$B$7</definedName>
    <definedName name="Englandalltestshistptsagainst">Sum!$H$7</definedName>
    <definedName name="Englandalltestshistptsscored">Sum!$G$7</definedName>
    <definedName name="Englandalltestshisttriesscored">Sum!$I$7</definedName>
    <definedName name="Englandalltestshistwon">Sum!$C$7</definedName>
    <definedName name="EnglandChampionshipdrawn">Sum!$E$60</definedName>
    <definedName name="EnglandChampionshiplost">Sum!$D$60</definedName>
    <definedName name="EnglandChampionshipplayed">Sum!$B$60</definedName>
    <definedName name="EnglandChampionshipptsconceded">Sum!$H$60</definedName>
    <definedName name="EnglandChampionshipptsscored">Sum!$G$60</definedName>
    <definedName name="EnglandChampionshiptriesscored">Sum!$I$60</definedName>
    <definedName name="EnglandChampionshipwon">Sum!$C$60</definedName>
    <definedName name="Englanddrawn">ENG!$AA$19</definedName>
    <definedName name="Englandlosingbonus">ENG!$I$19</definedName>
    <definedName name="Englandlost">ENG!$AB$19</definedName>
    <definedName name="Englandplayed">ENG!$Y$19</definedName>
    <definedName name="Englandptsagainst">ENG!$G$19</definedName>
    <definedName name="Englandptsscored">ENG!$F$19</definedName>
    <definedName name="Englandred">ENG!$O$19</definedName>
    <definedName name="englandrwc2023overalldg">ENG!$L$23</definedName>
    <definedName name="englandrwc2023overalldrawn">ENG!$AA$23</definedName>
    <definedName name="englandrwc2023overalllost">ENG!$AB$23</definedName>
    <definedName name="englandrwc2023overallplayed">ENG!$Y$23</definedName>
    <definedName name="englandrwc2023overallptscon">ENG!$G$23</definedName>
    <definedName name="englandrwc2023overallptsscored">ENG!$F$23</definedName>
    <definedName name="englandrwc2023overallrc">ENG!$O$23</definedName>
    <definedName name="englandrwc2023overalltriesconc">ENG!$R$23</definedName>
    <definedName name="englandrwc2023overalltriesscored">ENG!$J$23</definedName>
    <definedName name="englandrwc2023overallwon">ENG!$Z$23</definedName>
    <definedName name="englandrwc2023overallyc">ENG!$N$23</definedName>
    <definedName name="englandrwc2023poolsdrawn">ENG!$AA$21</definedName>
    <definedName name="englandrwc2023poolslb">ENG!$I$21</definedName>
    <definedName name="englandrwc2023poolslbcon">ENG!$Q$21</definedName>
    <definedName name="englandrwc2023poolslost">ENG!$AB$21</definedName>
    <definedName name="englandrwc2023poolsplayed">ENG!$Y$21</definedName>
    <definedName name="englandrwc2023poolsptsconc">ENG!$G$21</definedName>
    <definedName name="englandrwc2023poolsptsscored">ENG!$F$21</definedName>
    <definedName name="englandrwc2023poolstb">ENG!$H$21</definedName>
    <definedName name="englandrwc2023poolstbcon">ENG!$P$21</definedName>
    <definedName name="englandrwc2023poolstriescon">ENG!$R$21</definedName>
    <definedName name="englandrwc2023poolstriesscored">ENG!$J$21</definedName>
    <definedName name="englandrwc2023poolswon">ENG!$Z$21</definedName>
    <definedName name="EnglandRWChistdrawn">Sum!$E$33</definedName>
    <definedName name="EnglandRWChistlost">Sum!$D$33</definedName>
    <definedName name="EnglandRWChistplayed">Sum!$B$33</definedName>
    <definedName name="EnglandRWChistptsagainst">Sum!$H$33</definedName>
    <definedName name="EnglandRWChistptsscored">Sum!$G$33</definedName>
    <definedName name="EnglandRWChisttriesscored">Sum!$I$33</definedName>
    <definedName name="EnglandRWChistwon">Sum!$C$33</definedName>
    <definedName name="Englandsixnationsdrawn">Sum!$E$70</definedName>
    <definedName name="Englandsixnationslost">Sum!$D$70</definedName>
    <definedName name="Englandsixnationsplayed">Sum!$B$70</definedName>
    <definedName name="Englandsixnationsptsconceded">Sum!$H$70</definedName>
    <definedName name="Englandsixnationsptsscored">Sum!$G$70</definedName>
    <definedName name="Englandsixnationstriesconceded">Sum!$J$70</definedName>
    <definedName name="Englandsixnationstriesscored">Sum!$I$70</definedName>
    <definedName name="Englandsixnationswon">Sum!$C$70</definedName>
    <definedName name="Englandtriesagainst">ENG!$R$19</definedName>
    <definedName name="Englandtriesscored">ENG!$J$19</definedName>
    <definedName name="Englandtrybonus">ENG!$H$19</definedName>
    <definedName name="Englandwon">ENG!$Z$19</definedName>
    <definedName name="Englandyellow">ENG!$N$19</definedName>
    <definedName name="englb">ENG!#REF!</definedName>
    <definedName name="englbcon">ENG!#REF!</definedName>
    <definedName name="engoveralldrawn">ENG!#REF!</definedName>
    <definedName name="engoveralllost">ENG!#REF!</definedName>
    <definedName name="engoverallpld">ENG!#REF!</definedName>
    <definedName name="engoverallptsag">ENG!#REF!</definedName>
    <definedName name="engoverallptsscored">ENG!#REF!</definedName>
    <definedName name="engoveralltriescon">ENG!#REF!</definedName>
    <definedName name="engoveralltriesscored">ENG!#REF!</definedName>
    <definedName name="engoverallwon">ENG!#REF!</definedName>
    <definedName name="engpooldrawn">ENG!#REF!</definedName>
    <definedName name="engpoollost">ENG!#REF!</definedName>
    <definedName name="engpoolpld">ENG!#REF!</definedName>
    <definedName name="engpoolptsag">ENG!#REF!</definedName>
    <definedName name="engpoolptsscored">ENG!#REF!</definedName>
    <definedName name="engpooltriescon">ENG!#REF!</definedName>
    <definedName name="engpooltriesscored">ENG!#REF!</definedName>
    <definedName name="engpoolwon">ENG!#REF!</definedName>
    <definedName name="engred">ENG!#REF!</definedName>
    <definedName name="engtb">ENG!#REF!</definedName>
    <definedName name="engtbcon">ENG!#REF!</definedName>
    <definedName name="engtriescon">ENG!#REF!</definedName>
    <definedName name="engyellow">ENG!#REF!</definedName>
    <definedName name="Exepremtotalsdgs">[1]EXE!$L$39</definedName>
    <definedName name="Exepremtotalslost">[1]EXE!$AB$39</definedName>
    <definedName name="Exepremtotalsplayed">[1]EXE!$Y$39</definedName>
    <definedName name="Exepremtotalsptsagainst">[1]EXE!$G$39</definedName>
    <definedName name="Exepremtotalsptsscored">[1]EXE!$F$39</definedName>
    <definedName name="Exepremtotalsrc">[1]EXE!$O$39</definedName>
    <definedName name="Exepremtotalstriesconceded">[1]EXE!$R$39</definedName>
    <definedName name="Exepremtotalstriesscored">[1]EXE!$J$39</definedName>
    <definedName name="Exepremtotalswon">[1]EXE!$Z$39</definedName>
    <definedName name="Exepremtotalsyc">[1]EXE!$N$39</definedName>
    <definedName name="exeterbonus">AUS!#REF!</definedName>
    <definedName name="exeterconceded">AUS!#REF!</definedName>
    <definedName name="exeterdrawn">AUS!#REF!</definedName>
    <definedName name="exeterlosingbonus">AUS!#REF!</definedName>
    <definedName name="exeterlosingbonusconceded">AUS!#REF!</definedName>
    <definedName name="exeterlost">AUS!#REF!</definedName>
    <definedName name="exeterpld">AUS!#REF!</definedName>
    <definedName name="exeterpremdrawn">[1]EXE!$AA$37</definedName>
    <definedName name="exeterpremred">[2]EXE!$O$39</definedName>
    <definedName name="exeterpremtrybonusconc">[1]EXE!$P$37</definedName>
    <definedName name="exeterpremtrybonusscored">[1]EXE!$H$37</definedName>
    <definedName name="exeterpremyellow">[2]EXE!$N$39</definedName>
    <definedName name="exeterred">AUS!#REF!</definedName>
    <definedName name="exeterscored">AUS!#REF!</definedName>
    <definedName name="exetertriesconceded">AUS!#REF!</definedName>
    <definedName name="exetertriesscored">AUS!#REF!</definedName>
    <definedName name="exetertrybonusconceded">AUS!#REF!</definedName>
    <definedName name="exetertrybonusscored">AUS!#REF!</definedName>
    <definedName name="exeterwon">AUS!#REF!</definedName>
    <definedName name="exeteryellow">AUS!#REF!</definedName>
    <definedName name="feapoolptsag">FRA!#REF!</definedName>
    <definedName name="Fij2019alltestsdrawn">FIJ!$AA$18</definedName>
    <definedName name="Fij2019alltestslost">FIJ!$AB$18</definedName>
    <definedName name="Fij2019alltestsplayed">FIJ!$Y$18</definedName>
    <definedName name="Fij2019alltestsptsagainst">FIJ!$G$18</definedName>
    <definedName name="Fij2019alltestsptsscored">FIJ!$F$18</definedName>
    <definedName name="Fij2019allteststriescon">FIJ!$R$18</definedName>
    <definedName name="Fij2019allteststriesscored">FIJ!$J$18</definedName>
    <definedName name="Fij2019alltestswon">FIJ!$Z$18</definedName>
    <definedName name="Fij2019pooldrawn">FIJ!#REF!</definedName>
    <definedName name="Fij2019poollbcon">FIJ!#REF!</definedName>
    <definedName name="Fij2019poollbscored">FIJ!#REF!</definedName>
    <definedName name="Fij2019poollost">FIJ!#REF!</definedName>
    <definedName name="Fij2019poolplayed">FIJ!#REF!</definedName>
    <definedName name="Fij2019poolptsagainst">FIJ!#REF!</definedName>
    <definedName name="Fij2019poolptsscored">FIJ!#REF!</definedName>
    <definedName name="Fij2019pooltbcon">FIJ!#REF!</definedName>
    <definedName name="Fij2019pooltbscored">FIJ!#REF!</definedName>
    <definedName name="Fij2019pooltriescon">FIJ!#REF!</definedName>
    <definedName name="Fij2019pooltriesscored">FIJ!#REF!</definedName>
    <definedName name="Fij2019poolwon">FIJ!#REF!</definedName>
    <definedName name="Fij2019RWCdrawn">FIJ!#REF!</definedName>
    <definedName name="Fij2019RWClost">FIJ!#REF!</definedName>
    <definedName name="Fij2019RWCplayed">FIJ!#REF!</definedName>
    <definedName name="Fij2019RWCptsagainst">FIJ!#REF!</definedName>
    <definedName name="Fij2019RWCptsscored">FIJ!#REF!</definedName>
    <definedName name="Fij2019RWCrc">FIJ!#REF!</definedName>
    <definedName name="Fij2019RWCtriescon">FIJ!#REF!</definedName>
    <definedName name="Fij2019RWCtriesscored">FIJ!#REF!</definedName>
    <definedName name="Fij2019RWCwonj">FIJ!#REF!</definedName>
    <definedName name="Fij2019RWCyc">FIJ!#REF!</definedName>
    <definedName name="Fijialltestshistdrawn">Sum!$E$8</definedName>
    <definedName name="Fijialltestshistlost">Sum!$D$8</definedName>
    <definedName name="Fijialltestshistplayed">Sum!$B$8</definedName>
    <definedName name="Fijialltestshistptsagainst">Sum!$H$8</definedName>
    <definedName name="Fijialltestshistptsscored">Sum!$G$8</definedName>
    <definedName name="Fijialltestshisttriesscored">Sum!$I$8</definedName>
    <definedName name="Fijialltestshistwon">Sum!$C$8</definedName>
    <definedName name="FijiRWChistdrawn">Sum!$E$34</definedName>
    <definedName name="FijiRWChistlost">Sum!$D$34</definedName>
    <definedName name="FijiRWChistplayed">Sum!$B$34</definedName>
    <definedName name="FijiRWChistptsagainst">Sum!$H$34</definedName>
    <definedName name="FijiRWChistptsscored">Sum!$G$34</definedName>
    <definedName name="FijiRWChisttriesscored">Sum!$I$34</definedName>
    <definedName name="FijiRWChistwon">Sum!$C$34</definedName>
    <definedName name="fijlb">FIJ!#REF!</definedName>
    <definedName name="fijlbcon">FIJ!#REF!</definedName>
    <definedName name="fijoveralldrawn">FIJ!#REF!</definedName>
    <definedName name="fijoveralllost">FIJ!#REF!</definedName>
    <definedName name="fijoverallpld">FIJ!#REF!</definedName>
    <definedName name="fijoverallptsaga">FIJ!#REF!</definedName>
    <definedName name="fijoverallptsscored">FIJ!#REF!</definedName>
    <definedName name="fijoveralltriescon">FIJ!#REF!</definedName>
    <definedName name="fijoveralltriesscored">FIJ!#REF!</definedName>
    <definedName name="fijoverallwon">FIJ!#REF!</definedName>
    <definedName name="Fijpooldrawn">FIJ!#REF!</definedName>
    <definedName name="Fijpoollost">FIJ!#REF!</definedName>
    <definedName name="Fijpoolpld">FIJ!#REF!</definedName>
    <definedName name="Fijpoolptsag">FIJ!#REF!</definedName>
    <definedName name="Fijpoolptsscored">FIJ!#REF!</definedName>
    <definedName name="Fijpooltriescon">FIJ!#REF!</definedName>
    <definedName name="Fijpooltriesscored">FIJ!#REF!</definedName>
    <definedName name="Fijpoolwon">FIJ!#REF!</definedName>
    <definedName name="fijred">FIJ!#REF!</definedName>
    <definedName name="fijrwc2023overalldg">FIJ!$L$17</definedName>
    <definedName name="fijrwc2023overalldrawn">FIJ!$AA$17</definedName>
    <definedName name="fijrwc2023overalllost">FIJ!$AB$17</definedName>
    <definedName name="fijrwc2023overallplayed">FIJ!$Y$17</definedName>
    <definedName name="fijrwc2023overallptsconc">FIJ!$G$17</definedName>
    <definedName name="fijrwc2023overallptsscored">FIJ!$F$17</definedName>
    <definedName name="fijrwc2023overallrc">FIJ!$O$17</definedName>
    <definedName name="fijrwc2023overalltriesconc">FIJ!$R$17</definedName>
    <definedName name="fijrwc2023overalltriesscored">FIJ!$J$17</definedName>
    <definedName name="fijrwc2023overallwon">FIJ!$Z$17</definedName>
    <definedName name="fijrwc2023overallyc">FIJ!$N$17</definedName>
    <definedName name="fijrwc2023poolsdrawn">FIJ!$AA$15</definedName>
    <definedName name="fijrwc2023poolslb">FIJ!$I$15</definedName>
    <definedName name="fijrwc2023poolslbconc">FIJ!$Q$15</definedName>
    <definedName name="fijrwc2023poolslost">FIJ!$AB$15</definedName>
    <definedName name="fijrwc2023poolsplayed">FIJ!$Y$15</definedName>
    <definedName name="fijrwc2023poolsptsconc">FIJ!$G$15</definedName>
    <definedName name="fijrwc2023poolsptsscored">FIJ!$F$15</definedName>
    <definedName name="fijrwc2023poolstb">FIJ!$H$15</definedName>
    <definedName name="fijrwc2023poolstbconc">FIJ!$P$15</definedName>
    <definedName name="fijrwc2023poolstriesconc">FIJ!$R$15</definedName>
    <definedName name="fijrwc2023poolstriesscored">FIJ!$J$15</definedName>
    <definedName name="fijrwc2023poolswon">FIJ!$Z$15</definedName>
    <definedName name="fijtb">FIJ!#REF!</definedName>
    <definedName name="fijtbcon">FIJ!#REF!</definedName>
    <definedName name="fijyellow">FIJ!#REF!</definedName>
    <definedName name="Fra2019alltestsdrawn">FRA!$AA$22</definedName>
    <definedName name="Fra2019alltestslost">FRA!$AB$22</definedName>
    <definedName name="Fra2019alltestsplayed">FRA!$Y$22</definedName>
    <definedName name="Fra2019alltestsptsagainst">FRA!$G$22</definedName>
    <definedName name="Fra2019alltestsptsscored">FRA!$F$22</definedName>
    <definedName name="Fra2019allteststriescon">FRA!$R$22</definedName>
    <definedName name="Fra2019allteststriesscored">FRA!$J$22</definedName>
    <definedName name="Fra2019alltestswon">FRA!$Z$22</definedName>
    <definedName name="Fra2019pooldrawn">FRA!#REF!</definedName>
    <definedName name="Fra2019poollbcon">FRA!#REF!</definedName>
    <definedName name="Fra2019poollbscored">FRA!#REF!</definedName>
    <definedName name="Fra2019poollost">FRA!#REF!</definedName>
    <definedName name="Fra2019poolplayed">FRA!#REF!</definedName>
    <definedName name="Fra2019poolptsagainst">FRA!#REF!</definedName>
    <definedName name="Fra2019poolptsagaints">FRA!#REF!</definedName>
    <definedName name="Fra2019poolptsscored">FRA!#REF!</definedName>
    <definedName name="Fra2019pooltbcon">FRA!#REF!</definedName>
    <definedName name="Fra2019pooltbscored">FRA!#REF!</definedName>
    <definedName name="Fra2019pooltriescon">FRA!#REF!</definedName>
    <definedName name="Fra2019pooltriesscored">FRA!#REF!</definedName>
    <definedName name="Fra2019pooltriesscoredcorrect">FRA!#REF!</definedName>
    <definedName name="Fra2019poolwon">FRA!#REF!</definedName>
    <definedName name="Fra2019RWCdrawn">FRA!#REF!</definedName>
    <definedName name="Fra2019RWClost">FRA!#REF!</definedName>
    <definedName name="Fra2019RWCplayed">FRA!#REF!</definedName>
    <definedName name="Fra2019RWCptsagainst">FRA!#REF!</definedName>
    <definedName name="Fra2019RWCptsscored">FRA!#REF!</definedName>
    <definedName name="Fra2019RWCrc">FRA!#REF!</definedName>
    <definedName name="Fra2019RWCtriescon">FRA!#REF!</definedName>
    <definedName name="Fra2019RWCtriesscored">FRA!#REF!</definedName>
    <definedName name="Fra2019RWCwon">FRA!#REF!</definedName>
    <definedName name="Fra2019RWCyc">FRA!#REF!</definedName>
    <definedName name="fra6ntriesconc">FRA!$R$17</definedName>
    <definedName name="fralb">FRA!#REF!</definedName>
    <definedName name="fralbcon">FRA!#REF!</definedName>
    <definedName name="Francealltestshistdrawn">Sum!$E$9</definedName>
    <definedName name="Francealltestshistlost">Sum!$D$9</definedName>
    <definedName name="Francealltestshistplayed">Sum!$B$9</definedName>
    <definedName name="Francealltestshistptscon">Sum!$H$9</definedName>
    <definedName name="Francealltestshistptsscored">Sum!$G$9</definedName>
    <definedName name="Francealltestshisttriesscored">Sum!$I$9</definedName>
    <definedName name="Francealltestshistwon">Sum!$C$9</definedName>
    <definedName name="Francedrawn">FRA!$AA$17</definedName>
    <definedName name="Francelosingbonus">FRA!$I$17</definedName>
    <definedName name="Francelost">FRA!$AB$17</definedName>
    <definedName name="Franceplayed">FRA!$Y$17</definedName>
    <definedName name="Franceptsagainst">FRA!$G$17</definedName>
    <definedName name="Franceptsscored">FRA!$F$17</definedName>
    <definedName name="Francered">FRA!$O$17</definedName>
    <definedName name="FranceRWChistdrawn">Sum!$E$35</definedName>
    <definedName name="FranceRWChistlost">Sum!$D$35</definedName>
    <definedName name="FranceRWChistplayed">Sum!$B$35</definedName>
    <definedName name="FranceRWChistptsagainst">Sum!$H$35</definedName>
    <definedName name="FranceRWChistptsscored">Sum!$G$35</definedName>
    <definedName name="FranceRWChisttriesscored">Sum!$I$35</definedName>
    <definedName name="FranceRWChistwon">Sum!$C$35</definedName>
    <definedName name="Francetriesagainst">FRA!$R$17</definedName>
    <definedName name="Francetriesscored">FRA!$J$17</definedName>
    <definedName name="Francetrybonus">FRA!$H$17</definedName>
    <definedName name="Francewon">FRA!$Z$17</definedName>
    <definedName name="FRanceyellow">FRA!$N$17</definedName>
    <definedName name="fraoveralldrawn">FRA!#REF!</definedName>
    <definedName name="fraoveralllost">FRA!#REF!</definedName>
    <definedName name="fraoverallpld">FRA!#REF!</definedName>
    <definedName name="fraoverallptsag">FRA!#REF!</definedName>
    <definedName name="fraoverallptsscored">FRA!#REF!</definedName>
    <definedName name="fraoveralltriescon">FRA!#REF!</definedName>
    <definedName name="fraoveralltriesscored">FRA!#REF!</definedName>
    <definedName name="fraoverallwon">FRA!#REF!</definedName>
    <definedName name="frapooldrawn">FRA!#REF!</definedName>
    <definedName name="frapoollost">FRA!#REF!</definedName>
    <definedName name="frapoolpld">FRA!#REF!</definedName>
    <definedName name="frapoolptsscored">FRA!#REF!</definedName>
    <definedName name="frapooltriescon">FRA!#REF!</definedName>
    <definedName name="frapooltriesscored">FRA!#REF!</definedName>
    <definedName name="frapoolwon">FRA!#REF!</definedName>
    <definedName name="frared">FRA!#REF!</definedName>
    <definedName name="frarwc2023overalldg">FRA!$L$21</definedName>
    <definedName name="frarwc2023overalldrawn">FRA!$AA$21</definedName>
    <definedName name="frarwc2023overalllost">FRA!$AB$21</definedName>
    <definedName name="frarwc2023overallplayed">FRA!$Y$21</definedName>
    <definedName name="frarwc2023overallptsconc">FRA!$G$21</definedName>
    <definedName name="frarwc2023overallptsscored">FRA!$F$21</definedName>
    <definedName name="frarwc2023overallrc">FRA!$O$21</definedName>
    <definedName name="frarwc2023overalltriesconc">FRA!$R$21</definedName>
    <definedName name="frarwc2023overalltriesscored">FRA!$J$21</definedName>
    <definedName name="frarwc2023overallwon">FRA!$Z$21</definedName>
    <definedName name="frarwc2023overallyc">FRA!$N$21</definedName>
    <definedName name="frarwc2023poolsdrawn">FRA!$AA$19</definedName>
    <definedName name="frarwc2023poolslb">FRA!$I$19</definedName>
    <definedName name="frarwc2023poolslbcon">FRA!$Q$19</definedName>
    <definedName name="frarwc2023poolslost">FRA!$AB$19</definedName>
    <definedName name="frarwc2023poolsplayed">FRA!$Y$19</definedName>
    <definedName name="frarwc2023poolsptsconc">FRA!$G$19</definedName>
    <definedName name="frarwc2023poolsptsscored">FRA!$F$19</definedName>
    <definedName name="frarwc2023poolstb">FRA!$H$19</definedName>
    <definedName name="frarwc2023poolstbcon">FRA!$P$19</definedName>
    <definedName name="frarwc2023poolstriesconc">FRA!$R$19</definedName>
    <definedName name="frarwc2023poolstriesscored">FRA!$J$19</definedName>
    <definedName name="frarwc2023poolswon">FRA!$Z$19</definedName>
    <definedName name="fratb">FRA!#REF!</definedName>
    <definedName name="fratbcon">FRA!#REF!</definedName>
    <definedName name="frayellow">FRA!#REF!</definedName>
    <definedName name="g">[3]SAR!$AB$36</definedName>
    <definedName name="Geo2019alltestsdrawn">GEO!$AA$20</definedName>
    <definedName name="Geo2019alltestslost">GEO!$AB$20</definedName>
    <definedName name="Geo2019alltestsplayed">GEO!$Y$20</definedName>
    <definedName name="Geo2019alltestsptsagainst">GEO!$G$20</definedName>
    <definedName name="Geo2019alltestsptsscored">GEO!$F$20</definedName>
    <definedName name="Geo2019allteststriesconceded">GEO!$R$20</definedName>
    <definedName name="Geo2019allteststriesscored">GEO!$J$20</definedName>
    <definedName name="Geo2019alltestswon">GEO!$Z$20</definedName>
    <definedName name="Geo2019pooldrawn">GEO!#REF!</definedName>
    <definedName name="Geo2019poollbcon">GEO!#REF!</definedName>
    <definedName name="Geo2019poollbscored">GEO!#REF!</definedName>
    <definedName name="Geo2019poollost">GEO!#REF!</definedName>
    <definedName name="Geo2019poolplayed">GEO!#REF!</definedName>
    <definedName name="Geo2019poolptsagainst">GEO!#REF!</definedName>
    <definedName name="Geo2019poolptsscored">GEO!#REF!</definedName>
    <definedName name="Geo2019pooltbcon">GEO!#REF!</definedName>
    <definedName name="Geo2019pooltbscored">GEO!#REF!</definedName>
    <definedName name="Geo2019pooltriescon">GEO!#REF!</definedName>
    <definedName name="Geo2019pooltriesscored">GEO!#REF!</definedName>
    <definedName name="Geo2019poolwon">GEO!#REF!</definedName>
    <definedName name="Geo2019RWCdrawn">GEO!#REF!</definedName>
    <definedName name="Geo2019RWClost">GEO!#REF!</definedName>
    <definedName name="Geo2019RWCplayed">GEO!#REF!</definedName>
    <definedName name="Geo2019RWCptsagainst">GEO!#REF!</definedName>
    <definedName name="Geo2019RWCptsscored">GEO!#REF!</definedName>
    <definedName name="Geo2019RWCrc">GEO!#REF!</definedName>
    <definedName name="Geo2019RWCtriescon">GEO!#REF!</definedName>
    <definedName name="Geo2019RWCtriesscored">GEO!#REF!</definedName>
    <definedName name="Geo2019RWCwon">GEO!#REF!</definedName>
    <definedName name="Geo2019RWCyc">GEO!#REF!</definedName>
    <definedName name="geolb">GEO!#REF!</definedName>
    <definedName name="geolbcon">GEO!#REF!</definedName>
    <definedName name="geooveralldrawn">GEO!#REF!</definedName>
    <definedName name="geooveralllost">GEO!#REF!</definedName>
    <definedName name="geooverallpld">GEO!#REF!</definedName>
    <definedName name="geooverallptsag">GEO!#REF!</definedName>
    <definedName name="geooverallptsscored">GEO!#REF!</definedName>
    <definedName name="geooveralltriescon">GEO!#REF!</definedName>
    <definedName name="geooveralltriesscored">GEO!#REF!</definedName>
    <definedName name="geooverallwon">GEO!#REF!</definedName>
    <definedName name="geopooldrawn">GEO!#REF!</definedName>
    <definedName name="geopoollost">GEO!#REF!</definedName>
    <definedName name="geopoolpld">GEO!#REF!</definedName>
    <definedName name="geopoolptsag">GEO!#REF!</definedName>
    <definedName name="geopoolptsscored">GEO!#REF!</definedName>
    <definedName name="geopooltriescon">GEO!#REF!</definedName>
    <definedName name="geopooltriesscored">GEO!#REF!</definedName>
    <definedName name="geopoolwon">GEO!#REF!</definedName>
    <definedName name="geored">GEO!#REF!</definedName>
    <definedName name="Georgiaalltestshistdrawn">Sum!$E$10</definedName>
    <definedName name="Georgiaalltestshistlost">Sum!$D$10</definedName>
    <definedName name="Georgiaalltestshistplayed">Sum!$B$10</definedName>
    <definedName name="Georgiaalltestshistptsagainst">Sum!$H$10</definedName>
    <definedName name="Georgiaalltestshistptsscored">Sum!$G$10</definedName>
    <definedName name="Georgiaalltestshisttriesscored">Sum!$I$10</definedName>
    <definedName name="Georgiaalltestshistwon">Sum!$C$10</definedName>
    <definedName name="GeorgiaRWChistdrawn">Sum!$E$36</definedName>
    <definedName name="GeorgiaRWChistlost">Sum!$D$36</definedName>
    <definedName name="GeorgiaRWChistplayed">Sum!$B$36</definedName>
    <definedName name="GeorgiaRWChistptsagainst">Sum!$H$36</definedName>
    <definedName name="GeorgiaRWChistptsscored">Sum!$G$36</definedName>
    <definedName name="GeorgiaRWChisttriesscored">Sum!$I$36</definedName>
    <definedName name="GeorgiaRWChistwon">Sum!$C$36</definedName>
    <definedName name="georwc2023overalldg">GEO!$L$19</definedName>
    <definedName name="georwc2023overalldrawn">GEO!$AA$19</definedName>
    <definedName name="georwc2023overalllost">GEO!$AB$19</definedName>
    <definedName name="georwc2023overallplayed">GEO!$Y$19</definedName>
    <definedName name="georwc2023overallptsconc">GEO!$G$19</definedName>
    <definedName name="georwc2023overallptsscored">GEO!$F$19</definedName>
    <definedName name="georwc2023overallrc">GEO!$O$19</definedName>
    <definedName name="georwc2023overalltriesconc">GEO!$R$19</definedName>
    <definedName name="georwc2023overalltriesscored">GEO!$J$19</definedName>
    <definedName name="georwc2023overallwon">GEO!$Z$19</definedName>
    <definedName name="georwc2023overallyc">GEO!$N$19</definedName>
    <definedName name="georwc2023poolsdrawn">GEO!$AA$17</definedName>
    <definedName name="georwc2023poolslb">GEO!$I$17</definedName>
    <definedName name="georwc2023poolslbcon">GEO!$Q$17</definedName>
    <definedName name="georwc2023poolslost">GEO!$AB$17</definedName>
    <definedName name="georwc2023poolsplayed">GEO!$Y$17</definedName>
    <definedName name="georwc2023poolsptsconc">GEO!$G$17</definedName>
    <definedName name="georwc2023poolsptsscored">GEO!$F$17</definedName>
    <definedName name="georwc2023poolstb">GEO!$H$17</definedName>
    <definedName name="georwc2023poolstbcon">GEO!$P$17</definedName>
    <definedName name="georwc2023poolstriesconc">GEO!$R$17</definedName>
    <definedName name="georwc2023poolstriesscored">GEO!$J$17</definedName>
    <definedName name="georwc2023poolswon">GEO!$Z$17</definedName>
    <definedName name="geotb">GEO!#REF!</definedName>
    <definedName name="geotbcon">GEO!#REF!</definedName>
    <definedName name="geoyellow">GEO!#REF!</definedName>
    <definedName name="glosbonus">ENG!#REF!</definedName>
    <definedName name="glosconceded">ENG!#REF!</definedName>
    <definedName name="glosdrawn">ENG!#REF!</definedName>
    <definedName name="gloslosingbonus">ENG!#REF!</definedName>
    <definedName name="gloslosingbonusconceded">ENG!#REF!</definedName>
    <definedName name="gloslost">ENG!#REF!</definedName>
    <definedName name="glosplayed">ENG!#REF!</definedName>
    <definedName name="glosred">ENG!#REF!</definedName>
    <definedName name="glosscored">ENG!#REF!</definedName>
    <definedName name="glostries">ENG!#REF!</definedName>
    <definedName name="glostriesconceded">ENG!#REF!</definedName>
    <definedName name="glostrybonus">ENG!#REF!</definedName>
    <definedName name="glostrybonusconceded">ENG!#REF!</definedName>
    <definedName name="gloswon">ENG!#REF!</definedName>
    <definedName name="glosyellow">ENG!#REF!</definedName>
    <definedName name="gloucesterpremred">[2]GLO!$O$40</definedName>
    <definedName name="gloucesterpremseasontotalsdgs">[1]GLO!$L$38</definedName>
    <definedName name="gloucesterpremseasontotalsdrawn">[1]GLO!$AA$38</definedName>
    <definedName name="gloucesterpremseasontotalslost">[1]GLO!$AB$38</definedName>
    <definedName name="gloucesterpremseasontotalsplayed">[1]GLO!$Y$38</definedName>
    <definedName name="gloucesterpremseasontotalsptsagainst">[1]GLO!$G$38</definedName>
    <definedName name="gloucesterpremseasontotalsptsscored">[1]GLO!$F$38</definedName>
    <definedName name="gloucesterpremseasontotalsRC">[1]GLO!$O$38</definedName>
    <definedName name="gloucesterpremseasontotalstriesconceded">[1]GLO!$R$38</definedName>
    <definedName name="gloucesterpremseasontotalstriesscored">[1]GLO!$J$38</definedName>
    <definedName name="gloucesterpremseasontotalswon">[1]GLO!$Z$38</definedName>
    <definedName name="gloucesterpremseasontotalsYC">[1]GLO!$N$38</definedName>
    <definedName name="gloucesterpremtrybonusconc">[1]GLO!$P$36</definedName>
    <definedName name="gloucesterpremtrybonusscored">[1]GLO!$H$36</definedName>
    <definedName name="gloucesterpremyellow">[2]GLO!$N$40</definedName>
    <definedName name="harbonus">FIJ!#REF!</definedName>
    <definedName name="harconceded">FIJ!#REF!</definedName>
    <definedName name="hardrawn">FIJ!#REF!</definedName>
    <definedName name="harlequinspremred">[2]HAR!$O$39</definedName>
    <definedName name="harlequinspremseasontotalsdgs">[1]HAR!$L$39</definedName>
    <definedName name="harlequinspremseasontotalsdrawn">[1]HAR!$AA$39</definedName>
    <definedName name="harlequinspremseasontotalslost">[1]HAR!$AB$39</definedName>
    <definedName name="harlequinspremseasontotalsplayed">[1]HAR!$Y$39</definedName>
    <definedName name="harlequinspremseasontotalsptsagainst">[1]HAR!$G$39</definedName>
    <definedName name="harlequinspremseasontotalsptsscored">[1]HAR!$F$39</definedName>
    <definedName name="harlequinspremseasontotalsRC">[1]HAR!$O$39</definedName>
    <definedName name="harlequinspremseasontotalstriesconceded">[1]HAR!$R$39</definedName>
    <definedName name="harlequinspremseasontotalstriesscored">[1]HAR!$J$39</definedName>
    <definedName name="harlequinspremseasontotalswon">[1]HAR!$Z$39</definedName>
    <definedName name="harlequinspremseasontotalsYC">[1]HAR!$N$39</definedName>
    <definedName name="harlequinspremtrybonuscon">[1]HAR!$P$37</definedName>
    <definedName name="harlequinspremtrybonusscored">[1]HAR!$H$37</definedName>
    <definedName name="harlequinspremyellow">[2]HAR!$N$39</definedName>
    <definedName name="harlosingbonus">FIJ!#REF!</definedName>
    <definedName name="harlosingbonusconceded">FIJ!#REF!</definedName>
    <definedName name="harlost">FIJ!#REF!</definedName>
    <definedName name="harplayed">FIJ!#REF!</definedName>
    <definedName name="harred">FIJ!#REF!</definedName>
    <definedName name="harscored">FIJ!#REF!</definedName>
    <definedName name="hartriesconceded">FIJ!#REF!</definedName>
    <definedName name="hartriesscored">FIJ!#REF!</definedName>
    <definedName name="hartrybonus">FIJ!#REF!</definedName>
    <definedName name="hartrybonusconceded">FIJ!#REF!</definedName>
    <definedName name="harwon">FIJ!#REF!</definedName>
    <definedName name="haryellow">FIJ!#REF!</definedName>
    <definedName name="Ire2019alltestsdrawn">IRE!$AA$21</definedName>
    <definedName name="Ire2019alltestslost">IRE!$AB$21</definedName>
    <definedName name="Ire2019alltestsplayed">IRE!$Y$21</definedName>
    <definedName name="Ire2019alltestsptscon">IRE!$G$21</definedName>
    <definedName name="Ire2019alltestsptsscored">IRE!$F$21</definedName>
    <definedName name="Ire2019allteststriescon">IRE!$R$21</definedName>
    <definedName name="Ire2019allteststriesscored">IRE!$J$21</definedName>
    <definedName name="Ire2019alltestswon">IRE!$Z$21</definedName>
    <definedName name="Ire2019pooldrawn">IRE!#REF!</definedName>
    <definedName name="Ire2019poollbcon">IRE!#REF!</definedName>
    <definedName name="Ire2019poollbscored">IRE!#REF!</definedName>
    <definedName name="Ire2019poollost">IRE!#REF!</definedName>
    <definedName name="Ire2019poolplayed">IRE!#REF!</definedName>
    <definedName name="Ire2019poolptscon">IRE!#REF!</definedName>
    <definedName name="Ire2019poolptsscored">IRE!#REF!</definedName>
    <definedName name="Ire2019pooltbcon">IRE!#REF!</definedName>
    <definedName name="Ire2019pooltbscored">IRE!#REF!</definedName>
    <definedName name="Ire2019pooltriescon">IRE!#REF!</definedName>
    <definedName name="Ire2019pooltriesscored">IRE!#REF!</definedName>
    <definedName name="Ire2019poolwon">IRE!#REF!</definedName>
    <definedName name="Ire2019RWCdrawn">IRE!#REF!</definedName>
    <definedName name="Ire2019RWClost">IRE!#REF!</definedName>
    <definedName name="Ire2019RWCplayed">IRE!#REF!</definedName>
    <definedName name="Ire2019RWCptsagainst">IRE!#REF!</definedName>
    <definedName name="Ire2019RWCptsscored">IRE!#REF!</definedName>
    <definedName name="Ire2019RWCrc">IRE!#REF!</definedName>
    <definedName name="Ire2019RWCtriescon">IRE!#REF!</definedName>
    <definedName name="Ire2019RWCtriesscored">IRE!#REF!</definedName>
    <definedName name="Ire2019RWCwon">IRE!#REF!</definedName>
    <definedName name="Ire2019RWCyc">IRE!#REF!</definedName>
    <definedName name="ire6ntriesconc">IRE!$R$16</definedName>
    <definedName name="Irelandalltestshistdrawn">Sum!$E$11</definedName>
    <definedName name="Irelandalltestshistlost">Sum!$D$11</definedName>
    <definedName name="Irelandalltestshistplayed">Sum!$B$11</definedName>
    <definedName name="Irelandalltestshistptsagainst">Sum!$H$11</definedName>
    <definedName name="Irelandalltestshistptsscored">Sum!$G$11</definedName>
    <definedName name="Irelandalltestshisttriesscored">Sum!$I$11</definedName>
    <definedName name="Irelandalltestshistwon">Sum!$C$11</definedName>
    <definedName name="Irelanddrawn">IRE!$AA$16</definedName>
    <definedName name="Irelandlosingbonus">IRE!$I$16</definedName>
    <definedName name="Irelandlost">IRE!$AB$16</definedName>
    <definedName name="Irelandplayed">IRE!$Y$16</definedName>
    <definedName name="Irelandptsagainst">IRE!$G$16</definedName>
    <definedName name="Irelandptsscored">IRE!$F$16</definedName>
    <definedName name="Irelandred">IRE!$O$16</definedName>
    <definedName name="IrelandRWChistdrawn">Sum!$E$37</definedName>
    <definedName name="IrelandRWChistlost">Sum!$D$37</definedName>
    <definedName name="IrelandRWChistplayed">Sum!$B$37</definedName>
    <definedName name="IrelandRWChistptsagainst">Sum!$H$37</definedName>
    <definedName name="IrelandRWChistptsscored">Sum!$G$37</definedName>
    <definedName name="IrelandRWChisttriesscored">Sum!$I$37</definedName>
    <definedName name="IrelandRWChistwon">Sum!$C$37</definedName>
    <definedName name="Irelandtriesagainst">IRE!$R$16</definedName>
    <definedName name="Irelandtriesscored">IRE!$J$16</definedName>
    <definedName name="Irelandtrybonus">IRE!$H$16</definedName>
    <definedName name="Irelandwon">IRE!$Z$16</definedName>
    <definedName name="Irelandyellow">IRE!$N$16</definedName>
    <definedName name="irelb">IRE!#REF!</definedName>
    <definedName name="irelbcon">IRE!#REF!</definedName>
    <definedName name="ireoveralldrawn">IRE!#REF!</definedName>
    <definedName name="ireoveralllost">IRE!#REF!</definedName>
    <definedName name="ireoverallpld">IRE!#REF!</definedName>
    <definedName name="ireoverallptsag">IRE!#REF!</definedName>
    <definedName name="ireoverallptsscored">IRE!#REF!</definedName>
    <definedName name="ireoveralltriescon">IRE!#REF!</definedName>
    <definedName name="ireoveralltriesscored">IRE!#REF!</definedName>
    <definedName name="ireoverallwon">IRE!#REF!</definedName>
    <definedName name="irepooldrawn">IRE!#REF!</definedName>
    <definedName name="irepoollost">IRE!#REF!</definedName>
    <definedName name="irepoolpld">IRE!#REF!</definedName>
    <definedName name="irepoolptsag">IRE!#REF!</definedName>
    <definedName name="irepoolptsscored">IRE!#REF!</definedName>
    <definedName name="irepooltriescon">IRE!#REF!</definedName>
    <definedName name="irepooltriesscored">IRE!#REF!</definedName>
    <definedName name="irepoolwon">IRE!#REF!</definedName>
    <definedName name="irered">IRE!#REF!</definedName>
    <definedName name="irerwc2023overalldg">IRE!$L$20</definedName>
    <definedName name="irerwc2023overalldrawn">IRE!$AA$20</definedName>
    <definedName name="irerwc2023overalllost">IRE!$AB$20</definedName>
    <definedName name="irerwc2023overallplayed">IRE!$Y$20</definedName>
    <definedName name="irerwc2023overallptsconc">IRE!$G$20</definedName>
    <definedName name="irerwc2023overallptsscored">IRE!$F$20</definedName>
    <definedName name="irerwc2023overallrc">IRE!$O$20</definedName>
    <definedName name="irerwc2023overalltriesconc">IRE!$R$20</definedName>
    <definedName name="irerwc2023overalltriesscored">IRE!$J$20</definedName>
    <definedName name="irerwc2023overallwon">IRE!$Z$20</definedName>
    <definedName name="irerwc2023overallyc">IRE!$N$20</definedName>
    <definedName name="irerwc2023poolsdrawn">IRE!$AA$18</definedName>
    <definedName name="irerwc2023poolslb">IRE!$I$18</definedName>
    <definedName name="irerwc2023poolslbcon">IRE!$Q$18</definedName>
    <definedName name="irerwc2023poolslost">IRE!$AB$18</definedName>
    <definedName name="irerwc2023poolsplayed">IRE!$Y$18</definedName>
    <definedName name="irerwc2023poolsptsconc">IRE!$G$18</definedName>
    <definedName name="irerwc2023poolsptsscored">IRE!$F$18</definedName>
    <definedName name="irerwc2023poolstb">IRE!$H$18</definedName>
    <definedName name="irerwc2023poolstbcon">IRE!$P$18</definedName>
    <definedName name="irerwc2023poolstriesconc">IRE!$R$18</definedName>
    <definedName name="irerwc2023poolstriesscored">IRE!$J$18</definedName>
    <definedName name="irerwc2023poolswon">IRE!$Z$18</definedName>
    <definedName name="iretb">IRE!#REF!</definedName>
    <definedName name="iretbcon">IRE!#REF!</definedName>
    <definedName name="ireyellow">IRE!#REF!</definedName>
    <definedName name="ita2019alltestsdrawn">ITA!$AA$21</definedName>
    <definedName name="ita2019alltestslost">ITA!$AB$21</definedName>
    <definedName name="ita2019alltestsplayed">ITA!$Y$21</definedName>
    <definedName name="ita2019alltestsptscon">ITA!$G$21</definedName>
    <definedName name="ita2019alltestsptsscored">ITA!$F$21</definedName>
    <definedName name="ita2019allteststriescon">ITA!$R$21</definedName>
    <definedName name="ita2019allteststriesscored">ITA!$J$21</definedName>
    <definedName name="ita2019alltestswon">ITA!$Z$21</definedName>
    <definedName name="ita2019pooldrawn">ITA!#REF!</definedName>
    <definedName name="ita2019poollbcon">ITA!#REF!</definedName>
    <definedName name="ita2019poollbscored">ITA!#REF!</definedName>
    <definedName name="ita2019poollost">ITA!#REF!</definedName>
    <definedName name="ita2019poolplayed">ITA!#REF!</definedName>
    <definedName name="ita2019poolptscon">ITA!#REF!</definedName>
    <definedName name="ita2019poolptsscored">ITA!#REF!</definedName>
    <definedName name="ita2019pooltbcon">ITA!#REF!</definedName>
    <definedName name="ita2019pooltbscored">ITA!#REF!</definedName>
    <definedName name="ita2019pooltriescon">ITA!#REF!</definedName>
    <definedName name="ita2019pooltriesscored">ITA!#REF!</definedName>
    <definedName name="ita2019poolwon">ITA!#REF!</definedName>
    <definedName name="ita2019RWCdrawn">ITA!#REF!</definedName>
    <definedName name="ita2019RWClost">ITA!#REF!</definedName>
    <definedName name="ita2019RWCplayed">ITA!#REF!</definedName>
    <definedName name="ita2019RWCptscon">ITA!#REF!</definedName>
    <definedName name="ita2019RWCptsscored">ITA!#REF!</definedName>
    <definedName name="ita2019RWCrc">ITA!#REF!</definedName>
    <definedName name="ita2019RWCtriescon">ITA!#REF!</definedName>
    <definedName name="ita2019RWCtriesscored">ITA!#REF!</definedName>
    <definedName name="ita2019RWCwon">ITA!#REF!</definedName>
    <definedName name="ita2019RWCyc">ITA!#REF!</definedName>
    <definedName name="ita6ntriesconc">ITA!$R$16</definedName>
    <definedName name="italb">ITA!#REF!</definedName>
    <definedName name="italbcon">ITA!#REF!</definedName>
    <definedName name="Italyalltestshistdrawn">Sum!$E$12</definedName>
    <definedName name="Italyalltestshistlost">Sum!$D$12</definedName>
    <definedName name="Italyalltestshistplayed">Sum!$B$12</definedName>
    <definedName name="Italyalltestshistptsagainst">Sum!$H$12</definedName>
    <definedName name="Italyalltestshistptsscored">Sum!$G$12</definedName>
    <definedName name="Italyalltestshisttriesscored">Sum!$I$12</definedName>
    <definedName name="Italyalltestshistwon">Sum!$C$12</definedName>
    <definedName name="Italydrawn">ITA!$AA$16</definedName>
    <definedName name="Italylosingbonus">ITA!$I$16</definedName>
    <definedName name="Italylost">ITA!$AB$16</definedName>
    <definedName name="Italyplayed">ITA!$Y$16</definedName>
    <definedName name="Italyptsagainst">ITA!$G$16</definedName>
    <definedName name="Italyptsscored">ITA!$F$16</definedName>
    <definedName name="Italyred">ITA!$O$16</definedName>
    <definedName name="ItalyRWChistdrawn">Sum!$E$38</definedName>
    <definedName name="ItalyRWChistlost">Sum!$D$38</definedName>
    <definedName name="ItalyRWChistplayed">Sum!$B$38</definedName>
    <definedName name="ItalyRWChistptsagainst">Sum!$H$38</definedName>
    <definedName name="ItalyRWChistptsscored">Sum!$G$38</definedName>
    <definedName name="ItalyRWChisttriesscored">Sum!$I$38</definedName>
    <definedName name="ItalyRWChistwon">Sum!$C$38</definedName>
    <definedName name="Italysixnationsdrawn">Sum!$E$73</definedName>
    <definedName name="Italysixnationslost">Sum!$D$73</definedName>
    <definedName name="Italysixnationsplayed">Sum!$B$73</definedName>
    <definedName name="Italysixnationsptsconceded">Sum!$H$73</definedName>
    <definedName name="Italysixnationsptsscore">Sum!$G$73</definedName>
    <definedName name="Italysixnationstriesscored">Sum!$I$73</definedName>
    <definedName name="Italysixnationswon">Sum!$C$73</definedName>
    <definedName name="Italytriesagainst">ITA!$R$16</definedName>
    <definedName name="Italytriesscored">ITA!$J$16</definedName>
    <definedName name="Italytrybonus">ITA!$H$16</definedName>
    <definedName name="Italywon">ITA!$Z$16</definedName>
    <definedName name="Italyyellow">ITA!$N$16</definedName>
    <definedName name="itaoveralldrawn">ITA!#REF!</definedName>
    <definedName name="itaoveralllost">ITA!#REF!</definedName>
    <definedName name="itaoverallpld">ITA!#REF!</definedName>
    <definedName name="itaoverallptsag">ITA!#REF!</definedName>
    <definedName name="itaoverallptsscored">ITA!#REF!</definedName>
    <definedName name="itaoveralltriesscored">ITA!#REF!</definedName>
    <definedName name="itaoverallwon">ITA!#REF!</definedName>
    <definedName name="itapooldrawm">ITA!#REF!</definedName>
    <definedName name="itapoollost">ITA!#REF!</definedName>
    <definedName name="itapoolpld">ITA!#REF!</definedName>
    <definedName name="itapoolptsag">ITA!#REF!</definedName>
    <definedName name="itapoolptsscored">ITA!#REF!</definedName>
    <definedName name="itapooltriescon">ITA!#REF!</definedName>
    <definedName name="itapooltriesscored">ITA!#REF!</definedName>
    <definedName name="itapoolwon">ITA!#REF!</definedName>
    <definedName name="itared">ITA!#REF!</definedName>
    <definedName name="itarwc2023overalldg">ITA!$L$20</definedName>
    <definedName name="itarwc2023overalldrawn">ITA!$AA$20</definedName>
    <definedName name="itarwc2023overalllost">ITA!$AB$20</definedName>
    <definedName name="itarwc2023overallplayed">ITA!$Y$20</definedName>
    <definedName name="itarwc2023overallptsconc">ITA!$G$20</definedName>
    <definedName name="itarwc2023overallptsscored">ITA!$F$20</definedName>
    <definedName name="itarwc2023overallrc">ITA!$O$20</definedName>
    <definedName name="itarwc2023overalltriesconc">ITA!$R$20</definedName>
    <definedName name="itarwc2023overalltriesscored">ITA!$J$20</definedName>
    <definedName name="itarwc2023overallwon">ITA!$Z$20</definedName>
    <definedName name="itarwc2023overallyc">ITA!$N$20</definedName>
    <definedName name="itarwc2023pools">ITA!$AA$18</definedName>
    <definedName name="itarwc2023poolsdrawn">ITA!$AA$18</definedName>
    <definedName name="itarwc2023poolslb">ITA!$I$18</definedName>
    <definedName name="itarwc2023poolslbcon">ITA!$Q$18</definedName>
    <definedName name="itarwc2023poolslost">ITA!$AB$18</definedName>
    <definedName name="itarwc2023poolsplayed">ITA!$Y$18</definedName>
    <definedName name="itarwc2023poolsptsconc">ITA!$G$18</definedName>
    <definedName name="itarwc2023poolsptsscored">ITA!$F$18</definedName>
    <definedName name="itarwc2023poolstb">ITA!$H$18</definedName>
    <definedName name="itarwc2023poolstbcon">ITA!$P$18</definedName>
    <definedName name="itarwc2023poolstriescon">ITA!$R$18</definedName>
    <definedName name="itarwc2023poolstriesscored">ITA!$J$18</definedName>
    <definedName name="itarwc2023poolswon">ITA!$Z$18</definedName>
    <definedName name="itatb">ITA!#REF!</definedName>
    <definedName name="itatbcon">ITA!#REF!</definedName>
    <definedName name="itatriescon">ITA!#REF!</definedName>
    <definedName name="itayellow">ITA!#REF!</definedName>
    <definedName name="Japanalltestshistdrawn">Sum!$E$13</definedName>
    <definedName name="Japanalltestshistlost">Sum!$D$13</definedName>
    <definedName name="Japanalltestshistplayed">Sum!$B$13</definedName>
    <definedName name="Japanalltestshistptscon">Sum!$H$13</definedName>
    <definedName name="Japanalltestshistptsscored">Sum!$G$13</definedName>
    <definedName name="Japanalltestshisttriesscored">Sum!$G$13</definedName>
    <definedName name="Japanalltestshisttriesscoredcorrect">Sum!$I$13</definedName>
    <definedName name="Japanalltestshistwon">Sum!$C$13</definedName>
    <definedName name="JapanRWChistdrawn">Sum!$E$40</definedName>
    <definedName name="JapanRWChistlost">Sum!$D$40</definedName>
    <definedName name="JapanRWChistplayed">Sum!$B$40</definedName>
    <definedName name="JapanRWChistptsagainst">Sum!$H$40</definedName>
    <definedName name="JapanRWChistptsscored">Sum!$G$40</definedName>
    <definedName name="JapanRWChisttriesscored">Sum!$I$40</definedName>
    <definedName name="JapanRWChistwon">Sum!$C$40</definedName>
    <definedName name="jpn2019alltestsdrawn">JPN!$AA$19</definedName>
    <definedName name="jpn2019alltestslost">JPN!$AB$19</definedName>
    <definedName name="jpn2019alltestsplayed">JPN!$Y$19</definedName>
    <definedName name="jpn2019alltestsptsagainst">JPN!$G$19</definedName>
    <definedName name="jpn2019alltestsptsscored">JPN!$F$19</definedName>
    <definedName name="jpn2019allteststriescon">JPN!$R$19</definedName>
    <definedName name="jpn2019allteststriesscored">JPN!$J$19</definedName>
    <definedName name="jpn2019alltestswon">JPN!$Z$19</definedName>
    <definedName name="jpn2019pooldrawn">JPN!#REF!</definedName>
    <definedName name="jpn2019poollbcon">JPN!#REF!</definedName>
    <definedName name="jpn2019poollbscored">JPN!#REF!</definedName>
    <definedName name="jpn2019poollost">JPN!#REF!</definedName>
    <definedName name="jpn2019poolplayed">JPN!#REF!</definedName>
    <definedName name="jpn2019poolptscon">JPN!#REF!</definedName>
    <definedName name="jpn2019poolptsscored">JPN!#REF!</definedName>
    <definedName name="jpn2019pooltbcon">JPN!#REF!</definedName>
    <definedName name="jpn2019pooltbscored">JPN!#REF!</definedName>
    <definedName name="jpn2019pooltriescon">JPN!#REF!</definedName>
    <definedName name="jpn2019pooltriesscored">JPN!#REF!</definedName>
    <definedName name="jpn2019poolwon">JPN!#REF!</definedName>
    <definedName name="jpn2019rwcdrawn">JPN!#REF!</definedName>
    <definedName name="jpn2019rwclost">JPN!#REF!</definedName>
    <definedName name="jpn2019rwcplayed">JPN!#REF!</definedName>
    <definedName name="jpn2019rwcptsagainst">JPN!#REF!</definedName>
    <definedName name="jpn2019rwcptsscored">JPN!#REF!</definedName>
    <definedName name="jpn2019rwcrc">JPN!#REF!</definedName>
    <definedName name="jpn2019rwctriescon">JPN!#REF!</definedName>
    <definedName name="jpn2019rwctriesscored">JPN!#REF!</definedName>
    <definedName name="jpn2019rwcwon">JPN!#REF!</definedName>
    <definedName name="jpn2019rwcyc">JPN!#REF!</definedName>
    <definedName name="jpnlb">JPN!#REF!</definedName>
    <definedName name="jpnlbcon">JPN!#REF!</definedName>
    <definedName name="jpnoveralldrawn">JPN!#REF!</definedName>
    <definedName name="jpnoveralllost">JPN!#REF!</definedName>
    <definedName name="jpnoverallpld">JPN!#REF!</definedName>
    <definedName name="jpnoverallptsag">JPN!#REF!</definedName>
    <definedName name="jpnoverallptsscored">JPN!#REF!</definedName>
    <definedName name="jpnoveralltriescon">JPN!#REF!</definedName>
    <definedName name="jpnoveralltriesscored">JPN!#REF!</definedName>
    <definedName name="jpnoverallwon">JPN!#REF!</definedName>
    <definedName name="jpnpooldrawn">JPN!#REF!</definedName>
    <definedName name="jpnpoollost">JPN!#REF!</definedName>
    <definedName name="jpnpoolpld">JPN!#REF!</definedName>
    <definedName name="jpnpoolptsag">JPN!#REF!</definedName>
    <definedName name="jpnpoolptsscored">JPN!#REF!</definedName>
    <definedName name="jpnpooltriescon">JPN!#REF!</definedName>
    <definedName name="jpnpooltriesscored">JPN!#REF!</definedName>
    <definedName name="jpnpoolwon">JPN!#REF!</definedName>
    <definedName name="jpnred">JPN!#REF!</definedName>
    <definedName name="jpnrwc2023overalldg">JPN!$L$18</definedName>
    <definedName name="jpnrwc2023overalldrawn">JPN!$AA$18</definedName>
    <definedName name="jpnrwc2023overalllost">JPN!$AB$18</definedName>
    <definedName name="jpnrwc2023overallplayed">JPN!$Y$18</definedName>
    <definedName name="jpnrwc2023overallptsconc">JPN!$G$18</definedName>
    <definedName name="jpnrwc2023overallptsscored">JPN!$F$18</definedName>
    <definedName name="jpnrwc2023overallrc">JPN!$O$18</definedName>
    <definedName name="jpnrwc2023overalltriesconc">JPN!$R$18</definedName>
    <definedName name="jpnrwc2023overalltriesscored">JPN!$J$18</definedName>
    <definedName name="jpnrwc2023overallwon">JPN!$Z$18</definedName>
    <definedName name="jpnrwc2023overallyc">JPN!$N$18</definedName>
    <definedName name="jpnrwc2023poolsdrawn">JPN!$AA$16</definedName>
    <definedName name="jpnrwc2023poolslb">JPN!$I$16</definedName>
    <definedName name="jpnrwc2023poolslbcon">JPN!$Q$16</definedName>
    <definedName name="jpnrwc2023poolslost">JPN!$AB$16</definedName>
    <definedName name="jpnrwc2023poolsplayed">JPN!$Y$16</definedName>
    <definedName name="jpnrwc2023poolsptsconc">JPN!$G$16</definedName>
    <definedName name="jpnrwc2023poolsptsscored">JPN!$F$16</definedName>
    <definedName name="jpnrwc2023poolstb">JPN!$H$16</definedName>
    <definedName name="jpnrwc2023poolstbcon">JPN!$P$16</definedName>
    <definedName name="jpnrwc2023poolstriesconc">JPN!$R$16</definedName>
    <definedName name="jpnrwc2023poolstriesscored">JPN!$J$16</definedName>
    <definedName name="jpnrwc2023poolswon">JPN!$Z$16</definedName>
    <definedName name="jpntb">JPN!#REF!</definedName>
    <definedName name="jpntbcon">JPN!#REF!</definedName>
    <definedName name="jpnyellow">JPN!#REF!</definedName>
    <definedName name="leicesterpoconceded">FRA!#REF!</definedName>
    <definedName name="leicesterpolost">FRA!#REF!</definedName>
    <definedName name="leicesterpoplayed">FRA!#REF!</definedName>
    <definedName name="leicesterpored">FRA!#REF!</definedName>
    <definedName name="leicesterposcored">FRA!#REF!</definedName>
    <definedName name="leicesterpotriesconceded">FRA!#REF!</definedName>
    <definedName name="leicesterpotriesscored">FRA!#REF!</definedName>
    <definedName name="leicesterpowon">FRA!#REF!</definedName>
    <definedName name="leicesterpoyellow">FRA!#REF!</definedName>
    <definedName name="leicesterpremred">[2]LEIC!$O$39</definedName>
    <definedName name="leicesterpremseasontotalsdgs">[1]LEIC!$L$37</definedName>
    <definedName name="leicesterpremseasontotalsdrawn">[1]LEIC!$AA$37</definedName>
    <definedName name="leicesterpremseasontotalslost">[1]LEIC!$AB$37</definedName>
    <definedName name="leicesterpremseasontotalsplayed">[1]LEIC!$Y$37</definedName>
    <definedName name="leicesterpremseasontotalsptsagainst">[1]LEIC!$G$37</definedName>
    <definedName name="leicesterpremseasontotalsptsscored">[1]LEIC!$F$37</definedName>
    <definedName name="leicesterpremseasontotalsRC">[1]LEIC!$O$37</definedName>
    <definedName name="leicesterpremseasontotalstriesconceded">[1]LEIC!$R$37</definedName>
    <definedName name="leicesterpremseasontotalstriesscored">[1]LEIC!$J$37</definedName>
    <definedName name="leicesterpremseasontotalswon">[1]LEIC!$Z$37</definedName>
    <definedName name="leicesterpremseasontotalsYC">[1]LEIC!$N$37</definedName>
    <definedName name="leicesterpremtrybonusconccorrect">[1]LEIC!$P$35</definedName>
    <definedName name="leicesterpremtrybonusscored">[1]LEIC!$H$35</definedName>
    <definedName name="leicesterpremyellow">[2]LEIC!$N$39</definedName>
    <definedName name="leicsbonus">FRA!#REF!</definedName>
    <definedName name="leicsconceded">FRA!#REF!</definedName>
    <definedName name="leicsdrawn">FRA!#REF!</definedName>
    <definedName name="leicslosingbonus">FRA!#REF!</definedName>
    <definedName name="leicslosingbonusconceded">FRA!#REF!</definedName>
    <definedName name="leicslost">FRA!#REF!</definedName>
    <definedName name="leicsplayed">FRA!#REF!</definedName>
    <definedName name="leicsred">FRA!#REF!</definedName>
    <definedName name="leicsscored">FRA!#REF!</definedName>
    <definedName name="leicstries">FRA!#REF!</definedName>
    <definedName name="leicstriesconceded">FRA!#REF!</definedName>
    <definedName name="leicstrybonus">FRA!#REF!</definedName>
    <definedName name="leicstrybonusconceded">FRA!#REF!</definedName>
    <definedName name="leicswon">FRA!#REF!</definedName>
    <definedName name="leicsyellow">FRA!#REF!</definedName>
    <definedName name="libonus">CAN!#REF!</definedName>
    <definedName name="liconceded">CAN!#REF!</definedName>
    <definedName name="lidrawn">CAN!#REF!</definedName>
    <definedName name="lilosingbonus">CAN!#REF!</definedName>
    <definedName name="lilosingbonusconceded">CAN!#REF!</definedName>
    <definedName name="lilost">CAN!#REF!</definedName>
    <definedName name="liplayed">CAN!#REF!</definedName>
    <definedName name="lirdgsscored">[1]BRI!$L$36</definedName>
    <definedName name="lired">CAN!#REF!</definedName>
    <definedName name="liscored">CAN!#REF!</definedName>
    <definedName name="litries">CAN!#REF!</definedName>
    <definedName name="litriesconceded">CAN!#REF!</definedName>
    <definedName name="litrybonus">CAN!#REF!</definedName>
    <definedName name="litrybonusconceded">CAN!#REF!</definedName>
    <definedName name="liwon">CAN!#REF!</definedName>
    <definedName name="liyellow">CAN!#REF!</definedName>
    <definedName name="lost">ROM!$AB$17</definedName>
    <definedName name="lweagainst">GEO!#REF!</definedName>
    <definedName name="lwedrawn">GEO!#REF!</definedName>
    <definedName name="lwelosingbonus">GEO!#REF!</definedName>
    <definedName name="lwelosingbonusonceded">GEO!#REF!</definedName>
    <definedName name="lwelost">GEO!#REF!</definedName>
    <definedName name="lweplayed">GEO!#REF!</definedName>
    <definedName name="lwered">GEO!#REF!</definedName>
    <definedName name="lwescored">GEO!#REF!</definedName>
    <definedName name="lwetriesconceded">GEO!#REF!</definedName>
    <definedName name="lwetriesscored">GEO!#REF!</definedName>
    <definedName name="lwetrybonus">GEO!#REF!</definedName>
    <definedName name="lwetrybonusconceded">GEO!#REF!</definedName>
    <definedName name="lwewon">GEO!#REF!</definedName>
    <definedName name="lweyellow">GEO!#REF!</definedName>
    <definedName name="Nam2019alltestsdrawn">NAM!$AA$13</definedName>
    <definedName name="Nam2019alltestslost">NAM!$AB$13</definedName>
    <definedName name="Nam2019alltestsplayed">NAM!$Y$13</definedName>
    <definedName name="Nam2019alltestsptscon">NAM!$G$13</definedName>
    <definedName name="Nam2019alltestsptsscored">NAM!$F$13</definedName>
    <definedName name="Nam2019allteststriescon">NAM!$R$13</definedName>
    <definedName name="Nam2019allteststriesscored">NAM!$J$13</definedName>
    <definedName name="Nam2019alltestswon">NAM!$Z$13</definedName>
    <definedName name="Nam2019pooldrawn">NAM!#REF!</definedName>
    <definedName name="Nam2019poollbcon">NAM!#REF!</definedName>
    <definedName name="Nam2019poollbscored">NAM!#REF!</definedName>
    <definedName name="Nam2019poollost">NAM!#REF!</definedName>
    <definedName name="Nam2019poolplayed">NAM!#REF!</definedName>
    <definedName name="Nam2019poolptscon">NAM!#REF!</definedName>
    <definedName name="Nam2019poolptsscored">NAM!#REF!</definedName>
    <definedName name="Nam2019pooltbcon">NAM!#REF!</definedName>
    <definedName name="Nam2019pooltbscored">NAM!#REF!</definedName>
    <definedName name="Nam2019pooltriescon">NAM!#REF!</definedName>
    <definedName name="Nam2019pooltriesscored">NAM!#REF!</definedName>
    <definedName name="Nam2019poolwon">NAM!#REF!</definedName>
    <definedName name="Nam2019RWCdrawn">NAM!#REF!</definedName>
    <definedName name="Nam2019RWClost">NAM!#REF!</definedName>
    <definedName name="Nam2019RWCplayed">NAM!#REF!</definedName>
    <definedName name="Nam2019RWCptsagainst">NAM!#REF!</definedName>
    <definedName name="Nam2019RWCptsscored">NAM!#REF!</definedName>
    <definedName name="Nam2019RWCrc">NAM!#REF!</definedName>
    <definedName name="Nam2019RWCtriescon">NAM!#REF!</definedName>
    <definedName name="Nam2019RWCtriesscored">NAM!#REF!</definedName>
    <definedName name="Nam2019RWCwon">NAM!#REF!</definedName>
    <definedName name="Nam2019RWCyc">NAM!#REF!</definedName>
    <definedName name="Namibiaalltestshistdrawn">Sum!$E$14</definedName>
    <definedName name="Namibiaalltestshistlost">Sum!$D$14</definedName>
    <definedName name="Namibiaalltestshistplayed">Sum!$B$14</definedName>
    <definedName name="Namibiaalltestshistptscon">Sum!$H$14</definedName>
    <definedName name="Namibiaalltestshistptsscored">Sum!$G$14</definedName>
    <definedName name="Namibiaalltestshisttriesscored">Sum!$I$14</definedName>
    <definedName name="Namibiaalltestshistwon">Sum!$C$14</definedName>
    <definedName name="NamibiaRWChistdrawn">Sum!$E$41</definedName>
    <definedName name="NamibiaRWChistlost">Sum!$D$41</definedName>
    <definedName name="NamibiaRWChistplayed">Sum!$B$41</definedName>
    <definedName name="NamibiaRWChistptsagainst">Sum!$H$41</definedName>
    <definedName name="NamibiaRWChistptsscored">Sum!$G$41</definedName>
    <definedName name="NamibiaRWChisttriesscored">Sum!$I$41</definedName>
    <definedName name="NamibiaRWChistwon">Sum!$C$41</definedName>
    <definedName name="namlb">#REF!</definedName>
    <definedName name="namlbcon">#REF!</definedName>
    <definedName name="namoveralldrawn">#REF!</definedName>
    <definedName name="namoveralllost">#REF!</definedName>
    <definedName name="namoverallpld">#REF!</definedName>
    <definedName name="namoverallptsag">#REF!</definedName>
    <definedName name="namoverallptsscored">#REF!</definedName>
    <definedName name="namoveralltriescon">#REF!</definedName>
    <definedName name="namoveralltriesscored">#REF!</definedName>
    <definedName name="namoverallwon">#REF!</definedName>
    <definedName name="nampooldrawn">#REF!</definedName>
    <definedName name="nampoollost">#REF!</definedName>
    <definedName name="nampoolpld">#REF!</definedName>
    <definedName name="nampoolptsag">#REF!</definedName>
    <definedName name="nampoolptsscored">#REF!</definedName>
    <definedName name="nampooltriescon">#REF!</definedName>
    <definedName name="nampooltriesscored">#REF!</definedName>
    <definedName name="nampoolwon">#REF!</definedName>
    <definedName name="namred">#REF!</definedName>
    <definedName name="namrwc2023overalldg">NAM!$L$12</definedName>
    <definedName name="namrwc2023overalldrawn">NAM!$AA$12</definedName>
    <definedName name="namrwc2023overalllost">NAM!$AB$12</definedName>
    <definedName name="namrwc2023overallplayed">NAM!$Y$12</definedName>
    <definedName name="namrwc2023overallptsconc">NAM!$G$12</definedName>
    <definedName name="namrwc2023overallptsscored">NAM!$F$12</definedName>
    <definedName name="namrwc2023overallrc">NAM!$O$12</definedName>
    <definedName name="namrwc2023overalltriesconc">NAM!$R$12</definedName>
    <definedName name="namrwc2023overalltrioesscored">NAM!$J$12</definedName>
    <definedName name="namrwc2023overallwon">NAM!$Z$12</definedName>
    <definedName name="namrwc2023overallyc">NAM!$N$12</definedName>
    <definedName name="namrwc2023poolsdrawn">NAM!$AA$10</definedName>
    <definedName name="namrwc2023poolslb">NAM!$I$10</definedName>
    <definedName name="namrwc2023poolslbcon">NAM!$Q$10</definedName>
    <definedName name="namrwc2023poolslost">NAM!$AB$10</definedName>
    <definedName name="namrwc2023poolsplayed">NAM!$Y$10</definedName>
    <definedName name="namrwc2023poolsptsconc">NAM!$G$10</definedName>
    <definedName name="namrwc2023poolsptsscored">NAM!$F$10</definedName>
    <definedName name="namrwc2023poolstb">NAM!$H$10</definedName>
    <definedName name="namrwc2023poolstbcon">NAM!$P$10</definedName>
    <definedName name="namrwc2023poolstriesconc">NAM!$R$10</definedName>
    <definedName name="namrwc2023poolstriesscored">NAM!$J$10</definedName>
    <definedName name="namrwc2023poolswon">NAM!$Z$10</definedName>
    <definedName name="namtb">#REF!</definedName>
    <definedName name="namtbcon">#REF!</definedName>
    <definedName name="namyellow">#REF!</definedName>
    <definedName name="New_ZealandRWChistdrawn">Sum!$E$42</definedName>
    <definedName name="New_ZealandRWChistlost">Sum!$D$42</definedName>
    <definedName name="New_ZealandRWChistplayed">Sum!$B$42</definedName>
    <definedName name="New_ZealandRWChistptscon">Sum!$G$42</definedName>
    <definedName name="New_ZealandRWChistptsconcorrect">Sum!$H$42</definedName>
    <definedName name="New_ZealandRWChistptsscored">Sum!$G$42</definedName>
    <definedName name="New_ZealandRWChisttriesscored">Sum!$I$42</definedName>
    <definedName name="New_ZealandRWChistwon">Sum!$C$42</definedName>
    <definedName name="newcastlepremred">[2]NEW!$O$37</definedName>
    <definedName name="Newcastlepremtotalsdgs">[1]NEW!$L$38</definedName>
    <definedName name="newcastlepremtotalsdrawn">[1]NEW!$AA$36</definedName>
    <definedName name="Newcastlepremtotalslost">[1]NEW!$AB$38</definedName>
    <definedName name="Newcastlepremtotalsplayed">[1]NEW!$Y$38</definedName>
    <definedName name="Newcastlepremtotalsptsagainst">[1]NEW!$G$38</definedName>
    <definedName name="Newcastlepremtotalsptsscored">[1]NEW!$F$38</definedName>
    <definedName name="Newcastlepremtotalsrc">[1]NEW!$O$38</definedName>
    <definedName name="Newcastlepremtotalstriesconceded">[1]NEW!$R$38</definedName>
    <definedName name="Newcastlepremtotalstriesscored">[1]NEW!$J$38</definedName>
    <definedName name="Newcastlepremtotalswon">[1]NEW!$Z$38</definedName>
    <definedName name="Newcastlepremtotalsyc">[1]NEW!$N$38</definedName>
    <definedName name="newcastlepremtrybonuscocn">[1]NEW!$P$36</definedName>
    <definedName name="newcastlepremtrybonusscored">[1]NEW!$H$36</definedName>
    <definedName name="newcastlepremyellow">[2]NEW!$N$37</definedName>
    <definedName name="newcbonus">IRE!#REF!</definedName>
    <definedName name="newcconceded">IRE!#REF!</definedName>
    <definedName name="newcdrawn">IRE!#REF!</definedName>
    <definedName name="newclosingbonus">IRE!#REF!</definedName>
    <definedName name="newclosingbonusconceded">IRE!#REF!</definedName>
    <definedName name="newclost">IRE!#REF!</definedName>
    <definedName name="newcplayed">IRE!#REF!</definedName>
    <definedName name="newcred">IRE!#REF!</definedName>
    <definedName name="newcscored">IRE!#REF!</definedName>
    <definedName name="newctriesconceded">IRE!#REF!</definedName>
    <definedName name="newctriesscored">IRE!#REF!</definedName>
    <definedName name="newctrybonus">IRE!#REF!</definedName>
    <definedName name="newctrybonusconceded">IRE!#REF!</definedName>
    <definedName name="newcwon">IRE!#REF!</definedName>
    <definedName name="newcyellow">IRE!#REF!</definedName>
    <definedName name="Nortbscored">#REF!</definedName>
    <definedName name="northamptonpremred">[2]NOR!$O$37</definedName>
    <definedName name="northamptonpremseasontotalsdgs">[1]NOR!$L$42</definedName>
    <definedName name="northamptonpremseasontotalsdrawn">[1]NOR!$AA$42</definedName>
    <definedName name="northamptonpremseasontotalslost">[1]NOR!$AB$42</definedName>
    <definedName name="northamptonpremseasontotalsplayed">[1]NOR!$Y$42</definedName>
    <definedName name="northamptonpremseasontotalsptsagainst">[1]NOR!$G$42</definedName>
    <definedName name="northamptonpremseasontotalsptsscored">[1]NOR!$F$42</definedName>
    <definedName name="northamptonpremseasontotalstriesconceded">[1]NOR!$R$42</definedName>
    <definedName name="northamptonpremseasontotalstriesscored">[1]NOR!$J$42</definedName>
    <definedName name="northamptonpremseasontotalswon">[1]NOR!$Z$42</definedName>
    <definedName name="northamptonpremtrybonusconc">[1]NOR!$P$40</definedName>
    <definedName name="northamptonpremtrybonusscored">[1]NOR!$H$40</definedName>
    <definedName name="northamptonpremyellow">[2]NOR!$N$37</definedName>
    <definedName name="Nzl2019alltestsdrawn">NZL!$AA$20</definedName>
    <definedName name="Nzl2019alltestshistdrawn">Sum!$E$15</definedName>
    <definedName name="Nzl2019alltestshistlost">Sum!$D$15</definedName>
    <definedName name="Nzl2019alltestshistplayed">Sum!$B$15</definedName>
    <definedName name="Nzl2019alltestshistptscon">Sum!$H$15</definedName>
    <definedName name="Nzl2019alltestshistptsscored">Sum!$G$15</definedName>
    <definedName name="Nzl2019alltestshisttriesscored">Sum!$I$15</definedName>
    <definedName name="Nzl2019alltestshistwon">Sum!$C$15</definedName>
    <definedName name="Nzl2019alltestslost">NZL!$AB$20</definedName>
    <definedName name="Nzl2019alltestsplayed">NZL!$Y$20</definedName>
    <definedName name="Nzl2019alltestsptscon">NZL!$G$20</definedName>
    <definedName name="Nzl2019alltestsptsscored">NZL!$F$20</definedName>
    <definedName name="Nzl2019allteststriescon">NZL!$R$20</definedName>
    <definedName name="Nzl2019allteststriesscored">NZL!$J$20</definedName>
    <definedName name="Nzl2019alltestswon">NZL!$Z$20</definedName>
    <definedName name="Nzl2019pooldrawn">NZL!#REF!</definedName>
    <definedName name="Nzl2019poollbcon">NZL!#REF!</definedName>
    <definedName name="Nzl2019poollbscored">NZL!#REF!</definedName>
    <definedName name="Nzl2019poollost">NZL!#REF!</definedName>
    <definedName name="Nzl2019poolplayed">NZL!#REF!</definedName>
    <definedName name="Nzl2019poolptscon">NZL!#REF!</definedName>
    <definedName name="Nzl2019poolptsscored">NZL!#REF!</definedName>
    <definedName name="Nzl2019pooltbcon">NZL!#REF!</definedName>
    <definedName name="Nzl2019pooltbscored">NZL!#REF!</definedName>
    <definedName name="Nzl2019pooltriescon">NZL!#REF!</definedName>
    <definedName name="Nzl2019pooltriesscored">NZL!#REF!</definedName>
    <definedName name="Nzl2019poolwon">NZL!#REF!</definedName>
    <definedName name="Nzl2019RWCdrawn">NZL!#REF!</definedName>
    <definedName name="Nzl2019RWClost">NZL!#REF!</definedName>
    <definedName name="Nzl2019RWCplayed">NZL!#REF!</definedName>
    <definedName name="Nzl2019RWCptsscon">NZL!#REF!</definedName>
    <definedName name="Nzl2019RWCptsscored">NZL!#REF!</definedName>
    <definedName name="Nzl2019RWCrc">NZL!#REF!</definedName>
    <definedName name="Nzl2019RWCtriescon">NZL!#REF!</definedName>
    <definedName name="Nzl2019RWCtriesscored">NZL!#REF!</definedName>
    <definedName name="Nzl2019RWCwon">NZL!#REF!</definedName>
    <definedName name="Nzl2019RWCyc">NZL!#REF!</definedName>
    <definedName name="nzllb">NZL!#REF!</definedName>
    <definedName name="nzllbcon">NZL!#REF!</definedName>
    <definedName name="nzloveralldrawn">NZL!#REF!</definedName>
    <definedName name="nzloveralllost">NZL!#REF!</definedName>
    <definedName name="nzloverallpld">NZL!#REF!</definedName>
    <definedName name="nzloverallptsag">NZL!#REF!</definedName>
    <definedName name="nzloverallptsscored">NZL!#REF!</definedName>
    <definedName name="nzloveralltriescon">NZL!#REF!</definedName>
    <definedName name="nzloveralltriesscored">NZL!#REF!</definedName>
    <definedName name="nzloverallwon">NZL!#REF!</definedName>
    <definedName name="nzlpooldrawn">NZL!#REF!</definedName>
    <definedName name="nzlpoollost">NZL!#REF!</definedName>
    <definedName name="nzlpoolpld">NZL!#REF!</definedName>
    <definedName name="nzlpoolptsag">NZL!#REF!</definedName>
    <definedName name="nzlpoolptsscored">NZL!#REF!</definedName>
    <definedName name="nzlpooltriescon">NZL!#REF!</definedName>
    <definedName name="nzlpooltriesscored">NZL!#REF!</definedName>
    <definedName name="nzlpoolwon">NZL!#REF!</definedName>
    <definedName name="nzlred">NZL!#REF!</definedName>
    <definedName name="nzlrwc2023overalldg">NZL!$L$19</definedName>
    <definedName name="nzlrwc2023overalldrawn">NZL!$AA$19</definedName>
    <definedName name="nzlrwc2023overalllost">NZL!$AB$19</definedName>
    <definedName name="nzlrwc2023overallplayed">NZL!$Y$19</definedName>
    <definedName name="nzlrwc2023overallptsconc">NZL!$G$19</definedName>
    <definedName name="nzlrwc2023overallptsscored">NZL!$F$19</definedName>
    <definedName name="nzlrwc2023overallrc">NZL!$O$19</definedName>
    <definedName name="nzlrwc2023overalltriesconc">NZL!$R$19</definedName>
    <definedName name="nzlrwc2023overalltriesscored">NZL!$J$19</definedName>
    <definedName name="nzlrwc2023overallwon">NZL!$Z$19</definedName>
    <definedName name="nzlrwc2023overallyc">NZL!$N$19</definedName>
    <definedName name="nzlrwc2023poolsdrawn">NZL!$AA$17</definedName>
    <definedName name="nzlrwc2023poolslb">NZL!$I$17</definedName>
    <definedName name="nzlrwc2023poolslbcon">NZL!$Q$17</definedName>
    <definedName name="nzlrwc2023poolslost">NZL!$AB$17</definedName>
    <definedName name="nzlrwc2023poolsplasyed">NZL!$Y$17</definedName>
    <definedName name="nzlrwc2023poolsptsconc">NZL!$G$17</definedName>
    <definedName name="nzlrwc2023poolsptsscored">NZL!$F$17</definedName>
    <definedName name="nzlrwc2023poolstb">NZL!$H$17</definedName>
    <definedName name="nzlrwc2023poolstbcon">NZL!$P$17</definedName>
    <definedName name="nzlrwc2023poolstriesconc">NZL!$R$17</definedName>
    <definedName name="nzlrwc2023poolstriesscored">NZL!$J$17</definedName>
    <definedName name="nzlrwc2023poolswon">NZL!$Z$17</definedName>
    <definedName name="nzltb">NZL!#REF!</definedName>
    <definedName name="nzltbcon">NZL!#REF!</definedName>
    <definedName name="nzltrcdrawn">NZL!$AA$15</definedName>
    <definedName name="nzltrclb">NZL!$I$15</definedName>
    <definedName name="nzltrclost">NZL!$AB$15</definedName>
    <definedName name="nzltrcplayed">NZL!$Y$15</definedName>
    <definedName name="nzltrcptsconc">NZL!$G$15</definedName>
    <definedName name="nzltrcptsscored">NZL!$F$15</definedName>
    <definedName name="nzltrctb">NZL!$H$15</definedName>
    <definedName name="nzltrctriesconc">NZL!$R$15</definedName>
    <definedName name="nzltrctriesscored">NZL!$J$15</definedName>
    <definedName name="nzltrcwon">NZL!$Z$15</definedName>
    <definedName name="nzlyellow">NZL!#REF!</definedName>
    <definedName name="poralltestsdrawn">POR!$AA$18</definedName>
    <definedName name="Poralltestshistdrawn">Sum!$E$16</definedName>
    <definedName name="Poralltestshistlost">Sum!$D$16</definedName>
    <definedName name="Poralltestshistplayed">Sum!$B$16</definedName>
    <definedName name="Poralltestshistptsconc">Sum!$H$16</definedName>
    <definedName name="Poralltestshistptsscored">Sum!$G$16</definedName>
    <definedName name="Poralltestshisttriesscored">Sum!$I$16</definedName>
    <definedName name="Poralltestshistwon">Sum!$C$16</definedName>
    <definedName name="poralltestslost">POR!$AB$18</definedName>
    <definedName name="poralltestsplayed">POR!$Y$18</definedName>
    <definedName name="poralltestsptsconc">POR!$G$18</definedName>
    <definedName name="poralltestsptsscored">POR!$F$18</definedName>
    <definedName name="porallteststriesscored">POR!$J$18</definedName>
    <definedName name="poralltestswon">POR!$Z$18</definedName>
    <definedName name="Porrwchistdrawn">Sum!$E$43</definedName>
    <definedName name="Porrwchistlost">Sum!$D$43</definedName>
    <definedName name="Porrwchistpgtsagainst">Sum!$H$43</definedName>
    <definedName name="Porrwchistplayed">Sum!$B$43</definedName>
    <definedName name="Porrwchistptsscored">Sum!$G$43</definedName>
    <definedName name="Porrwchisttriesscored">Sum!$I$43</definedName>
    <definedName name="Porrwchistwon">Sum!$C$43</definedName>
    <definedName name="prtrwc2023overalldg">POR!$L$17</definedName>
    <definedName name="prtrwc2023overalldrawn">POR!$AA$17</definedName>
    <definedName name="prtrwc2023overalllost">POR!$AB$17</definedName>
    <definedName name="prtrwc2023overallplayed">POR!$Y$17</definedName>
    <definedName name="prtrwc2023overallptsconc">POR!$G$17</definedName>
    <definedName name="prtrwc2023overallptsscored">POR!$F$17</definedName>
    <definedName name="prtrwc2023overallrc">POR!$O$17</definedName>
    <definedName name="prtrwc2023overalltriesconc">POR!$R$17</definedName>
    <definedName name="prtrwc2023overalltriesscored">POR!$J$17</definedName>
    <definedName name="prtrwc2023overallwon">POR!$Z$17</definedName>
    <definedName name="prtrwc2023overallyc">POR!$N$17</definedName>
    <definedName name="prtrwc2023poolsdrawn">POR!$AA$15</definedName>
    <definedName name="prtrwc2023poolslb">POR!$I$15</definedName>
    <definedName name="prtrwc2023poolslbcon">POR!$Q$15</definedName>
    <definedName name="prtrwc2023poolslost">POR!$AB$15</definedName>
    <definedName name="prtrwc2023poolsplayed">POR!$Y$15</definedName>
    <definedName name="prtrwc2023poolsptsconc">POR!$G$15</definedName>
    <definedName name="prtrwc2023poolsptsscored">POR!$F$15</definedName>
    <definedName name="prtrwc2023poolstb">POR!$H$15</definedName>
    <definedName name="prtrwc2023poolstbcon">POR!$P$15</definedName>
    <definedName name="prtrwc2023poolstriesconc">POR!$R$15</definedName>
    <definedName name="prtrwc2023poolstriesscored">POR!$J$15</definedName>
    <definedName name="prtrwc2023poolswon">POR!$Z$15</definedName>
    <definedName name="ptsconc">Sum!$H$6</definedName>
    <definedName name="quinspoconceded">FIJ!#REF!</definedName>
    <definedName name="quinspolost">FIJ!#REF!</definedName>
    <definedName name="quinspoplayed">FIJ!#REF!</definedName>
    <definedName name="quinspored">FIJ!#REF!</definedName>
    <definedName name="quinsposcored">FIJ!#REF!</definedName>
    <definedName name="quinspotriesconceded">FIJ!#REF!</definedName>
    <definedName name="quinspotriesscored">FIJ!#REF!</definedName>
    <definedName name="quinspowon">FIJ!#REF!</definedName>
    <definedName name="quinspoyellow">FIJ!#REF!</definedName>
    <definedName name="romaniaalltestsdrawn">ROM!$AA$20</definedName>
    <definedName name="Romaniaalltestshistdrawn">Sum!$E$17</definedName>
    <definedName name="Romaniaalltestshistlost">Sum!$D$17</definedName>
    <definedName name="Romaniaalltestshistplayed">Sum!$B$17</definedName>
    <definedName name="Romaniaalltestshistptscocn">Sum!$H$17</definedName>
    <definedName name="Romaniaalltestshistptsscored">Sum!$G$17</definedName>
    <definedName name="Romaniaalltestshisttriesscored">Sum!$I$17</definedName>
    <definedName name="Romaniaalltestshistwon">Sum!$C$17</definedName>
    <definedName name="romaniaalltestslost">ROM!$AB$20</definedName>
    <definedName name="romaniaalltestsplayed">ROM!$Y$20</definedName>
    <definedName name="romaniaalltestsptsagainst">ROM!$G$20</definedName>
    <definedName name="romaniaalltestsptsscored">ROM!$F$20</definedName>
    <definedName name="romaniaallteststriesagaiant">ROM!$R$20</definedName>
    <definedName name="romaniaallteststriesscored">ROM!$J$20</definedName>
    <definedName name="romaniaalltestswon">ROM!$Z$20</definedName>
    <definedName name="Romaniarwchistdrawn">Sum!$E$44</definedName>
    <definedName name="Romaniarwchistlost">Sum!$D$44</definedName>
    <definedName name="Romaniarwchistplayed">Sum!$B$44</definedName>
    <definedName name="Romaniarwchistptsconc">Sum!$H$44</definedName>
    <definedName name="Romaniarwchistptsscored">Sum!$G$44</definedName>
    <definedName name="Romaniarwchisttriesscored">Sum!$I$44</definedName>
    <definedName name="Romaniarwchistwon">Sum!$C$44</definedName>
    <definedName name="romlb">ROM!#REF!</definedName>
    <definedName name="romlbcon">ROM!#REF!</definedName>
    <definedName name="romoveralldrawn">ROM!#REF!</definedName>
    <definedName name="romoveralllost">ROM!#REF!</definedName>
    <definedName name="romoverallpld">ROM!#REF!</definedName>
    <definedName name="romoverallptsag">ROM!#REF!</definedName>
    <definedName name="romoverallptsscored">ROM!#REF!</definedName>
    <definedName name="romoveralltriescon">ROM!#REF!</definedName>
    <definedName name="romoveralltriesscored">ROM!#REF!</definedName>
    <definedName name="romoverallwon">ROM!#REF!</definedName>
    <definedName name="rompooldrawn">ROM!#REF!</definedName>
    <definedName name="rompoollost">ROM!#REF!</definedName>
    <definedName name="rompoolpld">ROM!#REF!</definedName>
    <definedName name="rompoolptsag">ROM!#REF!</definedName>
    <definedName name="rompoolptsscored">ROM!#REF!</definedName>
    <definedName name="rompooltriescon">ROM!#REF!</definedName>
    <definedName name="rompooltriesscored">ROM!#REF!</definedName>
    <definedName name="rompoolwon">ROM!#REF!</definedName>
    <definedName name="romred">ROM!#REF!</definedName>
    <definedName name="romrwc2023overalldg">ROM!$L$19</definedName>
    <definedName name="romrwc2023overalldrawn">ROM!$AA$19</definedName>
    <definedName name="romrwc2023overalllost">ROM!$AB$19</definedName>
    <definedName name="romrwc2023overallplayed">ROM!$Y$19</definedName>
    <definedName name="romrwc2023overallptsconc">ROM!$G$19</definedName>
    <definedName name="romrwc2023overallptsscored">ROM!$F$19</definedName>
    <definedName name="romrwc2023overallrc">ROM!$O$19</definedName>
    <definedName name="romrwc2023overalltriesconc">ROM!$R$19</definedName>
    <definedName name="romrwc2023overalltriesscored">ROM!$J$19</definedName>
    <definedName name="romrwc2023overallwon">ROM!$Z$19</definedName>
    <definedName name="romrwc2023overallyc">ROM!$N$19</definedName>
    <definedName name="romrwc2023poolsdrawn">ROM!$AA$17</definedName>
    <definedName name="romrwc2023poolslb">ROM!$I$17</definedName>
    <definedName name="romrwc2023poolslbcon">ROM!$Q$17</definedName>
    <definedName name="romrwc2023poolslost">ROM!$AB$17</definedName>
    <definedName name="romrwc2023poolsplayed">ROM!$Y$17</definedName>
    <definedName name="romrwc2023poolsptsconc">ROM!$G$17</definedName>
    <definedName name="romrwc2023poolsptsscored">ROM!$F$19</definedName>
    <definedName name="romrwc2023poolsptssxcored">ROM!$F$17</definedName>
    <definedName name="romrwc2023poolstb">ROM!$H$17</definedName>
    <definedName name="romrwc2023poolstbcon">ROM!$P$17</definedName>
    <definedName name="romrwc2023poolstriesconc">ROM!$R$17</definedName>
    <definedName name="romrwc2023poolstriesscored">ROM!$J$17</definedName>
    <definedName name="romrwc2023poolswon">ROM!$Z$17</definedName>
    <definedName name="romtb">ROM!#REF!</definedName>
    <definedName name="romtbcon">ROM!#REF!</definedName>
    <definedName name="romyellow">ROM!#REF!</definedName>
    <definedName name="Rsa2019alltestsdrawn">RSA!$AA$21</definedName>
    <definedName name="Rsa2019alltestslost">RSA!$AB$21</definedName>
    <definedName name="Rsa2019alltestsplayed">RSA!$Y$21</definedName>
    <definedName name="Rsa2019alltestsptscon">RSA!$G$21</definedName>
    <definedName name="Rsa2019alltestsptsscored">RSA!$F$21</definedName>
    <definedName name="Rsa2019allteststriescon">RSA!$R$21</definedName>
    <definedName name="Rsa2019allteststriesscored">RSA!$J$21</definedName>
    <definedName name="Rsa2019alltestswon">RSA!$Z$21</definedName>
    <definedName name="Rsa2019pooldrawn">RSA!#REF!</definedName>
    <definedName name="Rsa2019poollbcon">RSA!#REF!</definedName>
    <definedName name="Rsa2019poollbscored">RSA!#REF!</definedName>
    <definedName name="Rsa2019poollost">RSA!#REF!</definedName>
    <definedName name="Rsa2019poolplayed">RSA!#REF!</definedName>
    <definedName name="Rsa2019poolptscon">RSA!#REF!</definedName>
    <definedName name="Rsa2019poolptsscored">RSA!#REF!</definedName>
    <definedName name="Rsa2019pooltbcon">RSA!#REF!</definedName>
    <definedName name="Rsa2019pooltbscored">RSA!#REF!</definedName>
    <definedName name="Rsa2019pooltriescon">RSA!#REF!</definedName>
    <definedName name="Rsa2019pooltriesscored">RSA!#REF!</definedName>
    <definedName name="Rsa2019poolwon">RSA!#REF!</definedName>
    <definedName name="Rsa2019RWCdrawn">RSA!#REF!</definedName>
    <definedName name="Rsa2019RWClost">RSA!#REF!</definedName>
    <definedName name="Rsa2019RWCplayed">RSA!#REF!</definedName>
    <definedName name="Rsa2019RWCptscon">RSA!#REF!</definedName>
    <definedName name="Rsa2019RWCptsscored">RSA!#REF!</definedName>
    <definedName name="Rsa2019RWCrc">RSA!#REF!</definedName>
    <definedName name="Rsa2019RWCtriescon">RSA!#REF!</definedName>
    <definedName name="Rsa2019RWCtriesscored">RSA!#REF!</definedName>
    <definedName name="Rsa2019RWCwon">RSA!#REF!</definedName>
    <definedName name="Rsa2019RWCyc">RSA!#REF!</definedName>
    <definedName name="Rsaalltestshistdrawn">Sum!$E$20</definedName>
    <definedName name="Rsaalltestshistlost">Sum!$D$20</definedName>
    <definedName name="Rsaalltestshistplayed">Sum!$B$20</definedName>
    <definedName name="Rsaalltestshistptscon">Sum!$H$20</definedName>
    <definedName name="Rsaalltestshistptsscored">Sum!$G$20</definedName>
    <definedName name="Rsaalltestshisttriesscored">Sum!$I$20</definedName>
    <definedName name="Rsaalltestshistwon">Sum!$C$20</definedName>
    <definedName name="rsalb">RSA!#REF!</definedName>
    <definedName name="rsalbcon">RSA!#REF!</definedName>
    <definedName name="rsaoveralldrawn">RSA!#REF!</definedName>
    <definedName name="rsaoveralllost">RSA!#REF!</definedName>
    <definedName name="rsaoverallpld">RSA!#REF!</definedName>
    <definedName name="rsaoverallptsag">RSA!#REF!</definedName>
    <definedName name="rsaoverallptsscored">RSA!#REF!</definedName>
    <definedName name="rsaoveralltriescon">RSA!#REF!</definedName>
    <definedName name="rsaoveralltriesscored">RSA!#REF!</definedName>
    <definedName name="rsaoverallwon">RSA!#REF!</definedName>
    <definedName name="rsapooldrawn">RSA!#REF!</definedName>
    <definedName name="rsapoollost">RSA!#REF!</definedName>
    <definedName name="rsapoolpld">RSA!#REF!</definedName>
    <definedName name="rsapoolptsag">RSA!#REF!</definedName>
    <definedName name="rsapoolptsscored">RSA!#REF!</definedName>
    <definedName name="rsapooltriescon">RSA!#REF!</definedName>
    <definedName name="rsapooltriesscored">RSA!#REF!</definedName>
    <definedName name="rsapoolwon">RSA!#REF!</definedName>
    <definedName name="rsared">RSA!#REF!</definedName>
    <definedName name="RSArwc2023overalldg">RSA!$L$20</definedName>
    <definedName name="RSArwc2023overalldrawn">RSA!$AA$20</definedName>
    <definedName name="RSArwc2023overalllost">RSA!$AB$20</definedName>
    <definedName name="RSArwc2023overallplayed">RSA!$F$20</definedName>
    <definedName name="RSArwc2023overallplayedcorrect">RSA!$Y$20</definedName>
    <definedName name="RSArwc2023overallptsconc">RSA!$G$20</definedName>
    <definedName name="RSArwc2023overallptsscored">RSA!$F$20</definedName>
    <definedName name="RSArwc2023overallrc">RSA!$O$20</definedName>
    <definedName name="RSArwc2023overalltriesconc">RSA!$R$20</definedName>
    <definedName name="RSArwc2023overalltriesscored">RSA!$J$20</definedName>
    <definedName name="RSArwc2023overallwon">RSA!$Z$20</definedName>
    <definedName name="RSArwc2023overallyc">RSA!$N$20</definedName>
    <definedName name="RSArwc2023poolsdrawn">RSA!$AA$18</definedName>
    <definedName name="RSArwc2023poolslb">RSA!$I$18</definedName>
    <definedName name="RSArwc2023poolslbcon">RSA!$Q$18</definedName>
    <definedName name="RSArwc2023poolslost">RSA!$AB$18</definedName>
    <definedName name="RSArwc2023poolsplayed">RSA!$Y$18</definedName>
    <definedName name="RSArwc2023poolsptsconc">RSA!$G$18</definedName>
    <definedName name="RSArwc2023poolsptsscored">RSA!$F$18</definedName>
    <definedName name="RSArwc2023poolstb">RSA!$H$18</definedName>
    <definedName name="RSArwc2023poolstbcon">RSA!$P$18</definedName>
    <definedName name="RSArwc2023poolstriesconc">RSA!$R$18</definedName>
    <definedName name="RSArwc2023poolstriescored">RSA!$J$18</definedName>
    <definedName name="RSArwc2023poolswon">RSA!$Z$18</definedName>
    <definedName name="RsaRWChistdrawn">Sum!$E$48</definedName>
    <definedName name="RsaRWChistlost">Sum!$D$48</definedName>
    <definedName name="RsaRWChistplayed">Sum!$B$48</definedName>
    <definedName name="RsaRWChistptscon">Sum!$H$48</definedName>
    <definedName name="RsaRWChistptsscored">Sum!$G$48</definedName>
    <definedName name="RsaRWChisttriesscored">Sum!$I$48</definedName>
    <definedName name="RsaRWChistwon">Sum!$C$48</definedName>
    <definedName name="rsatb">RSA!#REF!</definedName>
    <definedName name="rsatbcon">RSA!#REF!</definedName>
    <definedName name="rsatrcdrawn">RSA!$AA$17</definedName>
    <definedName name="rsatrclb">RSA!$I$17</definedName>
    <definedName name="rsatrclost">RSA!$AB$17</definedName>
    <definedName name="rsatrcplayed">RSA!$Y$17</definedName>
    <definedName name="rsatrcptsconc">RSA!$G$17</definedName>
    <definedName name="rsatrcptsscored">RSA!$F$17</definedName>
    <definedName name="rsatrctb">RSA!$H$17</definedName>
    <definedName name="rsatrctriesconc">RSA!$R$17</definedName>
    <definedName name="rsatrctriesscored">RSA!$J$17</definedName>
    <definedName name="rsatrcwon">RSA!$Z$17</definedName>
    <definedName name="rsayellow">RSA!#REF!</definedName>
    <definedName name="Rus2019alltestsdrawn">#REF!</definedName>
    <definedName name="Rus2019alltestslost">#REF!</definedName>
    <definedName name="Rus2019alltestsplayed">#REF!</definedName>
    <definedName name="Rus2019alltestsptscon">#REF!</definedName>
    <definedName name="Rus2019alltestsptsscored">#REF!</definedName>
    <definedName name="Rus2019allteststriescon">#REF!</definedName>
    <definedName name="Rus2019allteststriescored">#REF!</definedName>
    <definedName name="Rus2019alltestswon">#REF!</definedName>
    <definedName name="Rus2019pooldrawn">#REF!</definedName>
    <definedName name="Rus2019poollbcon">#REF!</definedName>
    <definedName name="Rus2019poollbscored">#REF!</definedName>
    <definedName name="Rus2019poollost">#REF!</definedName>
    <definedName name="Rus2019poolplayed">#REF!</definedName>
    <definedName name="Rus2019poolplayedcorrect">#REF!</definedName>
    <definedName name="Rus2019poolptscon">#REF!</definedName>
    <definedName name="Rus2019poolptsscored">#REF!</definedName>
    <definedName name="Rus2019pooltbcon">#REF!</definedName>
    <definedName name="Rus2019pooltbscored">#REF!</definedName>
    <definedName name="Rus2019pooltriescon">#REF!</definedName>
    <definedName name="Rus2019pooltriesscored">#REF!</definedName>
    <definedName name="Rus2019poolwon">#REF!</definedName>
    <definedName name="Rus2019poolwoncorrect">#REF!</definedName>
    <definedName name="Rus2019RWCdrawn">#REF!</definedName>
    <definedName name="Rus2019RWClost">#REF!</definedName>
    <definedName name="Rus2019RWCplayed">#REF!</definedName>
    <definedName name="Rus2019RWCptscon">#REF!</definedName>
    <definedName name="Rus2019RWCptsscored">#REF!</definedName>
    <definedName name="Rus2019RWCrc">#REF!</definedName>
    <definedName name="Rus2019RWCtriescon">#REF!</definedName>
    <definedName name="Rus2019RWCtriesscored">#REF!</definedName>
    <definedName name="Rus2019RWCwon">#REF!</definedName>
    <definedName name="Rus2019RWCyc">#REF!</definedName>
    <definedName name="Russiaalltestshistdrawn">Sum!#REF!</definedName>
    <definedName name="Russiaalltestshistlost">Sum!#REF!</definedName>
    <definedName name="Russiaalltestshistplayed">Sum!#REF!</definedName>
    <definedName name="Russiaalltestshistptsagainst">Sum!#REF!</definedName>
    <definedName name="Russiaalltestshistptsscored">Sum!#REF!</definedName>
    <definedName name="Russiaalltestshisttriesscored">Sum!#REF!</definedName>
    <definedName name="Russiaalltestshistwon">Sum!#REF!</definedName>
    <definedName name="RussiaRWChistdrawn">Sum!$E$45</definedName>
    <definedName name="RussiaRWChistlost">Sum!$D$45</definedName>
    <definedName name="RussiaRWChistplayed">Sum!$B$45</definedName>
    <definedName name="RussiaRWChistptscon">Sum!$H$45</definedName>
    <definedName name="RussiaRWChistptsscored">Sum!$G$45</definedName>
    <definedName name="RussiaRWChisttriesscored">Sum!$I$45</definedName>
    <definedName name="RussiaRWChistwon">Sum!$C$45</definedName>
    <definedName name="RWC2019startarg">ARG!#REF!</definedName>
    <definedName name="RWC2019startaus">AUS!$Y$8</definedName>
    <definedName name="RWC2019startcan">CAN!#REF!</definedName>
    <definedName name="RWC2019starteng">ENG!#REF!</definedName>
    <definedName name="RWC2019startfij">FIJ!#REF!</definedName>
    <definedName name="RWC2019startfra">FRA!#REF!</definedName>
    <definedName name="RWC2019startgeo">GEO!#REF!</definedName>
    <definedName name="RWC2019startire">IRE!#REF!</definedName>
    <definedName name="RWC2019startita">ITA!#REF!</definedName>
    <definedName name="RWC2019startjpn">JPN!#REF!</definedName>
    <definedName name="RWC2019startnam">NAM!$Y$7</definedName>
    <definedName name="RWC2019startnzl">NZL!$Y$8</definedName>
    <definedName name="RWC2019startrsa">RSA!$Y$8</definedName>
    <definedName name="RWC2019startrus">#REF!</definedName>
    <definedName name="RWC2019startsam">SAM!#REF!</definedName>
    <definedName name="RWC2019startsco">SCO!$Y$14</definedName>
    <definedName name="RWCstartton">TGA!#REF!</definedName>
    <definedName name="RWCstartUru">URU!#REF!</definedName>
    <definedName name="RWCstartUSA">USA!#REF!</definedName>
    <definedName name="RWCstartwal">WAL!#REF!</definedName>
    <definedName name="sainstpotriesconcededcorrect">ITA!#REF!</definedName>
    <definedName name="sainstpowon">ITA!#REF!</definedName>
    <definedName name="saintsbonus">ITA!#REF!</definedName>
    <definedName name="saintsconceded">ITA!#REF!</definedName>
    <definedName name="saintsdrawn">ITA!#REF!</definedName>
    <definedName name="saintslosingbonus">ITA!#REF!</definedName>
    <definedName name="saintslosingbonusconceded">ITA!#REF!</definedName>
    <definedName name="saintslost">ITA!#REF!</definedName>
    <definedName name="saintsplayed">ITA!#REF!</definedName>
    <definedName name="saintspoconceded">ITA!#REF!</definedName>
    <definedName name="saintspodrawn">ITA!#REF!</definedName>
    <definedName name="saintspolost">ITA!#REF!</definedName>
    <definedName name="saintspoplayed">ITA!#REF!</definedName>
    <definedName name="saintspored">ITA!#REF!</definedName>
    <definedName name="saintsposcored">ITA!#REF!</definedName>
    <definedName name="saintspotriesconceded">ITA!#REF!</definedName>
    <definedName name="saintspotriesscored">ITA!#REF!</definedName>
    <definedName name="Saintspoyellow">ITA!#REF!</definedName>
    <definedName name="saintsred">ITA!#REF!</definedName>
    <definedName name="saintsscored">ITA!#REF!</definedName>
    <definedName name="saintstriesconceded">ITA!#REF!</definedName>
    <definedName name="saintstriesscored">ITA!#REF!</definedName>
    <definedName name="saintstrybonus">ITA!#REF!</definedName>
    <definedName name="saintstrybonusconceded">ITA!#REF!</definedName>
    <definedName name="saintswon">ITA!#REF!</definedName>
    <definedName name="saintsyellow">ITA!#REF!</definedName>
    <definedName name="salebonus">JPN!#REF!</definedName>
    <definedName name="saleconceded">JPN!#REF!</definedName>
    <definedName name="saledrawn">JPN!#REF!</definedName>
    <definedName name="salelosingbonus">JPN!#REF!</definedName>
    <definedName name="salelosingbonusconceded">JPN!#REF!</definedName>
    <definedName name="salelost">JPN!#REF!</definedName>
    <definedName name="saleplayed">JPN!#REF!</definedName>
    <definedName name="salepremptsdagainst">[1]SAL!$G$37</definedName>
    <definedName name="salepremptsscored">[1]SAL!$F$37</definedName>
    <definedName name="salepremred">[2]SAL!$O$39</definedName>
    <definedName name="salepremseasontotalsdgs">[1]SAL!$L$39</definedName>
    <definedName name="salepremseasontotalsdrawn">[1]SAL!$AA$39</definedName>
    <definedName name="salepremseasontotalslost">[1]SAL!$AB$39</definedName>
    <definedName name="salepremseasontotalsplayed">[1]SAL!$Y$39</definedName>
    <definedName name="salepremseasontotalsRC">[1]SAL!$O$39</definedName>
    <definedName name="salepremseasontotalstriesconceded">[1]SAL!$R$39</definedName>
    <definedName name="salepremseasontotalstriesscored">[1]SAL!$J$39</definedName>
    <definedName name="salepremseasontotalswon">[1]SAL!$Z$39</definedName>
    <definedName name="salepremseasontotalsYC">[1]SAL!$N$39</definedName>
    <definedName name="salepremtrybonusconc">[1]SAL!$P$37</definedName>
    <definedName name="salepremtrybonusscored">[1]SAL!$H$37</definedName>
    <definedName name="salepremyellow">[2]SAL!$N$39</definedName>
    <definedName name="salered">JPN!#REF!</definedName>
    <definedName name="salescored">JPN!#REF!</definedName>
    <definedName name="saletriesconceded">JPN!#REF!</definedName>
    <definedName name="saletriesscored">JPN!#REF!</definedName>
    <definedName name="saletrybonus">JPN!#REF!</definedName>
    <definedName name="saletrybonusconceded">JPN!#REF!</definedName>
    <definedName name="salewon">JPN!#REF!</definedName>
    <definedName name="saleyellow">JPN!#REF!</definedName>
    <definedName name="Sam2019alltestsdrawn">SAM!$AA$16</definedName>
    <definedName name="Sam2019alltestslost">SAM!$AB$16</definedName>
    <definedName name="Sam2019alltestsplayed">SAM!$Y$16</definedName>
    <definedName name="Sam2019alltestsptscon">SAM!$G$16</definedName>
    <definedName name="Sam2019alltestsptsscored">SAM!$F$16</definedName>
    <definedName name="Sam2019allteststriescon">SAM!$R$16</definedName>
    <definedName name="Sam2019allteststriescored">SAM!$J$16</definedName>
    <definedName name="Sam2019alltestswon">SAM!$Z$16</definedName>
    <definedName name="Sam2019pooldrawn">SAM!#REF!</definedName>
    <definedName name="Sam2019poollbcon">SAM!#REF!</definedName>
    <definedName name="Sam2019poollbscored">SAM!#REF!</definedName>
    <definedName name="Sam2019poollost">SAM!#REF!</definedName>
    <definedName name="Sam2019poolplayed">SAM!#REF!</definedName>
    <definedName name="Sam2019poolptscon">SAM!#REF!</definedName>
    <definedName name="Sam2019poolptsscored">SAM!#REF!</definedName>
    <definedName name="Sam2019pooltbcon">SAM!#REF!</definedName>
    <definedName name="Sam2019pooltbscored">SAM!#REF!</definedName>
    <definedName name="Sam2019pooltriescon">SAM!#REF!</definedName>
    <definedName name="Sam2019pooltriesscored">SAM!#REF!</definedName>
    <definedName name="Sam2019poolwon">SAM!#REF!</definedName>
    <definedName name="Sam2019RWCdrawn">SAM!#REF!</definedName>
    <definedName name="Sam2019RWClost">SAM!#REF!</definedName>
    <definedName name="Sam2019RWCplayed">SAM!#REF!</definedName>
    <definedName name="Sam2019RWCptscon">SAM!#REF!</definedName>
    <definedName name="Sam2019RWCptsscored">SAM!#REF!</definedName>
    <definedName name="SAM2019rwcRC">SAM!#REF!</definedName>
    <definedName name="Sam2019RWCtriescon">SAM!#REF!</definedName>
    <definedName name="Sam2019RWCtriescored">SAM!#REF!</definedName>
    <definedName name="Sam2019RWCwon">SAM!#REF!</definedName>
    <definedName name="Sam2019RWCyc">SAM!#REF!</definedName>
    <definedName name="Samalltestshistdrawn">Sum!$E$18</definedName>
    <definedName name="Samalltestshistlost">Sum!$D$18</definedName>
    <definedName name="Samalltestshistplayed">Sum!$B$18</definedName>
    <definedName name="Samalltestshistptscon">Sum!$H$18</definedName>
    <definedName name="Samalltestshistptsscored">Sum!$G$18</definedName>
    <definedName name="SamalltestshistTRIESSCORED">Sum!$I$18</definedName>
    <definedName name="Samalltestshistwon">Sum!$C$18</definedName>
    <definedName name="samlb">SAM!#REF!</definedName>
    <definedName name="samlbcon">SAM!#REF!</definedName>
    <definedName name="samoveralldrawn">SAM!#REF!</definedName>
    <definedName name="samoveralllost">SAM!#REF!</definedName>
    <definedName name="samoverallpld">SAM!#REF!</definedName>
    <definedName name="samoverallptsag">SAM!#REF!</definedName>
    <definedName name="samoverallptsscored">SAM!#REF!</definedName>
    <definedName name="samoveralltriescon">SAM!#REF!</definedName>
    <definedName name="samoveralltriesscored">SAM!#REF!</definedName>
    <definedName name="samoverallwon">SAM!#REF!</definedName>
    <definedName name="sampooldrawn">SAM!#REF!</definedName>
    <definedName name="sampoollost">SAM!#REF!</definedName>
    <definedName name="sampoolpld">SAM!#REF!</definedName>
    <definedName name="sampoolptsag">SAM!#REF!</definedName>
    <definedName name="sampoolptsscored">SAM!#REF!</definedName>
    <definedName name="sampooltriescon">SAM!#REF!</definedName>
    <definedName name="sampooltriesscored">SAM!#REF!</definedName>
    <definedName name="sampoolwon">SAM!#REF!</definedName>
    <definedName name="samred">SAM!#REF!</definedName>
    <definedName name="samrwc2023overalldg">SAM!$L$15</definedName>
    <definedName name="samrwc2023overalldrawn">SAM!$AA$15</definedName>
    <definedName name="samrwc2023overalllost">SAM!$AB$15</definedName>
    <definedName name="samrwc2023overallplayed">SAM!$Y$15</definedName>
    <definedName name="samrwc2023overallptsconc">SAM!$G$15</definedName>
    <definedName name="samrwc2023overallptsscored">SAM!$F$15</definedName>
    <definedName name="samrwc2023overallrc">SAM!$O$15</definedName>
    <definedName name="samrwc2023overalltriesconc">SAM!$R$15</definedName>
    <definedName name="samrwc2023overalltriesscored">SAM!$J$15</definedName>
    <definedName name="samrwc2023overallwon">SAM!$Z$15</definedName>
    <definedName name="samrwc2023overallyc">SAM!$N$15</definedName>
    <definedName name="samrwc2023poolsdrawn">SAM!$AA$13</definedName>
    <definedName name="samrwc2023poolslb">SAM!$I$13</definedName>
    <definedName name="samrwc2023poolslbcon">SAM!$Q$13</definedName>
    <definedName name="samrwc2023poolslost">SAM!$AB$13</definedName>
    <definedName name="samrwc2023poolsplayed">SAM!$Y$13</definedName>
    <definedName name="samrwc2023poolsptsconc">SAM!$G$13</definedName>
    <definedName name="samrwc2023poolsptsscored">SAM!$F$13</definedName>
    <definedName name="samrwc2023poolstb">SAM!$H$13</definedName>
    <definedName name="samrwc2023poolstbcon">SAM!$P$13</definedName>
    <definedName name="samrwc2023poolstriesconc">SAM!$R$13</definedName>
    <definedName name="samrwc2023poolstriesscored">SAM!$J$13</definedName>
    <definedName name="samrwc2023poolswon">SAM!$Z$13</definedName>
    <definedName name="SamRWChistdrawn">Sum!$E$46</definedName>
    <definedName name="SamRWChistlost">Sum!$D$46</definedName>
    <definedName name="SamRWChistplayed">Sum!$B$46</definedName>
    <definedName name="SamRWChistptscon">Sum!$H$46</definedName>
    <definedName name="SamRWChistptsscored">Sum!$G$46</definedName>
    <definedName name="SamRWChisttriesscored">Sum!$I$46</definedName>
    <definedName name="SamRWChistwon">Sum!$C$46</definedName>
    <definedName name="samtb">SAM!#REF!</definedName>
    <definedName name="samtbcon">SAM!#REF!</definedName>
    <definedName name="samyellow">SAM!#REF!</definedName>
    <definedName name="saracenspoconceded">#REF!</definedName>
    <definedName name="saracenspolost">#REF!</definedName>
    <definedName name="saracenspoplayed">#REF!</definedName>
    <definedName name="saracenspored">#REF!</definedName>
    <definedName name="saracensposcored">#REF!</definedName>
    <definedName name="saracenspotriesconceded">#REF!</definedName>
    <definedName name="saracenspotriesscored">#REF!</definedName>
    <definedName name="saracenspowon">#REF!</definedName>
    <definedName name="saracenspoyellow">#REF!</definedName>
    <definedName name="saracenspremred">[2]SAR!$O$42</definedName>
    <definedName name="saracenspremtotalsdrawn">[1]SAR!$AA$44</definedName>
    <definedName name="saracenspremtrybonusconc">[1]SAR!$P$42</definedName>
    <definedName name="saracenspremtrybonusscored">[1]SAR!$H$42</definedName>
    <definedName name="saracenspremyellow">[2]SAR!$N$42</definedName>
    <definedName name="Sarpremtotalscorrecttriesconc">#REF!</definedName>
    <definedName name="Sarpremtotalscorrecttriesscored">#REF!</definedName>
    <definedName name="Sarpremtotalscorrecttrybonusconc">#REF!</definedName>
    <definedName name="Sarpremtotalscorrecttrybonusscored">#REF!</definedName>
    <definedName name="Sarpremtotalsdgs">[1]SAR!$L$44</definedName>
    <definedName name="Sarpremtotalslost">[1]SAR!$AB$44</definedName>
    <definedName name="Sarpremtotalsplayed">[1]SAR!$Y$44</definedName>
    <definedName name="Sarpremtotalsptsagainst">[1]SAR!$G$44</definedName>
    <definedName name="Sarpremtotalsptsscored">[1]SAR!$F$44</definedName>
    <definedName name="Sarpremtotalsrc">[1]SAR!$O$44</definedName>
    <definedName name="Sarpremtotalstriesconceded">[1]SAR!$R$44</definedName>
    <definedName name="Sarpremtotalstriesscored">[1]SAR!$J$44</definedName>
    <definedName name="Sarpremtotalswon">[1]SAR!$Z$44</definedName>
    <definedName name="Sarpremtotalsyc">[1]SAR!$N$44</definedName>
    <definedName name="sarriesbonus">#REF!</definedName>
    <definedName name="sarriesconceded">#REF!</definedName>
    <definedName name="sarriesdrawn">#REF!</definedName>
    <definedName name="sarrieslosingbonus">#REF!</definedName>
    <definedName name="sarrieslosingbonusconceded">#REF!</definedName>
    <definedName name="sarrieslost">#REF!</definedName>
    <definedName name="sarriesplayed">#REF!</definedName>
    <definedName name="sarriesred">#REF!</definedName>
    <definedName name="sarriesscored">#REF!</definedName>
    <definedName name="sarriestriesconceded">#REF!</definedName>
    <definedName name="sarriestriesscored">#REF!</definedName>
    <definedName name="sarriestrybonus">#REF!</definedName>
    <definedName name="sarriestrybonusconceded">#REF!</definedName>
    <definedName name="sarrieswon">#REF!</definedName>
    <definedName name="sarriesyellow">#REF!</definedName>
    <definedName name="Sco2019alltestsdrawn">SCO!$AA$21</definedName>
    <definedName name="Sco2019alltestslost">SCO!$AB$21</definedName>
    <definedName name="Sco2019alltestsplayed">SCO!$Y$21</definedName>
    <definedName name="Sco2019alltestsptsagainst">SCO!$G$21</definedName>
    <definedName name="Sco2019alltestsptsscored">SCO!$F$21</definedName>
    <definedName name="Sco2019allteststriescon">SCO!$R$21</definedName>
    <definedName name="Sco2019allteststriesscored">SCO!$J$21</definedName>
    <definedName name="Sco2019alltestswon">SCO!$Z$21</definedName>
    <definedName name="Sco2019pooldrawn">SCO!#REF!</definedName>
    <definedName name="Sco2019poollbcon">SCO!#REF!</definedName>
    <definedName name="Sco2019poollbscored">SCO!#REF!</definedName>
    <definedName name="sco2019poollost">SCO!#REF!</definedName>
    <definedName name="Sco2019poolplayed">SCO!#REF!</definedName>
    <definedName name="Sco2019poolptsagainst">SCO!#REF!</definedName>
    <definedName name="Sco2019poolptsscored">SCO!#REF!</definedName>
    <definedName name="Sco2019pooltbcon">SCO!#REF!</definedName>
    <definedName name="Sco2019pooltbscored">SCO!#REF!</definedName>
    <definedName name="Sco2019pooltriescon">SCO!#REF!</definedName>
    <definedName name="Sco2019pooltriesscored">SCO!#REF!</definedName>
    <definedName name="Sco2019poolwon">SCO!#REF!</definedName>
    <definedName name="Sco2019RWCdrawn">SCO!#REF!</definedName>
    <definedName name="Sco2019RWClost">SCO!#REF!</definedName>
    <definedName name="Sco2019RWCplayed">SCO!#REF!</definedName>
    <definedName name="Sco2019RWCptscon">SCO!#REF!</definedName>
    <definedName name="Sco2019RWCptsscored">SCO!#REF!</definedName>
    <definedName name="Sco2019RWCrc">SCO!#REF!</definedName>
    <definedName name="Sco2019RWCtriescon">SCO!#REF!</definedName>
    <definedName name="Sco2019RWCtriesscored">SCO!#REF!</definedName>
    <definedName name="Sco2019RWCwon">SCO!#REF!</definedName>
    <definedName name="Sco2019RWCyc">SCO!#REF!</definedName>
    <definedName name="sco6ntriesconc">SCO!$R$16</definedName>
    <definedName name="scolb">SCO!#REF!</definedName>
    <definedName name="scolbcon">SCO!#REF!</definedName>
    <definedName name="scooveralldrawn">SCO!#REF!</definedName>
    <definedName name="scooveralllost">SCO!#REF!</definedName>
    <definedName name="scooverallpld">SCO!#REF!</definedName>
    <definedName name="scooverallptsag">SCO!#REF!</definedName>
    <definedName name="scooverallptsscored">SCO!#REF!</definedName>
    <definedName name="scooveralltriescon">SCO!#REF!</definedName>
    <definedName name="scooveralltriesscored">SCO!#REF!</definedName>
    <definedName name="scooverallwon">SCO!#REF!</definedName>
    <definedName name="scopooldrawn">SCO!#REF!</definedName>
    <definedName name="scopoollost">SCO!#REF!</definedName>
    <definedName name="scopoolpld">SCO!#REF!</definedName>
    <definedName name="scopoolptsag">SCO!#REF!</definedName>
    <definedName name="scopoolptsscored">SCO!#REF!</definedName>
    <definedName name="scopooltriescon">SCO!#REF!</definedName>
    <definedName name="scopooltriesscored">SCO!#REF!</definedName>
    <definedName name="scopoolwon">SCO!#REF!</definedName>
    <definedName name="scored">SCO!#REF!</definedName>
    <definedName name="scorwc2023overalldg">SCO!$L$20</definedName>
    <definedName name="scorwc2023overalldrawn">SCO!$AA$20</definedName>
    <definedName name="scorwc2023overalllost">SCO!$AB$20</definedName>
    <definedName name="scorwc2023overallplayed">SCO!$Y$20</definedName>
    <definedName name="scorwc2023overallptsconc">SCO!$G$20</definedName>
    <definedName name="scorwc2023overallptsscored">SCO!$F$20</definedName>
    <definedName name="scorwc2023overallrc">SCO!$O$20</definedName>
    <definedName name="scorwc2023overalltriesconc">SCO!$R$20</definedName>
    <definedName name="scorwc2023overalltriesscored">SCO!$J$20</definedName>
    <definedName name="scorwc2023overallwon">SCO!$Z$20</definedName>
    <definedName name="scorwc2023overallyc">SCO!$N$20</definedName>
    <definedName name="scorwc2023poolsdrawn">SCO!$AA$18</definedName>
    <definedName name="scorwc2023poolslb">SCO!$I$18</definedName>
    <definedName name="scorwc2023poolslbcon">SCO!$Q$18</definedName>
    <definedName name="scorwc2023poolslost">SCO!$AB$18</definedName>
    <definedName name="scorwc2023poolsplayed">SCO!$Y$18</definedName>
    <definedName name="scorwc2023poolsptscconc">SCO!$G$18</definedName>
    <definedName name="scorwc2023poolsptsscored">SCO!$F$18</definedName>
    <definedName name="scorwc2023poolstb">SCO!$H$18</definedName>
    <definedName name="scorwc2023poolstbcon">SCO!$P$18</definedName>
    <definedName name="scorwc2023poolstriesconc">SCO!$R$18</definedName>
    <definedName name="scorwc2023poolstriescored">SCO!$J$18</definedName>
    <definedName name="scorwc2023poolswon">SCO!$Z$18</definedName>
    <definedName name="scotb">SCO!#REF!</definedName>
    <definedName name="scotbcon">SCO!#REF!</definedName>
    <definedName name="Scotlandalltestshistdrawn">Sum!$E$19</definedName>
    <definedName name="Scotlandalltestshistlost">Sum!$D$19</definedName>
    <definedName name="Scotlandalltestshistplayed">Sum!$B$19</definedName>
    <definedName name="Scotlandalltestshistptscon">Sum!$H$19</definedName>
    <definedName name="Scotlandalltestshistptsscored">Sum!$G$19</definedName>
    <definedName name="Scotlandalltestshisttriesscored">Sum!$I$19</definedName>
    <definedName name="Scotlandalltestshistwon">Sum!$C$19</definedName>
    <definedName name="Scotlanddrawn">SCO!$AA$16</definedName>
    <definedName name="Scotlandlosingbonus">SCO!$I$16</definedName>
    <definedName name="Scotlandlost">SCO!$AB$16</definedName>
    <definedName name="Scotlandplayed">SCO!$Y$16</definedName>
    <definedName name="Scotlandptsagainst">SCO!$G$16</definedName>
    <definedName name="Scotlandptsscored">SCO!$F$16</definedName>
    <definedName name="Scotlandred">SCO!$O$16</definedName>
    <definedName name="ScotlandRWChistdrawn">Sum!$E$47</definedName>
    <definedName name="ScotlandRWChistlost">Sum!$D$47</definedName>
    <definedName name="ScotlandRWChistplayed">Sum!$B$47</definedName>
    <definedName name="ScotlandRWChistptscon">Sum!$H$47</definedName>
    <definedName name="ScotlandRWChistptsscored">Sum!$G$47</definedName>
    <definedName name="ScotlandRWChisttriesscored">Sum!$I$47</definedName>
    <definedName name="ScotlandRWChistwon">Sum!$C$47</definedName>
    <definedName name="Scotlandtriesagainst">SCO!$R$16</definedName>
    <definedName name="Scotlandtriesscored">SCO!$J$16</definedName>
    <definedName name="Scotlandtrybonus">SCO!$H$16</definedName>
    <definedName name="Scotlandwon">SCO!$Z$16</definedName>
    <definedName name="Scotlandyellow">SCO!$N$16</definedName>
    <definedName name="scoyellow">SCO!#REF!</definedName>
    <definedName name="tgalb">TGA!#REF!</definedName>
    <definedName name="tgalbcon">TGA!#REF!</definedName>
    <definedName name="tgaoveralldrawn">TGA!#REF!</definedName>
    <definedName name="tgaoveralllost">TGA!#REF!</definedName>
    <definedName name="tgaoverallpld">TGA!#REF!</definedName>
    <definedName name="tgaoverallptsag">TGA!#REF!</definedName>
    <definedName name="tgaoverallptsscored">TGA!#REF!</definedName>
    <definedName name="tgaoveralltriescon">TGA!#REF!</definedName>
    <definedName name="tgaoveralltriesscored">TGA!#REF!</definedName>
    <definedName name="tgaoveralltriesscoredcorr">TGA!#REF!</definedName>
    <definedName name="tgaoverallwon">TGA!#REF!</definedName>
    <definedName name="tgaovralltriesscoredcorrect">TGA!#REF!</definedName>
    <definedName name="tgapooldrawn">TGA!#REF!</definedName>
    <definedName name="tgapoollost">TGA!#REF!</definedName>
    <definedName name="tgapoolpld">TGA!#REF!</definedName>
    <definedName name="tgapoolptsag">TGA!#REF!</definedName>
    <definedName name="tgapoolptsscored">TGA!#REF!</definedName>
    <definedName name="tgapooltriescon">TGA!#REF!</definedName>
    <definedName name="tgapooltriesscored">TGA!#REF!</definedName>
    <definedName name="tgapoolwon">TGA!#REF!</definedName>
    <definedName name="tgared">TGA!#REF!</definedName>
    <definedName name="tgarwc2023overalldg">TGA!$L$15</definedName>
    <definedName name="tgarwc2023overalldrawn">TGA!$AA$15</definedName>
    <definedName name="tgarwc2023overalllost">TGA!$AB$15</definedName>
    <definedName name="tgarwc2023overallplayed">TGA!$Y$15</definedName>
    <definedName name="tgarwc2023overallptsconc">TGA!$G$15</definedName>
    <definedName name="tgarwc2023overallptsscored">TGA!$F$15</definedName>
    <definedName name="tgarwc2023overallrc">TGA!$O$15</definedName>
    <definedName name="tgarwc2023overalltriesconc">TGA!$R$15</definedName>
    <definedName name="tgarwc2023overalltriesscored">TGA!$J$15</definedName>
    <definedName name="tgarwc2023overallwon">TGA!$Z$15</definedName>
    <definedName name="tgarwc2023overallyc">TGA!$N$15</definedName>
    <definedName name="tgarwc2023poolsdrawn">TGA!$AA$13</definedName>
    <definedName name="tgarwc2023poolslb">TGA!$I$13</definedName>
    <definedName name="tgarwc2023poolslbcon">TGA!$Q$13</definedName>
    <definedName name="tgarwc2023poolslost">TGA!$AB$13</definedName>
    <definedName name="tgarwc2023poolsplayed">TGA!$Y$13</definedName>
    <definedName name="tgarwc2023poolsptsconc">TGA!$G$13</definedName>
    <definedName name="tgarwc2023poolsptsscored">TGA!$F$13</definedName>
    <definedName name="tgarwc2023poolstb">TGA!$H$13</definedName>
    <definedName name="tgarwc2023poolstbcon">TGA!$P$13</definedName>
    <definedName name="tgarwc2023poolstriesconc">TGA!$R$13</definedName>
    <definedName name="tgarwc2023poolstriesscored">TGA!$J$13</definedName>
    <definedName name="tgarwc2023poolswon">TGA!$Z$13</definedName>
    <definedName name="tgatb">TGA!#REF!</definedName>
    <definedName name="tgatbcon">TGA!#REF!</definedName>
    <definedName name="tgayellow">TGA!#REF!</definedName>
    <definedName name="Ton2019alltestsdrawn">TGA!$AA$16</definedName>
    <definedName name="Ton2019alltestslost">TGA!$AB$16</definedName>
    <definedName name="Ton2019alltestsplayed">TGA!$Y$16</definedName>
    <definedName name="Ton2019alltestsptscon">TGA!$G$16</definedName>
    <definedName name="Ton2019alltestsptsscored">TGA!$F$16</definedName>
    <definedName name="Ton2019allteststriescon">TGA!$R$16</definedName>
    <definedName name="Ton2019allteststriesscored">TGA!$J$16</definedName>
    <definedName name="Ton2019alltestswon">TGA!$Z$16</definedName>
    <definedName name="Ton2019pooldrawn">TGA!#REF!</definedName>
    <definedName name="Ton2019poollbcon">TGA!#REF!</definedName>
    <definedName name="Ton2019poollbscored">TGA!#REF!</definedName>
    <definedName name="Ton2019poollost">TGA!#REF!</definedName>
    <definedName name="Ton2019poolplayed">TGA!#REF!</definedName>
    <definedName name="Ton2019poolplayedcorrect">TGA!#REF!</definedName>
    <definedName name="Ton2019poolptscon">TGA!#REF!</definedName>
    <definedName name="Ton2019poolptsscored">TGA!#REF!</definedName>
    <definedName name="Ton2019poolrtbcon">TGA!#REF!</definedName>
    <definedName name="Ton2019pooltbscored">TGA!#REF!</definedName>
    <definedName name="Ton2019pooltriescon">TGA!#REF!</definedName>
    <definedName name="Ton2019pooltriesscored">TGA!#REF!</definedName>
    <definedName name="Ton2019poolwon">TGA!#REF!</definedName>
    <definedName name="Ton2019RWCdrawn">TGA!#REF!</definedName>
    <definedName name="Ton2019RWClost">TGA!#REF!</definedName>
    <definedName name="Ton2019RWCplayed">TGA!#REF!</definedName>
    <definedName name="Ton2019RWCptscon">TGA!#REF!</definedName>
    <definedName name="Ton2019RWCptsscored">TGA!#REF!</definedName>
    <definedName name="Ton2019RWCrc">TGA!#REF!</definedName>
    <definedName name="Ton2019RWCtriescon">TGA!#REF!</definedName>
    <definedName name="Ton2019RWCtriesscored">TGA!#REF!</definedName>
    <definedName name="Ton2019RWCwon">TGA!#REF!</definedName>
    <definedName name="Ton2019RWCyc">TGA!#REF!</definedName>
    <definedName name="Tongaalltestshistdrawn">Sum!$E$21</definedName>
    <definedName name="Tongaalltestshistlost">Sum!$D$21</definedName>
    <definedName name="Tongaalltestshistplayed">Sum!$B$21</definedName>
    <definedName name="Tongaalltestshistptsagainst">Sum!$H$21</definedName>
    <definedName name="Tongaalltestshistptsscored">Sum!$G$21</definedName>
    <definedName name="Tongaalltestshisttriesscored">Sum!$I$21</definedName>
    <definedName name="Tongaalltestshistwon">Sum!$C$21</definedName>
    <definedName name="TongaRWChistdrawn">Sum!$E$50</definedName>
    <definedName name="TongaRWChistlost">Sum!$D$50</definedName>
    <definedName name="TongaRWChistplayed">Sum!$B$50</definedName>
    <definedName name="TongaRWChistptscon">Sum!$H$50</definedName>
    <definedName name="TongaRWChistptsscored">Sum!$G$50</definedName>
    <definedName name="TongaRWChisttriesscored">Sum!$I$50</definedName>
    <definedName name="TongaRWChistwon">Sum!$C$50</definedName>
    <definedName name="triesscored">ENG!#REF!</definedName>
    <definedName name="United_Statesalltestshistdrawn">Sum!$E$22</definedName>
    <definedName name="United_Statesalltestshistlost">Sum!$D$22</definedName>
    <definedName name="United_Statesalltestshistplayed">Sum!$B$22</definedName>
    <definedName name="United_Statesalltestshistptscon">Sum!$H$22</definedName>
    <definedName name="United_Statesalltestshistptsscored">Sum!$G$22</definedName>
    <definedName name="United_Statesalltestshisttriesscored">Sum!$I$22</definedName>
    <definedName name="United_Statesalltestshistwon">Sum!$C$22</definedName>
    <definedName name="United_StatesRWChistdrawn">Sum!$E$51</definedName>
    <definedName name="United_StatesRWChistlost">Sum!$D$51</definedName>
    <definedName name="United_StatesRWChistplayed">Sum!$B$51</definedName>
    <definedName name="United_StatesRWChistptscon">Sum!$H$51</definedName>
    <definedName name="United_StatesRWChistptsscored">Sum!$G$51</definedName>
    <definedName name="United_StatesRWChisttriesscored">Sum!$I$51</definedName>
    <definedName name="United_StatesRWChistwon">Sum!$C$51</definedName>
    <definedName name="Uru2019alltestsdrawn">URU!$AA$13</definedName>
    <definedName name="Uru2019alltestslost">URU!$AB$13</definedName>
    <definedName name="Uru2019alltestsplayed">URU!$F$13</definedName>
    <definedName name="Uru2019alltestsplayedcorrect">URU!$Y$13</definedName>
    <definedName name="Uru2019alltestsptscon">URU!$G$13</definedName>
    <definedName name="Uru2019alltestsptsscored">URU!$F$13</definedName>
    <definedName name="Uru2019allteststriescon">URU!$J$13</definedName>
    <definedName name="Uru2019allteststriesconcorrect">URU!$R$13</definedName>
    <definedName name="Uru2019allteststriesscored">URU!$J$13</definedName>
    <definedName name="Uru2019alltestswon">URU!$Z$13</definedName>
    <definedName name="Uru2019pooldrawn">URU!#REF!</definedName>
    <definedName name="Uru2019poollbcon">URU!#REF!</definedName>
    <definedName name="Uru2019poollbscored">URU!#REF!</definedName>
    <definedName name="Uru2019poollost">URU!#REF!</definedName>
    <definedName name="Uru2019poolplayed">URU!#REF!</definedName>
    <definedName name="Uru2019poolptsagainst">URU!#REF!</definedName>
    <definedName name="Uru2019poolptscon">URU!#REF!</definedName>
    <definedName name="Uru2019poolptsconcorrect">URU!#REF!</definedName>
    <definedName name="Uru2019poolptsscored">URU!#REF!</definedName>
    <definedName name="Uru2019pooltbcon">URU!#REF!</definedName>
    <definedName name="Uru2019pooltbscored">URU!#REF!</definedName>
    <definedName name="Uru2019pooltriescon">URU!#REF!</definedName>
    <definedName name="Uru2019pooltriesscored">URU!#REF!</definedName>
    <definedName name="uru2019poolwon">URU!#REF!</definedName>
    <definedName name="Uru2019RWCdrawn">URU!#REF!</definedName>
    <definedName name="Uru2019RWClostcorrect">URU!#REF!</definedName>
    <definedName name="Uru2019RWCplayed">URU!#REF!</definedName>
    <definedName name="Uru2019RWCptscon">URU!#REF!</definedName>
    <definedName name="Uru2019RWCptsscored">URU!#REF!</definedName>
    <definedName name="Uru2019RWCrc">URU!#REF!</definedName>
    <definedName name="Uru2019RWCtriescon">URU!#REF!</definedName>
    <definedName name="Uru2019RWCtriesscored">URU!#REF!</definedName>
    <definedName name="Uru2019RWCwon">URU!#REF!</definedName>
    <definedName name="Uru2019RWCyc">URU!#REF!</definedName>
    <definedName name="Urualltestshistdrawn">Sum!$E$23</definedName>
    <definedName name="Urualltestshistlost">Sum!$D$23</definedName>
    <definedName name="Urualltestshistplayed">Sum!$B$23</definedName>
    <definedName name="Urualltestshistptscon">Sum!$H$23</definedName>
    <definedName name="Urualltestshistptsscored">Sum!$G$23</definedName>
    <definedName name="Urualltestshisttriesscored">Sum!$I$23</definedName>
    <definedName name="Urualltestshistwon">Sum!$C$23</definedName>
    <definedName name="urulb">URU!#REF!</definedName>
    <definedName name="urulbcon">URU!#REF!</definedName>
    <definedName name="uruoveralldrawn">URU!#REF!</definedName>
    <definedName name="uruoveralllost">URU!#REF!</definedName>
    <definedName name="uruoverallpld">URU!#REF!</definedName>
    <definedName name="uruoverallptsag">URU!#REF!</definedName>
    <definedName name="uruoverallptsscored">URU!#REF!</definedName>
    <definedName name="uruoveralltriescon">URU!#REF!</definedName>
    <definedName name="uruoveralltriesscored">URU!#REF!</definedName>
    <definedName name="uruoverallwon">URU!#REF!</definedName>
    <definedName name="urupooldrawn">URU!#REF!</definedName>
    <definedName name="urupoollost">URU!#REF!</definedName>
    <definedName name="urupoolpld">URU!#REF!</definedName>
    <definedName name="urupoolptsag">URU!#REF!</definedName>
    <definedName name="urupoolptsscored">URU!#REF!</definedName>
    <definedName name="urupooltriesscored">URU!#REF!</definedName>
    <definedName name="urupoolwon">URU!#REF!</definedName>
    <definedName name="urured">URU!#REF!</definedName>
    <definedName name="ururwc2023overalldg">URU!$L$12</definedName>
    <definedName name="ururwc2023overalldrawn">URU!$AA$12</definedName>
    <definedName name="ururwc2023overalllost">URU!$AB$12</definedName>
    <definedName name="ururwc2023overallplayed">URU!$Y$12</definedName>
    <definedName name="ururwc2023overallptsscored">URU!$F$12</definedName>
    <definedName name="ururwc2023overallptssonc">URU!$G$12</definedName>
    <definedName name="ururwc2023overallrc">URU!$O$12</definedName>
    <definedName name="ururwc2023overalltriessconc">URU!$R$12</definedName>
    <definedName name="ururwc2023overalltriesscored">URU!$J$12</definedName>
    <definedName name="ururwc2023overallwon">URU!$Z$12</definedName>
    <definedName name="ururwc2023overallyc">URU!$N$12</definedName>
    <definedName name="ururwc2023poolsdrawn">URU!$AA$10</definedName>
    <definedName name="ururwc2023poolslb">URU!$I$10</definedName>
    <definedName name="ururwc2023poolslbcon">URU!$Q$10</definedName>
    <definedName name="ururwc2023poolslost">URU!$AB$10</definedName>
    <definedName name="ururwc2023poolsplayed">URU!$Y$10</definedName>
    <definedName name="ururwc2023poolsptsconc">URU!$G$10</definedName>
    <definedName name="ururwc2023poolsptsscored">URU!$F$10</definedName>
    <definedName name="ururwc2023poolstb">URU!$H$10</definedName>
    <definedName name="ururwc2023poolstbcon">URU!$P$10</definedName>
    <definedName name="ururwc2023poolstriesconc">URU!$R$10</definedName>
    <definedName name="ururwc2023poolstriesscored">URU!$J$10</definedName>
    <definedName name="ururwc2023poolswon">URU!$Z$10</definedName>
    <definedName name="UruRWChistdrawn">Sum!$E$52</definedName>
    <definedName name="UruRWChistlost">Sum!$D$52</definedName>
    <definedName name="UruRWChistplayed">Sum!$B$52</definedName>
    <definedName name="UruRWChistptscon">Sum!$H$52</definedName>
    <definedName name="UruRWChistptsscored">Sum!$G$52</definedName>
    <definedName name="UruRWChisttriesscored">Sum!$I$52</definedName>
    <definedName name="UruRWChistwon">Sum!$C$52</definedName>
    <definedName name="urutb">URU!#REF!</definedName>
    <definedName name="urutbcon">URU!#REF!</definedName>
    <definedName name="urutriescon">URU!#REF!</definedName>
    <definedName name="uruyellow">URU!#REF!</definedName>
    <definedName name="USA2019alltestsdrawn">USA!$AA$8</definedName>
    <definedName name="USA2019alltestslost">USA!$AB$8</definedName>
    <definedName name="USA2019alltestsplayed">USA!$Y$8</definedName>
    <definedName name="USA2019alltestsptscon">USA!$G$8</definedName>
    <definedName name="USA2019alltestsptsscored">USA!$F$8</definedName>
    <definedName name="USA2019allteststriescon">USA!$R$8</definedName>
    <definedName name="USA2019allteststriesscored">USA!$J$8</definedName>
    <definedName name="USA2019alltestswon">USA!$Z$8</definedName>
    <definedName name="USA2019pooldrawn">USA!#REF!</definedName>
    <definedName name="USA2019poollbcon">USA!#REF!</definedName>
    <definedName name="USA2019poollbscored">USA!#REF!</definedName>
    <definedName name="USA2019poollost">USA!#REF!</definedName>
    <definedName name="USA2019poolplayed">USA!#REF!</definedName>
    <definedName name="USA2019poolptscon">USA!#REF!</definedName>
    <definedName name="USA2019poolptsscored">USA!#REF!</definedName>
    <definedName name="USA2019pooltbcon">USA!#REF!</definedName>
    <definedName name="USA2019pooltbscored">USA!#REF!</definedName>
    <definedName name="USA2019pooltriescon">USA!#REF!</definedName>
    <definedName name="USA2019pooltriesscored">USA!#REF!</definedName>
    <definedName name="USA2019poolwon">USA!#REF!</definedName>
    <definedName name="USA2019RWCdrawn">USA!#REF!</definedName>
    <definedName name="USA2019RWClost">USA!#REF!</definedName>
    <definedName name="USA2019RWCplayed">USA!#REF!</definedName>
    <definedName name="USA2019RWCptscon">USA!#REF!</definedName>
    <definedName name="USA2019RWCptsscored">USA!#REF!</definedName>
    <definedName name="USA2019RWCrc">USA!#REF!</definedName>
    <definedName name="USA2019RWCtriescon">USA!#REF!</definedName>
    <definedName name="USA2019RWCtriesscored">USA!#REF!</definedName>
    <definedName name="USA2019RWCwon">USA!#REF!</definedName>
    <definedName name="USA2019RWCyc">USA!#REF!</definedName>
    <definedName name="usalb">USA!#REF!</definedName>
    <definedName name="usalbcon">USA!#REF!</definedName>
    <definedName name="usaoveralldrawn">USA!#REF!</definedName>
    <definedName name="usaoveralllost">USA!#REF!</definedName>
    <definedName name="usaoverallpld">USA!#REF!</definedName>
    <definedName name="usaoverallptsag">USA!#REF!</definedName>
    <definedName name="usaoverallptsscored">USA!#REF!</definedName>
    <definedName name="usaoveralltriescon">USA!#REF!</definedName>
    <definedName name="usaoveralltriesscored">USA!#REF!</definedName>
    <definedName name="usaoverallwon">USA!#REF!</definedName>
    <definedName name="usapooldrawn">USA!#REF!</definedName>
    <definedName name="usapoollost">USA!#REF!</definedName>
    <definedName name="usapoolpld">USA!#REF!</definedName>
    <definedName name="usapoolptsag">USA!#REF!</definedName>
    <definedName name="usapoolptsscored">USA!#REF!</definedName>
    <definedName name="usapooltriescon">USA!#REF!</definedName>
    <definedName name="usapooltriesscored">USA!#REF!</definedName>
    <definedName name="usapoolwon">USA!#REF!</definedName>
    <definedName name="usared">USA!#REF!</definedName>
    <definedName name="usatb">USA!#REF!</definedName>
    <definedName name="usatbcon">USA!#REF!</definedName>
    <definedName name="usayellow">USA!#REF!</definedName>
    <definedName name="vdrawn">FIJ!#REF!</definedName>
    <definedName name="vlost">SCO!#REF!</definedName>
    <definedName name="vrc">SAM!#REF!</definedName>
    <definedName name="vtriesscored">Sum!$I$18</definedName>
    <definedName name="vwon">URU!#REF!</definedName>
    <definedName name="Wal2019alltestsdrawn">WAL!$AA$21</definedName>
    <definedName name="Wal2019alltestslostcorrect">WAL!$AB$21</definedName>
    <definedName name="Wal2019alltestsplayed">WAL!$Y$21</definedName>
    <definedName name="Wal2019alltestsptscon">WAL!$G$21</definedName>
    <definedName name="Wal2019alltestsptsscored">WAL!$F$21</definedName>
    <definedName name="Wal2019allteststriescon">WAL!$R$21</definedName>
    <definedName name="Wal2019allteststriesscored">WAL!$J$21</definedName>
    <definedName name="Wal2019alltestswon">WAL!$Z$21</definedName>
    <definedName name="Wal2019pooldrawn">WAL!#REF!</definedName>
    <definedName name="Wal2019poollbcon">WAL!#REF!</definedName>
    <definedName name="Wal2019poollbscored">WAL!#REF!</definedName>
    <definedName name="Wal2019poollostcorrect">WAL!#REF!</definedName>
    <definedName name="Wal2019poolplayed">WAL!#REF!</definedName>
    <definedName name="Wal2019poolptscon">WAL!#REF!</definedName>
    <definedName name="Wal2019poolptsscored">WAL!#REF!</definedName>
    <definedName name="Wal2019pooltbcon">WAL!#REF!</definedName>
    <definedName name="Wal2019pooltbscored">WAL!#REF!</definedName>
    <definedName name="Wal2019pooltriescon">WAL!#REF!</definedName>
    <definedName name="Wal2019pooltriesscored">WAL!#REF!</definedName>
    <definedName name="Wal2019poolwon">WAL!#REF!</definedName>
    <definedName name="Wal2019RWCdrawn">WAL!#REF!</definedName>
    <definedName name="Wal2019RWClost">WAL!#REF!</definedName>
    <definedName name="Wal2019RWCplayed">WAL!#REF!</definedName>
    <definedName name="Wal2019RWCptscon">WAL!#REF!</definedName>
    <definedName name="Wal2019RWCptsscored">WAL!#REF!</definedName>
    <definedName name="Wal2019RWCrc">WAL!#REF!</definedName>
    <definedName name="Wal2019RWCtriescon">WAL!#REF!</definedName>
    <definedName name="Wal2019RWCtriesscored">WAL!#REF!</definedName>
    <definedName name="Wal2019RWCwon">WAL!#REF!</definedName>
    <definedName name="Wal2019RWCyc">WAL!#REF!</definedName>
    <definedName name="wal6ntriesconc">WAL!$R$16</definedName>
    <definedName name="Walesalltestshistdrawn">Sum!$E$24</definedName>
    <definedName name="Walesalltestshistlost">Sum!$D$24</definedName>
    <definedName name="Walesalltestshistplayed">Sum!$B$24</definedName>
    <definedName name="Walesalltestshistptscon">Sum!$H$24</definedName>
    <definedName name="Walesalltestshistptsscored">Sum!$G$24</definedName>
    <definedName name="Walesalltestshisttriesscored">Sum!$I$24</definedName>
    <definedName name="Walesalltestshistwon">Sum!$C$24</definedName>
    <definedName name="Walesdrawn">WAL!$AA$16</definedName>
    <definedName name="Waleslosingbonus">WAL!$I$16</definedName>
    <definedName name="Waleslost">WAL!$AB$16</definedName>
    <definedName name="Walesplayed">WAL!$Y$16</definedName>
    <definedName name="Walesptsagainst">WAL!$G$16</definedName>
    <definedName name="Walesptsscored">WAL!$F$16</definedName>
    <definedName name="Walesred">WAL!$O$16</definedName>
    <definedName name="WalesRWChistdrawn">Sum!$E$53</definedName>
    <definedName name="WalesRWChistlost">Sum!$D$53</definedName>
    <definedName name="WalesRWChistplayed">Sum!$B$53</definedName>
    <definedName name="WalesRWChistptscon">Sum!$H$53</definedName>
    <definedName name="WalesRWChistptsscored">Sum!$G$53</definedName>
    <definedName name="WalesRWChisttriesscored">Sum!$I$53</definedName>
    <definedName name="WalesRWChistwon">Sum!$C$53</definedName>
    <definedName name="Walestriesagainst">WAL!$R$16</definedName>
    <definedName name="Walestriesscored">WAL!$J$16</definedName>
    <definedName name="Walestrybonus">WAL!$H$16</definedName>
    <definedName name="Waleswon">WAL!$Z$16</definedName>
    <definedName name="Walesyellow">WAL!$N$16</definedName>
    <definedName name="wallb">WAL!#REF!</definedName>
    <definedName name="wallbcon">WAL!#REF!</definedName>
    <definedName name="waloveralldrawn">WAL!#REF!</definedName>
    <definedName name="waloveralllost">WAL!#REF!</definedName>
    <definedName name="waloverallpld">WAL!#REF!</definedName>
    <definedName name="waloverallptsscored">WAL!#REF!</definedName>
    <definedName name="waloveralltriescon">WAL!#REF!</definedName>
    <definedName name="waloveralltriesconcorr">WAL!#REF!</definedName>
    <definedName name="waloveralltriesscored">WAL!#REF!</definedName>
    <definedName name="waloverallwon">WAL!#REF!</definedName>
    <definedName name="walpooldrawn">WAL!#REF!</definedName>
    <definedName name="walpoollost">WAL!#REF!</definedName>
    <definedName name="walpoolpld">WAL!#REF!</definedName>
    <definedName name="walpoolptsag">WAL!#REF!</definedName>
    <definedName name="walpoolptsscored">WAL!#REF!</definedName>
    <definedName name="walpooltriescon">WAL!#REF!</definedName>
    <definedName name="walpooltriesscored">WAL!#REF!</definedName>
    <definedName name="walpoolwon">WAL!#REF!</definedName>
    <definedName name="walred">WAL!#REF!</definedName>
    <definedName name="walredcorr">WAL!#REF!</definedName>
    <definedName name="walrwc2023overalldg">WAL!$L$20</definedName>
    <definedName name="walrwc2023overalldrawn">WAL!$AA$20</definedName>
    <definedName name="walrwc2023overalllost">WAL!$AB$20</definedName>
    <definedName name="walrwc2023overallplayed">WAL!$Y$20</definedName>
    <definedName name="walrwc2023overallptsconc">WAL!$G$20</definedName>
    <definedName name="walrwc2023overallptsscored">WAL!$F$20</definedName>
    <definedName name="walrwc2023overallrc">WAL!$O$20</definedName>
    <definedName name="walrwc2023overalltriesconc">WAL!$R$20</definedName>
    <definedName name="walrwc2023overalltriesscored">WAL!$J$20</definedName>
    <definedName name="walrwc2023overallwon">WAL!$Z$20</definedName>
    <definedName name="walrwc2023overallyc">WAL!$N$20</definedName>
    <definedName name="walrwc2023poolsdrawn">WAL!$AA$18</definedName>
    <definedName name="walrwc2023poolslb">WAL!$I$18</definedName>
    <definedName name="walrwc2023poolslbcon">WAL!$Q$18</definedName>
    <definedName name="walrwc2023poolslost">WAL!$AB$18</definedName>
    <definedName name="walrwc2023poolsplayed">WAL!$Y$18</definedName>
    <definedName name="walrwc2023poolsptsconc">WAL!$G$18</definedName>
    <definedName name="walrwc2023poolsptsscored">WAL!$F$18</definedName>
    <definedName name="walrwc2023poolstb">WAL!$H$18</definedName>
    <definedName name="walrwc2023poolstbcon">WAL!$P$18</definedName>
    <definedName name="walrwc2023poolstriesconc">WAL!$R$18</definedName>
    <definedName name="walrwc2023poolstriesscored">WAL!$J$18</definedName>
    <definedName name="walrwc2023poolswon">WAL!$Z$18</definedName>
    <definedName name="waltb">WAL!#REF!</definedName>
    <definedName name="waltbcon">WAL!#REF!</definedName>
    <definedName name="walyellow">WAL!#REF!</definedName>
    <definedName name="walyellowcorr">WAL!#REF!</definedName>
    <definedName name="waspsbonus">NZL!#REF!</definedName>
    <definedName name="waspsconceded">NZL!#REF!</definedName>
    <definedName name="waspsdrawn">NZL!#REF!</definedName>
    <definedName name="waspsdrawncorrect">NZL!#REF!</definedName>
    <definedName name="waspslosingbonus">NZL!#REF!</definedName>
    <definedName name="waspslosingbonusconceded">NZL!#REF!</definedName>
    <definedName name="waspslost">NZL!#REF!</definedName>
    <definedName name="waspsplayed">NZL!#REF!</definedName>
    <definedName name="waspspremred">[2]WAS!$O$40</definedName>
    <definedName name="Waspspremtotalsdgs">[1]WAS!$L$37</definedName>
    <definedName name="waspspremtotalsdrawn">[1]WAS!$AA$37</definedName>
    <definedName name="Waspspremtotalslost">[1]WAS!$AB$37</definedName>
    <definedName name="Waspspremtotalsplayed">[1]WAS!$Y$37</definedName>
    <definedName name="Waspspremtotalsptsagainst">[1]WAS!$G$37</definedName>
    <definedName name="Waspspremtotalsptsscored">[1]WAS!$F$37</definedName>
    <definedName name="Waspspremtotalsrc">[1]WAS!$O$37</definedName>
    <definedName name="Waspspremtotalstriesconceded">[1]WAS!$R$37</definedName>
    <definedName name="Waspspremtotalstriesscored">[1]WAS!$J$37</definedName>
    <definedName name="Waspspremtotalswon">[1]WAS!$Z$37</definedName>
    <definedName name="Waspspremtotalsyc">[1]WAS!$N$37</definedName>
    <definedName name="waspspremtrybonusconc">[1]WAS!$P$35</definedName>
    <definedName name="waspspremtrybonusscored">[1]WAS!$H$35</definedName>
    <definedName name="waspspremyellow">[2]WAS!$N$40</definedName>
    <definedName name="waspsred">NZL!#REF!</definedName>
    <definedName name="waspsscored">NZL!#REF!</definedName>
    <definedName name="waspstriesconceded">NZL!#REF!</definedName>
    <definedName name="waspstriesscored">NZL!#REF!</definedName>
    <definedName name="waspstrybonus">NZL!#REF!</definedName>
    <definedName name="waspstrybonusconceded">NZL!#REF!</definedName>
    <definedName name="waspswon">NZL!#REF!</definedName>
    <definedName name="waspsyellow">NZL!#REF!</definedName>
    <definedName name="welshlosingbonus">GEO!#REF!</definedName>
    <definedName name="welshtrybonus">GEO!#REF!</definedName>
    <definedName name="worbonus">GEO!#REF!</definedName>
    <definedName name="worcester201314triesagainst">GEO!#REF!</definedName>
    <definedName name="worcesterpremred">[2]WOR!$O$35</definedName>
    <definedName name="worcesterpremseasontotalsdgs">[1]WOR!$L$39</definedName>
    <definedName name="worcesterpremseasontotalsdrawn">[1]WOR!$AA$39</definedName>
    <definedName name="worcesterpremseasontotalslost">[1]WOR!$AB$39</definedName>
    <definedName name="worcesterpremseasontotalsplayed">[1]WOR!$Y$39</definedName>
    <definedName name="worcesterpremseasontotalsptsagainst">[1]WOR!$G$39</definedName>
    <definedName name="worcesterpremseasontotalsptsscored">[1]WOR!$F$39</definedName>
    <definedName name="worcesterpremseasontotalsRC">[1]WOR!$O$39</definedName>
    <definedName name="worcesterpremseasontotalstriesconceded">[1]WOR!$R$39</definedName>
    <definedName name="worcesterpremseasontotalstriesscoredcorrect">[1]WOR!$J$39</definedName>
    <definedName name="worcesterpremseasontotalswon">[1]WOR!$Z$39</definedName>
    <definedName name="worcesterpremseasontotalsYC">[1]WOR!$N$39</definedName>
    <definedName name="worcesterpremtrybonusconc">[1]WOR!$P$37</definedName>
    <definedName name="worcesterpremtrybonusscored">[1]WOR!$H$37</definedName>
    <definedName name="worcesterpremyellow">[2]WOR!$N$35</definedName>
    <definedName name="worcestertriesscored">GEO!#REF!</definedName>
    <definedName name="worconceded">GEO!#REF!</definedName>
    <definedName name="wordrawn">GEO!#REF!</definedName>
    <definedName name="worlosingbonus">GEO!#REF!</definedName>
    <definedName name="worlosingbonusconceded">GEO!#REF!</definedName>
    <definedName name="worlost">GEO!#REF!</definedName>
    <definedName name="worplayed">GEO!#REF!</definedName>
    <definedName name="worred">GEO!#REF!</definedName>
    <definedName name="worscored">GEO!#REF!</definedName>
    <definedName name="wortriesconceded">GEO!#REF!</definedName>
    <definedName name="wortriesscored">GEO!#REF!</definedName>
    <definedName name="wortrybonus">GEO!#REF!</definedName>
    <definedName name="wortrybonusconceded">GEO!#REF!</definedName>
    <definedName name="worwon">GEO!#REF!</definedName>
    <definedName name="woryellow">GEO!#REF!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41" l="1"/>
  <c r="AN8" i="28"/>
  <c r="AM8" i="28"/>
  <c r="AL8" i="28"/>
  <c r="AK8" i="28"/>
  <c r="AJ8" i="28"/>
  <c r="AI8" i="28"/>
  <c r="AH8" i="28"/>
  <c r="AG8" i="28"/>
  <c r="AF8" i="28"/>
  <c r="AE8" i="28"/>
  <c r="AD8" i="28"/>
  <c r="AC8" i="28"/>
  <c r="AB8" i="28"/>
  <c r="AA8" i="28"/>
  <c r="Z8" i="28"/>
  <c r="Y8" i="28"/>
  <c r="R8" i="28"/>
  <c r="O8" i="28"/>
  <c r="N8" i="28"/>
  <c r="M8" i="28"/>
  <c r="L8" i="28"/>
  <c r="K8" i="28"/>
  <c r="J8" i="28"/>
  <c r="G8" i="28"/>
  <c r="F8" i="28"/>
  <c r="AZ9" i="11"/>
  <c r="AZ8" i="11"/>
  <c r="AZ7" i="11"/>
  <c r="AZ6" i="11"/>
  <c r="AZ5" i="11"/>
  <c r="AZ4" i="11"/>
  <c r="AZ3" i="11"/>
  <c r="AW9" i="11"/>
  <c r="AW8" i="11"/>
  <c r="AW7" i="11"/>
  <c r="AW6" i="11"/>
  <c r="AW5" i="11"/>
  <c r="AW4" i="11"/>
  <c r="AW3" i="11"/>
  <c r="AN19" i="11" l="1"/>
  <c r="AM19" i="11"/>
  <c r="AL19" i="11"/>
  <c r="AK19" i="11"/>
  <c r="AJ19" i="11"/>
  <c r="AI19" i="11"/>
  <c r="AH19" i="11"/>
  <c r="AG19" i="11"/>
  <c r="AF19" i="11"/>
  <c r="AE19" i="11"/>
  <c r="AD19" i="11"/>
  <c r="AC19" i="11"/>
  <c r="AB19" i="11"/>
  <c r="AA19" i="11"/>
  <c r="Z19" i="11"/>
  <c r="Y19" i="11"/>
  <c r="R19" i="11"/>
  <c r="Q19" i="11"/>
  <c r="P19" i="11"/>
  <c r="O19" i="11"/>
  <c r="N19" i="11"/>
  <c r="M19" i="11"/>
  <c r="L19" i="11"/>
  <c r="K19" i="11"/>
  <c r="J19" i="11"/>
  <c r="I19" i="11"/>
  <c r="H19" i="11"/>
  <c r="G19" i="11"/>
  <c r="F19" i="11"/>
  <c r="AN17" i="13"/>
  <c r="AM17" i="13"/>
  <c r="AL17" i="13"/>
  <c r="AK17" i="13"/>
  <c r="AJ17" i="13"/>
  <c r="AI17" i="13"/>
  <c r="AH17" i="13"/>
  <c r="AG17" i="13"/>
  <c r="AF17" i="13"/>
  <c r="AE17" i="13"/>
  <c r="AD17" i="13"/>
  <c r="AC17" i="13"/>
  <c r="AB17" i="13"/>
  <c r="AA17" i="13"/>
  <c r="Z17" i="13"/>
  <c r="Y17" i="13"/>
  <c r="R17" i="13"/>
  <c r="Q17" i="13"/>
  <c r="P17" i="13"/>
  <c r="O17" i="13"/>
  <c r="N17" i="13"/>
  <c r="M17" i="13"/>
  <c r="L17" i="13"/>
  <c r="K17" i="13"/>
  <c r="J17" i="13"/>
  <c r="I17" i="13"/>
  <c r="H17" i="13"/>
  <c r="G17" i="13"/>
  <c r="F17" i="13"/>
  <c r="AN16" i="30"/>
  <c r="AM16" i="30"/>
  <c r="AL16" i="30"/>
  <c r="AK16" i="30"/>
  <c r="AJ16" i="30"/>
  <c r="AI16" i="30"/>
  <c r="AH16" i="30"/>
  <c r="AG16" i="30"/>
  <c r="AF16" i="30"/>
  <c r="AE16" i="30"/>
  <c r="AD16" i="30"/>
  <c r="AC16" i="30"/>
  <c r="AB16" i="30"/>
  <c r="AA16" i="30"/>
  <c r="Z16" i="30"/>
  <c r="Y16" i="30"/>
  <c r="R16" i="30"/>
  <c r="Q16" i="30"/>
  <c r="P16" i="30"/>
  <c r="O16" i="30"/>
  <c r="N16" i="30"/>
  <c r="M16" i="30"/>
  <c r="L16" i="30"/>
  <c r="K16" i="30"/>
  <c r="J16" i="30"/>
  <c r="I16" i="30"/>
  <c r="H16" i="30"/>
  <c r="G16" i="30"/>
  <c r="F16" i="30"/>
  <c r="AN16" i="25"/>
  <c r="AM16" i="25"/>
  <c r="AL16" i="25"/>
  <c r="AK16" i="25"/>
  <c r="AJ16" i="25"/>
  <c r="AI16" i="25"/>
  <c r="AH16" i="25"/>
  <c r="AG16" i="25"/>
  <c r="AF16" i="25"/>
  <c r="AE16" i="25"/>
  <c r="AD16" i="25"/>
  <c r="AC16" i="25"/>
  <c r="AB16" i="25"/>
  <c r="AA16" i="25"/>
  <c r="Z16" i="25"/>
  <c r="Y16" i="25"/>
  <c r="R16" i="25"/>
  <c r="Q16" i="25"/>
  <c r="P16" i="25"/>
  <c r="O16" i="25"/>
  <c r="N16" i="25"/>
  <c r="M16" i="25"/>
  <c r="L16" i="25"/>
  <c r="K16" i="25"/>
  <c r="J16" i="25"/>
  <c r="I16" i="25"/>
  <c r="H16" i="25"/>
  <c r="G16" i="25"/>
  <c r="F16" i="25"/>
  <c r="AN16" i="17"/>
  <c r="AM16" i="17"/>
  <c r="AL16" i="17"/>
  <c r="AK16" i="17"/>
  <c r="AJ16" i="17"/>
  <c r="AI16" i="17"/>
  <c r="AH16" i="17"/>
  <c r="AG16" i="17"/>
  <c r="AF16" i="17"/>
  <c r="AE16" i="17"/>
  <c r="AD16" i="17"/>
  <c r="AC16" i="17"/>
  <c r="AB16" i="17"/>
  <c r="AA16" i="17"/>
  <c r="Z16" i="17"/>
  <c r="Y16" i="17"/>
  <c r="R16" i="17"/>
  <c r="Q16" i="17"/>
  <c r="P16" i="17"/>
  <c r="O16" i="17"/>
  <c r="N16" i="17"/>
  <c r="M16" i="17"/>
  <c r="L16" i="17"/>
  <c r="K16" i="17"/>
  <c r="J16" i="17"/>
  <c r="I16" i="17"/>
  <c r="H16" i="17"/>
  <c r="G16" i="17"/>
  <c r="F16" i="17"/>
  <c r="AN16" i="16"/>
  <c r="AM16" i="16"/>
  <c r="AL16" i="16"/>
  <c r="AK16" i="16"/>
  <c r="AJ16" i="16"/>
  <c r="AI16" i="16"/>
  <c r="AH16" i="16"/>
  <c r="AG16" i="16"/>
  <c r="AF16" i="16"/>
  <c r="AE16" i="16"/>
  <c r="AD16" i="16"/>
  <c r="AC16" i="16"/>
  <c r="AB16" i="16"/>
  <c r="AA16" i="16"/>
  <c r="Z16" i="16"/>
  <c r="Y16" i="16"/>
  <c r="R16" i="16"/>
  <c r="Q16" i="16"/>
  <c r="P16" i="16"/>
  <c r="O16" i="16"/>
  <c r="N16" i="16"/>
  <c r="M16" i="16"/>
  <c r="L16" i="16"/>
  <c r="K16" i="16"/>
  <c r="J16" i="16"/>
  <c r="I16" i="16"/>
  <c r="H16" i="16"/>
  <c r="G16" i="16"/>
  <c r="F16" i="16"/>
  <c r="Q19" i="43" l="1"/>
  <c r="P19" i="43"/>
  <c r="Q45" i="43"/>
  <c r="P45" i="43"/>
  <c r="AN21" i="30" l="1"/>
  <c r="AM21" i="30"/>
  <c r="AL21" i="30"/>
  <c r="AK21" i="30"/>
  <c r="AJ21" i="30"/>
  <c r="AI21" i="30"/>
  <c r="AH21" i="30"/>
  <c r="AG21" i="30"/>
  <c r="AF21" i="30"/>
  <c r="AE21" i="30"/>
  <c r="AD21" i="30"/>
  <c r="AC21" i="30"/>
  <c r="AB21" i="30"/>
  <c r="AA21" i="30"/>
  <c r="Z21" i="30"/>
  <c r="Y21" i="30"/>
  <c r="R21" i="30"/>
  <c r="Q21" i="30"/>
  <c r="P21" i="30"/>
  <c r="O21" i="30"/>
  <c r="N21" i="30"/>
  <c r="M21" i="30"/>
  <c r="L21" i="30"/>
  <c r="K21" i="30"/>
  <c r="J21" i="30"/>
  <c r="I21" i="30"/>
  <c r="H21" i="30"/>
  <c r="G21" i="30"/>
  <c r="F21" i="30"/>
  <c r="G97" i="47" l="1"/>
  <c r="F97" i="47"/>
  <c r="AN24" i="11" l="1"/>
  <c r="AM24" i="11"/>
  <c r="AL24" i="11"/>
  <c r="AK24" i="11"/>
  <c r="AJ24" i="11"/>
  <c r="AI24" i="11"/>
  <c r="AH24" i="11"/>
  <c r="AG24" i="11"/>
  <c r="AF24" i="11"/>
  <c r="AE24" i="11"/>
  <c r="AD24" i="11"/>
  <c r="AC24" i="11"/>
  <c r="AB24" i="11"/>
  <c r="AA24" i="11"/>
  <c r="Z24" i="11"/>
  <c r="Y24" i="11"/>
  <c r="R24" i="11"/>
  <c r="Q24" i="11"/>
  <c r="P24" i="11"/>
  <c r="O24" i="11"/>
  <c r="N24" i="11"/>
  <c r="M24" i="11"/>
  <c r="L24" i="11"/>
  <c r="K24" i="11"/>
  <c r="J24" i="11"/>
  <c r="I24" i="11"/>
  <c r="H24" i="11"/>
  <c r="G24" i="11"/>
  <c r="F24" i="11"/>
  <c r="Q42" i="43" l="1"/>
  <c r="P42" i="43"/>
  <c r="Q4" i="43" l="1"/>
  <c r="P4" i="43"/>
  <c r="AN13" i="44" l="1"/>
  <c r="AM13" i="44"/>
  <c r="AL13" i="44"/>
  <c r="AK13" i="44"/>
  <c r="AJ13" i="44"/>
  <c r="AI13" i="44"/>
  <c r="AH13" i="44"/>
  <c r="AG13" i="44"/>
  <c r="AF13" i="44"/>
  <c r="AE13" i="44"/>
  <c r="AD13" i="44"/>
  <c r="AC13" i="44"/>
  <c r="AB13" i="44"/>
  <c r="AA13" i="44"/>
  <c r="Z13" i="44"/>
  <c r="Y13" i="44"/>
  <c r="R13" i="44"/>
  <c r="Q13" i="44"/>
  <c r="P13" i="44"/>
  <c r="O13" i="44"/>
  <c r="N13" i="44"/>
  <c r="M13" i="44"/>
  <c r="L13" i="44"/>
  <c r="K13" i="44"/>
  <c r="J13" i="44"/>
  <c r="I13" i="44"/>
  <c r="H13" i="44"/>
  <c r="G13" i="44"/>
  <c r="F13" i="44"/>
  <c r="R14" i="18" l="1"/>
  <c r="O14" i="18"/>
  <c r="N14" i="18"/>
  <c r="M14" i="18"/>
  <c r="L14" i="18"/>
  <c r="K14" i="18"/>
  <c r="J14" i="18"/>
  <c r="G14" i="18"/>
  <c r="F14" i="18"/>
  <c r="AN14" i="18"/>
  <c r="AM14" i="18"/>
  <c r="AL14" i="18"/>
  <c r="AK14" i="18"/>
  <c r="AJ14" i="18"/>
  <c r="AI14" i="18"/>
  <c r="AH14" i="18"/>
  <c r="AG14" i="18"/>
  <c r="AF14" i="18"/>
  <c r="AE14" i="18"/>
  <c r="AD14" i="18"/>
  <c r="AC14" i="18"/>
  <c r="AB14" i="18"/>
  <c r="AA14" i="18"/>
  <c r="Z14" i="18"/>
  <c r="Y14" i="18"/>
  <c r="A112" i="34"/>
  <c r="A111" i="34"/>
  <c r="R12" i="27" l="1"/>
  <c r="O12" i="27"/>
  <c r="N12" i="27"/>
  <c r="M12" i="27"/>
  <c r="L12" i="27"/>
  <c r="K12" i="27"/>
  <c r="J12" i="27"/>
  <c r="G12" i="27"/>
  <c r="F12" i="27"/>
  <c r="AN12" i="27"/>
  <c r="AM12" i="27"/>
  <c r="AL12" i="27"/>
  <c r="AK12" i="27"/>
  <c r="AJ12" i="27"/>
  <c r="AI12" i="27"/>
  <c r="AH12" i="27"/>
  <c r="AG12" i="27"/>
  <c r="AF12" i="27"/>
  <c r="AE12" i="27"/>
  <c r="AD12" i="27"/>
  <c r="AC12" i="27"/>
  <c r="AB12" i="27"/>
  <c r="AA12" i="27"/>
  <c r="Z12" i="27"/>
  <c r="Y12" i="27"/>
  <c r="Q97" i="47" l="1"/>
  <c r="N49" i="43"/>
  <c r="M49" i="43"/>
  <c r="L49" i="43"/>
  <c r="K49" i="43"/>
  <c r="J49" i="43"/>
  <c r="I49" i="43"/>
  <c r="E42" i="41" l="1"/>
  <c r="O48" i="43"/>
  <c r="O47" i="43"/>
  <c r="O46" i="43"/>
  <c r="O45" i="43"/>
  <c r="O44" i="43"/>
  <c r="O21" i="43"/>
  <c r="O20" i="43"/>
  <c r="O19" i="43"/>
  <c r="O18" i="43"/>
  <c r="O17" i="43"/>
  <c r="P18" i="43" l="1"/>
  <c r="Q18" i="43"/>
  <c r="Q46" i="43"/>
  <c r="P46" i="43"/>
  <c r="P20" i="43"/>
  <c r="Q20" i="43"/>
  <c r="Q44" i="43"/>
  <c r="P44" i="43"/>
  <c r="Q21" i="43"/>
  <c r="P21" i="43"/>
  <c r="Q17" i="43"/>
  <c r="P17" i="43"/>
  <c r="P47" i="43"/>
  <c r="Q47" i="43"/>
  <c r="Q48" i="43"/>
  <c r="P48" i="43"/>
  <c r="AN21" i="25" l="1"/>
  <c r="AM21" i="25"/>
  <c r="AL21" i="25"/>
  <c r="AK21" i="25"/>
  <c r="AJ21" i="25"/>
  <c r="AI21" i="25"/>
  <c r="AH21" i="25"/>
  <c r="AG21" i="25"/>
  <c r="AF21" i="25"/>
  <c r="AE21" i="25"/>
  <c r="AD21" i="25"/>
  <c r="AC21" i="25"/>
  <c r="AB21" i="25"/>
  <c r="AA21" i="25"/>
  <c r="Z21" i="25"/>
  <c r="Y21" i="25"/>
  <c r="R21" i="25"/>
  <c r="Q21" i="25"/>
  <c r="P21" i="25"/>
  <c r="O21" i="25"/>
  <c r="N21" i="25"/>
  <c r="M21" i="25"/>
  <c r="L21" i="25"/>
  <c r="K21" i="25"/>
  <c r="J21" i="25"/>
  <c r="I21" i="25"/>
  <c r="H21" i="25"/>
  <c r="G21" i="25"/>
  <c r="F21" i="25"/>
  <c r="AN17" i="25"/>
  <c r="AM17" i="25"/>
  <c r="AL17" i="25"/>
  <c r="AK17" i="25"/>
  <c r="AJ17" i="25"/>
  <c r="AI17" i="25"/>
  <c r="AH17" i="25"/>
  <c r="AG17" i="25"/>
  <c r="AF17" i="25"/>
  <c r="AE17" i="25"/>
  <c r="AD17" i="25"/>
  <c r="AC17" i="25"/>
  <c r="AB17" i="25"/>
  <c r="AA17" i="25"/>
  <c r="Z17" i="25"/>
  <c r="Y17" i="25"/>
  <c r="R17" i="25"/>
  <c r="O17" i="25"/>
  <c r="N17" i="25"/>
  <c r="M17" i="25"/>
  <c r="L17" i="25"/>
  <c r="K17" i="25"/>
  <c r="J17" i="25"/>
  <c r="G17" i="25"/>
  <c r="F17" i="25"/>
  <c r="AN13" i="12" l="1"/>
  <c r="AM13" i="12"/>
  <c r="AL13" i="12"/>
  <c r="AK13" i="12"/>
  <c r="AJ13" i="12"/>
  <c r="AI13" i="12"/>
  <c r="AH13" i="12"/>
  <c r="AG13" i="12"/>
  <c r="AF13" i="12"/>
  <c r="AE13" i="12"/>
  <c r="AD13" i="12"/>
  <c r="AC13" i="12"/>
  <c r="AB13" i="12"/>
  <c r="AA13" i="12"/>
  <c r="Z13" i="12"/>
  <c r="Y13" i="12"/>
  <c r="R13" i="12"/>
  <c r="O13" i="12"/>
  <c r="N13" i="12"/>
  <c r="M13" i="12"/>
  <c r="L13" i="12"/>
  <c r="K13" i="12"/>
  <c r="J13" i="12"/>
  <c r="G13" i="12"/>
  <c r="F13" i="12"/>
  <c r="AN16" i="24" l="1"/>
  <c r="AM16" i="24"/>
  <c r="AL16" i="24"/>
  <c r="AK16" i="24"/>
  <c r="AJ16" i="24"/>
  <c r="AI16" i="24"/>
  <c r="AH16" i="24"/>
  <c r="AG16" i="24"/>
  <c r="AF16" i="24"/>
  <c r="AE16" i="24"/>
  <c r="AD16" i="24"/>
  <c r="AC16" i="24"/>
  <c r="AB16" i="24"/>
  <c r="AA16" i="24"/>
  <c r="Z16" i="24"/>
  <c r="Y16" i="24"/>
  <c r="R16" i="24"/>
  <c r="Q16" i="24"/>
  <c r="P16" i="24"/>
  <c r="O16" i="24"/>
  <c r="N16" i="24"/>
  <c r="M16" i="24"/>
  <c r="L16" i="24"/>
  <c r="K16" i="24"/>
  <c r="J16" i="24"/>
  <c r="I16" i="24"/>
  <c r="H16" i="24"/>
  <c r="G16" i="24"/>
  <c r="F16" i="24"/>
  <c r="AN14" i="44"/>
  <c r="AM14" i="44"/>
  <c r="AL14" i="44"/>
  <c r="AK14" i="44"/>
  <c r="AJ14" i="44"/>
  <c r="AI14" i="44"/>
  <c r="AH14" i="44"/>
  <c r="AG14" i="44"/>
  <c r="AF14" i="44"/>
  <c r="AE14" i="44"/>
  <c r="AD14" i="44"/>
  <c r="AC14" i="44"/>
  <c r="AB14" i="44"/>
  <c r="AA14" i="44"/>
  <c r="Z14" i="44"/>
  <c r="Y14" i="44"/>
  <c r="R14" i="44"/>
  <c r="O14" i="44"/>
  <c r="N14" i="44"/>
  <c r="M14" i="44"/>
  <c r="L14" i="44"/>
  <c r="K14" i="44"/>
  <c r="J14" i="44"/>
  <c r="G14" i="44"/>
  <c r="F14" i="44"/>
  <c r="C37" i="47"/>
  <c r="AN13" i="29" l="1"/>
  <c r="AM13" i="29"/>
  <c r="AL13" i="29"/>
  <c r="AK13" i="29"/>
  <c r="AJ13" i="29"/>
  <c r="AI13" i="29"/>
  <c r="AH13" i="29"/>
  <c r="AG13" i="29"/>
  <c r="AF13" i="29"/>
  <c r="AE13" i="29"/>
  <c r="AD13" i="29"/>
  <c r="AC13" i="29"/>
  <c r="AB13" i="29"/>
  <c r="AA13" i="29"/>
  <c r="Z13" i="29"/>
  <c r="Y13" i="29"/>
  <c r="R13" i="29"/>
  <c r="Q13" i="29"/>
  <c r="P13" i="29"/>
  <c r="O13" i="29"/>
  <c r="N13" i="29"/>
  <c r="M13" i="29"/>
  <c r="L13" i="29"/>
  <c r="K13" i="29"/>
  <c r="J13" i="29"/>
  <c r="I13" i="29"/>
  <c r="H13" i="29"/>
  <c r="G13" i="29"/>
  <c r="F13" i="29"/>
  <c r="AN10" i="29"/>
  <c r="AM10" i="29"/>
  <c r="AL10" i="29"/>
  <c r="AK10" i="29"/>
  <c r="AJ10" i="29"/>
  <c r="AI10" i="29"/>
  <c r="AH10" i="29"/>
  <c r="AG10" i="29"/>
  <c r="AF10" i="29"/>
  <c r="AE10" i="29"/>
  <c r="AD10" i="29"/>
  <c r="AC10" i="29"/>
  <c r="AB10" i="29"/>
  <c r="E17" i="47" s="1"/>
  <c r="AA10" i="29"/>
  <c r="D17" i="47" s="1"/>
  <c r="Z10" i="29"/>
  <c r="C17" i="47" s="1"/>
  <c r="Y10" i="29"/>
  <c r="B17" i="47" s="1"/>
  <c r="R10" i="29"/>
  <c r="J17" i="47" s="1"/>
  <c r="Q10" i="29"/>
  <c r="P10" i="29"/>
  <c r="H17" i="48" s="1"/>
  <c r="O10" i="29"/>
  <c r="N10" i="29"/>
  <c r="M10" i="29"/>
  <c r="L10" i="29"/>
  <c r="K10" i="29"/>
  <c r="J10" i="29"/>
  <c r="I17" i="47" s="1"/>
  <c r="I10" i="29"/>
  <c r="H10" i="29"/>
  <c r="G10" i="29"/>
  <c r="G17" i="47" s="1"/>
  <c r="F10" i="29"/>
  <c r="F17" i="47" s="1"/>
  <c r="AN9" i="29"/>
  <c r="AM9" i="29"/>
  <c r="AL9" i="29"/>
  <c r="AK9" i="29"/>
  <c r="AJ9" i="29"/>
  <c r="AI9" i="29"/>
  <c r="AH9" i="29"/>
  <c r="AG9" i="29"/>
  <c r="AF9" i="29"/>
  <c r="AE9" i="29"/>
  <c r="AD9" i="29"/>
  <c r="AC9" i="29"/>
  <c r="AB9" i="29"/>
  <c r="AA9" i="29"/>
  <c r="Z9" i="29"/>
  <c r="Y9" i="29"/>
  <c r="R9" i="29"/>
  <c r="Q9" i="29"/>
  <c r="P9" i="29"/>
  <c r="O9" i="29"/>
  <c r="N9" i="29"/>
  <c r="M9" i="29"/>
  <c r="L9" i="29"/>
  <c r="K9" i="29"/>
  <c r="J9" i="29"/>
  <c r="I9" i="29"/>
  <c r="H9" i="29"/>
  <c r="G9" i="29"/>
  <c r="F9" i="29"/>
  <c r="AN16" i="27"/>
  <c r="AM16" i="27"/>
  <c r="AL16" i="27"/>
  <c r="AK16" i="27"/>
  <c r="AJ16" i="27"/>
  <c r="AI16" i="27"/>
  <c r="AH16" i="27"/>
  <c r="AG16" i="27"/>
  <c r="AF16" i="27"/>
  <c r="AE16" i="27"/>
  <c r="AD16" i="27"/>
  <c r="AC16" i="27"/>
  <c r="AB16" i="27"/>
  <c r="AA16" i="27"/>
  <c r="Z16" i="27"/>
  <c r="Y16" i="27"/>
  <c r="R16" i="27"/>
  <c r="Q16" i="27"/>
  <c r="P16" i="27"/>
  <c r="O16" i="27"/>
  <c r="N16" i="27"/>
  <c r="M16" i="27"/>
  <c r="L16" i="27"/>
  <c r="K16" i="27"/>
  <c r="J16" i="27"/>
  <c r="I16" i="27"/>
  <c r="H16" i="27"/>
  <c r="G16" i="27"/>
  <c r="F16" i="27"/>
  <c r="AN13" i="27"/>
  <c r="AM13" i="27"/>
  <c r="AL13" i="27"/>
  <c r="AK13" i="27"/>
  <c r="AJ13" i="27"/>
  <c r="AI13" i="27"/>
  <c r="AH13" i="27"/>
  <c r="AG13" i="27"/>
  <c r="AF13" i="27"/>
  <c r="AE13" i="27"/>
  <c r="AD13" i="27"/>
  <c r="AC13" i="27"/>
  <c r="AB13" i="27"/>
  <c r="E36" i="47" s="1"/>
  <c r="AA13" i="27"/>
  <c r="D36" i="47" s="1"/>
  <c r="Z13" i="27"/>
  <c r="C36" i="47" s="1"/>
  <c r="Y13" i="27"/>
  <c r="B36" i="47" s="1"/>
  <c r="R13" i="27"/>
  <c r="J36" i="47" s="1"/>
  <c r="Q13" i="27"/>
  <c r="P13" i="27"/>
  <c r="H19" i="48" s="1"/>
  <c r="O13" i="27"/>
  <c r="N13" i="27"/>
  <c r="M13" i="27"/>
  <c r="L13" i="27"/>
  <c r="K13" i="27"/>
  <c r="J13" i="27"/>
  <c r="I36" i="47" s="1"/>
  <c r="I13" i="27"/>
  <c r="H13" i="27"/>
  <c r="G13" i="27"/>
  <c r="G36" i="47" s="1"/>
  <c r="F13" i="27"/>
  <c r="F36" i="47" s="1"/>
  <c r="AN18" i="12"/>
  <c r="AM18" i="12"/>
  <c r="AL18" i="12"/>
  <c r="AK18" i="12"/>
  <c r="AJ18" i="12"/>
  <c r="AI18" i="12"/>
  <c r="AH18" i="12"/>
  <c r="AG18" i="12"/>
  <c r="AF18" i="12"/>
  <c r="AE18" i="12"/>
  <c r="AD18" i="12"/>
  <c r="AC18" i="12"/>
  <c r="AB18" i="12"/>
  <c r="AA18" i="12"/>
  <c r="Z18" i="12"/>
  <c r="Y18" i="12"/>
  <c r="R18" i="12"/>
  <c r="Q18" i="12"/>
  <c r="P18" i="12"/>
  <c r="O18" i="12"/>
  <c r="N18" i="12"/>
  <c r="M18" i="12"/>
  <c r="L18" i="12"/>
  <c r="K18" i="12"/>
  <c r="J18" i="12"/>
  <c r="I18" i="12"/>
  <c r="H18" i="12"/>
  <c r="G18" i="12"/>
  <c r="F18" i="12"/>
  <c r="D17" i="48" l="1"/>
  <c r="L36" i="47"/>
  <c r="L17" i="47"/>
  <c r="D16" i="48"/>
  <c r="AN16" i="23"/>
  <c r="AM16" i="23"/>
  <c r="AL16" i="23"/>
  <c r="AK16" i="23"/>
  <c r="AJ16" i="23"/>
  <c r="AI16" i="23"/>
  <c r="AH16" i="23"/>
  <c r="AG16" i="23"/>
  <c r="AF16" i="23"/>
  <c r="AE16" i="23"/>
  <c r="AD16" i="23"/>
  <c r="AC16" i="23"/>
  <c r="AB16" i="23"/>
  <c r="AA16" i="23"/>
  <c r="Z16" i="23"/>
  <c r="Y16" i="23"/>
  <c r="R16" i="23"/>
  <c r="O16" i="23"/>
  <c r="N16" i="23"/>
  <c r="M16" i="23"/>
  <c r="L16" i="23"/>
  <c r="K16" i="23"/>
  <c r="J16" i="23"/>
  <c r="G16" i="23"/>
  <c r="F16" i="23"/>
  <c r="AN15" i="23"/>
  <c r="AM15" i="23"/>
  <c r="AL15" i="23"/>
  <c r="AK15" i="23"/>
  <c r="AJ15" i="23"/>
  <c r="AI15" i="23"/>
  <c r="AH15" i="23"/>
  <c r="AG15" i="23"/>
  <c r="AF15" i="23"/>
  <c r="AE15" i="23"/>
  <c r="AD15" i="23"/>
  <c r="AC15" i="23"/>
  <c r="AB15" i="23"/>
  <c r="AA15" i="23"/>
  <c r="Z15" i="23"/>
  <c r="Y15" i="23"/>
  <c r="R15" i="23"/>
  <c r="Q15" i="23"/>
  <c r="P15" i="23"/>
  <c r="O15" i="23"/>
  <c r="N15" i="23"/>
  <c r="M15" i="23"/>
  <c r="L15" i="23"/>
  <c r="K15" i="23"/>
  <c r="J15" i="23"/>
  <c r="I15" i="23"/>
  <c r="H15" i="23"/>
  <c r="G15" i="23"/>
  <c r="F15" i="23"/>
  <c r="AN13" i="35" l="1"/>
  <c r="AM13" i="35"/>
  <c r="AL13" i="35"/>
  <c r="AK13" i="35"/>
  <c r="AJ13" i="35"/>
  <c r="AI13" i="35"/>
  <c r="AH13" i="35"/>
  <c r="AG13" i="35"/>
  <c r="AF13" i="35"/>
  <c r="AE13" i="35"/>
  <c r="AD13" i="35"/>
  <c r="AC13" i="35"/>
  <c r="AB13" i="35"/>
  <c r="AA13" i="35"/>
  <c r="Z13" i="35"/>
  <c r="Y13" i="35"/>
  <c r="R13" i="35"/>
  <c r="Q13" i="35"/>
  <c r="P13" i="35"/>
  <c r="O13" i="35"/>
  <c r="N13" i="35"/>
  <c r="M13" i="35"/>
  <c r="L13" i="35"/>
  <c r="K13" i="35"/>
  <c r="J13" i="35"/>
  <c r="I13" i="35"/>
  <c r="H13" i="35"/>
  <c r="G13" i="35"/>
  <c r="F13" i="35"/>
  <c r="AN10" i="35"/>
  <c r="AM10" i="35"/>
  <c r="AL10" i="35"/>
  <c r="AK10" i="35"/>
  <c r="AJ10" i="35"/>
  <c r="AI10" i="35"/>
  <c r="AH10" i="35"/>
  <c r="AG10" i="35"/>
  <c r="AF10" i="35"/>
  <c r="AE10" i="35"/>
  <c r="AD10" i="35"/>
  <c r="AC10" i="35"/>
  <c r="AB10" i="35"/>
  <c r="E18" i="47" s="1"/>
  <c r="AA10" i="35"/>
  <c r="D18" i="47" s="1"/>
  <c r="Z10" i="35"/>
  <c r="C18" i="47" s="1"/>
  <c r="Y10" i="35"/>
  <c r="B18" i="47" s="1"/>
  <c r="R10" i="35"/>
  <c r="J18" i="47" s="1"/>
  <c r="Q10" i="35"/>
  <c r="P10" i="35"/>
  <c r="H22" i="48" s="1"/>
  <c r="O10" i="35"/>
  <c r="N10" i="35"/>
  <c r="M10" i="35"/>
  <c r="L10" i="35"/>
  <c r="K10" i="35"/>
  <c r="J10" i="35"/>
  <c r="I18" i="47" s="1"/>
  <c r="I10" i="35"/>
  <c r="H10" i="35"/>
  <c r="D20" i="48" s="1"/>
  <c r="G10" i="35"/>
  <c r="G18" i="47" s="1"/>
  <c r="F10" i="35"/>
  <c r="F18" i="47" s="1"/>
  <c r="AN9" i="35"/>
  <c r="AM9" i="35"/>
  <c r="AL9" i="35"/>
  <c r="AK9" i="35"/>
  <c r="AJ9" i="35"/>
  <c r="AI9" i="35"/>
  <c r="AH9" i="35"/>
  <c r="AG9" i="35"/>
  <c r="AF9" i="35"/>
  <c r="AE9" i="35"/>
  <c r="AD9" i="35"/>
  <c r="AC9" i="35"/>
  <c r="AB9" i="35"/>
  <c r="AA9" i="35"/>
  <c r="Z9" i="35"/>
  <c r="Y9" i="35"/>
  <c r="R9" i="35"/>
  <c r="O9" i="35"/>
  <c r="N9" i="35"/>
  <c r="M9" i="35"/>
  <c r="L9" i="35"/>
  <c r="K9" i="35"/>
  <c r="J9" i="35"/>
  <c r="G9" i="35"/>
  <c r="F9" i="35"/>
  <c r="L18" i="47" l="1"/>
  <c r="AN17" i="18"/>
  <c r="AM17" i="18"/>
  <c r="AL17" i="18"/>
  <c r="AK17" i="18"/>
  <c r="AJ17" i="18"/>
  <c r="AI17" i="18"/>
  <c r="AH17" i="18"/>
  <c r="AG17" i="18"/>
  <c r="AF17" i="18"/>
  <c r="AE17" i="18"/>
  <c r="AD17" i="18"/>
  <c r="AC17" i="18"/>
  <c r="AB17" i="18"/>
  <c r="AA17" i="18"/>
  <c r="Z17" i="18"/>
  <c r="Y17" i="18"/>
  <c r="R17" i="18"/>
  <c r="Q17" i="18"/>
  <c r="P17" i="18"/>
  <c r="O17" i="18"/>
  <c r="N17" i="18"/>
  <c r="M17" i="18"/>
  <c r="L17" i="18"/>
  <c r="K17" i="18"/>
  <c r="J17" i="18"/>
  <c r="I17" i="18"/>
  <c r="H17" i="18"/>
  <c r="G17" i="18"/>
  <c r="F17" i="18"/>
  <c r="AN16" i="18"/>
  <c r="AM16" i="18"/>
  <c r="AL16" i="18"/>
  <c r="AK16" i="18"/>
  <c r="AJ16" i="18"/>
  <c r="AI16" i="18"/>
  <c r="AH16" i="18"/>
  <c r="AG16" i="18"/>
  <c r="AF16" i="18"/>
  <c r="AE16" i="18"/>
  <c r="AD16" i="18"/>
  <c r="AC16" i="18"/>
  <c r="AB16" i="18"/>
  <c r="E74" i="47" s="1"/>
  <c r="AA16" i="18"/>
  <c r="D74" i="47" s="1"/>
  <c r="Z16" i="18"/>
  <c r="C74" i="47" s="1"/>
  <c r="Y16" i="18"/>
  <c r="B74" i="47" s="1"/>
  <c r="R16" i="18"/>
  <c r="J74" i="47" s="1"/>
  <c r="Q16" i="18"/>
  <c r="P16" i="18"/>
  <c r="H16" i="48" s="1"/>
  <c r="O16" i="18"/>
  <c r="N16" i="18"/>
  <c r="M16" i="18"/>
  <c r="L16" i="18"/>
  <c r="K16" i="18"/>
  <c r="J16" i="18"/>
  <c r="I74" i="47" s="1"/>
  <c r="I16" i="18"/>
  <c r="H16" i="18"/>
  <c r="D14" i="48" s="1"/>
  <c r="G16" i="18"/>
  <c r="G74" i="47" s="1"/>
  <c r="F16" i="18"/>
  <c r="F74" i="47" s="1"/>
  <c r="AN15" i="18"/>
  <c r="AM15" i="18"/>
  <c r="AL15" i="18"/>
  <c r="AK15" i="18"/>
  <c r="AJ15" i="18"/>
  <c r="AI15" i="18"/>
  <c r="AH15" i="18"/>
  <c r="AG15" i="18"/>
  <c r="AF15" i="18"/>
  <c r="AE15" i="18"/>
  <c r="AD15" i="18"/>
  <c r="AC15" i="18"/>
  <c r="AB15" i="18"/>
  <c r="AA15" i="18"/>
  <c r="Z15" i="18"/>
  <c r="Y15" i="18"/>
  <c r="R15" i="18"/>
  <c r="Q15" i="18"/>
  <c r="P15" i="18"/>
  <c r="O15" i="18"/>
  <c r="N15" i="18"/>
  <c r="M15" i="18"/>
  <c r="L15" i="18"/>
  <c r="K15" i="18"/>
  <c r="J15" i="18"/>
  <c r="I15" i="18"/>
  <c r="H15" i="18"/>
  <c r="G15" i="18"/>
  <c r="F15" i="18"/>
  <c r="AA18" i="17"/>
  <c r="D16" i="47" s="1"/>
  <c r="AN21" i="17"/>
  <c r="AM21" i="17"/>
  <c r="AL21" i="17"/>
  <c r="AK21" i="17"/>
  <c r="AJ21" i="17"/>
  <c r="AI21" i="17"/>
  <c r="AH21" i="17"/>
  <c r="AG21" i="17"/>
  <c r="AF21" i="17"/>
  <c r="AE21" i="17"/>
  <c r="AD21" i="17"/>
  <c r="AC21" i="17"/>
  <c r="AB21" i="17"/>
  <c r="AA21" i="17"/>
  <c r="Z21" i="17"/>
  <c r="Y21" i="17"/>
  <c r="R21" i="17"/>
  <c r="Q21" i="17"/>
  <c r="P21" i="17"/>
  <c r="O21" i="17"/>
  <c r="N21" i="17"/>
  <c r="M21" i="17"/>
  <c r="L21" i="17"/>
  <c r="K21" i="17"/>
  <c r="J21" i="17"/>
  <c r="I21" i="17"/>
  <c r="H21" i="17"/>
  <c r="G21" i="17"/>
  <c r="F21" i="17"/>
  <c r="AN17" i="17"/>
  <c r="AM17" i="17"/>
  <c r="AL17" i="17"/>
  <c r="AK17" i="17"/>
  <c r="AJ17" i="17"/>
  <c r="AI17" i="17"/>
  <c r="AH17" i="17"/>
  <c r="AG17" i="17"/>
  <c r="AF17" i="17"/>
  <c r="AE17" i="17"/>
  <c r="AD17" i="17"/>
  <c r="AC17" i="17"/>
  <c r="AB17" i="17"/>
  <c r="AA17" i="17"/>
  <c r="Z17" i="17"/>
  <c r="Y17" i="17"/>
  <c r="R17" i="17"/>
  <c r="O17" i="17"/>
  <c r="N17" i="17"/>
  <c r="M17" i="17"/>
  <c r="L17" i="17"/>
  <c r="K17" i="17"/>
  <c r="J17" i="17"/>
  <c r="G17" i="17"/>
  <c r="F17" i="17"/>
  <c r="AN21" i="16"/>
  <c r="AM21" i="16"/>
  <c r="AL21" i="16"/>
  <c r="AK21" i="16"/>
  <c r="AJ21" i="16"/>
  <c r="AI21" i="16"/>
  <c r="AH21" i="16"/>
  <c r="AG21" i="16"/>
  <c r="AF21" i="16"/>
  <c r="AE21" i="16"/>
  <c r="AD21" i="16"/>
  <c r="AC21" i="16"/>
  <c r="AB21" i="16"/>
  <c r="AA21" i="16"/>
  <c r="Z21" i="16"/>
  <c r="Y21" i="16"/>
  <c r="R21" i="16"/>
  <c r="Q21" i="16"/>
  <c r="P21" i="16"/>
  <c r="O21" i="16"/>
  <c r="N21" i="16"/>
  <c r="M21" i="16"/>
  <c r="L21" i="16"/>
  <c r="K21" i="16"/>
  <c r="J21" i="16"/>
  <c r="I21" i="16"/>
  <c r="H21" i="16"/>
  <c r="G21" i="16"/>
  <c r="F21" i="16"/>
  <c r="AN17" i="16"/>
  <c r="AM17" i="16"/>
  <c r="AL17" i="16"/>
  <c r="AK17" i="16"/>
  <c r="AJ17" i="16"/>
  <c r="AI17" i="16"/>
  <c r="AH17" i="16"/>
  <c r="AG17" i="16"/>
  <c r="AF17" i="16"/>
  <c r="AE17" i="16"/>
  <c r="AD17" i="16"/>
  <c r="AC17" i="16"/>
  <c r="AB17" i="16"/>
  <c r="AA17" i="16"/>
  <c r="Z17" i="16"/>
  <c r="Y17" i="16"/>
  <c r="R17" i="16"/>
  <c r="O17" i="16"/>
  <c r="N17" i="16"/>
  <c r="M17" i="16"/>
  <c r="L17" i="16"/>
  <c r="K17" i="16"/>
  <c r="J17" i="16"/>
  <c r="G17" i="16"/>
  <c r="F17" i="16"/>
  <c r="AN16" i="20"/>
  <c r="AM16" i="20"/>
  <c r="AL16" i="20"/>
  <c r="AK16" i="20"/>
  <c r="AJ16" i="20"/>
  <c r="AI16" i="20"/>
  <c r="AH16" i="20"/>
  <c r="AG16" i="20"/>
  <c r="AF16" i="20"/>
  <c r="AE16" i="20"/>
  <c r="AD16" i="20"/>
  <c r="AC16" i="20"/>
  <c r="AB16" i="20"/>
  <c r="AA16" i="20"/>
  <c r="Z16" i="20"/>
  <c r="Y16" i="20"/>
  <c r="R16" i="20"/>
  <c r="O16" i="20"/>
  <c r="N16" i="20"/>
  <c r="M16" i="20"/>
  <c r="L16" i="20"/>
  <c r="K16" i="20"/>
  <c r="J16" i="20"/>
  <c r="G16" i="20"/>
  <c r="F16" i="20"/>
  <c r="AN18" i="13"/>
  <c r="AM18" i="13"/>
  <c r="AL18" i="13"/>
  <c r="AK18" i="13"/>
  <c r="AJ18" i="13"/>
  <c r="AI18" i="13"/>
  <c r="AH18" i="13"/>
  <c r="AG18" i="13"/>
  <c r="AF18" i="13"/>
  <c r="AE18" i="13"/>
  <c r="AD18" i="13"/>
  <c r="AC18" i="13"/>
  <c r="AB18" i="13"/>
  <c r="AA18" i="13"/>
  <c r="Z18" i="13"/>
  <c r="Y18" i="13"/>
  <c r="R18" i="13"/>
  <c r="O18" i="13"/>
  <c r="N18" i="13"/>
  <c r="M18" i="13"/>
  <c r="L18" i="13"/>
  <c r="K18" i="13"/>
  <c r="J18" i="13"/>
  <c r="G18" i="13"/>
  <c r="F18" i="13"/>
  <c r="L74" i="47" l="1"/>
  <c r="AN20" i="11"/>
  <c r="AM20" i="11"/>
  <c r="AL20" i="11"/>
  <c r="AK20" i="11"/>
  <c r="AJ20" i="11"/>
  <c r="AI20" i="11"/>
  <c r="AH20" i="11"/>
  <c r="AG20" i="11"/>
  <c r="AF20" i="11"/>
  <c r="AE20" i="11"/>
  <c r="AD20" i="11"/>
  <c r="AC20" i="11"/>
  <c r="AB20" i="11"/>
  <c r="AA20" i="11"/>
  <c r="Z20" i="11"/>
  <c r="Y20" i="11"/>
  <c r="R20" i="11"/>
  <c r="O20" i="11"/>
  <c r="N20" i="11"/>
  <c r="M20" i="11"/>
  <c r="L20" i="11"/>
  <c r="K20" i="11"/>
  <c r="J20" i="11"/>
  <c r="G20" i="11"/>
  <c r="F20" i="11"/>
  <c r="O31" i="43" l="1"/>
  <c r="P31" i="43" s="1"/>
  <c r="O5" i="43"/>
  <c r="Q5" i="43" s="1"/>
  <c r="AN13" i="49"/>
  <c r="AM13" i="49"/>
  <c r="AL13" i="49"/>
  <c r="AK13" i="49"/>
  <c r="AJ13" i="49"/>
  <c r="AI13" i="49"/>
  <c r="AH13" i="49"/>
  <c r="AG13" i="49"/>
  <c r="AF13" i="49"/>
  <c r="AE13" i="49"/>
  <c r="AD13" i="49"/>
  <c r="AC13" i="49"/>
  <c r="AB13" i="49"/>
  <c r="D6" i="41" s="1"/>
  <c r="AQ6" i="49" s="1"/>
  <c r="AA13" i="49"/>
  <c r="E6" i="41" s="1"/>
  <c r="AQ5" i="49" s="1"/>
  <c r="Z13" i="49"/>
  <c r="C6" i="41" s="1"/>
  <c r="Y13" i="49"/>
  <c r="B6" i="41" s="1"/>
  <c r="AQ3" i="49" s="1"/>
  <c r="R13" i="49"/>
  <c r="Q13" i="49"/>
  <c r="P13" i="49"/>
  <c r="O13" i="49"/>
  <c r="N13" i="49"/>
  <c r="M13" i="49"/>
  <c r="L13" i="49"/>
  <c r="K13" i="49"/>
  <c r="J13" i="49"/>
  <c r="I13" i="49"/>
  <c r="H13" i="49"/>
  <c r="G13" i="49"/>
  <c r="H6" i="41" s="1"/>
  <c r="AQ8" i="49" s="1"/>
  <c r="F13" i="49"/>
  <c r="G6" i="41" s="1"/>
  <c r="AQ7" i="49" s="1"/>
  <c r="AN10" i="49"/>
  <c r="AM10" i="49"/>
  <c r="AL10" i="49"/>
  <c r="AK10" i="49"/>
  <c r="AJ10" i="49"/>
  <c r="AI10" i="49"/>
  <c r="AH10" i="49"/>
  <c r="AG10" i="49"/>
  <c r="AF10" i="49"/>
  <c r="AE10" i="49"/>
  <c r="AD10" i="49"/>
  <c r="AC10" i="49"/>
  <c r="AB10" i="49"/>
  <c r="E76" i="47" s="1"/>
  <c r="AA10" i="49"/>
  <c r="D76" i="47" s="1"/>
  <c r="Z10" i="49"/>
  <c r="C76" i="47" s="1"/>
  <c r="Y10" i="49"/>
  <c r="B76" i="47" s="1"/>
  <c r="R10" i="49"/>
  <c r="J76" i="47" s="1"/>
  <c r="Q10" i="49"/>
  <c r="P10" i="49"/>
  <c r="H21" i="48" s="1"/>
  <c r="O10" i="49"/>
  <c r="N10" i="49"/>
  <c r="M10" i="49"/>
  <c r="L10" i="49"/>
  <c r="K10" i="49"/>
  <c r="J10" i="49"/>
  <c r="I76" i="47" s="1"/>
  <c r="I10" i="49"/>
  <c r="H10" i="49"/>
  <c r="D18" i="48" s="1"/>
  <c r="G10" i="49"/>
  <c r="G76" i="47" s="1"/>
  <c r="F10" i="49"/>
  <c r="F76" i="47" s="1"/>
  <c r="AN9" i="49"/>
  <c r="AM9" i="49"/>
  <c r="AL9" i="49"/>
  <c r="AK9" i="49"/>
  <c r="AJ9" i="49"/>
  <c r="AI9" i="49"/>
  <c r="AH9" i="49"/>
  <c r="AG9" i="49"/>
  <c r="AF9" i="49"/>
  <c r="AE9" i="49"/>
  <c r="AD9" i="49"/>
  <c r="AC9" i="49"/>
  <c r="AB9" i="49"/>
  <c r="AA9" i="49"/>
  <c r="Z9" i="49"/>
  <c r="Y9" i="49"/>
  <c r="R9" i="49"/>
  <c r="L76" i="47" l="1"/>
  <c r="Q31" i="43"/>
  <c r="F6" i="41"/>
  <c r="P5" i="43"/>
  <c r="AQ4" i="49"/>
  <c r="O9" i="49" l="1"/>
  <c r="N9" i="49"/>
  <c r="M9" i="49"/>
  <c r="L9" i="49"/>
  <c r="K9" i="49"/>
  <c r="J9" i="49"/>
  <c r="G9" i="49"/>
  <c r="F9" i="49"/>
  <c r="AM12" i="49"/>
  <c r="AL12" i="49"/>
  <c r="AK12" i="49"/>
  <c r="AJ12" i="49"/>
  <c r="AI12" i="49"/>
  <c r="M12" i="49"/>
  <c r="J12" i="49"/>
  <c r="I12" i="49"/>
  <c r="AG12" i="49"/>
  <c r="AD12" i="49"/>
  <c r="AN19" i="30"/>
  <c r="AM19" i="30"/>
  <c r="AL19" i="30"/>
  <c r="AK19" i="30"/>
  <c r="AJ19" i="30"/>
  <c r="AI19" i="30"/>
  <c r="AH19" i="30"/>
  <c r="AG19" i="30"/>
  <c r="AF19" i="30"/>
  <c r="AE19" i="30"/>
  <c r="AD19" i="30"/>
  <c r="AC19" i="30"/>
  <c r="AB19" i="30"/>
  <c r="AA19" i="30"/>
  <c r="Z19" i="30"/>
  <c r="Y19" i="30"/>
  <c r="R19" i="30"/>
  <c r="Q19" i="30"/>
  <c r="P19" i="30"/>
  <c r="O19" i="30"/>
  <c r="N19" i="30"/>
  <c r="M19" i="30"/>
  <c r="L19" i="30"/>
  <c r="K19" i="30"/>
  <c r="J19" i="30"/>
  <c r="I19" i="30"/>
  <c r="H19" i="30"/>
  <c r="G19" i="30"/>
  <c r="F19" i="30"/>
  <c r="AN18" i="30"/>
  <c r="AM18" i="30"/>
  <c r="AL18" i="30"/>
  <c r="AL20" i="30" s="1"/>
  <c r="AK18" i="30"/>
  <c r="AK20" i="30" s="1"/>
  <c r="AJ18" i="30"/>
  <c r="AJ20" i="30" s="1"/>
  <c r="AI18" i="30"/>
  <c r="AI20" i="30" s="1"/>
  <c r="AH18" i="30"/>
  <c r="AG18" i="30"/>
  <c r="AF18" i="30"/>
  <c r="AE18" i="30"/>
  <c r="AD18" i="30"/>
  <c r="AC18" i="30"/>
  <c r="AB18" i="30"/>
  <c r="E53" i="47" s="1"/>
  <c r="AA18" i="30"/>
  <c r="D53" i="47" s="1"/>
  <c r="Z18" i="30"/>
  <c r="C53" i="47" s="1"/>
  <c r="Y18" i="30"/>
  <c r="B53" i="47" s="1"/>
  <c r="R18" i="30"/>
  <c r="J53" i="47" s="1"/>
  <c r="Q18" i="30"/>
  <c r="P18" i="30"/>
  <c r="H13" i="48" s="1"/>
  <c r="O18" i="30"/>
  <c r="N18" i="30"/>
  <c r="M18" i="30"/>
  <c r="L18" i="30"/>
  <c r="L20" i="30" s="1"/>
  <c r="K53" i="41" s="1"/>
  <c r="K18" i="30"/>
  <c r="K20" i="30" s="1"/>
  <c r="J18" i="30"/>
  <c r="I18" i="30"/>
  <c r="I20" i="30" s="1"/>
  <c r="H18" i="30"/>
  <c r="G18" i="30"/>
  <c r="G53" i="47" s="1"/>
  <c r="F18" i="30"/>
  <c r="F53" i="47" s="1"/>
  <c r="AE12" i="29"/>
  <c r="AC12" i="29"/>
  <c r="H12" i="29"/>
  <c r="G12" i="29"/>
  <c r="H52" i="41" s="1"/>
  <c r="AN12" i="29"/>
  <c r="AM12" i="29"/>
  <c r="AL12" i="29"/>
  <c r="AK12" i="29"/>
  <c r="AJ12" i="29"/>
  <c r="AI12" i="29"/>
  <c r="AF12" i="29"/>
  <c r="AB12" i="29"/>
  <c r="D52" i="41" s="1"/>
  <c r="AA12" i="29"/>
  <c r="E52" i="41" s="1"/>
  <c r="Z12" i="29"/>
  <c r="C52" i="41" s="1"/>
  <c r="Y12" i="29"/>
  <c r="B52" i="41" s="1"/>
  <c r="R12" i="29"/>
  <c r="Q12" i="29"/>
  <c r="P12" i="29"/>
  <c r="O12" i="29"/>
  <c r="N12" i="29"/>
  <c r="M12" i="29"/>
  <c r="L12" i="29"/>
  <c r="K52" i="41" s="1"/>
  <c r="K12" i="29"/>
  <c r="J12" i="29"/>
  <c r="I12" i="29"/>
  <c r="F12" i="29"/>
  <c r="G52" i="41" s="1"/>
  <c r="AN19" i="26"/>
  <c r="AM19" i="26"/>
  <c r="AL19" i="26"/>
  <c r="AK19" i="26"/>
  <c r="AJ19" i="26"/>
  <c r="AI19" i="26"/>
  <c r="AH19" i="26"/>
  <c r="AG19" i="26"/>
  <c r="AF19" i="26"/>
  <c r="AE19" i="26"/>
  <c r="AD19" i="26"/>
  <c r="AD20" i="26" s="1"/>
  <c r="AC19" i="26"/>
  <c r="AB19" i="26"/>
  <c r="AA19" i="26"/>
  <c r="Z19" i="26"/>
  <c r="Y19" i="26"/>
  <c r="R19" i="26"/>
  <c r="Q19" i="26"/>
  <c r="P19" i="26"/>
  <c r="O19" i="26"/>
  <c r="N19" i="26"/>
  <c r="M19" i="26"/>
  <c r="L19" i="26"/>
  <c r="K19" i="26"/>
  <c r="J19" i="26"/>
  <c r="I19" i="26"/>
  <c r="H19" i="26"/>
  <c r="G19" i="26"/>
  <c r="F19" i="26"/>
  <c r="AN18" i="26"/>
  <c r="AN20" i="26" s="1"/>
  <c r="AM18" i="26"/>
  <c r="AL18" i="26"/>
  <c r="AK18" i="26"/>
  <c r="AJ18" i="26"/>
  <c r="AI18" i="26"/>
  <c r="AH18" i="26"/>
  <c r="AG18" i="26"/>
  <c r="AF18" i="26"/>
  <c r="AF20" i="26" s="1"/>
  <c r="AE18" i="26"/>
  <c r="AD18" i="26"/>
  <c r="AC18" i="26"/>
  <c r="AB18" i="26"/>
  <c r="E34" i="47" s="1"/>
  <c r="AA18" i="26"/>
  <c r="D34" i="47" s="1"/>
  <c r="Z18" i="26"/>
  <c r="C34" i="47" s="1"/>
  <c r="Y18" i="26"/>
  <c r="B34" i="47" s="1"/>
  <c r="R18" i="26"/>
  <c r="J34" i="47" s="1"/>
  <c r="Q18" i="26"/>
  <c r="P18" i="26"/>
  <c r="H9" i="48" s="1"/>
  <c r="O18" i="26"/>
  <c r="O20" i="26" s="1"/>
  <c r="N18" i="26"/>
  <c r="N20" i="26" s="1"/>
  <c r="M18" i="26"/>
  <c r="L18" i="26"/>
  <c r="K18" i="26"/>
  <c r="J18" i="26"/>
  <c r="I34" i="47" s="1"/>
  <c r="I18" i="26"/>
  <c r="H18" i="26"/>
  <c r="G18" i="26"/>
  <c r="G34" i="47" s="1"/>
  <c r="F18" i="26"/>
  <c r="AN18" i="25"/>
  <c r="AN20" i="25" s="1"/>
  <c r="AM18" i="25"/>
  <c r="AL18" i="25"/>
  <c r="AK18" i="25"/>
  <c r="AJ18" i="25"/>
  <c r="AJ20" i="25" s="1"/>
  <c r="AI18" i="25"/>
  <c r="AI20" i="25" s="1"/>
  <c r="AH18" i="25"/>
  <c r="AH20" i="25" s="1"/>
  <c r="AG18" i="25"/>
  <c r="AF18" i="25"/>
  <c r="AF20" i="25" s="1"/>
  <c r="AE18" i="25"/>
  <c r="AE20" i="25" s="1"/>
  <c r="AD18" i="25"/>
  <c r="AC18" i="25"/>
  <c r="AB18" i="25"/>
  <c r="E35" i="47" s="1"/>
  <c r="AA18" i="25"/>
  <c r="D35" i="47" s="1"/>
  <c r="Z18" i="25"/>
  <c r="C35" i="47" s="1"/>
  <c r="Y18" i="25"/>
  <c r="B35" i="47" s="1"/>
  <c r="R18" i="25"/>
  <c r="J35" i="47" s="1"/>
  <c r="Q18" i="25"/>
  <c r="P18" i="25"/>
  <c r="O18" i="25"/>
  <c r="O20" i="25" s="1"/>
  <c r="N18" i="25"/>
  <c r="N20" i="25" s="1"/>
  <c r="M18" i="25"/>
  <c r="M20" i="25" s="1"/>
  <c r="L18" i="25"/>
  <c r="K18" i="25"/>
  <c r="K20" i="25" s="1"/>
  <c r="J18" i="25"/>
  <c r="I18" i="25"/>
  <c r="I20" i="25" s="1"/>
  <c r="H18" i="25"/>
  <c r="G18" i="25"/>
  <c r="G35" i="47" s="1"/>
  <c r="F18" i="25"/>
  <c r="AE15" i="24"/>
  <c r="I15" i="24"/>
  <c r="AN13" i="24"/>
  <c r="AN15" i="24" s="1"/>
  <c r="AM13" i="24"/>
  <c r="AL13" i="24"/>
  <c r="AL15" i="24" s="1"/>
  <c r="AK13" i="24"/>
  <c r="AK15" i="24" s="1"/>
  <c r="AJ13" i="24"/>
  <c r="AJ15" i="24" s="1"/>
  <c r="AI13" i="24"/>
  <c r="AI15" i="24" s="1"/>
  <c r="AH13" i="24"/>
  <c r="AH15" i="24" s="1"/>
  <c r="AG13" i="24"/>
  <c r="AG15" i="24" s="1"/>
  <c r="AF13" i="24"/>
  <c r="AF15" i="24" s="1"/>
  <c r="AE13" i="24"/>
  <c r="AD13" i="24"/>
  <c r="AD15" i="24" s="1"/>
  <c r="AC13" i="24"/>
  <c r="AB13" i="24"/>
  <c r="E75" i="47" s="1"/>
  <c r="AA13" i="24"/>
  <c r="Z13" i="24"/>
  <c r="Y13" i="24"/>
  <c r="B75" i="47" s="1"/>
  <c r="R13" i="24"/>
  <c r="J75" i="47" s="1"/>
  <c r="Q13" i="24"/>
  <c r="P13" i="24"/>
  <c r="H8" i="48" s="1"/>
  <c r="O13" i="24"/>
  <c r="N13" i="24"/>
  <c r="N15" i="24" s="1"/>
  <c r="M13" i="24"/>
  <c r="M15" i="24" s="1"/>
  <c r="L13" i="24"/>
  <c r="L15" i="24" s="1"/>
  <c r="K46" i="41" s="1"/>
  <c r="K13" i="24"/>
  <c r="K15" i="24" s="1"/>
  <c r="J13" i="24"/>
  <c r="I75" i="47" s="1"/>
  <c r="I13" i="24"/>
  <c r="H13" i="24"/>
  <c r="H15" i="24" s="1"/>
  <c r="G13" i="24"/>
  <c r="G75" i="47" s="1"/>
  <c r="F13" i="24"/>
  <c r="F75" i="47" s="1"/>
  <c r="Z19" i="23"/>
  <c r="C44" i="41" s="1"/>
  <c r="AT4" i="23" s="1"/>
  <c r="AN17" i="23"/>
  <c r="AN19" i="23" s="1"/>
  <c r="AM17" i="23"/>
  <c r="AM19" i="23" s="1"/>
  <c r="AL17" i="23"/>
  <c r="AL19" i="23" s="1"/>
  <c r="AK17" i="23"/>
  <c r="AJ17" i="23"/>
  <c r="AI17" i="23"/>
  <c r="AI19" i="23" s="1"/>
  <c r="AH17" i="23"/>
  <c r="AG17" i="23"/>
  <c r="AF17" i="23"/>
  <c r="AF19" i="23" s="1"/>
  <c r="AE17" i="23"/>
  <c r="AE19" i="23" s="1"/>
  <c r="AD17" i="23"/>
  <c r="AC17" i="23"/>
  <c r="AB17" i="23"/>
  <c r="E37" i="47" s="1"/>
  <c r="AA17" i="23"/>
  <c r="D37" i="47" s="1"/>
  <c r="Y17" i="23"/>
  <c r="B37" i="47" s="1"/>
  <c r="R17" i="23"/>
  <c r="J37" i="47" s="1"/>
  <c r="Q17" i="23"/>
  <c r="P17" i="23"/>
  <c r="O17" i="23"/>
  <c r="N17" i="23"/>
  <c r="N19" i="23" s="1"/>
  <c r="M17" i="23"/>
  <c r="M19" i="23" s="1"/>
  <c r="L17" i="23"/>
  <c r="L19" i="23" s="1"/>
  <c r="K44" i="41" s="1"/>
  <c r="K17" i="23"/>
  <c r="J17" i="23"/>
  <c r="I37" i="47" s="1"/>
  <c r="I17" i="23"/>
  <c r="I19" i="23" s="1"/>
  <c r="H17" i="23"/>
  <c r="G17" i="23"/>
  <c r="G37" i="47" s="1"/>
  <c r="F17" i="23"/>
  <c r="F19" i="23" s="1"/>
  <c r="AN15" i="44"/>
  <c r="AN17" i="44" s="1"/>
  <c r="AM15" i="44"/>
  <c r="AM17" i="44" s="1"/>
  <c r="AL15" i="44"/>
  <c r="AK15" i="44"/>
  <c r="AJ15" i="44"/>
  <c r="AI15" i="44"/>
  <c r="AH15" i="44"/>
  <c r="AG15" i="44"/>
  <c r="AF15" i="44"/>
  <c r="AF17" i="44" s="1"/>
  <c r="AE15" i="44"/>
  <c r="AE17" i="44" s="1"/>
  <c r="AD15" i="44"/>
  <c r="AD17" i="44" s="1"/>
  <c r="AC15" i="44"/>
  <c r="AC17" i="44" s="1"/>
  <c r="AB15" i="44"/>
  <c r="E56" i="47" s="1"/>
  <c r="AA15" i="44"/>
  <c r="D56" i="47" s="1"/>
  <c r="Z15" i="44"/>
  <c r="C56" i="47" s="1"/>
  <c r="Y15" i="44"/>
  <c r="B56" i="47" s="1"/>
  <c r="R15" i="44"/>
  <c r="J56" i="47" s="1"/>
  <c r="Q15" i="44"/>
  <c r="Q17" i="44" s="1"/>
  <c r="P15" i="44"/>
  <c r="H18" i="48" s="1"/>
  <c r="O15" i="44"/>
  <c r="O17" i="44" s="1"/>
  <c r="N15" i="44"/>
  <c r="N17" i="44" s="1"/>
  <c r="M15" i="44"/>
  <c r="M17" i="44" s="1"/>
  <c r="L15" i="44"/>
  <c r="K15" i="44"/>
  <c r="J15" i="44"/>
  <c r="I15" i="44"/>
  <c r="H15" i="44"/>
  <c r="H17" i="44" s="1"/>
  <c r="G15" i="44"/>
  <c r="G56" i="47" s="1"/>
  <c r="F15" i="44"/>
  <c r="F56" i="47" s="1"/>
  <c r="AN18" i="15"/>
  <c r="AM18" i="15"/>
  <c r="AL18" i="15"/>
  <c r="AK18" i="15"/>
  <c r="AJ18" i="15"/>
  <c r="AI18" i="15"/>
  <c r="AH18" i="15"/>
  <c r="AG18" i="15"/>
  <c r="AF18" i="15"/>
  <c r="AE18" i="15"/>
  <c r="AD18" i="15"/>
  <c r="AC18" i="15"/>
  <c r="AB18" i="15"/>
  <c r="AA18" i="15"/>
  <c r="Z18" i="15"/>
  <c r="Y18" i="15"/>
  <c r="Y19" i="15" s="1"/>
  <c r="B42" i="41" s="1"/>
  <c r="R18" i="15"/>
  <c r="Q18" i="15"/>
  <c r="Q19" i="15" s="1"/>
  <c r="P18" i="15"/>
  <c r="O18" i="15"/>
  <c r="N18" i="15"/>
  <c r="M18" i="15"/>
  <c r="L18" i="15"/>
  <c r="K18" i="15"/>
  <c r="J18" i="15"/>
  <c r="I18" i="15"/>
  <c r="H18" i="15"/>
  <c r="G18" i="15"/>
  <c r="F18" i="15"/>
  <c r="AN17" i="15"/>
  <c r="AM17" i="15"/>
  <c r="AL17" i="15"/>
  <c r="AK17" i="15"/>
  <c r="AJ17" i="15"/>
  <c r="AI17" i="15"/>
  <c r="AH17" i="15"/>
  <c r="AG17" i="15"/>
  <c r="AF17" i="15"/>
  <c r="AE17" i="15"/>
  <c r="AD17" i="15"/>
  <c r="AC17" i="15"/>
  <c r="AB17" i="15"/>
  <c r="E15" i="47" s="1"/>
  <c r="AA17" i="15"/>
  <c r="D15" i="47" s="1"/>
  <c r="Z17" i="15"/>
  <c r="C15" i="47" s="1"/>
  <c r="Y17" i="15"/>
  <c r="B15" i="47" s="1"/>
  <c r="R17" i="15"/>
  <c r="J15" i="47" s="1"/>
  <c r="Q17" i="15"/>
  <c r="P17" i="15"/>
  <c r="H7" i="48" s="1"/>
  <c r="O17" i="15"/>
  <c r="N17" i="15"/>
  <c r="M17" i="15"/>
  <c r="L17" i="15"/>
  <c r="K17" i="15"/>
  <c r="J17" i="15"/>
  <c r="I15" i="47" s="1"/>
  <c r="I17" i="15"/>
  <c r="H17" i="15"/>
  <c r="G17" i="15"/>
  <c r="G15" i="47" s="1"/>
  <c r="F17" i="15"/>
  <c r="F15" i="47" s="1"/>
  <c r="K12" i="35"/>
  <c r="I12" i="35"/>
  <c r="AL12" i="35"/>
  <c r="AK12" i="35"/>
  <c r="AJ12" i="35"/>
  <c r="AI12" i="35"/>
  <c r="AH12" i="35"/>
  <c r="AG12" i="35"/>
  <c r="AC12" i="35"/>
  <c r="AB12" i="35"/>
  <c r="D41" i="41" s="1"/>
  <c r="AA12" i="35"/>
  <c r="E41" i="41" s="1"/>
  <c r="Z12" i="35"/>
  <c r="C41" i="41" s="1"/>
  <c r="Y12" i="35"/>
  <c r="B41" i="41" s="1"/>
  <c r="R12" i="35"/>
  <c r="Q12" i="35"/>
  <c r="P12" i="35"/>
  <c r="O12" i="35"/>
  <c r="N12" i="35"/>
  <c r="L12" i="35"/>
  <c r="K41" i="41" s="1"/>
  <c r="H12" i="35"/>
  <c r="G12" i="35"/>
  <c r="H41" i="41" s="1"/>
  <c r="AN12" i="35"/>
  <c r="AM12" i="35"/>
  <c r="M12" i="35"/>
  <c r="J12" i="35"/>
  <c r="AB18" i="18"/>
  <c r="D40" i="41" s="1"/>
  <c r="AM18" i="18"/>
  <c r="AC18" i="18"/>
  <c r="M18" i="18"/>
  <c r="AA20" i="17"/>
  <c r="E38" i="41" s="1"/>
  <c r="AN18" i="17"/>
  <c r="AM18" i="17"/>
  <c r="AL18" i="17"/>
  <c r="AK18" i="17"/>
  <c r="AJ18" i="17"/>
  <c r="AI18" i="17"/>
  <c r="AH18" i="17"/>
  <c r="AG18" i="17"/>
  <c r="AF18" i="17"/>
  <c r="AE18" i="17"/>
  <c r="AD18" i="17"/>
  <c r="AC18" i="17"/>
  <c r="AB18" i="17"/>
  <c r="E16" i="47" s="1"/>
  <c r="Z18" i="17"/>
  <c r="C16" i="47" s="1"/>
  <c r="Y18" i="17"/>
  <c r="B16" i="47" s="1"/>
  <c r="R18" i="17"/>
  <c r="J16" i="47" s="1"/>
  <c r="Q18" i="17"/>
  <c r="P18" i="17"/>
  <c r="H14" i="48" s="1"/>
  <c r="O18" i="17"/>
  <c r="O20" i="17" s="1"/>
  <c r="N18" i="17"/>
  <c r="M18" i="17"/>
  <c r="L18" i="17"/>
  <c r="K18" i="17"/>
  <c r="J18" i="17"/>
  <c r="I16" i="47" s="1"/>
  <c r="I18" i="17"/>
  <c r="H18" i="17"/>
  <c r="G18" i="17"/>
  <c r="G16" i="47" s="1"/>
  <c r="F18" i="17"/>
  <c r="F16" i="47" s="1"/>
  <c r="AN19" i="16"/>
  <c r="AM19" i="16"/>
  <c r="AL19" i="16"/>
  <c r="AK19" i="16"/>
  <c r="AJ19" i="16"/>
  <c r="AI19" i="16"/>
  <c r="AH19" i="16"/>
  <c r="AG19" i="16"/>
  <c r="AF19" i="16"/>
  <c r="AE19" i="16"/>
  <c r="AD19" i="16"/>
  <c r="AC19" i="16"/>
  <c r="AB19" i="16"/>
  <c r="AA19" i="16"/>
  <c r="Z19" i="16"/>
  <c r="Y19" i="16"/>
  <c r="R19" i="16"/>
  <c r="Q19" i="16"/>
  <c r="P19" i="16"/>
  <c r="O19" i="16"/>
  <c r="N19" i="16"/>
  <c r="M19" i="16"/>
  <c r="L19" i="16"/>
  <c r="K19" i="16"/>
  <c r="J19" i="16"/>
  <c r="I19" i="16"/>
  <c r="H19" i="16"/>
  <c r="G19" i="16"/>
  <c r="F19" i="16"/>
  <c r="AN18" i="16"/>
  <c r="AM18" i="16"/>
  <c r="AL18" i="16"/>
  <c r="AK18" i="16"/>
  <c r="AJ18" i="16"/>
  <c r="AI18" i="16"/>
  <c r="AH18" i="16"/>
  <c r="AG18" i="16"/>
  <c r="AF18" i="16"/>
  <c r="AE18" i="16"/>
  <c r="AD18" i="16"/>
  <c r="AC18" i="16"/>
  <c r="AC20" i="16" s="1"/>
  <c r="AB18" i="16"/>
  <c r="E33" i="47" s="1"/>
  <c r="AA18" i="16"/>
  <c r="Z18" i="16"/>
  <c r="C33" i="47" s="1"/>
  <c r="Y18" i="16"/>
  <c r="B33" i="47" s="1"/>
  <c r="R18" i="16"/>
  <c r="J33" i="47" s="1"/>
  <c r="Q18" i="16"/>
  <c r="P18" i="16"/>
  <c r="H6" i="48" s="1"/>
  <c r="O18" i="16"/>
  <c r="N18" i="16"/>
  <c r="M18" i="16"/>
  <c r="L18" i="16"/>
  <c r="K18" i="16"/>
  <c r="J18" i="16"/>
  <c r="I33" i="47" s="1"/>
  <c r="I18" i="16"/>
  <c r="H18" i="16"/>
  <c r="G18" i="16"/>
  <c r="G33" i="47" s="1"/>
  <c r="F18" i="16"/>
  <c r="F33" i="47" s="1"/>
  <c r="AN17" i="20"/>
  <c r="AM17" i="20"/>
  <c r="AL17" i="20"/>
  <c r="AK17" i="20"/>
  <c r="AJ17" i="20"/>
  <c r="AI17" i="20"/>
  <c r="AH17" i="20"/>
  <c r="AG17" i="20"/>
  <c r="AF17" i="20"/>
  <c r="AE17" i="20"/>
  <c r="AD17" i="20"/>
  <c r="AC17" i="20"/>
  <c r="AC19" i="20" s="1"/>
  <c r="AB17" i="20"/>
  <c r="E57" i="47" s="1"/>
  <c r="AA17" i="20"/>
  <c r="D57" i="47" s="1"/>
  <c r="Z17" i="20"/>
  <c r="C57" i="47" s="1"/>
  <c r="Y17" i="20"/>
  <c r="B57" i="47" s="1"/>
  <c r="R17" i="20"/>
  <c r="Q17" i="20"/>
  <c r="P17" i="20"/>
  <c r="O17" i="20"/>
  <c r="N17" i="20"/>
  <c r="M17" i="20"/>
  <c r="L17" i="20"/>
  <c r="K17" i="20"/>
  <c r="J17" i="20"/>
  <c r="I17" i="20"/>
  <c r="H17" i="20"/>
  <c r="G17" i="20"/>
  <c r="G57" i="47" s="1"/>
  <c r="F17" i="20"/>
  <c r="F57" i="47" s="1"/>
  <c r="AN20" i="13"/>
  <c r="AM20" i="13"/>
  <c r="AL20" i="13"/>
  <c r="AK20" i="13"/>
  <c r="AJ20" i="13"/>
  <c r="AI20" i="13"/>
  <c r="AH20" i="13"/>
  <c r="AG20" i="13"/>
  <c r="AF20" i="13"/>
  <c r="AE20" i="13"/>
  <c r="AD20" i="13"/>
  <c r="AC20" i="13"/>
  <c r="AB20" i="13"/>
  <c r="AA20" i="13"/>
  <c r="Z20" i="13"/>
  <c r="Y20" i="13"/>
  <c r="R20" i="13"/>
  <c r="Q20" i="13"/>
  <c r="P20" i="13"/>
  <c r="O20" i="13"/>
  <c r="N20" i="13"/>
  <c r="M20" i="13"/>
  <c r="L20" i="13"/>
  <c r="K20" i="13"/>
  <c r="J20" i="13"/>
  <c r="I20" i="13"/>
  <c r="H20" i="13"/>
  <c r="G20" i="13"/>
  <c r="F20" i="13"/>
  <c r="AN19" i="13"/>
  <c r="AN21" i="13" s="1"/>
  <c r="AM19" i="13"/>
  <c r="AM21" i="13" s="1"/>
  <c r="AL19" i="13"/>
  <c r="AL21" i="13" s="1"/>
  <c r="AK19" i="13"/>
  <c r="AJ19" i="13"/>
  <c r="AI19" i="13"/>
  <c r="AI21" i="13" s="1"/>
  <c r="AH19" i="13"/>
  <c r="AG19" i="13"/>
  <c r="AF19" i="13"/>
  <c r="AE19" i="13"/>
  <c r="AD19" i="13"/>
  <c r="AC19" i="13"/>
  <c r="AB19" i="13"/>
  <c r="E14" i="47" s="1"/>
  <c r="AA19" i="13"/>
  <c r="D14" i="47" s="1"/>
  <c r="Z19" i="13"/>
  <c r="C14" i="47" s="1"/>
  <c r="Y19" i="13"/>
  <c r="B14" i="47" s="1"/>
  <c r="R19" i="13"/>
  <c r="J14" i="47" s="1"/>
  <c r="Q19" i="13"/>
  <c r="P19" i="13"/>
  <c r="H5" i="48" s="1"/>
  <c r="O19" i="13"/>
  <c r="O21" i="13" s="1"/>
  <c r="N19" i="13"/>
  <c r="N21" i="13" s="1"/>
  <c r="M19" i="13"/>
  <c r="M21" i="13" s="1"/>
  <c r="L19" i="13"/>
  <c r="L21" i="13" s="1"/>
  <c r="K35" i="41" s="1"/>
  <c r="K19" i="13"/>
  <c r="J19" i="13"/>
  <c r="I14" i="47" s="1"/>
  <c r="I19" i="13"/>
  <c r="H19" i="13"/>
  <c r="G19" i="13"/>
  <c r="G14" i="47" s="1"/>
  <c r="F19" i="13"/>
  <c r="F14" i="47" s="1"/>
  <c r="AN16" i="12"/>
  <c r="AM16" i="12"/>
  <c r="AL16" i="12"/>
  <c r="AK16" i="12"/>
  <c r="AJ16" i="12"/>
  <c r="AI16" i="12"/>
  <c r="AH16" i="12"/>
  <c r="AG16" i="12"/>
  <c r="AF16" i="12"/>
  <c r="AE16" i="12"/>
  <c r="AD16" i="12"/>
  <c r="AC16" i="12"/>
  <c r="AB16" i="12"/>
  <c r="AA16" i="12"/>
  <c r="Z16" i="12"/>
  <c r="Y16" i="12"/>
  <c r="R16" i="12"/>
  <c r="Q16" i="12"/>
  <c r="P16" i="12"/>
  <c r="O16" i="12"/>
  <c r="N16" i="12"/>
  <c r="M16" i="12"/>
  <c r="L16" i="12"/>
  <c r="K16" i="12"/>
  <c r="J16" i="12"/>
  <c r="I16" i="12"/>
  <c r="H16" i="12"/>
  <c r="G16" i="12"/>
  <c r="F16" i="12"/>
  <c r="AN15" i="12"/>
  <c r="AN17" i="12" s="1"/>
  <c r="AM15" i="12"/>
  <c r="AM17" i="12" s="1"/>
  <c r="AL15" i="12"/>
  <c r="AL17" i="12" s="1"/>
  <c r="AK15" i="12"/>
  <c r="AK17" i="12" s="1"/>
  <c r="AJ15" i="12"/>
  <c r="AJ17" i="12" s="1"/>
  <c r="AI15" i="12"/>
  <c r="AI17" i="12" s="1"/>
  <c r="AH15" i="12"/>
  <c r="AG15" i="12"/>
  <c r="AF15" i="12"/>
  <c r="AE15" i="12"/>
  <c r="AD15" i="12"/>
  <c r="AC15" i="12"/>
  <c r="AB15" i="12"/>
  <c r="E54" i="47" s="1"/>
  <c r="AA15" i="12"/>
  <c r="D54" i="47" s="1"/>
  <c r="Z15" i="12"/>
  <c r="Y15" i="12"/>
  <c r="B54" i="47" s="1"/>
  <c r="R15" i="12"/>
  <c r="J54" i="47" s="1"/>
  <c r="Q15" i="12"/>
  <c r="P15" i="12"/>
  <c r="H12" i="48" s="1"/>
  <c r="O15" i="12"/>
  <c r="N15" i="12"/>
  <c r="M15" i="12"/>
  <c r="L15" i="12"/>
  <c r="L17" i="12" s="1"/>
  <c r="K34" i="41" s="1"/>
  <c r="K15" i="12"/>
  <c r="J15" i="12"/>
  <c r="I54" i="47" s="1"/>
  <c r="I15" i="12"/>
  <c r="H15" i="12"/>
  <c r="H17" i="12" s="1"/>
  <c r="G15" i="12"/>
  <c r="G54" i="47" s="1"/>
  <c r="F15" i="12"/>
  <c r="F54" i="47" s="1"/>
  <c r="AN22" i="11"/>
  <c r="AM22" i="11"/>
  <c r="AL22" i="11"/>
  <c r="AK22" i="11"/>
  <c r="AJ22" i="11"/>
  <c r="AI22" i="11"/>
  <c r="AH22" i="11"/>
  <c r="AG22" i="11"/>
  <c r="AF22" i="11"/>
  <c r="AE22" i="11"/>
  <c r="AD22" i="11"/>
  <c r="AC22" i="11"/>
  <c r="AB22" i="11"/>
  <c r="AA22" i="11"/>
  <c r="Z22" i="11"/>
  <c r="Y22" i="11"/>
  <c r="R22" i="11"/>
  <c r="R23" i="11" s="1"/>
  <c r="Q22" i="11"/>
  <c r="P22" i="11"/>
  <c r="P23" i="11" s="1"/>
  <c r="O22" i="11"/>
  <c r="N22" i="11"/>
  <c r="M22" i="11"/>
  <c r="L22" i="11"/>
  <c r="K22" i="11"/>
  <c r="J22" i="11"/>
  <c r="I22" i="11"/>
  <c r="H22" i="11"/>
  <c r="G22" i="11"/>
  <c r="F22" i="11"/>
  <c r="AN21" i="11"/>
  <c r="AM21" i="11"/>
  <c r="AL21" i="11"/>
  <c r="AK21" i="11"/>
  <c r="AK23" i="11" s="1"/>
  <c r="AJ21" i="11"/>
  <c r="AI21" i="11"/>
  <c r="AI23" i="11" s="1"/>
  <c r="AH21" i="11"/>
  <c r="AH23" i="11" s="1"/>
  <c r="AG21" i="11"/>
  <c r="AG23" i="11" s="1"/>
  <c r="AF21" i="11"/>
  <c r="AE21" i="11"/>
  <c r="AD21" i="11"/>
  <c r="AC21" i="11"/>
  <c r="AB21" i="11"/>
  <c r="E72" i="47" s="1"/>
  <c r="AA21" i="11"/>
  <c r="D72" i="47" s="1"/>
  <c r="Z21" i="11"/>
  <c r="C72" i="47" s="1"/>
  <c r="Y21" i="11"/>
  <c r="B72" i="47" s="1"/>
  <c r="R21" i="11"/>
  <c r="J72" i="47" s="1"/>
  <c r="Q21" i="11"/>
  <c r="P21" i="11"/>
  <c r="H4" i="48" s="1"/>
  <c r="O21" i="11"/>
  <c r="N21" i="11"/>
  <c r="M21" i="11"/>
  <c r="L21" i="11"/>
  <c r="K21" i="11"/>
  <c r="K23" i="11" s="1"/>
  <c r="J21" i="11"/>
  <c r="I72" i="47" s="1"/>
  <c r="I21" i="11"/>
  <c r="H21" i="11"/>
  <c r="L72" i="47" s="1"/>
  <c r="G21" i="11"/>
  <c r="G72" i="47" s="1"/>
  <c r="F21" i="11"/>
  <c r="F72" i="47" s="1"/>
  <c r="AN16" i="10"/>
  <c r="AN14" i="10"/>
  <c r="AM14" i="10"/>
  <c r="AL14" i="10"/>
  <c r="AK14" i="10"/>
  <c r="AJ14" i="10"/>
  <c r="AI14" i="10"/>
  <c r="AH14" i="10"/>
  <c r="AG14" i="10"/>
  <c r="AF14" i="10"/>
  <c r="AE14" i="10"/>
  <c r="AD14" i="10"/>
  <c r="AC14" i="10"/>
  <c r="AB14" i="10"/>
  <c r="E55" i="47" s="1"/>
  <c r="AA14" i="10"/>
  <c r="D55" i="47" s="1"/>
  <c r="Z14" i="10"/>
  <c r="Z16" i="10" s="1"/>
  <c r="C30" i="41" s="1"/>
  <c r="Y14" i="10"/>
  <c r="R14" i="10"/>
  <c r="J55" i="47" s="1"/>
  <c r="Q14" i="10"/>
  <c r="P14" i="10"/>
  <c r="H10" i="48" s="1"/>
  <c r="O14" i="10"/>
  <c r="N14" i="10"/>
  <c r="M14" i="10"/>
  <c r="L14" i="10"/>
  <c r="K14" i="10"/>
  <c r="J14" i="10"/>
  <c r="I55" i="47" s="1"/>
  <c r="I14" i="10"/>
  <c r="H14" i="10"/>
  <c r="G14" i="10"/>
  <c r="G55" i="47" s="1"/>
  <c r="F14" i="10"/>
  <c r="F55" i="47" s="1"/>
  <c r="AK16" i="10" l="1"/>
  <c r="AM16" i="10"/>
  <c r="N16" i="10"/>
  <c r="L30" i="41" s="1"/>
  <c r="O16" i="10"/>
  <c r="M30" i="41" s="1"/>
  <c r="L16" i="10"/>
  <c r="K30" i="41" s="1"/>
  <c r="Q16" i="10"/>
  <c r="K16" i="10"/>
  <c r="AL16" i="10"/>
  <c r="M16" i="10"/>
  <c r="Y16" i="10"/>
  <c r="B30" i="41" s="1"/>
  <c r="M20" i="26"/>
  <c r="N19" i="15"/>
  <c r="B20" i="43" s="1"/>
  <c r="M19" i="15"/>
  <c r="I23" i="11"/>
  <c r="AL23" i="11"/>
  <c r="AF23" i="11"/>
  <c r="J33" i="41"/>
  <c r="F8" i="48"/>
  <c r="L23" i="11"/>
  <c r="K33" i="41" s="1"/>
  <c r="AN19" i="15"/>
  <c r="AM19" i="15"/>
  <c r="Q20" i="26"/>
  <c r="AM20" i="26"/>
  <c r="AG20" i="26"/>
  <c r="AE20" i="26"/>
  <c r="AC20" i="26"/>
  <c r="AC21" i="13"/>
  <c r="Q21" i="13"/>
  <c r="K17" i="12"/>
  <c r="I17" i="12"/>
  <c r="AN23" i="11"/>
  <c r="AM23" i="11"/>
  <c r="AJ23" i="11"/>
  <c r="AE23" i="11"/>
  <c r="O23" i="11"/>
  <c r="D12" i="43" s="1"/>
  <c r="N23" i="11"/>
  <c r="B12" i="43" s="1"/>
  <c r="M23" i="11"/>
  <c r="O19" i="15"/>
  <c r="AC19" i="15"/>
  <c r="Q20" i="16"/>
  <c r="Q20" i="30"/>
  <c r="O20" i="30"/>
  <c r="N20" i="30"/>
  <c r="M20" i="30"/>
  <c r="AN20" i="30"/>
  <c r="AM20" i="30"/>
  <c r="AA19" i="23"/>
  <c r="E44" i="41" s="1"/>
  <c r="AT5" i="23" s="1"/>
  <c r="Q20" i="25"/>
  <c r="AM20" i="25"/>
  <c r="AC20" i="25"/>
  <c r="O15" i="24"/>
  <c r="Q15" i="24"/>
  <c r="AM15" i="24"/>
  <c r="AC15" i="24"/>
  <c r="G20" i="30"/>
  <c r="H53" i="41" s="1"/>
  <c r="AM20" i="17"/>
  <c r="M20" i="17"/>
  <c r="AN20" i="17"/>
  <c r="N20" i="17"/>
  <c r="Q20" i="17"/>
  <c r="AC20" i="17"/>
  <c r="AD20" i="17"/>
  <c r="P19" i="15"/>
  <c r="AK20" i="25"/>
  <c r="AB16" i="10"/>
  <c r="D30" i="41" s="1"/>
  <c r="Y17" i="44"/>
  <c r="B43" i="41" s="1"/>
  <c r="AT3" i="44" s="1"/>
  <c r="I17" i="44"/>
  <c r="AJ17" i="44"/>
  <c r="AI17" i="44"/>
  <c r="AJ19" i="20"/>
  <c r="AM19" i="20"/>
  <c r="AE19" i="20"/>
  <c r="O19" i="20"/>
  <c r="M36" i="41" s="1"/>
  <c r="N19" i="20"/>
  <c r="Z19" i="20"/>
  <c r="C36" i="41" s="1"/>
  <c r="M19" i="20"/>
  <c r="AN19" i="20"/>
  <c r="Q19" i="20"/>
  <c r="Q19" i="23"/>
  <c r="O19" i="23"/>
  <c r="M44" i="41" s="1"/>
  <c r="K20" i="17"/>
  <c r="AL20" i="17"/>
  <c r="AL19" i="15"/>
  <c r="AE20" i="30"/>
  <c r="AD20" i="30"/>
  <c r="AB20" i="30"/>
  <c r="D53" i="41" s="1"/>
  <c r="AF16" i="10"/>
  <c r="AE16" i="10"/>
  <c r="AD16" i="10"/>
  <c r="AC16" i="10"/>
  <c r="AD20" i="25"/>
  <c r="Q23" i="11"/>
  <c r="J23" i="11"/>
  <c r="B8" i="48" s="1"/>
  <c r="H23" i="11"/>
  <c r="G17" i="44"/>
  <c r="H43" i="41" s="1"/>
  <c r="AT8" i="44" s="1"/>
  <c r="F17" i="44"/>
  <c r="G43" i="41" s="1"/>
  <c r="AT7" i="44" s="1"/>
  <c r="AL17" i="44"/>
  <c r="AH17" i="44"/>
  <c r="AG17" i="44"/>
  <c r="AF19" i="20"/>
  <c r="AD19" i="20"/>
  <c r="AA19" i="20"/>
  <c r="E36" i="41" s="1"/>
  <c r="F19" i="20"/>
  <c r="G36" i="41" s="1"/>
  <c r="R20" i="26"/>
  <c r="F5" i="48" s="1"/>
  <c r="R15" i="24"/>
  <c r="J46" i="41" s="1"/>
  <c r="G15" i="24"/>
  <c r="H46" i="41" s="1"/>
  <c r="AB15" i="24"/>
  <c r="D46" i="41" s="1"/>
  <c r="AG21" i="13"/>
  <c r="AF21" i="13"/>
  <c r="AE21" i="13"/>
  <c r="AD21" i="13"/>
  <c r="AB21" i="13"/>
  <c r="D35" i="41" s="1"/>
  <c r="AJ20" i="17"/>
  <c r="AF20" i="17"/>
  <c r="AE20" i="17"/>
  <c r="Y20" i="17"/>
  <c r="B38" i="41" s="1"/>
  <c r="P20" i="17"/>
  <c r="J20" i="17"/>
  <c r="B11" i="48" s="1"/>
  <c r="I20" i="17"/>
  <c r="H20" i="17"/>
  <c r="G20" i="17"/>
  <c r="H38" i="41" s="1"/>
  <c r="F20" i="17"/>
  <c r="G38" i="41" s="1"/>
  <c r="G23" i="11"/>
  <c r="H33" i="41" s="1"/>
  <c r="F17" i="12"/>
  <c r="G34" i="41" s="1"/>
  <c r="AA17" i="12"/>
  <c r="E34" i="41" s="1"/>
  <c r="AH16" i="10"/>
  <c r="AG16" i="10"/>
  <c r="AA16" i="10"/>
  <c r="E30" i="41" s="1"/>
  <c r="R16" i="10"/>
  <c r="J30" i="41" s="1"/>
  <c r="D8" i="48"/>
  <c r="L55" i="47"/>
  <c r="AD19" i="23"/>
  <c r="AC19" i="23"/>
  <c r="AB19" i="23"/>
  <c r="D44" i="41" s="1"/>
  <c r="AT6" i="23" s="1"/>
  <c r="G20" i="26"/>
  <c r="H48" i="41" s="1"/>
  <c r="AB20" i="26"/>
  <c r="D48" i="41" s="1"/>
  <c r="AA20" i="26"/>
  <c r="E48" i="41" s="1"/>
  <c r="Z20" i="26"/>
  <c r="C48" i="41" s="1"/>
  <c r="Y20" i="26"/>
  <c r="B48" i="41" s="1"/>
  <c r="P20" i="30"/>
  <c r="H20" i="30"/>
  <c r="F20" i="30"/>
  <c r="G53" i="41" s="1"/>
  <c r="R17" i="44"/>
  <c r="P17" i="44"/>
  <c r="M43" i="41"/>
  <c r="D15" i="43"/>
  <c r="L43" i="41"/>
  <c r="B15" i="43"/>
  <c r="L17" i="44"/>
  <c r="K43" i="41" s="1"/>
  <c r="K17" i="44"/>
  <c r="J17" i="44"/>
  <c r="I56" i="47"/>
  <c r="D21" i="48"/>
  <c r="L56" i="47"/>
  <c r="AK17" i="44"/>
  <c r="AB17" i="44"/>
  <c r="D43" i="41" s="1"/>
  <c r="AT6" i="44" s="1"/>
  <c r="AA17" i="44"/>
  <c r="E43" i="41" s="1"/>
  <c r="AT5" i="44" s="1"/>
  <c r="Z17" i="44"/>
  <c r="C43" i="41" s="1"/>
  <c r="AT4" i="44" s="1"/>
  <c r="AC20" i="30"/>
  <c r="P15" i="24"/>
  <c r="M46" i="41"/>
  <c r="D21" i="43"/>
  <c r="L46" i="41"/>
  <c r="B21" i="43"/>
  <c r="J15" i="24"/>
  <c r="D15" i="48"/>
  <c r="L75" i="47"/>
  <c r="F15" i="24"/>
  <c r="G46" i="41" s="1"/>
  <c r="AA15" i="24"/>
  <c r="E46" i="41" s="1"/>
  <c r="D75" i="47"/>
  <c r="Z15" i="24"/>
  <c r="C46" i="41" s="1"/>
  <c r="C75" i="47"/>
  <c r="Y15" i="24"/>
  <c r="B46" i="41" s="1"/>
  <c r="AK19" i="15"/>
  <c r="AJ19" i="15"/>
  <c r="AI19" i="15"/>
  <c r="L19" i="15"/>
  <c r="K42" i="41" s="1"/>
  <c r="K19" i="15"/>
  <c r="J19" i="15"/>
  <c r="I42" i="41" s="1"/>
  <c r="I19" i="15"/>
  <c r="J52" i="41"/>
  <c r="F17" i="48"/>
  <c r="M52" i="41"/>
  <c r="D11" i="43"/>
  <c r="L52" i="41"/>
  <c r="B11" i="43"/>
  <c r="I52" i="41"/>
  <c r="B17" i="48"/>
  <c r="P21" i="13"/>
  <c r="K21" i="13"/>
  <c r="J21" i="13"/>
  <c r="I21" i="13"/>
  <c r="AK21" i="13"/>
  <c r="AJ21" i="13"/>
  <c r="AH21" i="13"/>
  <c r="G17" i="12"/>
  <c r="H34" i="41" s="1"/>
  <c r="AH20" i="30"/>
  <c r="AG20" i="30"/>
  <c r="AF20" i="30"/>
  <c r="AA20" i="30"/>
  <c r="E53" i="41" s="1"/>
  <c r="Z20" i="30"/>
  <c r="C53" i="41" s="1"/>
  <c r="Y20" i="30"/>
  <c r="B53" i="41" s="1"/>
  <c r="R20" i="30"/>
  <c r="M53" i="41"/>
  <c r="D14" i="43"/>
  <c r="L53" i="41"/>
  <c r="B14" i="43"/>
  <c r="J20" i="30"/>
  <c r="I53" i="47"/>
  <c r="L53" i="47"/>
  <c r="D4" i="48"/>
  <c r="R20" i="25"/>
  <c r="P20" i="25"/>
  <c r="H11" i="48"/>
  <c r="M47" i="41"/>
  <c r="D6" i="43"/>
  <c r="L47" i="41"/>
  <c r="B6" i="43"/>
  <c r="L20" i="25"/>
  <c r="K47" i="41" s="1"/>
  <c r="J20" i="25"/>
  <c r="I35" i="47"/>
  <c r="H20" i="25"/>
  <c r="L35" i="47"/>
  <c r="D10" i="48"/>
  <c r="G20" i="25"/>
  <c r="H47" i="41" s="1"/>
  <c r="F20" i="25"/>
  <c r="G47" i="41" s="1"/>
  <c r="F35" i="47"/>
  <c r="AL20" i="25"/>
  <c r="AG20" i="25"/>
  <c r="AB20" i="25"/>
  <c r="D47" i="41" s="1"/>
  <c r="AA20" i="25"/>
  <c r="E47" i="41" s="1"/>
  <c r="Z20" i="25"/>
  <c r="C47" i="41" s="1"/>
  <c r="Y20" i="25"/>
  <c r="B47" i="41" s="1"/>
  <c r="P20" i="26"/>
  <c r="M48" i="41"/>
  <c r="D5" i="43"/>
  <c r="L48" i="41"/>
  <c r="B5" i="43"/>
  <c r="L20" i="26"/>
  <c r="K48" i="41" s="1"/>
  <c r="K20" i="26"/>
  <c r="J20" i="26"/>
  <c r="I20" i="26"/>
  <c r="L34" i="47"/>
  <c r="D9" i="48"/>
  <c r="H20" i="26"/>
  <c r="F20" i="26"/>
  <c r="G48" i="41" s="1"/>
  <c r="F34" i="47"/>
  <c r="AL20" i="26"/>
  <c r="AK20" i="26"/>
  <c r="AJ20" i="26"/>
  <c r="AI20" i="26"/>
  <c r="AH20" i="26"/>
  <c r="B20" i="48"/>
  <c r="I32" i="41"/>
  <c r="AT9" i="49" s="1"/>
  <c r="AD23" i="11"/>
  <c r="AC23" i="11"/>
  <c r="AB23" i="11"/>
  <c r="D33" i="41" s="1"/>
  <c r="AA23" i="11"/>
  <c r="E33" i="41" s="1"/>
  <c r="Z23" i="11"/>
  <c r="C33" i="41" s="1"/>
  <c r="Y23" i="11"/>
  <c r="B33" i="41" s="1"/>
  <c r="D7" i="48"/>
  <c r="F23" i="11"/>
  <c r="G33" i="41" s="1"/>
  <c r="R19" i="20"/>
  <c r="J57" i="47"/>
  <c r="P19" i="20"/>
  <c r="H15" i="48"/>
  <c r="D9" i="43"/>
  <c r="L36" i="41"/>
  <c r="B9" i="43"/>
  <c r="J19" i="20"/>
  <c r="I57" i="47"/>
  <c r="D19" i="48"/>
  <c r="L57" i="47"/>
  <c r="Y19" i="20"/>
  <c r="B36" i="41" s="1"/>
  <c r="AJ16" i="10"/>
  <c r="AI16" i="10"/>
  <c r="C55" i="47"/>
  <c r="B55" i="47"/>
  <c r="F7" i="48"/>
  <c r="P16" i="10"/>
  <c r="D8" i="43"/>
  <c r="J16" i="10"/>
  <c r="I16" i="10"/>
  <c r="H16" i="10"/>
  <c r="G16" i="10"/>
  <c r="H30" i="41" s="1"/>
  <c r="F16" i="10"/>
  <c r="G30" i="41" s="1"/>
  <c r="R19" i="23"/>
  <c r="P19" i="23"/>
  <c r="H20" i="48"/>
  <c r="L44" i="41"/>
  <c r="B19" i="43"/>
  <c r="K19" i="23"/>
  <c r="J19" i="23"/>
  <c r="D22" i="48"/>
  <c r="L37" i="47"/>
  <c r="H19" i="23"/>
  <c r="G19" i="23"/>
  <c r="H44" i="41" s="1"/>
  <c r="AT8" i="23" s="1"/>
  <c r="G44" i="41"/>
  <c r="AT7" i="23" s="1"/>
  <c r="F37" i="47"/>
  <c r="AK19" i="23"/>
  <c r="AJ19" i="23"/>
  <c r="AH19" i="23"/>
  <c r="AG19" i="23"/>
  <c r="Y19" i="23"/>
  <c r="B44" i="41" s="1"/>
  <c r="AT3" i="23" s="1"/>
  <c r="J41" i="41"/>
  <c r="F21" i="48"/>
  <c r="M41" i="41"/>
  <c r="D22" i="43"/>
  <c r="L41" i="41"/>
  <c r="B22" i="43"/>
  <c r="I41" i="41"/>
  <c r="B22" i="48"/>
  <c r="AK20" i="17"/>
  <c r="AI20" i="17"/>
  <c r="AH20" i="17"/>
  <c r="AG20" i="17"/>
  <c r="AB20" i="17"/>
  <c r="D38" i="41" s="1"/>
  <c r="Z20" i="17"/>
  <c r="C38" i="41" s="1"/>
  <c r="R20" i="17"/>
  <c r="M38" i="41"/>
  <c r="D10" i="43"/>
  <c r="L38" i="41"/>
  <c r="B10" i="43"/>
  <c r="L20" i="17"/>
  <c r="K38" i="41" s="1"/>
  <c r="L16" i="47"/>
  <c r="D6" i="48"/>
  <c r="R19" i="15"/>
  <c r="M42" i="41"/>
  <c r="D20" i="43"/>
  <c r="D3" i="48"/>
  <c r="L15" i="47"/>
  <c r="H19" i="15"/>
  <c r="G19" i="15"/>
  <c r="H42" i="41" s="1"/>
  <c r="F19" i="15"/>
  <c r="G42" i="41" s="1"/>
  <c r="AH19" i="15"/>
  <c r="AG19" i="15"/>
  <c r="AF19" i="15"/>
  <c r="AE19" i="15"/>
  <c r="AD19" i="15"/>
  <c r="AB19" i="15"/>
  <c r="D42" i="41" s="1"/>
  <c r="Z19" i="15"/>
  <c r="C42" i="41" s="1"/>
  <c r="AA21" i="13"/>
  <c r="E35" i="41" s="1"/>
  <c r="Z21" i="13"/>
  <c r="C35" i="41" s="1"/>
  <c r="Y21" i="13"/>
  <c r="B35" i="41" s="1"/>
  <c r="R21" i="13"/>
  <c r="M35" i="41"/>
  <c r="D3" i="43"/>
  <c r="L35" i="41"/>
  <c r="B3" i="43"/>
  <c r="I35" i="41"/>
  <c r="B5" i="48"/>
  <c r="L14" i="47"/>
  <c r="D11" i="48"/>
  <c r="H21" i="13"/>
  <c r="G21" i="13"/>
  <c r="H35" i="41" s="1"/>
  <c r="F21" i="13"/>
  <c r="G35" i="41" s="1"/>
  <c r="R20" i="16"/>
  <c r="Y20" i="16"/>
  <c r="B37" i="41" s="1"/>
  <c r="Z20" i="16"/>
  <c r="C37" i="41" s="1"/>
  <c r="P20" i="16"/>
  <c r="K20" i="16"/>
  <c r="AK20" i="16"/>
  <c r="O20" i="16"/>
  <c r="L33" i="47"/>
  <c r="D5" i="48"/>
  <c r="M20" i="16"/>
  <c r="AM20" i="16"/>
  <c r="AD20" i="16"/>
  <c r="N20" i="16"/>
  <c r="AN20" i="16"/>
  <c r="AE20" i="16"/>
  <c r="AA20" i="16"/>
  <c r="E37" i="41" s="1"/>
  <c r="D33" i="47"/>
  <c r="AL20" i="16"/>
  <c r="F20" i="16"/>
  <c r="G37" i="41" s="1"/>
  <c r="AF20" i="16"/>
  <c r="AB20" i="16"/>
  <c r="D37" i="41" s="1"/>
  <c r="G20" i="16"/>
  <c r="H37" i="41" s="1"/>
  <c r="AG20" i="16"/>
  <c r="L20" i="16"/>
  <c r="K37" i="41" s="1"/>
  <c r="H20" i="16"/>
  <c r="AH20" i="16"/>
  <c r="I20" i="16"/>
  <c r="AI20" i="16"/>
  <c r="J20" i="16"/>
  <c r="AJ20" i="16"/>
  <c r="AF17" i="12"/>
  <c r="Q17" i="12"/>
  <c r="M17" i="12"/>
  <c r="P17" i="12"/>
  <c r="AG17" i="12"/>
  <c r="R17" i="12"/>
  <c r="N17" i="12"/>
  <c r="AD17" i="12"/>
  <c r="O17" i="12"/>
  <c r="AE17" i="12"/>
  <c r="AH17" i="12"/>
  <c r="Y17" i="12"/>
  <c r="B34" i="41" s="1"/>
  <c r="D13" i="48"/>
  <c r="L54" i="47"/>
  <c r="J17" i="12"/>
  <c r="AC17" i="12"/>
  <c r="AB17" i="12"/>
  <c r="D34" i="41" s="1"/>
  <c r="Z17" i="12"/>
  <c r="C34" i="41" s="1"/>
  <c r="C54" i="47"/>
  <c r="AH12" i="29"/>
  <c r="AG12" i="29"/>
  <c r="AD12" i="29"/>
  <c r="AE12" i="35"/>
  <c r="AF12" i="35"/>
  <c r="F12" i="35"/>
  <c r="G41" i="41" s="1"/>
  <c r="AD12" i="35"/>
  <c r="N18" i="18"/>
  <c r="AN18" i="18"/>
  <c r="AE18" i="18"/>
  <c r="O18" i="18"/>
  <c r="F18" i="18"/>
  <c r="G40" i="41" s="1"/>
  <c r="AF18" i="18"/>
  <c r="P18" i="18"/>
  <c r="G18" i="18"/>
  <c r="H40" i="41" s="1"/>
  <c r="AG18" i="18"/>
  <c r="Q18" i="18"/>
  <c r="H18" i="18"/>
  <c r="R18" i="18"/>
  <c r="Y18" i="18"/>
  <c r="B40" i="41" s="1"/>
  <c r="AJ18" i="18"/>
  <c r="Z18" i="18"/>
  <c r="C40" i="41" s="1"/>
  <c r="AK18" i="18"/>
  <c r="AA18" i="18"/>
  <c r="E40" i="41" s="1"/>
  <c r="L18" i="18"/>
  <c r="K40" i="41" s="1"/>
  <c r="AL18" i="18"/>
  <c r="I18" i="18"/>
  <c r="J18" i="18"/>
  <c r="K18" i="18"/>
  <c r="AD18" i="18"/>
  <c r="AI18" i="18"/>
  <c r="AH18" i="18"/>
  <c r="AH19" i="20"/>
  <c r="I19" i="20"/>
  <c r="AI19" i="20"/>
  <c r="K19" i="20"/>
  <c r="AK19" i="20"/>
  <c r="AL19" i="20"/>
  <c r="AB19" i="20"/>
  <c r="D36" i="41" s="1"/>
  <c r="L19" i="20"/>
  <c r="K36" i="41" s="1"/>
  <c r="H19" i="20"/>
  <c r="G19" i="20"/>
  <c r="H36" i="41" s="1"/>
  <c r="AG19" i="20"/>
  <c r="K12" i="49"/>
  <c r="L12" i="49"/>
  <c r="K32" i="41" s="1"/>
  <c r="AE12" i="49"/>
  <c r="F12" i="49"/>
  <c r="G32" i="41" s="1"/>
  <c r="AT7" i="49" s="1"/>
  <c r="AF12" i="49"/>
  <c r="G12" i="49"/>
  <c r="H32" i="41" s="1"/>
  <c r="AT8" i="49" s="1"/>
  <c r="H12" i="49"/>
  <c r="AH12" i="49"/>
  <c r="AC12" i="49"/>
  <c r="N12" i="49"/>
  <c r="AN12" i="49"/>
  <c r="O12" i="49"/>
  <c r="P12" i="49"/>
  <c r="Q12" i="49"/>
  <c r="Z12" i="49"/>
  <c r="C32" i="41" s="1"/>
  <c r="AT4" i="49" s="1"/>
  <c r="AB12" i="49"/>
  <c r="D32" i="41" s="1"/>
  <c r="AT6" i="49" s="1"/>
  <c r="R12" i="49"/>
  <c r="Y12" i="49"/>
  <c r="B32" i="41" s="1"/>
  <c r="AT3" i="49" s="1"/>
  <c r="AA12" i="49"/>
  <c r="E32" i="41" s="1"/>
  <c r="AT5" i="49" s="1"/>
  <c r="B8" i="43" l="1"/>
  <c r="L42" i="41"/>
  <c r="M33" i="41"/>
  <c r="L33" i="41"/>
  <c r="D19" i="43"/>
  <c r="I33" i="41"/>
  <c r="J48" i="41"/>
  <c r="I38" i="41"/>
  <c r="B3" i="48"/>
  <c r="F4" i="48"/>
  <c r="F11" i="43"/>
  <c r="J43" i="41"/>
  <c r="F13" i="48"/>
  <c r="I43" i="41"/>
  <c r="AT9" i="44" s="1"/>
  <c r="B18" i="48"/>
  <c r="I46" i="41"/>
  <c r="B16" i="48"/>
  <c r="F12" i="48"/>
  <c r="J34" i="41"/>
  <c r="D18" i="43"/>
  <c r="M34" i="41"/>
  <c r="B18" i="43"/>
  <c r="L34" i="41"/>
  <c r="B14" i="48"/>
  <c r="I34" i="41"/>
  <c r="J53" i="41"/>
  <c r="F10" i="48"/>
  <c r="F14" i="43"/>
  <c r="I53" i="41"/>
  <c r="B9" i="48"/>
  <c r="J47" i="41"/>
  <c r="F11" i="48"/>
  <c r="F6" i="43"/>
  <c r="I47" i="41"/>
  <c r="B7" i="48"/>
  <c r="F5" i="43"/>
  <c r="I48" i="41"/>
  <c r="B6" i="48"/>
  <c r="J32" i="41"/>
  <c r="F20" i="48"/>
  <c r="M32" i="41"/>
  <c r="D17" i="43"/>
  <c r="L32" i="41"/>
  <c r="B17" i="43"/>
  <c r="F15" i="48"/>
  <c r="J40" i="41"/>
  <c r="D13" i="43"/>
  <c r="M40" i="41"/>
  <c r="B13" i="43"/>
  <c r="L40" i="41"/>
  <c r="B13" i="48"/>
  <c r="I40" i="41"/>
  <c r="J36" i="41"/>
  <c r="F14" i="48"/>
  <c r="I36" i="41"/>
  <c r="B19" i="48"/>
  <c r="I30" i="41"/>
  <c r="B15" i="48"/>
  <c r="J44" i="41"/>
  <c r="F22" i="48"/>
  <c r="I44" i="41"/>
  <c r="AT9" i="23" s="1"/>
  <c r="B21" i="48"/>
  <c r="F6" i="48"/>
  <c r="J37" i="41"/>
  <c r="D4" i="43"/>
  <c r="M37" i="41"/>
  <c r="B4" i="43"/>
  <c r="L37" i="41"/>
  <c r="B4" i="48"/>
  <c r="I37" i="41"/>
  <c r="J38" i="41"/>
  <c r="F18" i="48"/>
  <c r="J42" i="41"/>
  <c r="F3" i="48"/>
  <c r="J35" i="41"/>
  <c r="F9" i="48"/>
  <c r="H18" i="9"/>
  <c r="I18" i="9"/>
  <c r="AN18" i="9"/>
  <c r="AM18" i="9"/>
  <c r="AL18" i="9"/>
  <c r="AK18" i="9"/>
  <c r="AJ18" i="9"/>
  <c r="AI18" i="9"/>
  <c r="AH18" i="9"/>
  <c r="AG18" i="9"/>
  <c r="AF18" i="9"/>
  <c r="AE18" i="9"/>
  <c r="AD18" i="9"/>
  <c r="AC18" i="9"/>
  <c r="AB18" i="9"/>
  <c r="AA18" i="9"/>
  <c r="Z18" i="9"/>
  <c r="Y18" i="9"/>
  <c r="R18" i="9"/>
  <c r="Q18" i="9"/>
  <c r="P18" i="9"/>
  <c r="O18" i="9"/>
  <c r="N18" i="9"/>
  <c r="M18" i="9"/>
  <c r="L18" i="9"/>
  <c r="K18" i="9"/>
  <c r="J18" i="9"/>
  <c r="G18" i="9"/>
  <c r="F18" i="9"/>
  <c r="AN17" i="9"/>
  <c r="AM17" i="9"/>
  <c r="AL17" i="9"/>
  <c r="AK17" i="9"/>
  <c r="AJ17" i="9"/>
  <c r="AI17" i="9"/>
  <c r="AH17" i="9"/>
  <c r="AG17" i="9"/>
  <c r="AF17" i="9"/>
  <c r="AE17" i="9"/>
  <c r="AD17" i="9"/>
  <c r="AC17" i="9"/>
  <c r="AB17" i="9"/>
  <c r="E73" i="47" s="1"/>
  <c r="AA17" i="9"/>
  <c r="D73" i="47" s="1"/>
  <c r="Z17" i="9"/>
  <c r="C73" i="47" s="1"/>
  <c r="Y17" i="9"/>
  <c r="B73" i="47" s="1"/>
  <c r="R17" i="9"/>
  <c r="Q17" i="9"/>
  <c r="P17" i="9"/>
  <c r="H3" i="48" s="1"/>
  <c r="H23" i="48" s="1"/>
  <c r="O17" i="9"/>
  <c r="N17" i="9"/>
  <c r="M17" i="9"/>
  <c r="L17" i="9"/>
  <c r="L19" i="9" s="1"/>
  <c r="K29" i="41" s="1"/>
  <c r="K17" i="9"/>
  <c r="J17" i="9"/>
  <c r="I73" i="47" s="1"/>
  <c r="I17" i="9"/>
  <c r="H17" i="9"/>
  <c r="G17" i="9"/>
  <c r="G73" i="47" s="1"/>
  <c r="F17" i="9"/>
  <c r="F73" i="47" s="1"/>
  <c r="AN14" i="12"/>
  <c r="AM14" i="12"/>
  <c r="AL14" i="12"/>
  <c r="AK14" i="12"/>
  <c r="AJ14" i="12"/>
  <c r="AI14" i="12"/>
  <c r="AH14" i="12"/>
  <c r="AG14" i="12"/>
  <c r="AF14" i="12"/>
  <c r="AE14" i="12"/>
  <c r="AD14" i="12"/>
  <c r="AC14" i="12"/>
  <c r="AB14" i="12"/>
  <c r="AA14" i="12"/>
  <c r="Z14" i="12"/>
  <c r="Y14" i="12"/>
  <c r="R14" i="12"/>
  <c r="O14" i="12"/>
  <c r="N14" i="12"/>
  <c r="M14" i="12"/>
  <c r="L14" i="12"/>
  <c r="K14" i="12"/>
  <c r="J14" i="12"/>
  <c r="G14" i="12"/>
  <c r="F14" i="12"/>
  <c r="AN12" i="24"/>
  <c r="AM12" i="24"/>
  <c r="AL12" i="24"/>
  <c r="AK12" i="24"/>
  <c r="AJ12" i="24"/>
  <c r="AI12" i="24"/>
  <c r="AH12" i="24"/>
  <c r="AG12" i="24"/>
  <c r="AF12" i="24"/>
  <c r="AE12" i="24"/>
  <c r="AD12" i="24"/>
  <c r="AC12" i="24"/>
  <c r="AB12" i="24"/>
  <c r="AA12" i="24"/>
  <c r="Z12" i="24"/>
  <c r="Y12" i="24"/>
  <c r="R12" i="24"/>
  <c r="O12" i="24"/>
  <c r="N12" i="24"/>
  <c r="M12" i="24"/>
  <c r="L12" i="24"/>
  <c r="K12" i="24"/>
  <c r="J12" i="24"/>
  <c r="G12" i="24"/>
  <c r="F12" i="24"/>
  <c r="AN11" i="24"/>
  <c r="AM11" i="24"/>
  <c r="AL11" i="24"/>
  <c r="AK11" i="24"/>
  <c r="AJ11" i="24"/>
  <c r="AI11" i="24"/>
  <c r="AH11" i="24"/>
  <c r="AG11" i="24"/>
  <c r="AF11" i="24"/>
  <c r="AE11" i="24"/>
  <c r="AD11" i="24"/>
  <c r="AC11" i="24"/>
  <c r="AB11" i="24"/>
  <c r="AA11" i="24"/>
  <c r="Z11" i="24"/>
  <c r="Y11" i="24"/>
  <c r="R11" i="24"/>
  <c r="O11" i="24"/>
  <c r="N11" i="24"/>
  <c r="M11" i="24"/>
  <c r="L11" i="24"/>
  <c r="K11" i="24"/>
  <c r="J11" i="24"/>
  <c r="G11" i="24"/>
  <c r="F11" i="24"/>
  <c r="AC19" i="9" l="1"/>
  <c r="Q19" i="9"/>
  <c r="N19" i="9"/>
  <c r="L29" i="41" s="1"/>
  <c r="R19" i="9"/>
  <c r="AN19" i="9"/>
  <c r="AM19" i="9"/>
  <c r="AL19" i="9"/>
  <c r="AD19" i="9"/>
  <c r="O19" i="9"/>
  <c r="M29" i="41" s="1"/>
  <c r="M19" i="9"/>
  <c r="AG19" i="9"/>
  <c r="AF19" i="9"/>
  <c r="AE19" i="9"/>
  <c r="F13" i="43"/>
  <c r="B7" i="43"/>
  <c r="F17" i="43"/>
  <c r="AJ19" i="9"/>
  <c r="AI19" i="9"/>
  <c r="Z19" i="9"/>
  <c r="C29" i="41" s="1"/>
  <c r="J29" i="41"/>
  <c r="F16" i="48"/>
  <c r="H19" i="9"/>
  <c r="D12" i="48"/>
  <c r="D23" i="48" s="1"/>
  <c r="J19" i="9"/>
  <c r="I19" i="9"/>
  <c r="AB19" i="9"/>
  <c r="D29" i="41" s="1"/>
  <c r="AA19" i="9"/>
  <c r="E29" i="41" s="1"/>
  <c r="Y19" i="9"/>
  <c r="B29" i="41" s="1"/>
  <c r="J73" i="47"/>
  <c r="L73" i="47"/>
  <c r="G19" i="9"/>
  <c r="H29" i="41" s="1"/>
  <c r="F19" i="9"/>
  <c r="G29" i="41" s="1"/>
  <c r="AH19" i="9"/>
  <c r="P19" i="9"/>
  <c r="K19" i="9"/>
  <c r="AK19" i="9"/>
  <c r="AN15" i="27"/>
  <c r="AM15" i="27"/>
  <c r="AL15" i="27"/>
  <c r="AK15" i="27"/>
  <c r="AJ15" i="27"/>
  <c r="AI15" i="27"/>
  <c r="AH15" i="27"/>
  <c r="AG15" i="27"/>
  <c r="AF15" i="27"/>
  <c r="AE15" i="27"/>
  <c r="AD15" i="27"/>
  <c r="AC15" i="27"/>
  <c r="AB15" i="27"/>
  <c r="D50" i="41" s="1"/>
  <c r="AA15" i="27"/>
  <c r="E50" i="41" s="1"/>
  <c r="Z15" i="27"/>
  <c r="C50" i="41" s="1"/>
  <c r="Y15" i="27"/>
  <c r="B50" i="41" s="1"/>
  <c r="R15" i="27"/>
  <c r="Q15" i="27"/>
  <c r="P15" i="27"/>
  <c r="O15" i="27"/>
  <c r="N15" i="27"/>
  <c r="M15" i="27"/>
  <c r="L15" i="27"/>
  <c r="K50" i="41" s="1"/>
  <c r="K55" i="41" s="1"/>
  <c r="K15" i="27"/>
  <c r="J15" i="27"/>
  <c r="I15" i="27"/>
  <c r="H15" i="27"/>
  <c r="G15" i="27"/>
  <c r="H50" i="41" s="1"/>
  <c r="F15" i="27"/>
  <c r="G50" i="41" s="1"/>
  <c r="D7" i="43" l="1"/>
  <c r="J50" i="41"/>
  <c r="J55" i="41" s="1"/>
  <c r="F19" i="48"/>
  <c r="F23" i="48" s="1"/>
  <c r="M50" i="41"/>
  <c r="M55" i="41" s="1"/>
  <c r="D16" i="43"/>
  <c r="L50" i="41"/>
  <c r="L55" i="41" s="1"/>
  <c r="B16" i="43"/>
  <c r="I50" i="41"/>
  <c r="B12" i="48"/>
  <c r="B10" i="48"/>
  <c r="I29" i="41"/>
  <c r="AN16" i="15"/>
  <c r="AM16" i="15"/>
  <c r="AL16" i="15"/>
  <c r="AK16" i="15"/>
  <c r="AJ16" i="15"/>
  <c r="AI16" i="15"/>
  <c r="AH16" i="15"/>
  <c r="AG16" i="15"/>
  <c r="AF16" i="15"/>
  <c r="AE16" i="15"/>
  <c r="AD16" i="15"/>
  <c r="AC16" i="15"/>
  <c r="AB16" i="15"/>
  <c r="AA16" i="15"/>
  <c r="Z16" i="15"/>
  <c r="Y16" i="15"/>
  <c r="R16" i="15"/>
  <c r="O16" i="15"/>
  <c r="N16" i="15"/>
  <c r="M16" i="15"/>
  <c r="L16" i="15"/>
  <c r="K16" i="15"/>
  <c r="J16" i="15"/>
  <c r="G16" i="15"/>
  <c r="F16" i="15"/>
  <c r="AN15" i="15"/>
  <c r="AM15" i="15"/>
  <c r="AL15" i="15"/>
  <c r="AK15" i="15"/>
  <c r="AJ15" i="15"/>
  <c r="AI15" i="15"/>
  <c r="AH15" i="15"/>
  <c r="AG15" i="15"/>
  <c r="AF15" i="15"/>
  <c r="AE15" i="15"/>
  <c r="AD15" i="15"/>
  <c r="AC15" i="15"/>
  <c r="AB15" i="15"/>
  <c r="G2" i="45" s="1"/>
  <c r="AA15" i="15"/>
  <c r="F2" i="45" s="1"/>
  <c r="Z15" i="15"/>
  <c r="E2" i="45" s="1"/>
  <c r="Y15" i="15"/>
  <c r="D2" i="45" s="1"/>
  <c r="R15" i="15"/>
  <c r="N2" i="45" s="1"/>
  <c r="Q15" i="15"/>
  <c r="P15" i="15"/>
  <c r="O15" i="15"/>
  <c r="N15" i="15"/>
  <c r="M15" i="15"/>
  <c r="L15" i="15"/>
  <c r="K15" i="15"/>
  <c r="J15" i="15"/>
  <c r="M2" i="45" s="1"/>
  <c r="I15" i="15"/>
  <c r="L2" i="45" s="1"/>
  <c r="H15" i="15"/>
  <c r="K2" i="45" s="1"/>
  <c r="G15" i="15"/>
  <c r="I2" i="45" s="1"/>
  <c r="F15" i="15"/>
  <c r="H2" i="45" s="1"/>
  <c r="AL13" i="10"/>
  <c r="AK13" i="10"/>
  <c r="AJ13" i="10"/>
  <c r="AI13" i="10"/>
  <c r="AH13" i="10"/>
  <c r="AG13" i="10"/>
  <c r="AF13" i="10"/>
  <c r="AE13" i="10"/>
  <c r="AD13" i="10"/>
  <c r="AC13" i="10"/>
  <c r="AB13" i="10"/>
  <c r="AA13" i="10"/>
  <c r="Z13" i="10"/>
  <c r="Y13" i="10"/>
  <c r="R13" i="10"/>
  <c r="O13" i="10"/>
  <c r="N13" i="10"/>
  <c r="M13" i="10"/>
  <c r="L13" i="10"/>
  <c r="K13" i="10"/>
  <c r="J13" i="10"/>
  <c r="G13" i="10"/>
  <c r="F13" i="10"/>
  <c r="AN16" i="9"/>
  <c r="AM16" i="9"/>
  <c r="AL16" i="9"/>
  <c r="AK16" i="9"/>
  <c r="AJ16" i="9"/>
  <c r="AI16" i="9"/>
  <c r="AH16" i="9"/>
  <c r="AG16" i="9"/>
  <c r="AF16" i="9"/>
  <c r="AE16" i="9"/>
  <c r="AD16" i="9"/>
  <c r="AC16" i="9"/>
  <c r="AB16" i="9"/>
  <c r="AA16" i="9"/>
  <c r="Z16" i="9"/>
  <c r="Y16" i="9"/>
  <c r="R16" i="9"/>
  <c r="O16" i="9"/>
  <c r="N16" i="9"/>
  <c r="M16" i="9"/>
  <c r="L16" i="9"/>
  <c r="K16" i="9"/>
  <c r="J16" i="9"/>
  <c r="G16" i="9"/>
  <c r="F16" i="9"/>
  <c r="AN15" i="9"/>
  <c r="AM15" i="9"/>
  <c r="AL15" i="9"/>
  <c r="AK15" i="9"/>
  <c r="AJ15" i="9"/>
  <c r="AI15" i="9"/>
  <c r="AH15" i="9"/>
  <c r="AG15" i="9"/>
  <c r="AF15" i="9"/>
  <c r="AE15" i="9"/>
  <c r="AD15" i="9"/>
  <c r="AC15" i="9"/>
  <c r="AB15" i="9"/>
  <c r="G4" i="45" s="1"/>
  <c r="AA15" i="9"/>
  <c r="F4" i="45" s="1"/>
  <c r="Z15" i="9"/>
  <c r="E4" i="45" s="1"/>
  <c r="Y15" i="9"/>
  <c r="D4" i="45" s="1"/>
  <c r="R15" i="9"/>
  <c r="N4" i="45" s="1"/>
  <c r="Q15" i="9"/>
  <c r="P15" i="9"/>
  <c r="O15" i="9"/>
  <c r="N15" i="9"/>
  <c r="M15" i="9"/>
  <c r="L15" i="9"/>
  <c r="K15" i="9"/>
  <c r="J15" i="9"/>
  <c r="M4" i="45" s="1"/>
  <c r="I15" i="9"/>
  <c r="L4" i="45" s="1"/>
  <c r="H15" i="9"/>
  <c r="K4" i="45" s="1"/>
  <c r="G15" i="9"/>
  <c r="I4" i="45" s="1"/>
  <c r="F15" i="9"/>
  <c r="H4" i="45" s="1"/>
  <c r="O97" i="47"/>
  <c r="N97" i="47"/>
  <c r="K76" i="47"/>
  <c r="H76" i="47"/>
  <c r="M76" i="47"/>
  <c r="K75" i="47"/>
  <c r="H75" i="47"/>
  <c r="M75" i="47"/>
  <c r="K73" i="47"/>
  <c r="H73" i="47"/>
  <c r="M73" i="47"/>
  <c r="K74" i="47"/>
  <c r="H74" i="47"/>
  <c r="M74" i="47"/>
  <c r="K72" i="47"/>
  <c r="H72" i="47"/>
  <c r="R105" i="47"/>
  <c r="M72" i="47"/>
  <c r="K56" i="47"/>
  <c r="H56" i="47"/>
  <c r="M56" i="47"/>
  <c r="M57" i="47"/>
  <c r="K57" i="47"/>
  <c r="H57" i="47"/>
  <c r="M54" i="47"/>
  <c r="K55" i="47"/>
  <c r="H55" i="47"/>
  <c r="M55" i="47"/>
  <c r="K53" i="47"/>
  <c r="H53" i="47"/>
  <c r="R104" i="47"/>
  <c r="M53" i="47"/>
  <c r="K37" i="47"/>
  <c r="H37" i="47"/>
  <c r="M37" i="47"/>
  <c r="M36" i="47"/>
  <c r="K36" i="47"/>
  <c r="H36" i="47"/>
  <c r="K35" i="47"/>
  <c r="H35" i="47"/>
  <c r="M35" i="47"/>
  <c r="K33" i="47"/>
  <c r="H33" i="47"/>
  <c r="M33" i="47"/>
  <c r="K34" i="47"/>
  <c r="H34" i="47"/>
  <c r="R103" i="47"/>
  <c r="M34" i="47"/>
  <c r="K18" i="47"/>
  <c r="M17" i="47"/>
  <c r="K17" i="47"/>
  <c r="H17" i="47"/>
  <c r="K16" i="47"/>
  <c r="H16" i="47"/>
  <c r="M16" i="47"/>
  <c r="K14" i="47"/>
  <c r="H14" i="47"/>
  <c r="M14" i="47"/>
  <c r="K15" i="47"/>
  <c r="H15" i="47"/>
  <c r="R102" i="47"/>
  <c r="M15" i="47"/>
  <c r="O6" i="42"/>
  <c r="O5" i="42"/>
  <c r="O4" i="42"/>
  <c r="O3" i="42"/>
  <c r="AN17" i="26"/>
  <c r="AM17" i="26"/>
  <c r="AL17" i="26"/>
  <c r="AK17" i="26"/>
  <c r="AJ17" i="26"/>
  <c r="AI17" i="26"/>
  <c r="AH17" i="26"/>
  <c r="AG17" i="26"/>
  <c r="AF17" i="26"/>
  <c r="AE17" i="26"/>
  <c r="AD17" i="26"/>
  <c r="AC17" i="26"/>
  <c r="AB17" i="26"/>
  <c r="G3" i="45" s="1"/>
  <c r="AA17" i="26"/>
  <c r="F3" i="45" s="1"/>
  <c r="Z17" i="26"/>
  <c r="E3" i="45" s="1"/>
  <c r="Y17" i="26"/>
  <c r="D3" i="45" s="1"/>
  <c r="R17" i="26"/>
  <c r="N3" i="45" s="1"/>
  <c r="Q17" i="26"/>
  <c r="P17" i="26"/>
  <c r="O17" i="26"/>
  <c r="N17" i="26"/>
  <c r="M17" i="26"/>
  <c r="L17" i="26"/>
  <c r="K17" i="26"/>
  <c r="J17" i="26"/>
  <c r="M3" i="45" s="1"/>
  <c r="I17" i="26"/>
  <c r="L3" i="45" s="1"/>
  <c r="H17" i="26"/>
  <c r="K3" i="45" s="1"/>
  <c r="G17" i="26"/>
  <c r="I3" i="45" s="1"/>
  <c r="F17" i="26"/>
  <c r="H3" i="45" s="1"/>
  <c r="AN16" i="26"/>
  <c r="AM16" i="26"/>
  <c r="AL16" i="26"/>
  <c r="AK16" i="26"/>
  <c r="AJ16" i="26"/>
  <c r="AI16" i="26"/>
  <c r="AH16" i="26"/>
  <c r="AG16" i="26"/>
  <c r="AF16" i="26"/>
  <c r="AE16" i="26"/>
  <c r="AD16" i="26"/>
  <c r="AC16" i="26"/>
  <c r="AB16" i="26"/>
  <c r="AA16" i="26"/>
  <c r="Z16" i="26"/>
  <c r="Y16" i="26"/>
  <c r="R16" i="26"/>
  <c r="O16" i="26"/>
  <c r="N16" i="26"/>
  <c r="M16" i="26"/>
  <c r="L16" i="26"/>
  <c r="K16" i="26"/>
  <c r="J16" i="26"/>
  <c r="G16" i="26"/>
  <c r="F16" i="26"/>
  <c r="AN12" i="10"/>
  <c r="AM12" i="10"/>
  <c r="AL12" i="10"/>
  <c r="AK12" i="10"/>
  <c r="AJ12" i="10"/>
  <c r="AI12" i="10"/>
  <c r="AH12" i="10"/>
  <c r="AG12" i="10"/>
  <c r="AF12" i="10"/>
  <c r="AE12" i="10"/>
  <c r="AD12" i="10"/>
  <c r="AC12" i="10"/>
  <c r="AB12" i="10"/>
  <c r="AA12" i="10"/>
  <c r="F5" i="45" s="1"/>
  <c r="Z12" i="10"/>
  <c r="E5" i="45" s="1"/>
  <c r="Y12" i="10"/>
  <c r="D5" i="45" s="1"/>
  <c r="R12" i="10"/>
  <c r="N5" i="45" s="1"/>
  <c r="Q12" i="10"/>
  <c r="P12" i="10"/>
  <c r="O12" i="10"/>
  <c r="N12" i="10"/>
  <c r="M12" i="10"/>
  <c r="L12" i="10"/>
  <c r="K12" i="10"/>
  <c r="J12" i="10"/>
  <c r="M5" i="45" s="1"/>
  <c r="I12" i="10"/>
  <c r="H12" i="10"/>
  <c r="G12" i="10"/>
  <c r="F12" i="10"/>
  <c r="H5" i="45" s="1"/>
  <c r="L5" i="45"/>
  <c r="K5" i="45"/>
  <c r="I5" i="45"/>
  <c r="G5" i="45"/>
  <c r="R4" i="32"/>
  <c r="Q4" i="32"/>
  <c r="D23" i="43" l="1"/>
  <c r="B23" i="48"/>
  <c r="F16" i="43"/>
  <c r="B23" i="43"/>
  <c r="R6" i="42"/>
  <c r="Q6" i="42"/>
  <c r="R106" i="47"/>
  <c r="R107" i="47" s="1"/>
  <c r="K54" i="47"/>
  <c r="H54" i="47"/>
  <c r="M18" i="47"/>
  <c r="H18" i="47"/>
  <c r="P97" i="47"/>
  <c r="M6" i="45"/>
  <c r="O3" i="45"/>
  <c r="N6" i="45"/>
  <c r="O2" i="45"/>
  <c r="H6" i="45"/>
  <c r="O5" i="45"/>
  <c r="O4" i="45"/>
  <c r="J2" i="45"/>
  <c r="J5" i="45"/>
  <c r="J3" i="45"/>
  <c r="I6" i="45"/>
  <c r="J4" i="45"/>
  <c r="Q21" i="32"/>
  <c r="P21" i="32"/>
  <c r="Q17" i="32"/>
  <c r="P17" i="32"/>
  <c r="AN15" i="20"/>
  <c r="AM15" i="20"/>
  <c r="AL15" i="20"/>
  <c r="AK15" i="20"/>
  <c r="AJ15" i="20"/>
  <c r="AI15" i="20"/>
  <c r="AH15" i="20"/>
  <c r="AG15" i="20"/>
  <c r="AF15" i="20"/>
  <c r="AE15" i="20"/>
  <c r="AD15" i="20"/>
  <c r="AC15" i="20"/>
  <c r="AB15" i="20"/>
  <c r="AA15" i="20"/>
  <c r="Z15" i="20"/>
  <c r="Y15" i="20"/>
  <c r="R15" i="20"/>
  <c r="Q15" i="20"/>
  <c r="P15" i="20"/>
  <c r="O15" i="20"/>
  <c r="N15" i="20"/>
  <c r="M15" i="20"/>
  <c r="L15" i="20"/>
  <c r="K15" i="20"/>
  <c r="J15" i="20"/>
  <c r="I15" i="20"/>
  <c r="H15" i="20"/>
  <c r="G15" i="20"/>
  <c r="F15" i="20"/>
  <c r="Q16" i="32" l="1"/>
  <c r="P16" i="32"/>
  <c r="AN18" i="44" l="1"/>
  <c r="AM18" i="44"/>
  <c r="AL18" i="44"/>
  <c r="AK18" i="44"/>
  <c r="AJ18" i="44"/>
  <c r="AI18" i="44"/>
  <c r="AH18" i="44"/>
  <c r="AG18" i="44"/>
  <c r="AF18" i="44"/>
  <c r="AE18" i="44"/>
  <c r="AD18" i="44"/>
  <c r="AC18" i="44"/>
  <c r="AB18" i="44"/>
  <c r="D16" i="41" s="1"/>
  <c r="AQ6" i="44" s="1"/>
  <c r="AA18" i="44"/>
  <c r="E16" i="41" s="1"/>
  <c r="AQ5" i="44" s="1"/>
  <c r="Z18" i="44"/>
  <c r="C16" i="41" s="1"/>
  <c r="AQ4" i="44" s="1"/>
  <c r="Y18" i="44"/>
  <c r="B16" i="41" s="1"/>
  <c r="R18" i="44"/>
  <c r="Q18" i="44"/>
  <c r="P18" i="44"/>
  <c r="O18" i="44"/>
  <c r="N18" i="44"/>
  <c r="M18" i="44"/>
  <c r="L18" i="44"/>
  <c r="K18" i="44"/>
  <c r="J18" i="44"/>
  <c r="I16" i="41" s="1"/>
  <c r="AQ9" i="44" s="1"/>
  <c r="I18" i="44"/>
  <c r="H18" i="44"/>
  <c r="G18" i="44"/>
  <c r="H16" i="41" s="1"/>
  <c r="AQ8" i="44" s="1"/>
  <c r="F18" i="44"/>
  <c r="G16" i="41" s="1"/>
  <c r="AQ7" i="44" s="1"/>
  <c r="AN20" i="23"/>
  <c r="AM20" i="23"/>
  <c r="AL20" i="23"/>
  <c r="AK20" i="23"/>
  <c r="AJ20" i="23"/>
  <c r="AI20" i="23"/>
  <c r="AH20" i="23"/>
  <c r="AG20" i="23"/>
  <c r="AF20" i="23"/>
  <c r="AE20" i="23"/>
  <c r="AD20" i="23"/>
  <c r="AC20" i="23"/>
  <c r="AB20" i="23"/>
  <c r="AA20" i="23"/>
  <c r="Z20" i="23"/>
  <c r="Y20" i="23"/>
  <c r="R20" i="23"/>
  <c r="Q20" i="23"/>
  <c r="P20" i="23"/>
  <c r="O20" i="23"/>
  <c r="N20" i="23"/>
  <c r="M20" i="23"/>
  <c r="L20" i="23"/>
  <c r="K20" i="23"/>
  <c r="J20" i="23"/>
  <c r="I20" i="23"/>
  <c r="H20" i="23"/>
  <c r="G20" i="23"/>
  <c r="F20" i="23"/>
  <c r="AN20" i="20"/>
  <c r="AM20" i="20"/>
  <c r="AL20" i="20"/>
  <c r="AK20" i="20"/>
  <c r="AJ20" i="20"/>
  <c r="AI20" i="20"/>
  <c r="AH20" i="20"/>
  <c r="AG20" i="20"/>
  <c r="AF20" i="20"/>
  <c r="AE20" i="20"/>
  <c r="AD20" i="20"/>
  <c r="AC20" i="20"/>
  <c r="AB20" i="20"/>
  <c r="AA20" i="20"/>
  <c r="Z20" i="20"/>
  <c r="Y20" i="20"/>
  <c r="R20" i="20"/>
  <c r="Q20" i="20"/>
  <c r="P20" i="20"/>
  <c r="O20" i="20"/>
  <c r="N20" i="20"/>
  <c r="M20" i="20"/>
  <c r="L20" i="20"/>
  <c r="K20" i="20"/>
  <c r="J20" i="20"/>
  <c r="I20" i="20"/>
  <c r="H20" i="20"/>
  <c r="G20" i="20"/>
  <c r="F20" i="20"/>
  <c r="F16" i="41" l="1"/>
  <c r="AQ3" i="44"/>
  <c r="D18" i="41"/>
  <c r="C18" i="41"/>
  <c r="B18" i="41"/>
  <c r="I18" i="41"/>
  <c r="H18" i="41"/>
  <c r="G18" i="41"/>
  <c r="D17" i="41"/>
  <c r="C17" i="41"/>
  <c r="B17" i="41"/>
  <c r="AQ3" i="23" s="1"/>
  <c r="I17" i="41"/>
  <c r="AQ9" i="23" s="1"/>
  <c r="H17" i="41"/>
  <c r="AQ8" i="23" s="1"/>
  <c r="G17" i="41"/>
  <c r="AQ7" i="23" s="1"/>
  <c r="I14" i="41"/>
  <c r="H14" i="41"/>
  <c r="G14" i="41"/>
  <c r="D14" i="41"/>
  <c r="C14" i="41"/>
  <c r="B14" i="41"/>
  <c r="AQ4" i="23" l="1"/>
  <c r="AQ6" i="23"/>
  <c r="D11" i="41"/>
  <c r="C11" i="41"/>
  <c r="B11" i="41"/>
  <c r="I11" i="41"/>
  <c r="H11" i="41"/>
  <c r="G11" i="41"/>
  <c r="D12" i="41" l="1"/>
  <c r="C12" i="41"/>
  <c r="B12" i="41"/>
  <c r="I12" i="41"/>
  <c r="H12" i="41"/>
  <c r="G12" i="41"/>
  <c r="N23" i="43" l="1"/>
  <c r="M23" i="43"/>
  <c r="L23" i="43"/>
  <c r="K23" i="43"/>
  <c r="J23" i="43"/>
  <c r="I23" i="43"/>
  <c r="O43" i="43" l="1"/>
  <c r="O42" i="43"/>
  <c r="O41" i="43"/>
  <c r="O40" i="43"/>
  <c r="O39" i="43"/>
  <c r="O38" i="43"/>
  <c r="Q38" i="43" s="1"/>
  <c r="O37" i="43"/>
  <c r="P37" i="43" s="1"/>
  <c r="O36" i="43"/>
  <c r="Q36" i="43" s="1"/>
  <c r="O15" i="43"/>
  <c r="O14" i="43"/>
  <c r="O13" i="43"/>
  <c r="O12" i="43"/>
  <c r="O9" i="43"/>
  <c r="O7" i="43"/>
  <c r="Q7" i="43" s="1"/>
  <c r="O4" i="43"/>
  <c r="O3" i="43"/>
  <c r="P3" i="43" s="1"/>
  <c r="F9" i="43"/>
  <c r="F15" i="43"/>
  <c r="F18" i="43"/>
  <c r="F22" i="43"/>
  <c r="F20" i="43"/>
  <c r="F8" i="43"/>
  <c r="F7" i="43"/>
  <c r="O35" i="43"/>
  <c r="O34" i="43"/>
  <c r="Q34" i="43" s="1"/>
  <c r="O33" i="43"/>
  <c r="O32" i="43"/>
  <c r="O30" i="43"/>
  <c r="Q30" i="43" s="1"/>
  <c r="O29" i="43"/>
  <c r="Q29" i="43" s="1"/>
  <c r="O22" i="43"/>
  <c r="P22" i="43" s="1"/>
  <c r="O16" i="43"/>
  <c r="Q16" i="43" s="1"/>
  <c r="F10" i="43"/>
  <c r="O11" i="43"/>
  <c r="F12" i="43"/>
  <c r="O10" i="43"/>
  <c r="F21" i="43"/>
  <c r="O8" i="43"/>
  <c r="O6" i="43"/>
  <c r="Q6" i="43" s="1"/>
  <c r="F4" i="43"/>
  <c r="F3" i="43"/>
  <c r="AN7" i="14"/>
  <c r="AM7" i="14"/>
  <c r="AL7" i="14"/>
  <c r="AK7" i="14"/>
  <c r="AJ7" i="14"/>
  <c r="AI7" i="14"/>
  <c r="AH7" i="14"/>
  <c r="AG7" i="14"/>
  <c r="AF7" i="14"/>
  <c r="AE7" i="14"/>
  <c r="AD7" i="14"/>
  <c r="AC7" i="14"/>
  <c r="AB7" i="14"/>
  <c r="AA7" i="14"/>
  <c r="Z7" i="14"/>
  <c r="Y7" i="14"/>
  <c r="R7" i="14"/>
  <c r="O7" i="14"/>
  <c r="N7" i="14"/>
  <c r="M7" i="14"/>
  <c r="L7" i="14"/>
  <c r="K7" i="14"/>
  <c r="J7" i="14"/>
  <c r="G7" i="14"/>
  <c r="F7" i="14"/>
  <c r="O16" i="42"/>
  <c r="P16" i="42" s="1"/>
  <c r="Q16" i="42"/>
  <c r="O14" i="42"/>
  <c r="J17" i="42"/>
  <c r="O13" i="42"/>
  <c r="O15" i="42"/>
  <c r="P15" i="42" s="1"/>
  <c r="I17" i="42"/>
  <c r="N17" i="42"/>
  <c r="M17" i="42"/>
  <c r="L17" i="42"/>
  <c r="K17" i="42"/>
  <c r="J7" i="42"/>
  <c r="Q3" i="42"/>
  <c r="I7" i="42"/>
  <c r="P7" i="42"/>
  <c r="N7" i="42"/>
  <c r="M7" i="42"/>
  <c r="L7" i="42"/>
  <c r="K7" i="42"/>
  <c r="B6" i="42"/>
  <c r="F4" i="42"/>
  <c r="F3" i="42"/>
  <c r="F6" i="31"/>
  <c r="E6" i="31"/>
  <c r="D6" i="31"/>
  <c r="D6" i="32"/>
  <c r="F6" i="32" s="1"/>
  <c r="N6" i="31"/>
  <c r="K6" i="31"/>
  <c r="H6" i="31"/>
  <c r="G4" i="31"/>
  <c r="F4" i="31"/>
  <c r="E4" i="31"/>
  <c r="D4" i="31"/>
  <c r="F2" i="42"/>
  <c r="N4" i="31"/>
  <c r="L4" i="31"/>
  <c r="I4" i="31"/>
  <c r="H4" i="31"/>
  <c r="G2" i="31"/>
  <c r="E72" i="41"/>
  <c r="E2" i="31"/>
  <c r="D5" i="42"/>
  <c r="L2" i="31"/>
  <c r="K2" i="31"/>
  <c r="I2" i="31"/>
  <c r="H2" i="31"/>
  <c r="E60" i="41"/>
  <c r="E5" i="31"/>
  <c r="D5" i="31"/>
  <c r="N5" i="31"/>
  <c r="L5" i="31"/>
  <c r="K5" i="31"/>
  <c r="H5" i="31"/>
  <c r="D61" i="41"/>
  <c r="D71" i="41"/>
  <c r="F3" i="31"/>
  <c r="E3" i="31"/>
  <c r="D3" i="31"/>
  <c r="J71" i="41"/>
  <c r="L3" i="31"/>
  <c r="K3" i="31"/>
  <c r="I3" i="31"/>
  <c r="E73" i="41"/>
  <c r="D7" i="31"/>
  <c r="N7" i="31"/>
  <c r="L7" i="31"/>
  <c r="K7" i="31"/>
  <c r="I7" i="31"/>
  <c r="H7" i="31"/>
  <c r="AQ6" i="17"/>
  <c r="E12" i="41"/>
  <c r="AQ5" i="17" s="1"/>
  <c r="O7" i="32"/>
  <c r="O16" i="32"/>
  <c r="O21" i="32"/>
  <c r="O8" i="32"/>
  <c r="O20" i="32"/>
  <c r="O4" i="32"/>
  <c r="E17" i="41"/>
  <c r="AQ5" i="23" s="1"/>
  <c r="AB20" i="15"/>
  <c r="AB8" i="14"/>
  <c r="D5" i="41" s="1"/>
  <c r="AQ6" i="14" s="1"/>
  <c r="G17" i="10"/>
  <c r="D23" i="41"/>
  <c r="AQ6" i="29" s="1"/>
  <c r="E23" i="41"/>
  <c r="AQ5" i="29" s="1"/>
  <c r="C23" i="41"/>
  <c r="B23" i="41"/>
  <c r="AQ3" i="29" s="1"/>
  <c r="H23" i="41"/>
  <c r="AQ8" i="29" s="1"/>
  <c r="D8" i="41"/>
  <c r="AQ6" i="12" s="1"/>
  <c r="E8" i="41"/>
  <c r="AQ5" i="12" s="1"/>
  <c r="C8" i="41"/>
  <c r="AQ4" i="12" s="1"/>
  <c r="B8" i="41"/>
  <c r="G10" i="41"/>
  <c r="AQ7" i="20" s="1"/>
  <c r="Y20" i="15"/>
  <c r="B15" i="41" s="1"/>
  <c r="AQ6" i="16"/>
  <c r="E11" i="41"/>
  <c r="AQ5" i="16" s="1"/>
  <c r="AQ3" i="16"/>
  <c r="AQ9" i="16"/>
  <c r="AQ8" i="16"/>
  <c r="AQ7" i="16"/>
  <c r="AN22" i="13"/>
  <c r="AM22" i="13"/>
  <c r="AL22" i="13"/>
  <c r="AK22" i="13"/>
  <c r="AJ22" i="13"/>
  <c r="AI22" i="13"/>
  <c r="AH22" i="13"/>
  <c r="AG22" i="13"/>
  <c r="AF22" i="13"/>
  <c r="AE22" i="13"/>
  <c r="AD22" i="13"/>
  <c r="AC22" i="13"/>
  <c r="AB22" i="13"/>
  <c r="D9" i="41" s="1"/>
  <c r="AQ6" i="13" s="1"/>
  <c r="AA22" i="13"/>
  <c r="E9" i="41" s="1"/>
  <c r="AQ5" i="13" s="1"/>
  <c r="Z22" i="13"/>
  <c r="C9" i="41" s="1"/>
  <c r="AQ4" i="13" s="1"/>
  <c r="Y22" i="13"/>
  <c r="R22" i="13"/>
  <c r="Q22" i="13"/>
  <c r="P22" i="13"/>
  <c r="O22" i="13"/>
  <c r="N22" i="13"/>
  <c r="M22" i="13"/>
  <c r="L22" i="13"/>
  <c r="K22" i="13"/>
  <c r="J22" i="13"/>
  <c r="I9" i="41" s="1"/>
  <c r="AQ9" i="13" s="1"/>
  <c r="I22" i="13"/>
  <c r="H22" i="13"/>
  <c r="G22" i="13"/>
  <c r="F22" i="13"/>
  <c r="AN8" i="14"/>
  <c r="AM8" i="14"/>
  <c r="AL8" i="14"/>
  <c r="AK8" i="14"/>
  <c r="AJ8" i="14"/>
  <c r="AI8" i="14"/>
  <c r="AH8" i="14"/>
  <c r="AG8" i="14"/>
  <c r="AF8" i="14"/>
  <c r="AE8" i="14"/>
  <c r="AD8" i="14"/>
  <c r="AC8" i="14"/>
  <c r="AA8" i="14"/>
  <c r="E5" i="41" s="1"/>
  <c r="AQ5" i="14" s="1"/>
  <c r="Z8" i="14"/>
  <c r="Y8" i="14"/>
  <c r="R8" i="14"/>
  <c r="Q8" i="14"/>
  <c r="P8" i="14"/>
  <c r="O8" i="14"/>
  <c r="N8" i="14"/>
  <c r="M8" i="14"/>
  <c r="L8" i="14"/>
  <c r="K8" i="14"/>
  <c r="J8" i="14"/>
  <c r="I5" i="41" s="1"/>
  <c r="AQ9" i="14" s="1"/>
  <c r="I8" i="14"/>
  <c r="H8" i="14"/>
  <c r="G8" i="14"/>
  <c r="F8" i="14"/>
  <c r="C22" i="41"/>
  <c r="Q8" i="28"/>
  <c r="P8" i="28"/>
  <c r="I8" i="28"/>
  <c r="H8" i="28"/>
  <c r="AN17" i="10"/>
  <c r="AM17" i="10"/>
  <c r="AL17" i="10"/>
  <c r="AK17" i="10"/>
  <c r="AJ17" i="10"/>
  <c r="AI17" i="10"/>
  <c r="AH17" i="10"/>
  <c r="AG17" i="10"/>
  <c r="AF17" i="10"/>
  <c r="AE17" i="10"/>
  <c r="AD17" i="10"/>
  <c r="AC17" i="10"/>
  <c r="AB17" i="10"/>
  <c r="AA17" i="10"/>
  <c r="E4" i="41" s="1"/>
  <c r="AQ5" i="10" s="1"/>
  <c r="Z17" i="10"/>
  <c r="Y17" i="10"/>
  <c r="B4" i="41" s="1"/>
  <c r="R17" i="10"/>
  <c r="Q17" i="10"/>
  <c r="P17" i="10"/>
  <c r="O17" i="10"/>
  <c r="N17" i="10"/>
  <c r="M17" i="10"/>
  <c r="L17" i="10"/>
  <c r="K17" i="10"/>
  <c r="J17" i="10"/>
  <c r="I17" i="10"/>
  <c r="H17" i="10"/>
  <c r="F17" i="10"/>
  <c r="G4" i="41" s="1"/>
  <c r="AQ7" i="10" s="1"/>
  <c r="AN20" i="15"/>
  <c r="AM20" i="15"/>
  <c r="AL20" i="15"/>
  <c r="AK20" i="15"/>
  <c r="AJ20" i="15"/>
  <c r="AI20" i="15"/>
  <c r="AH20" i="15"/>
  <c r="AG20" i="15"/>
  <c r="AF20" i="15"/>
  <c r="AE20" i="15"/>
  <c r="AD20" i="15"/>
  <c r="AC20" i="15"/>
  <c r="AA20" i="15"/>
  <c r="Z20" i="15"/>
  <c r="C15" i="41" s="1"/>
  <c r="R20" i="15"/>
  <c r="Q20" i="15"/>
  <c r="P20" i="15"/>
  <c r="O20" i="15"/>
  <c r="N20" i="15"/>
  <c r="M20" i="15"/>
  <c r="L20" i="15"/>
  <c r="K20" i="15"/>
  <c r="J20" i="15"/>
  <c r="I20" i="15"/>
  <c r="H20" i="15"/>
  <c r="G20" i="15"/>
  <c r="F20" i="15"/>
  <c r="AN20" i="9"/>
  <c r="AM20" i="9"/>
  <c r="AL20" i="9"/>
  <c r="AK20" i="9"/>
  <c r="AJ20" i="9"/>
  <c r="AI20" i="9"/>
  <c r="AH20" i="9"/>
  <c r="AG20" i="9"/>
  <c r="AF20" i="9"/>
  <c r="AE20" i="9"/>
  <c r="AD20" i="9"/>
  <c r="AC20" i="9"/>
  <c r="AB20" i="9"/>
  <c r="AA20" i="9"/>
  <c r="Z20" i="9"/>
  <c r="Y20" i="9"/>
  <c r="B3" i="41" s="1"/>
  <c r="R20" i="9"/>
  <c r="Q20" i="9"/>
  <c r="P20" i="9"/>
  <c r="O20" i="9"/>
  <c r="N20" i="9"/>
  <c r="M20" i="9"/>
  <c r="L20" i="9"/>
  <c r="K20" i="9"/>
  <c r="J20" i="9"/>
  <c r="I20" i="9"/>
  <c r="H20" i="9"/>
  <c r="G20" i="9"/>
  <c r="F20" i="9"/>
  <c r="AN21" i="26"/>
  <c r="AM21" i="26"/>
  <c r="AL21" i="26"/>
  <c r="AK21" i="26"/>
  <c r="AJ21" i="26"/>
  <c r="AI21" i="26"/>
  <c r="AH21" i="26"/>
  <c r="AG21" i="26"/>
  <c r="AF21" i="26"/>
  <c r="AE21" i="26"/>
  <c r="AD21" i="26"/>
  <c r="AC21" i="26"/>
  <c r="AB21" i="26"/>
  <c r="AA21" i="26"/>
  <c r="E20" i="41" s="1"/>
  <c r="AQ5" i="26" s="1"/>
  <c r="Z21" i="26"/>
  <c r="C20" i="41" s="1"/>
  <c r="AQ4" i="26" s="1"/>
  <c r="Y21" i="26"/>
  <c r="B20" i="41" s="1"/>
  <c r="R21" i="26"/>
  <c r="Q21" i="26"/>
  <c r="P21" i="26"/>
  <c r="O21" i="26"/>
  <c r="N21" i="26"/>
  <c r="M21" i="26"/>
  <c r="L21" i="26"/>
  <c r="K21" i="26"/>
  <c r="J21" i="26"/>
  <c r="I20" i="41" s="1"/>
  <c r="AQ9" i="26" s="1"/>
  <c r="I21" i="26"/>
  <c r="H21" i="26"/>
  <c r="G21" i="26"/>
  <c r="F21" i="26"/>
  <c r="E21" i="41"/>
  <c r="AQ5" i="27" s="1"/>
  <c r="L6" i="31"/>
  <c r="D24" i="41"/>
  <c r="AQ6" i="30" s="1"/>
  <c r="E24" i="41"/>
  <c r="AQ5" i="30" s="1"/>
  <c r="B24" i="41"/>
  <c r="AN17" i="30"/>
  <c r="AM17" i="30"/>
  <c r="AL17" i="30"/>
  <c r="AK17" i="30"/>
  <c r="AJ17" i="30"/>
  <c r="AI17" i="30"/>
  <c r="AH17" i="30"/>
  <c r="AG17" i="30"/>
  <c r="AF17" i="30"/>
  <c r="AE17" i="30"/>
  <c r="AD17" i="30"/>
  <c r="AC17" i="30"/>
  <c r="AB17" i="30"/>
  <c r="AA17" i="30"/>
  <c r="Z17" i="30"/>
  <c r="Y17" i="30"/>
  <c r="R17" i="30"/>
  <c r="O17" i="30"/>
  <c r="N17" i="30"/>
  <c r="M17" i="30"/>
  <c r="L17" i="30"/>
  <c r="K17" i="30"/>
  <c r="J17" i="30"/>
  <c r="G17" i="30"/>
  <c r="F17" i="30"/>
  <c r="O9" i="32"/>
  <c r="R9" i="32" s="1"/>
  <c r="E19" i="41"/>
  <c r="AQ5" i="25" s="1"/>
  <c r="B19" i="41"/>
  <c r="H19" i="41"/>
  <c r="AQ8" i="25" s="1"/>
  <c r="AQ4" i="17"/>
  <c r="AQ3" i="17"/>
  <c r="AQ9" i="17"/>
  <c r="AQ8" i="17"/>
  <c r="AQ7" i="17"/>
  <c r="F4" i="32"/>
  <c r="AT9" i="10"/>
  <c r="AT5" i="30"/>
  <c r="AT6" i="30"/>
  <c r="AT7" i="30"/>
  <c r="AT3" i="29"/>
  <c r="AT7" i="28"/>
  <c r="AT6" i="27"/>
  <c r="AT5" i="27"/>
  <c r="AT4" i="27"/>
  <c r="AT8" i="27"/>
  <c r="AT7" i="27"/>
  <c r="AT9" i="28"/>
  <c r="AT8" i="28"/>
  <c r="AT4" i="28"/>
  <c r="AT9" i="27"/>
  <c r="AT7" i="29"/>
  <c r="AT6" i="29"/>
  <c r="AT4" i="29"/>
  <c r="AT8" i="29"/>
  <c r="AT6" i="26"/>
  <c r="AT4" i="26"/>
  <c r="AT9" i="29"/>
  <c r="AT7" i="25"/>
  <c r="AT6" i="25"/>
  <c r="AT3" i="25"/>
  <c r="AT9" i="25"/>
  <c r="AT4" i="25"/>
  <c r="F54" i="41"/>
  <c r="F49" i="41"/>
  <c r="F43" i="41"/>
  <c r="F39" i="41"/>
  <c r="E18" i="41"/>
  <c r="AQ5" i="24" s="1"/>
  <c r="AQ3" i="24"/>
  <c r="AQ9" i="24"/>
  <c r="AQ8" i="24"/>
  <c r="AQ7" i="24"/>
  <c r="AT5" i="24"/>
  <c r="AT4" i="24"/>
  <c r="AT3" i="24"/>
  <c r="AT9" i="24"/>
  <c r="AT8" i="24"/>
  <c r="F44" i="41"/>
  <c r="AQ6" i="35"/>
  <c r="E14" i="41"/>
  <c r="AQ4" i="35"/>
  <c r="AQ3" i="35"/>
  <c r="AQ9" i="35"/>
  <c r="AQ8" i="35"/>
  <c r="AQ7" i="35"/>
  <c r="AT6" i="15"/>
  <c r="AT7" i="35"/>
  <c r="AT5" i="15"/>
  <c r="AT3" i="35"/>
  <c r="AT6" i="24"/>
  <c r="AT4" i="35"/>
  <c r="AT3" i="15"/>
  <c r="AT9" i="15"/>
  <c r="AT7" i="24"/>
  <c r="AT8" i="15"/>
  <c r="AT9" i="35"/>
  <c r="AT8" i="35"/>
  <c r="AN19" i="18"/>
  <c r="AM19" i="18"/>
  <c r="AL19" i="18"/>
  <c r="AK19" i="18"/>
  <c r="AJ19" i="18"/>
  <c r="AI19" i="18"/>
  <c r="AH19" i="18"/>
  <c r="AG19" i="18"/>
  <c r="AF19" i="18"/>
  <c r="AE19" i="18"/>
  <c r="AD19" i="18"/>
  <c r="AC19" i="18"/>
  <c r="AB19" i="18"/>
  <c r="AA19" i="18"/>
  <c r="E13" i="41" s="1"/>
  <c r="AQ5" i="18" s="1"/>
  <c r="Z19" i="18"/>
  <c r="Y19" i="18"/>
  <c r="B13" i="41" s="1"/>
  <c r="AQ3" i="18" s="1"/>
  <c r="R19" i="18"/>
  <c r="Q19" i="18"/>
  <c r="P19" i="18"/>
  <c r="O19" i="18"/>
  <c r="N19" i="18"/>
  <c r="M19" i="18"/>
  <c r="L19" i="18"/>
  <c r="K19" i="18"/>
  <c r="J19" i="18"/>
  <c r="I19" i="18"/>
  <c r="H19" i="18"/>
  <c r="G19" i="18"/>
  <c r="F19" i="18"/>
  <c r="AQ7" i="18" s="1"/>
  <c r="AT6" i="18"/>
  <c r="AT7" i="18"/>
  <c r="AT6" i="17"/>
  <c r="AT5" i="17"/>
  <c r="AT3" i="17"/>
  <c r="AT9" i="17"/>
  <c r="AT8" i="17"/>
  <c r="AT7" i="17"/>
  <c r="AT5" i="16"/>
  <c r="AT9" i="16"/>
  <c r="AT9" i="18"/>
  <c r="AT6" i="16"/>
  <c r="AT4" i="18"/>
  <c r="AT5" i="20"/>
  <c r="AT3" i="20"/>
  <c r="AT6" i="20"/>
  <c r="AT9" i="20"/>
  <c r="AT4" i="20"/>
  <c r="AT8" i="20"/>
  <c r="AT5" i="13"/>
  <c r="AT7" i="13"/>
  <c r="AT3" i="13"/>
  <c r="AT6" i="12"/>
  <c r="AT5" i="12"/>
  <c r="AT8" i="12"/>
  <c r="AT7" i="12"/>
  <c r="AT3" i="12"/>
  <c r="AT9" i="14"/>
  <c r="AT7" i="10"/>
  <c r="AT6" i="14"/>
  <c r="AT5" i="14"/>
  <c r="AT4" i="14"/>
  <c r="AT6" i="9"/>
  <c r="AT6" i="10"/>
  <c r="AT4" i="10"/>
  <c r="AT8" i="14"/>
  <c r="AT3" i="14"/>
  <c r="AT4" i="9"/>
  <c r="O19" i="32"/>
  <c r="O6" i="32"/>
  <c r="O17" i="32"/>
  <c r="P10" i="32"/>
  <c r="O5" i="32"/>
  <c r="N10" i="32"/>
  <c r="M10" i="32"/>
  <c r="L10" i="32"/>
  <c r="K10" i="32"/>
  <c r="J10" i="32"/>
  <c r="I10" i="32"/>
  <c r="J22" i="32"/>
  <c r="O18" i="32"/>
  <c r="I22" i="32"/>
  <c r="N22" i="32"/>
  <c r="M22" i="32"/>
  <c r="L22" i="32"/>
  <c r="K22" i="32"/>
  <c r="AT7" i="26"/>
  <c r="AT8" i="26"/>
  <c r="AT3" i="26"/>
  <c r="AQ6" i="24"/>
  <c r="AT8" i="18"/>
  <c r="AT3" i="18"/>
  <c r="AT3" i="10"/>
  <c r="AT8" i="10"/>
  <c r="F46" i="41"/>
  <c r="AT3" i="30"/>
  <c r="AT8" i="30"/>
  <c r="AT4" i="16"/>
  <c r="AT4" i="30"/>
  <c r="AT5" i="25"/>
  <c r="N55" i="41"/>
  <c r="AT6" i="13"/>
  <c r="AT8" i="11"/>
  <c r="AT3" i="16"/>
  <c r="AT8" i="16"/>
  <c r="F7" i="32"/>
  <c r="AT8" i="13"/>
  <c r="AT6" i="11"/>
  <c r="AT7" i="11"/>
  <c r="AT4" i="11"/>
  <c r="AT5" i="11"/>
  <c r="AT3" i="11"/>
  <c r="AT9" i="26"/>
  <c r="AT3" i="9"/>
  <c r="F29" i="41"/>
  <c r="AT5" i="9"/>
  <c r="AT8" i="9"/>
  <c r="AT4" i="17"/>
  <c r="F38" i="41"/>
  <c r="AT7" i="16"/>
  <c r="AT7" i="15"/>
  <c r="AT5" i="10"/>
  <c r="AT7" i="14"/>
  <c r="AT9" i="12"/>
  <c r="AT9" i="13"/>
  <c r="F31" i="41"/>
  <c r="F36" i="41"/>
  <c r="AT7" i="20"/>
  <c r="AT5" i="18"/>
  <c r="F40" i="41"/>
  <c r="F45" i="41"/>
  <c r="AT6" i="35"/>
  <c r="AT3" i="27"/>
  <c r="F50" i="41"/>
  <c r="AT3" i="28"/>
  <c r="AT6" i="28"/>
  <c r="AT8" i="25"/>
  <c r="AT9" i="30"/>
  <c r="F53" i="41"/>
  <c r="F47" i="41"/>
  <c r="F37" i="41"/>
  <c r="B55" i="41"/>
  <c r="H55" i="41"/>
  <c r="F33" i="41"/>
  <c r="AT9" i="11"/>
  <c r="AT5" i="29"/>
  <c r="F52" i="41"/>
  <c r="AT4" i="15"/>
  <c r="F42" i="41"/>
  <c r="AT5" i="26"/>
  <c r="F48" i="41"/>
  <c r="E55" i="41"/>
  <c r="F35" i="41"/>
  <c r="AT4" i="13"/>
  <c r="AT5" i="28"/>
  <c r="F51" i="41"/>
  <c r="F34" i="41"/>
  <c r="AT4" i="12"/>
  <c r="D55" i="41"/>
  <c r="AT5" i="35"/>
  <c r="F41" i="41"/>
  <c r="C55" i="41"/>
  <c r="AT7" i="9"/>
  <c r="G55" i="41"/>
  <c r="F30" i="41"/>
  <c r="AT9" i="9"/>
  <c r="I55" i="41"/>
  <c r="AQ4" i="24"/>
  <c r="B9" i="32"/>
  <c r="F8" i="32"/>
  <c r="O7" i="42"/>
  <c r="R3" i="42"/>
  <c r="P10" i="43" l="1"/>
  <c r="Q10" i="43"/>
  <c r="P11" i="43"/>
  <c r="Q11" i="43"/>
  <c r="Q8" i="43"/>
  <c r="P8" i="43"/>
  <c r="Q32" i="43"/>
  <c r="P32" i="43"/>
  <c r="Q39" i="43"/>
  <c r="P39" i="43"/>
  <c r="Q41" i="43"/>
  <c r="P41" i="43"/>
  <c r="Q35" i="43"/>
  <c r="P35" i="43"/>
  <c r="Q43" i="43"/>
  <c r="P43" i="43"/>
  <c r="Q15" i="43"/>
  <c r="P15" i="43"/>
  <c r="Q33" i="43"/>
  <c r="O49" i="43"/>
  <c r="P13" i="42"/>
  <c r="Q13" i="42"/>
  <c r="P29" i="43"/>
  <c r="AQ5" i="35"/>
  <c r="E71" i="41"/>
  <c r="E61" i="41"/>
  <c r="O3" i="31"/>
  <c r="D3" i="32"/>
  <c r="F3" i="32" s="1"/>
  <c r="E63" i="41"/>
  <c r="Q20" i="32"/>
  <c r="P20" i="32"/>
  <c r="R7" i="32"/>
  <c r="Q7" i="32"/>
  <c r="Q8" i="32"/>
  <c r="R8" i="32"/>
  <c r="K4" i="31"/>
  <c r="P4" i="31" s="1"/>
  <c r="O22" i="32"/>
  <c r="P22" i="32" s="1"/>
  <c r="J2" i="31"/>
  <c r="O7" i="31"/>
  <c r="J73" i="41"/>
  <c r="O4" i="31"/>
  <c r="J74" i="41"/>
  <c r="O5" i="31"/>
  <c r="J70" i="41"/>
  <c r="O2" i="31"/>
  <c r="J72" i="41"/>
  <c r="O6" i="31"/>
  <c r="J75" i="41"/>
  <c r="Q22" i="32"/>
  <c r="E75" i="41"/>
  <c r="E64" i="41"/>
  <c r="H4" i="41"/>
  <c r="AQ8" i="10" s="1"/>
  <c r="I4" i="41"/>
  <c r="AQ9" i="10" s="1"/>
  <c r="E62" i="41"/>
  <c r="P6" i="31"/>
  <c r="J4" i="31"/>
  <c r="G3" i="31"/>
  <c r="B75" i="41"/>
  <c r="B65" i="41"/>
  <c r="C75" i="41"/>
  <c r="C65" i="41"/>
  <c r="D75" i="41"/>
  <c r="D65" i="41"/>
  <c r="C24" i="41"/>
  <c r="AQ4" i="30" s="1"/>
  <c r="G24" i="41"/>
  <c r="AQ7" i="30" s="1"/>
  <c r="H24" i="41"/>
  <c r="AQ8" i="30" s="1"/>
  <c r="E65" i="41"/>
  <c r="G75" i="41"/>
  <c r="G65" i="41"/>
  <c r="I24" i="41"/>
  <c r="AQ9" i="30" s="1"/>
  <c r="H75" i="41"/>
  <c r="H65" i="41"/>
  <c r="G6" i="31"/>
  <c r="I6" i="31"/>
  <c r="J6" i="31" s="1"/>
  <c r="I75" i="41"/>
  <c r="I65" i="41"/>
  <c r="I23" i="41"/>
  <c r="AQ9" i="29" s="1"/>
  <c r="G23" i="41"/>
  <c r="AQ7" i="29" s="1"/>
  <c r="E22" i="41"/>
  <c r="AQ5" i="28" s="1"/>
  <c r="D22" i="41"/>
  <c r="AQ6" i="28" s="1"/>
  <c r="G22" i="41"/>
  <c r="AQ7" i="28" s="1"/>
  <c r="H22" i="41"/>
  <c r="AQ8" i="28" s="1"/>
  <c r="I22" i="41"/>
  <c r="AQ9" i="28" s="1"/>
  <c r="B22" i="41"/>
  <c r="I21" i="41"/>
  <c r="AQ9" i="27" s="1"/>
  <c r="D21" i="41"/>
  <c r="AQ6" i="27" s="1"/>
  <c r="H21" i="41"/>
  <c r="AQ8" i="27" s="1"/>
  <c r="B21" i="41"/>
  <c r="AQ3" i="27" s="1"/>
  <c r="C21" i="41"/>
  <c r="AQ4" i="27" s="1"/>
  <c r="G21" i="41"/>
  <c r="AQ7" i="27" s="1"/>
  <c r="D20" i="41"/>
  <c r="AQ6" i="26" s="1"/>
  <c r="G20" i="41"/>
  <c r="AQ7" i="26" s="1"/>
  <c r="H20" i="41"/>
  <c r="AQ8" i="26" s="1"/>
  <c r="B64" i="41"/>
  <c r="B74" i="41"/>
  <c r="C64" i="41"/>
  <c r="C74" i="41"/>
  <c r="C19" i="41"/>
  <c r="AQ4" i="25" s="1"/>
  <c r="D5" i="32"/>
  <c r="F5" i="32" s="1"/>
  <c r="D64" i="41"/>
  <c r="D74" i="41"/>
  <c r="D19" i="41"/>
  <c r="AQ6" i="25" s="1"/>
  <c r="E74" i="41"/>
  <c r="G64" i="41"/>
  <c r="G74" i="41"/>
  <c r="H74" i="41"/>
  <c r="H64" i="41"/>
  <c r="G19" i="41"/>
  <c r="AQ7" i="25" s="1"/>
  <c r="I74" i="41"/>
  <c r="I64" i="41"/>
  <c r="I19" i="41"/>
  <c r="AQ9" i="25" s="1"/>
  <c r="E15" i="41"/>
  <c r="D15" i="41"/>
  <c r="G15" i="41"/>
  <c r="H15" i="41"/>
  <c r="I15" i="41"/>
  <c r="I13" i="41"/>
  <c r="AQ9" i="18" s="1"/>
  <c r="C13" i="41"/>
  <c r="AQ4" i="18" s="1"/>
  <c r="D13" i="41"/>
  <c r="AQ6" i="18" s="1"/>
  <c r="H13" i="41"/>
  <c r="AQ8" i="18" s="1"/>
  <c r="C63" i="41"/>
  <c r="C73" i="41"/>
  <c r="G63" i="41"/>
  <c r="G73" i="41"/>
  <c r="D63" i="41"/>
  <c r="D73" i="41"/>
  <c r="J7" i="31"/>
  <c r="H63" i="41"/>
  <c r="H73" i="41"/>
  <c r="E7" i="31"/>
  <c r="I63" i="41"/>
  <c r="I73" i="41"/>
  <c r="F7" i="31"/>
  <c r="G7" i="31"/>
  <c r="B63" i="41"/>
  <c r="B73" i="41"/>
  <c r="I62" i="41"/>
  <c r="I72" i="41"/>
  <c r="B62" i="41"/>
  <c r="B72" i="41"/>
  <c r="D72" i="41"/>
  <c r="D62" i="41"/>
  <c r="F2" i="31"/>
  <c r="P2" i="31" s="1"/>
  <c r="G72" i="41"/>
  <c r="G62" i="41"/>
  <c r="N2" i="31"/>
  <c r="D2" i="31"/>
  <c r="C72" i="41"/>
  <c r="C62" i="41"/>
  <c r="H72" i="41"/>
  <c r="H62" i="41"/>
  <c r="C10" i="41"/>
  <c r="AQ4" i="20" s="1"/>
  <c r="D10" i="41"/>
  <c r="AQ6" i="20" s="1"/>
  <c r="B10" i="41"/>
  <c r="AQ3" i="20" s="1"/>
  <c r="H10" i="41"/>
  <c r="AQ8" i="20" s="1"/>
  <c r="I10" i="41"/>
  <c r="AQ9" i="20" s="1"/>
  <c r="E10" i="41"/>
  <c r="AQ5" i="20" s="1"/>
  <c r="P3" i="31"/>
  <c r="G71" i="41"/>
  <c r="G61" i="41"/>
  <c r="H71" i="41"/>
  <c r="H61" i="41"/>
  <c r="H3" i="31"/>
  <c r="J3" i="31" s="1"/>
  <c r="I71" i="41"/>
  <c r="I61" i="41"/>
  <c r="B9" i="41"/>
  <c r="AQ3" i="13" s="1"/>
  <c r="G9" i="41"/>
  <c r="AQ7" i="13" s="1"/>
  <c r="B71" i="41"/>
  <c r="B61" i="41"/>
  <c r="H9" i="41"/>
  <c r="AQ8" i="13" s="1"/>
  <c r="C71" i="41"/>
  <c r="C61" i="41"/>
  <c r="N3" i="31"/>
  <c r="G8" i="41"/>
  <c r="AQ7" i="12" s="1"/>
  <c r="H8" i="41"/>
  <c r="AQ8" i="12" s="1"/>
  <c r="I8" i="41"/>
  <c r="AQ9" i="12" s="1"/>
  <c r="D7" i="41"/>
  <c r="AQ6" i="11" s="1"/>
  <c r="G60" i="41"/>
  <c r="G70" i="41"/>
  <c r="H60" i="41"/>
  <c r="H70" i="41"/>
  <c r="I60" i="41"/>
  <c r="I70" i="41"/>
  <c r="F5" i="31"/>
  <c r="P5" i="31" s="1"/>
  <c r="E70" i="41"/>
  <c r="C60" i="41"/>
  <c r="C70" i="41"/>
  <c r="B7" i="41"/>
  <c r="D60" i="41"/>
  <c r="D70" i="41"/>
  <c r="E7" i="41"/>
  <c r="AQ5" i="11" s="1"/>
  <c r="C7" i="41"/>
  <c r="AQ4" i="11" s="1"/>
  <c r="G5" i="31"/>
  <c r="I7" i="41"/>
  <c r="AQ9" i="11" s="1"/>
  <c r="I5" i="31"/>
  <c r="J5" i="31" s="1"/>
  <c r="H7" i="41"/>
  <c r="AQ8" i="11" s="1"/>
  <c r="G7" i="41"/>
  <c r="AQ7" i="11" s="1"/>
  <c r="B60" i="41"/>
  <c r="B70" i="41"/>
  <c r="G5" i="41"/>
  <c r="AQ7" i="14" s="1"/>
  <c r="H5" i="41"/>
  <c r="AQ8" i="14" s="1"/>
  <c r="C5" i="41"/>
  <c r="B5" i="41"/>
  <c r="AQ3" i="14" s="1"/>
  <c r="C4" i="41"/>
  <c r="AQ4" i="10" s="1"/>
  <c r="D4" i="41"/>
  <c r="AQ6" i="10" s="1"/>
  <c r="I3" i="41"/>
  <c r="AQ9" i="9" s="1"/>
  <c r="C3" i="41"/>
  <c r="E3" i="41"/>
  <c r="AQ5" i="9" s="1"/>
  <c r="D3" i="41"/>
  <c r="AQ6" i="9" s="1"/>
  <c r="G3" i="41"/>
  <c r="AQ7" i="9" s="1"/>
  <c r="H3" i="41"/>
  <c r="AQ8" i="9" s="1"/>
  <c r="Q12" i="43"/>
  <c r="P12" i="43"/>
  <c r="Q14" i="43"/>
  <c r="P14" i="43"/>
  <c r="P13" i="43"/>
  <c r="Q13" i="43"/>
  <c r="Q9" i="43"/>
  <c r="P9" i="43"/>
  <c r="P30" i="43"/>
  <c r="D6" i="42"/>
  <c r="F5" i="42"/>
  <c r="R4" i="42"/>
  <c r="Q4" i="42"/>
  <c r="Q15" i="42"/>
  <c r="O17" i="42"/>
  <c r="P17" i="42" s="1"/>
  <c r="Q7" i="42"/>
  <c r="R7" i="42"/>
  <c r="O10" i="32"/>
  <c r="R10" i="32" s="1"/>
  <c r="Q9" i="32"/>
  <c r="R5" i="32"/>
  <c r="Q5" i="32"/>
  <c r="Q19" i="32"/>
  <c r="P19" i="32"/>
  <c r="Q18" i="32"/>
  <c r="P18" i="32"/>
  <c r="P16" i="43"/>
  <c r="Q22" i="43"/>
  <c r="F19" i="43"/>
  <c r="Q3" i="43"/>
  <c r="F12" i="41"/>
  <c r="P34" i="43"/>
  <c r="P38" i="43"/>
  <c r="P6" i="43"/>
  <c r="Q37" i="43"/>
  <c r="P7" i="43"/>
  <c r="F14" i="41"/>
  <c r="AQ3" i="9"/>
  <c r="AQ3" i="10"/>
  <c r="P36" i="43"/>
  <c r="F20" i="41"/>
  <c r="AQ3" i="26"/>
  <c r="AQ4" i="16"/>
  <c r="F11" i="41"/>
  <c r="AQ3" i="30"/>
  <c r="F18" i="41"/>
  <c r="P33" i="43"/>
  <c r="O23" i="43"/>
  <c r="F8" i="41"/>
  <c r="AQ3" i="12"/>
  <c r="AQ3" i="25"/>
  <c r="AQ4" i="29"/>
  <c r="F23" i="41"/>
  <c r="F17" i="41"/>
  <c r="AQ4" i="28"/>
  <c r="AQ9" i="15" l="1"/>
  <c r="AQ7" i="15"/>
  <c r="AQ4" i="15"/>
  <c r="AQ6" i="15"/>
  <c r="AQ5" i="15"/>
  <c r="AQ8" i="15"/>
  <c r="F15" i="41"/>
  <c r="F22" i="41"/>
  <c r="F4" i="41"/>
  <c r="F10" i="41"/>
  <c r="F64" i="41"/>
  <c r="Q10" i="32"/>
  <c r="O8" i="31"/>
  <c r="N8" i="31"/>
  <c r="F61" i="41"/>
  <c r="F19" i="41"/>
  <c r="F75" i="41"/>
  <c r="F3" i="41"/>
  <c r="F5" i="41"/>
  <c r="F63" i="41"/>
  <c r="D9" i="32"/>
  <c r="F9" i="41"/>
  <c r="F73" i="41"/>
  <c r="I8" i="31"/>
  <c r="F65" i="41"/>
  <c r="F24" i="41"/>
  <c r="F13" i="41"/>
  <c r="F7" i="41"/>
  <c r="F71" i="41"/>
  <c r="H8" i="31"/>
  <c r="AQ3" i="28"/>
  <c r="F74" i="41"/>
  <c r="AQ3" i="15"/>
  <c r="P7" i="31"/>
  <c r="F62" i="41"/>
  <c r="F72" i="41"/>
  <c r="AQ3" i="11"/>
  <c r="F60" i="41"/>
  <c r="F70" i="41"/>
  <c r="AQ4" i="14"/>
  <c r="AQ4" i="9"/>
  <c r="Q17" i="42"/>
  <c r="P49" i="43"/>
  <c r="Q49" i="43"/>
  <c r="Q23" i="43"/>
  <c r="P23" i="43"/>
</calcChain>
</file>

<file path=xl/sharedStrings.xml><?xml version="1.0" encoding="utf-8"?>
<sst xmlns="http://schemas.openxmlformats.org/spreadsheetml/2006/main" count="7063" uniqueCount="1050">
  <si>
    <t>PL</t>
  </si>
  <si>
    <t>W</t>
  </si>
  <si>
    <t>D</t>
  </si>
  <si>
    <t>L</t>
  </si>
  <si>
    <t>F</t>
  </si>
  <si>
    <t>A</t>
  </si>
  <si>
    <t>Scores</t>
  </si>
  <si>
    <t>Cards</t>
  </si>
  <si>
    <t>Att</t>
  </si>
  <si>
    <t>HT</t>
  </si>
  <si>
    <t>Referee</t>
  </si>
  <si>
    <t>TMO</t>
  </si>
  <si>
    <t>T</t>
  </si>
  <si>
    <t>C</t>
  </si>
  <si>
    <t>P</t>
  </si>
  <si>
    <t>Y</t>
  </si>
  <si>
    <t>R</t>
  </si>
  <si>
    <t>Opponents</t>
  </si>
  <si>
    <t>Cmp</t>
  </si>
  <si>
    <t>Date</t>
  </si>
  <si>
    <t>OVERALL</t>
  </si>
  <si>
    <t>TB</t>
  </si>
  <si>
    <t>LB</t>
  </si>
  <si>
    <t>Bonus</t>
  </si>
  <si>
    <t>Result</t>
  </si>
  <si>
    <t>Conceded</t>
  </si>
  <si>
    <t>AR1</t>
  </si>
  <si>
    <t>AR2</t>
  </si>
  <si>
    <t>© Hillsport Media Ltd</t>
  </si>
  <si>
    <t>Australia</t>
  </si>
  <si>
    <t>England</t>
  </si>
  <si>
    <t>Fiji</t>
  </si>
  <si>
    <t>Wales</t>
  </si>
  <si>
    <t>Italy</t>
  </si>
  <si>
    <t>France</t>
  </si>
  <si>
    <t>Scotland</t>
  </si>
  <si>
    <t>Japan</t>
  </si>
  <si>
    <t>Argentina</t>
  </si>
  <si>
    <t>Georgia</t>
  </si>
  <si>
    <t>Ireland</t>
  </si>
  <si>
    <t>Canada</t>
  </si>
  <si>
    <t>Gd</t>
  </si>
  <si>
    <t>Away</t>
  </si>
  <si>
    <t>Neutral Ground</t>
  </si>
  <si>
    <t>Home</t>
  </si>
  <si>
    <t>INT</t>
  </si>
  <si>
    <t>6N</t>
  </si>
  <si>
    <t>Pos</t>
  </si>
  <si>
    <t>Chg</t>
  </si>
  <si>
    <t>DIFF</t>
  </si>
  <si>
    <t>PTS</t>
  </si>
  <si>
    <t>→</t>
  </si>
  <si>
    <t>TF</t>
  </si>
  <si>
    <t>TA</t>
  </si>
  <si>
    <t>Yellows</t>
  </si>
  <si>
    <t>Reds</t>
  </si>
  <si>
    <t>Pts</t>
  </si>
  <si>
    <t>TOTALS</t>
  </si>
  <si>
    <t xml:space="preserve"> </t>
  </si>
  <si>
    <t>Teams ordered on unofficial “points” ratio of “2” for a Red, “1” for a Yellow</t>
  </si>
  <si>
    <t>USA</t>
  </si>
  <si>
    <t>HOME</t>
  </si>
  <si>
    <t>AWAY</t>
  </si>
  <si>
    <t>NEUTRAL</t>
  </si>
  <si>
    <t>GSB</t>
  </si>
  <si>
    <t>TB = Try Bonus Points; LB = Losing Bonus Points; GSB = Grand Slam Bonus Points</t>
  </si>
  <si>
    <t>BT Murrayfield</t>
  </si>
  <si>
    <t>Twickenham</t>
  </si>
  <si>
    <t>Stadio Olimpico</t>
  </si>
  <si>
    <t>Principality Stadium</t>
  </si>
  <si>
    <t>Stade de France</t>
  </si>
  <si>
    <t xml:space="preserve">BT Murrayfield </t>
  </si>
  <si>
    <t>Aviva Stadium</t>
  </si>
  <si>
    <t> 10</t>
  </si>
  <si>
    <t> 9</t>
  </si>
  <si>
    <t> 27</t>
  </si>
  <si>
    <t> 23</t>
  </si>
  <si>
    <t> 40</t>
  </si>
  <si>
    <t>19 </t>
  </si>
  <si>
    <t>10 </t>
  </si>
  <si>
    <t>20 </t>
  </si>
  <si>
    <t>36 </t>
  </si>
  <si>
    <t>21 </t>
  </si>
  <si>
    <t>58 </t>
  </si>
  <si>
    <t>15 </t>
  </si>
  <si>
    <t>25 </t>
  </si>
  <si>
    <t>29 </t>
  </si>
  <si>
    <t>18 </t>
  </si>
  <si>
    <t> 67</t>
  </si>
  <si>
    <t>14 </t>
  </si>
  <si>
    <t> 35</t>
  </si>
  <si>
    <t>Millennium Stadium</t>
  </si>
  <si>
    <t>Points Scored</t>
  </si>
  <si>
    <t>Minutes S/handed</t>
  </si>
  <si>
    <t>Opponent</t>
  </si>
  <si>
    <t>Ave per 10 mins</t>
  </si>
  <si>
    <t>14 men</t>
  </si>
  <si>
    <t>13 men</t>
  </si>
  <si>
    <t>12 men</t>
  </si>
  <si>
    <t>11 men</t>
  </si>
  <si>
    <t>Total</t>
  </si>
  <si>
    <t>Also S/H</t>
  </si>
  <si>
    <t>15 v 14</t>
  </si>
  <si>
    <t>15 v 13</t>
  </si>
  <si>
    <t>Russia</t>
  </si>
  <si>
    <t>Uruguay</t>
  </si>
  <si>
    <t>na</t>
  </si>
  <si>
    <t>ALL TESTS</t>
  </si>
  <si>
    <t>SIX NATIONS</t>
  </si>
  <si>
    <t>RUGBY EUROPE</t>
  </si>
  <si>
    <t>Orange Velodrome</t>
  </si>
  <si>
    <t>Car</t>
  </si>
  <si>
    <t>Prs</t>
  </si>
  <si>
    <t>Rm</t>
  </si>
  <si>
    <t>Dbl</t>
  </si>
  <si>
    <t>Tw</t>
  </si>
  <si>
    <t>Mfl</t>
  </si>
  <si>
    <t>N Zealand</t>
  </si>
  <si>
    <t>Tonga</t>
  </si>
  <si>
    <t>Samoa</t>
  </si>
  <si>
    <t>GMT</t>
  </si>
  <si>
    <t>Namibia</t>
  </si>
  <si>
    <t>Romania</t>
  </si>
  <si>
    <t>Spain</t>
  </si>
  <si>
    <t>Portugal</t>
  </si>
  <si>
    <t>South Africa</t>
  </si>
  <si>
    <t>New Zealand</t>
  </si>
  <si>
    <t>Akl</t>
  </si>
  <si>
    <t>WORLD CUP</t>
  </si>
  <si>
    <t>Tries Scored</t>
  </si>
  <si>
    <t>Played</t>
  </si>
  <si>
    <t>Won</t>
  </si>
  <si>
    <t>Lost</t>
  </si>
  <si>
    <t>%</t>
  </si>
  <si>
    <t>Pts For</t>
  </si>
  <si>
    <t>Pts Aga</t>
  </si>
  <si>
    <t>Tries For</t>
  </si>
  <si>
    <t>Drawn</t>
  </si>
  <si>
    <t>Pts Scored</t>
  </si>
  <si>
    <t>Pts Conceded</t>
  </si>
  <si>
    <t>ARGENTINA</t>
  </si>
  <si>
    <t>AUSTRALIA</t>
  </si>
  <si>
    <t>CANADA</t>
  </si>
  <si>
    <t>ENGLAND</t>
  </si>
  <si>
    <t>FIJI</t>
  </si>
  <si>
    <t>FRANCE</t>
  </si>
  <si>
    <t>GEORGIA</t>
  </si>
  <si>
    <t>IRELAND</t>
  </si>
  <si>
    <t>ITALY</t>
  </si>
  <si>
    <t>JAPAN</t>
  </si>
  <si>
    <t>NAMIBIA</t>
  </si>
  <si>
    <t>N ZEALAND</t>
  </si>
  <si>
    <t>SAMOA</t>
  </si>
  <si>
    <t>Ivory Coast</t>
  </si>
  <si>
    <t>Zimbabwe</t>
  </si>
  <si>
    <t>Tournaments</t>
  </si>
  <si>
    <t>United States</t>
  </si>
  <si>
    <t>SCOTLAND</t>
  </si>
  <si>
    <t>S AFRICA</t>
  </si>
  <si>
    <t>TONGA</t>
  </si>
  <si>
    <t>URUGUAY</t>
  </si>
  <si>
    <t>WALES</t>
  </si>
  <si>
    <t>BPs</t>
  </si>
  <si>
    <t xml:space="preserve">Penalty Tries: </t>
  </si>
  <si>
    <t>Car = Principality Stadium, Cardiff; Dbl = Aviva Stadium, Dublin</t>
  </si>
  <si>
    <t>SIX NATIONS CHAMPIONSHIP (2000-)</t>
  </si>
  <si>
    <t>INTERNATIONALS</t>
  </si>
  <si>
    <t>Parc y Scarlets</t>
  </si>
  <si>
    <t>:</t>
  </si>
  <si>
    <t xml:space="preserve">    HT</t>
  </si>
  <si>
    <t>S Africa</t>
  </si>
  <si>
    <t>ALL TESTS (Does not include results, points &amp; tries awarded for cancelled matches)</t>
  </si>
  <si>
    <t>WORLD CUP  (Does not include results, points &amp; tries awarded for cancelled matches)</t>
  </si>
  <si>
    <t>Tie-breakers:</t>
  </si>
  <si>
    <t>Points Difference</t>
  </si>
  <si>
    <t>If still cannot split, placed equally</t>
  </si>
  <si>
    <t>Dn</t>
  </si>
  <si>
    <t>Does not include Cancelled Tests</t>
  </si>
  <si>
    <t>PW</t>
  </si>
  <si>
    <t>RUGBY CHAMPS</t>
  </si>
  <si>
    <t>Rm = Stadio Olimpico, Rome; Prs = Stade de France, Paris</t>
  </si>
  <si>
    <t>Ams = National Rugby Centre Stadium, Amsterdam</t>
  </si>
  <si>
    <t>Penalty Tries:</t>
  </si>
  <si>
    <t>Rm = Stadio Olimpico, Rome; Dbl = Aviva Stadium, Dublin</t>
  </si>
  <si>
    <t>Six Nations</t>
  </si>
  <si>
    <t>10+ Points scored with fewer than 15 men:</t>
  </si>
  <si>
    <r>
      <t xml:space="preserve">POWERPLAYS </t>
    </r>
    <r>
      <rPr>
        <b/>
        <sz val="11"/>
        <color rgb="FFFF0000"/>
        <rFont val="Calibri"/>
        <family val="2"/>
        <scheme val="minor"/>
      </rPr>
      <t xml:space="preserve">(periods when teams are playing </t>
    </r>
    <r>
      <rPr>
        <b/>
        <u/>
        <sz val="11"/>
        <color rgb="FFFF0000"/>
        <rFont val="Calibri"/>
        <family val="2"/>
        <scheme val="minor"/>
      </rPr>
      <t>against short-handed opposition only</t>
    </r>
    <r>
      <rPr>
        <b/>
        <sz val="11"/>
        <color rgb="FFFF0000"/>
        <rFont val="Calibri"/>
        <family val="2"/>
        <scheme val="minor"/>
      </rPr>
      <t>)</t>
    </r>
  </si>
  <si>
    <t xml:space="preserve">RUGBY EUROPE </t>
  </si>
  <si>
    <t>Principality Stadium, Cardiff</t>
  </si>
  <si>
    <t>15 v 12</t>
  </si>
  <si>
    <t>10+ Points scored in any 10-minute Powerplay period:</t>
  </si>
  <si>
    <t>Ptr</t>
  </si>
  <si>
    <t>Chile</t>
  </si>
  <si>
    <t>Hal = Wanderers Ground, Halifax; Ott = TD Place Stadium, Ottawa</t>
  </si>
  <si>
    <t>Mdz</t>
  </si>
  <si>
    <t>Ba</t>
  </si>
  <si>
    <t>15 v 11</t>
  </si>
  <si>
    <t>Tls</t>
  </si>
  <si>
    <t>WC</t>
  </si>
  <si>
    <t>14 v 13</t>
  </si>
  <si>
    <t>After Round 1 (Feb 5 evening - Feb 11 morning)</t>
  </si>
  <si>
    <t>ARGENTINA IN 2023</t>
  </si>
  <si>
    <t>AUSTRALIA IN 2023</t>
  </si>
  <si>
    <t>CANADA IN 2023</t>
  </si>
  <si>
    <t>ENGLAND IN 2023</t>
  </si>
  <si>
    <t>FIJI IN 2023</t>
  </si>
  <si>
    <t>FRANCE IN 2023</t>
  </si>
  <si>
    <t>GEORGIA IN 2023</t>
  </si>
  <si>
    <t>IRELAND IN 2023</t>
  </si>
  <si>
    <t>ITALY IN 2023</t>
  </si>
  <si>
    <t>JAPAN IN 2023</t>
  </si>
  <si>
    <t>NAMIBIA IN 2023</t>
  </si>
  <si>
    <t>NEW ZEALAND IN 2023</t>
  </si>
  <si>
    <t>ROMANIA IN 2023</t>
  </si>
  <si>
    <t>SAMOA IN 2023</t>
  </si>
  <si>
    <t>SCOTLAND IN 2023</t>
  </si>
  <si>
    <t>SOUTH AFRICA IN 2023</t>
  </si>
  <si>
    <t>TONGA IN 2023</t>
  </si>
  <si>
    <t>USA IN 2023</t>
  </si>
  <si>
    <t>URUGUAY IN 2023</t>
  </si>
  <si>
    <t>WALES IN 2023</t>
  </si>
  <si>
    <t>BC</t>
  </si>
  <si>
    <t>Sap</t>
  </si>
  <si>
    <t>tbc</t>
  </si>
  <si>
    <t>Nts</t>
  </si>
  <si>
    <t>Md</t>
  </si>
  <si>
    <t>Mcg</t>
  </si>
  <si>
    <t>Se</t>
  </si>
  <si>
    <t>Bor</t>
  </si>
  <si>
    <t>Ms</t>
  </si>
  <si>
    <t>Lle</t>
  </si>
  <si>
    <t>Nce</t>
  </si>
  <si>
    <t>Lyn</t>
  </si>
  <si>
    <t>WCQ</t>
  </si>
  <si>
    <t>WCS</t>
  </si>
  <si>
    <t>WCF</t>
  </si>
  <si>
    <t>6N = Six Nations; INT = International; WC = World Cup</t>
  </si>
  <si>
    <t>Lle = Stade Pierre-Mauroy, Lille</t>
  </si>
  <si>
    <t>Ms = Stade Velodrome, Marseille; Nce = Stade de Nice, Nice</t>
  </si>
  <si>
    <t>Bor = Stade de Bordeaux, Bordeaux; Nts = Stade de La Beaujoire, Nantes</t>
  </si>
  <si>
    <t>Rm = Stadio Olimpico, Rome; Tw = Twickenham Stadium, London</t>
  </si>
  <si>
    <t>Lyn = OL Stadium, Lyon; Prs = Stade de France, Paris</t>
  </si>
  <si>
    <t xml:space="preserve">Prs = Stade de France, Paris; Tw = Twickenham Stadium, London; </t>
  </si>
  <si>
    <t>Mfl = BT Murrayfield, Edinburgh; Se = Stade Geoffroy-Guichard, Saint-Etienne</t>
  </si>
  <si>
    <t>Dbl = Aviva Stadium, Dublin; Ms = Stade Velodrome, Marseille</t>
  </si>
  <si>
    <t>Nce = Stade de Nice, Nice; Lle = Stade Pierre-Mauroy, Lille</t>
  </si>
  <si>
    <t>Tw = Twickenham Stadium, London; Car = Principality Stadium, Cardiff</t>
  </si>
  <si>
    <t>Prs = Stade de France, Paris; Se = Stade Geoffroy-Guichard, Saint-Etienne</t>
  </si>
  <si>
    <t>Tw = Twickenham Stadium, London; Mfl = BT Murrayfield, Edinburgh</t>
  </si>
  <si>
    <t>Car = Principality Stadium, Cardiff; Mfl = BT Murrayfield, Edinburgh</t>
  </si>
  <si>
    <t>Tw = Twickenham Stadium, London; Bor = Stade de Bordeaux, Bordeaux</t>
  </si>
  <si>
    <t>Nce = Stade de Nice, Nice; Lyn = OL Stadium, Lyon</t>
  </si>
  <si>
    <t>Nts = Stade de La Beaujoire, Nantes; Ms = Stade Velodrome, Marseille</t>
  </si>
  <si>
    <t>Tries Conc</t>
  </si>
  <si>
    <t>Titles</t>
  </si>
  <si>
    <t>GS</t>
  </si>
  <si>
    <t>TC</t>
  </si>
  <si>
    <t>WS</t>
  </si>
  <si>
    <t>n/a</t>
  </si>
  <si>
    <t>INTERNATIONAL CHAMPIONSHIP (1882/83-)</t>
  </si>
  <si>
    <t>Outright</t>
  </si>
  <si>
    <t>Shared</t>
  </si>
  <si>
    <t>3-27</t>
  </si>
  <si>
    <t>Karl Dickson (Eng)</t>
  </si>
  <si>
    <t>Tom Foley (Eng)</t>
  </si>
  <si>
    <t>Angus Gardner (Aus)</t>
  </si>
  <si>
    <t>Luke Pearce (Eng)</t>
  </si>
  <si>
    <t>27-3</t>
  </si>
  <si>
    <t>13-12</t>
  </si>
  <si>
    <t>Paul Williams (Nzl)</t>
  </si>
  <si>
    <t>Brendon Pickerill (Nzl)</t>
  </si>
  <si>
    <t>Ben O'Keeffe (Nzl)</t>
  </si>
  <si>
    <t>James Doleman (Nzl)</t>
  </si>
  <si>
    <t>12-13</t>
  </si>
  <si>
    <t>Twickenham Stadium, London</t>
  </si>
  <si>
    <t>Stadio Flaminio, Rome</t>
  </si>
  <si>
    <t>Penalty Tries: v Fra (5 Feb)</t>
  </si>
  <si>
    <t>14-19</t>
  </si>
  <si>
    <t>Matthew Carley (Eng)</t>
  </si>
  <si>
    <t>Ben Whitehouse (Wal)</t>
  </si>
  <si>
    <t>Nic Berry (Aus)</t>
  </si>
  <si>
    <t>Jordan Way (Aus)</t>
  </si>
  <si>
    <t>19-14</t>
  </si>
  <si>
    <t>Rugby Europe Championship</t>
  </si>
  <si>
    <t>Stadionul National Arcul de Triumf, Bucharest</t>
  </si>
  <si>
    <t>Poland</t>
  </si>
  <si>
    <t>Belgium</t>
  </si>
  <si>
    <t>CAR Rugby do Jamor, Lisbon</t>
  </si>
  <si>
    <t>Netherlands</t>
  </si>
  <si>
    <t>Estadio Nacional Universidad Complutense, Madrid</t>
  </si>
  <si>
    <t>Germany</t>
  </si>
  <si>
    <t>Avchala Stadium, Tbilisi</t>
  </si>
  <si>
    <t>Brs</t>
  </si>
  <si>
    <t>Bht = Stadionul National Arcul de Triumf, Bucharest; Brs = Stade Nelson Mandela, Brussels</t>
  </si>
  <si>
    <t>Lis</t>
  </si>
  <si>
    <t>Bht</t>
  </si>
  <si>
    <t>Saba Abulkashvili (Geo)</t>
  </si>
  <si>
    <t>Shota Tsagareishvili (Geo)</t>
  </si>
  <si>
    <t>Ioseb Japaridze (Geo)</t>
  </si>
  <si>
    <t>38-10</t>
  </si>
  <si>
    <t>PORTUGAL IN 2023</t>
  </si>
  <si>
    <t>Lbn</t>
  </si>
  <si>
    <t>Hollie Davidson (Sco)</t>
  </si>
  <si>
    <t>Michael Todd (Sco)</t>
  </si>
  <si>
    <t>Finlay Brown (Sco)</t>
  </si>
  <si>
    <t>Lbn = Estadio Nacional Honor Stadium, Lisbon; Gdy = Narodowy Stadion, Gdynia</t>
  </si>
  <si>
    <t>Gdy</t>
  </si>
  <si>
    <t>Tls = Stadium de Toulouse, Toulouse; Se = Stade Geoffroy-Guichard, Saint-Etienne</t>
  </si>
  <si>
    <t>26-10</t>
  </si>
  <si>
    <t>Ams</t>
  </si>
  <si>
    <t>Tor</t>
  </si>
  <si>
    <t>Tb</t>
  </si>
  <si>
    <t>Tb = Avchala Stadium, Tbilisi; Ams = National Rugby Centre Stadium, Amsterdam</t>
  </si>
  <si>
    <t>42-0</t>
  </si>
  <si>
    <t>Cristian Serban (Rom)</t>
  </si>
  <si>
    <t>Radu Petrescu (Rom)</t>
  </si>
  <si>
    <t>Nicolae Fratila (Rom)</t>
  </si>
  <si>
    <t>4 Fb</t>
  </si>
  <si>
    <t>12 Fb</t>
  </si>
  <si>
    <t>25 Fb</t>
  </si>
  <si>
    <t>11 Mr</t>
  </si>
  <si>
    <t>18 Mr</t>
  </si>
  <si>
    <t>5 Ag</t>
  </si>
  <si>
    <t>12 Ag</t>
  </si>
  <si>
    <t>19 Ag</t>
  </si>
  <si>
    <t>26 Ag</t>
  </si>
  <si>
    <t>9 Sp</t>
  </si>
  <si>
    <t>17 Sp</t>
  </si>
  <si>
    <t>23 Sp</t>
  </si>
  <si>
    <t>7 Oc</t>
  </si>
  <si>
    <t>28 Oc</t>
  </si>
  <si>
    <t>5 Fb</t>
  </si>
  <si>
    <t>29 Jl</t>
  </si>
  <si>
    <t>8 Sp</t>
  </si>
  <si>
    <t>20 Sp</t>
  </si>
  <si>
    <t>29 Sp</t>
  </si>
  <si>
    <t>6 Oc</t>
  </si>
  <si>
    <t>Aviva Stadium, Dublin</t>
  </si>
  <si>
    <t>Atonio, Ollivon</t>
  </si>
  <si>
    <t>22-16</t>
  </si>
  <si>
    <t>Wayne Barnes (Eng)</t>
  </si>
  <si>
    <t>16-22</t>
  </si>
  <si>
    <t>BT Murrayfield, Edinburgh</t>
  </si>
  <si>
    <t>Turner</t>
  </si>
  <si>
    <t>Williams L (2), Webb</t>
  </si>
  <si>
    <t>13-7</t>
  </si>
  <si>
    <t>Andrew Brace (Ire)</t>
  </si>
  <si>
    <t>Brian MacNeice (Ire)</t>
  </si>
  <si>
    <t>Frank Murphy (Ire)</t>
  </si>
  <si>
    <t>Chris Busby (Ire)</t>
  </si>
  <si>
    <t>7-13</t>
  </si>
  <si>
    <r>
      <rPr>
        <b/>
        <sz val="11"/>
        <color rgb="FFFF0000"/>
        <rFont val="Calibri"/>
        <family val="2"/>
        <scheme val="minor"/>
      </rPr>
      <t>12</t>
    </r>
    <r>
      <rPr>
        <sz val="11"/>
        <color theme="1"/>
        <rFont val="Calibri"/>
        <family val="2"/>
        <scheme val="minor"/>
      </rPr>
      <t xml:space="preserve"> Eng v Ita</t>
    </r>
  </si>
  <si>
    <t>Penalty Tries: v Ita (12 Fb)</t>
  </si>
  <si>
    <t>26 Fb</t>
  </si>
  <si>
    <t>14 Sp</t>
  </si>
  <si>
    <t>21 Sp</t>
  </si>
  <si>
    <t>11 Fb</t>
  </si>
  <si>
    <t>12 Mr</t>
  </si>
  <si>
    <t>16 Sp</t>
  </si>
  <si>
    <t>10 Sp</t>
  </si>
  <si>
    <t>24 Sp</t>
  </si>
  <si>
    <t>30 Sp</t>
  </si>
  <si>
    <t>19-0</t>
  </si>
  <si>
    <t>Eric Gauzins (Fra)</t>
  </si>
  <si>
    <t>Mathieu Raynal (Fra)</t>
  </si>
  <si>
    <t>Tual Trainini (Fra)</t>
  </si>
  <si>
    <t>0-19</t>
  </si>
  <si>
    <t>↓1</t>
  </si>
  <si>
    <t>↑2</t>
  </si>
  <si>
    <t>After Round 2 (Feb 12 evening - Feb 25 morning)</t>
  </si>
  <si>
    <t>Narodowy Stadion, Gdynia</t>
  </si>
  <si>
    <t>Andrew Cole (Ire)</t>
  </si>
  <si>
    <t>Padraic Reidy (Ire)</t>
  </si>
  <si>
    <t>Tomas O'Sullivan (Ire)</t>
  </si>
  <si>
    <t>29-3</t>
  </si>
  <si>
    <t>National Rugby Centre Stadium, Amsterdam</t>
  </si>
  <si>
    <t>12-3</t>
  </si>
  <si>
    <t>Ludovic Cayre (Fra)</t>
  </si>
  <si>
    <t>Jean Lespes (Fra)</t>
  </si>
  <si>
    <t>Benoit Escoubet (Fra)</t>
  </si>
  <si>
    <t>Stade Nelson Mandela, Brussels</t>
  </si>
  <si>
    <t>21-5</t>
  </si>
  <si>
    <t>Mike English (Wal)</t>
  </si>
  <si>
    <t>Gareth Newman (Wal)</t>
  </si>
  <si>
    <t>Tom Spurrier (Wal)</t>
  </si>
  <si>
    <t>Fritz-Grunebaum-Sportpark, Heidelberg</t>
  </si>
  <si>
    <t>Iran</t>
  </si>
  <si>
    <t>Qatar</t>
  </si>
  <si>
    <t>Asia Championship Division 3 West</t>
  </si>
  <si>
    <t>Stadion Pichterich, Neckarsulm</t>
  </si>
  <si>
    <t>Estadio El Malecon, Torrelavega</t>
  </si>
  <si>
    <t>Eoghan Cross (Ire)</t>
  </si>
  <si>
    <t>Paul Newman (Ire)</t>
  </si>
  <si>
    <t>Andrew Fogarty (Ire)</t>
  </si>
  <si>
    <t>22-3</t>
  </si>
  <si>
    <t>18 Fb</t>
  </si>
  <si>
    <t>RE</t>
  </si>
  <si>
    <t>RESF</t>
  </si>
  <si>
    <t>REF</t>
  </si>
  <si>
    <t>4 Mr</t>
  </si>
  <si>
    <t>Al Ain Amblers, Abu Dhabi</t>
  </si>
  <si>
    <t>Estadio do Restelo, Lisbon</t>
  </si>
  <si>
    <t>Nika Amashukeli (Geo)</t>
  </si>
  <si>
    <t>Shota Tevzadze (Geo)</t>
  </si>
  <si>
    <t>14-10</t>
  </si>
  <si>
    <t>19 Fb</t>
  </si>
  <si>
    <t>1 Oc</t>
  </si>
  <si>
    <t>8 Oc</t>
  </si>
  <si>
    <t>Saba Abulashvili (Geo)</t>
  </si>
  <si>
    <t>10-14</t>
  </si>
  <si>
    <t>Stadio Olimpico, Rome</t>
  </si>
  <si>
    <t>17-24</t>
  </si>
  <si>
    <t>Mike Adamson (Sco)</t>
  </si>
  <si>
    <t>Marius Jonker (RSA)</t>
  </si>
  <si>
    <t>Craig Evans (Wal)</t>
  </si>
  <si>
    <t>24-17</t>
  </si>
  <si>
    <t>3-8</t>
  </si>
  <si>
    <t>8-3</t>
  </si>
  <si>
    <t>Stade de France, Paris</t>
  </si>
  <si>
    <t>22-7</t>
  </si>
  <si>
    <t>Andrea Piardi (Ita)</t>
  </si>
  <si>
    <t>7-22</t>
  </si>
  <si>
    <t>Gilchrist</t>
  </si>
  <si>
    <t>Haouas</t>
  </si>
  <si>
    <t>After Round 3 (Feb 26 evening - Mar 11 morning)</t>
  </si>
  <si>
    <t>Botswana</t>
  </si>
  <si>
    <t>Eswatini</t>
  </si>
  <si>
    <t>International</t>
  </si>
  <si>
    <t>Gaborone Rugby Club, Gaborone</t>
  </si>
  <si>
    <t>3-22</t>
  </si>
  <si>
    <t>Damon Murphy (Aus)</t>
  </si>
  <si>
    <t>Joy Neville (Ire)</t>
  </si>
  <si>
    <t>Brett Cronan (Aus)</t>
  </si>
  <si>
    <t>Jaco Peyper (RSA)</t>
  </si>
  <si>
    <t>7-8</t>
  </si>
  <si>
    <t>Stuart Terheege (Eng)</t>
  </si>
  <si>
    <t>Christophe Ridley (Eng)</t>
  </si>
  <si>
    <t>8-7</t>
  </si>
  <si>
    <t>After Round 4 (Mar 12 evening - Mar 18 morning)</t>
  </si>
  <si>
    <t>↑1</t>
  </si>
  <si>
    <t>Ukraine</t>
  </si>
  <si>
    <t>Switzerland</t>
  </si>
  <si>
    <t>Rugby Europe Trophy</t>
  </si>
  <si>
    <t>Lucko Stadium, Zagreb</t>
  </si>
  <si>
    <t>Rugby Europe Championship 5th Place Semi-final</t>
  </si>
  <si>
    <t>Rugby Europe Championship Semi-final</t>
  </si>
  <si>
    <t>7-10</t>
  </si>
  <si>
    <t>Thomas Charabas (Fra)</t>
  </si>
  <si>
    <t>Pierre Bru (Fra)</t>
  </si>
  <si>
    <t>Norbert Roche (Fra)</t>
  </si>
  <si>
    <t>Penalty Tries: v Rom (4 Mr)</t>
  </si>
  <si>
    <t>17-0</t>
  </si>
  <si>
    <t>Federico Vedovelli (Ita)</t>
  </si>
  <si>
    <t>Alex Frasson (Ita)</t>
  </si>
  <si>
    <t>Filippo Bertelli (Ita)</t>
  </si>
  <si>
    <t>19 Mr</t>
  </si>
  <si>
    <t>REB</t>
  </si>
  <si>
    <t>Lis = Estadio do Restelo, Lisbon; Tb = Avchala Stadium, Tbilisi; Bjz = Estadio Nuevo Vivero, Badajoz</t>
  </si>
  <si>
    <t>Bjz</t>
  </si>
  <si>
    <t>Tor = Estadio El Malecon, Torrelavega; Bjz = Estadio Nuevo Vivero, Badajoz</t>
  </si>
  <si>
    <t>12-6</t>
  </si>
  <si>
    <t>6-12</t>
  </si>
  <si>
    <t>Cannone L (2), Bruno, Ferrari, Riccioni</t>
  </si>
  <si>
    <t>20-7</t>
  </si>
  <si>
    <t>7-20</t>
  </si>
  <si>
    <t>as at 01/02/24</t>
  </si>
  <si>
    <t>10-6</t>
  </si>
  <si>
    <t>Pierre Brousset (Fra)</t>
  </si>
  <si>
    <t>6-10</t>
  </si>
  <si>
    <t>at end of tournament</t>
  </si>
  <si>
    <t>Willis</t>
  </si>
  <si>
    <r>
      <rPr>
        <b/>
        <sz val="11"/>
        <color rgb="FFFF0000"/>
        <rFont val="Calibri"/>
        <family val="2"/>
        <scheme val="minor"/>
      </rPr>
      <t>14</t>
    </r>
    <r>
      <rPr>
        <sz val="11"/>
        <color theme="1"/>
        <rFont val="Calibri"/>
        <family val="2"/>
        <scheme val="minor"/>
      </rPr>
      <t xml:space="preserve"> Ire v Eng</t>
    </r>
  </si>
  <si>
    <t>Rugby Europe Championship 7th Place Play-off</t>
  </si>
  <si>
    <t>Rugby Europe Championship 5th Place Play-off</t>
  </si>
  <si>
    <t>Estadio Nuevo Vivero, Badajoz</t>
  </si>
  <si>
    <t>Rugby Europe Championship Bronze Final</t>
  </si>
  <si>
    <t>8-10</t>
  </si>
  <si>
    <t>Oisin Quinn (Ire)</t>
  </si>
  <si>
    <t>Rugby Europe Championship Final</t>
  </si>
  <si>
    <t>Sweden</t>
  </si>
  <si>
    <t>Stadium Stari Plac, Split</t>
  </si>
  <si>
    <t>12-11</t>
  </si>
  <si>
    <t>Adrien Marbot (Fra)</t>
  </si>
  <si>
    <t>Stephane Boyer (Fra)</t>
  </si>
  <si>
    <t>11-12</t>
  </si>
  <si>
    <t>Lithuania</t>
  </si>
  <si>
    <t>Croatia</t>
  </si>
  <si>
    <t>Rugby Stadium Gardino, Siauliai</t>
  </si>
  <si>
    <t>Malta</t>
  </si>
  <si>
    <t>Cyprus</t>
  </si>
  <si>
    <t>Rugby Europe Conference 1 South</t>
  </si>
  <si>
    <t>Tony Bezzina Hibernians Stadium, Paola</t>
  </si>
  <si>
    <t>Rugby Academy-Siauliai, Siauliai</t>
  </si>
  <si>
    <t>City Stadium, Makarska</t>
  </si>
  <si>
    <t xml:space="preserve">Latvia </t>
  </si>
  <si>
    <t>Czechia</t>
  </si>
  <si>
    <t>Daugava Stadium, Riga</t>
  </si>
  <si>
    <t>Israel</t>
  </si>
  <si>
    <t>Slovenia</t>
  </si>
  <si>
    <t>Yizre'el Rugby Club, Yizre'el</t>
  </si>
  <si>
    <t>Bulgaria</t>
  </si>
  <si>
    <t>National Sports Academy "Vassil Levski", Sofia</t>
  </si>
  <si>
    <t>Andorra</t>
  </si>
  <si>
    <t>Finland</t>
  </si>
  <si>
    <t>National Stadium, Andorra La Vella</t>
  </si>
  <si>
    <t>Norway</t>
  </si>
  <si>
    <t>Prada De Moles, Encamp</t>
  </si>
  <si>
    <t>Bosnia &amp; Herzegovina</t>
  </si>
  <si>
    <t>Serbia</t>
  </si>
  <si>
    <t>Kamberovica Polje, Zenica</t>
  </si>
  <si>
    <t>Jordan</t>
  </si>
  <si>
    <t>Lebanon</t>
  </si>
  <si>
    <t>Test</t>
  </si>
  <si>
    <t>Petra University, Amman</t>
  </si>
  <si>
    <t>Saida Municipality Stadium, Sidon</t>
  </si>
  <si>
    <t>Hungary</t>
  </si>
  <si>
    <t>Latvia</t>
  </si>
  <si>
    <t>Budapest Rugby Centre, Budapest</t>
  </si>
  <si>
    <t>Cyprus Sports Association, Nicosia</t>
  </si>
  <si>
    <t>Rugby Europe Conference 1 North</t>
  </si>
  <si>
    <t>Rugby Europe Conference 2 North</t>
  </si>
  <si>
    <t>Rugby Europe Conference 2 South</t>
  </si>
  <si>
    <t>Denmark</t>
  </si>
  <si>
    <t>The International School, Stavanger</t>
  </si>
  <si>
    <t>Montenegro</t>
  </si>
  <si>
    <t>Turkiye</t>
  </si>
  <si>
    <t>Trinidad &amp; Tobago</t>
  </si>
  <si>
    <t>Barbados</t>
  </si>
  <si>
    <t>St Mary's College Ground, Port of Spain</t>
  </si>
  <si>
    <t>The Rugby Championship</t>
  </si>
  <si>
    <t>Loftus Versfeld, Pretoria</t>
  </si>
  <si>
    <t>After Round 1 (Jul 9 morning - Jul 14 evening)</t>
  </si>
  <si>
    <t>BST</t>
  </si>
  <si>
    <t>Estadio Malvinas Argentinas, Mendoza</t>
  </si>
  <si>
    <t>20.10</t>
  </si>
  <si>
    <t>08.05</t>
  </si>
  <si>
    <t>Eden Park, Auckland</t>
  </si>
  <si>
    <t>10.45</t>
  </si>
  <si>
    <t>Commbank Stadium, Sydney</t>
  </si>
  <si>
    <t>MCG, Melbourne</t>
  </si>
  <si>
    <t>16.05</t>
  </si>
  <si>
    <t>TRC</t>
  </si>
  <si>
    <t>17-5</t>
  </si>
  <si>
    <t>5-17</t>
  </si>
  <si>
    <t>New  Zealand</t>
  </si>
  <si>
    <t>0-31</t>
  </si>
  <si>
    <t>31-0</t>
  </si>
  <si>
    <t>Bruni</t>
  </si>
  <si>
    <t>POOL A</t>
  </si>
  <si>
    <t xml:space="preserve">KO </t>
  </si>
  <si>
    <t>Capacity</t>
  </si>
  <si>
    <t>PD</t>
  </si>
  <si>
    <t>TD</t>
  </si>
  <si>
    <t>BP</t>
  </si>
  <si>
    <t>POOL B</t>
  </si>
  <si>
    <t>POOL C</t>
  </si>
  <si>
    <t>POOL D</t>
  </si>
  <si>
    <t>Total Att</t>
  </si>
  <si>
    <t>Total Cap</t>
  </si>
  <si>
    <t>% Cap</t>
  </si>
  <si>
    <t>TIE-BREAKERS IN POOL STAGE</t>
  </si>
  <si>
    <t>1. Head to Head Match</t>
  </si>
  <si>
    <t>2. Points Difference</t>
  </si>
  <si>
    <t xml:space="preserve">3. Tries Difference </t>
  </si>
  <si>
    <t>4. Points Scored</t>
  </si>
  <si>
    <t>5. Tries Scored</t>
  </si>
  <si>
    <t>Stadium de Toulouse, Toulouse</t>
  </si>
  <si>
    <t>Wed</t>
  </si>
  <si>
    <t>Fri</t>
  </si>
  <si>
    <t>Thu</t>
  </si>
  <si>
    <t>Sat</t>
  </si>
  <si>
    <t>KO (UK)</t>
  </si>
  <si>
    <t xml:space="preserve">New Zealand </t>
  </si>
  <si>
    <t>Wins</t>
  </si>
  <si>
    <t>Head to Head Points Difference</t>
  </si>
  <si>
    <t>Head to Head Wins</t>
  </si>
  <si>
    <t>TB = Try Bonus Points (3 or more than opponent); LB = Losing Bonus Points</t>
  </si>
  <si>
    <t>20-3</t>
  </si>
  <si>
    <t>3-20</t>
  </si>
  <si>
    <t>After Round 2 (Jul 16 morning - Jul 28 evening)</t>
  </si>
  <si>
    <t>10-10</t>
  </si>
  <si>
    <t>Sun</t>
  </si>
  <si>
    <t>Q = Pool winners qualified for Q-Finals &amp; 2027 World Cup; q = Qualified for QF &amp; 2027 World Cup</t>
  </si>
  <si>
    <t>*Qualified for 2027 RWC</t>
  </si>
  <si>
    <t>QUARTER-FINALS</t>
  </si>
  <si>
    <t>SEMI-FINALS</t>
  </si>
  <si>
    <t>BRONZE FINAL</t>
  </si>
  <si>
    <t>WORLD CUP FINAL</t>
  </si>
  <si>
    <t xml:space="preserve">6. World Rankings  </t>
  </si>
  <si>
    <t>Sbt</t>
  </si>
  <si>
    <t>Mfl = BT Murrayfield, Edinburgh; Dbl = Aviva Stadium, Dublin</t>
  </si>
  <si>
    <t>Tv</t>
  </si>
  <si>
    <t>Lta</t>
  </si>
  <si>
    <t>26-15</t>
  </si>
  <si>
    <t>Pacific Nations Cup</t>
  </si>
  <si>
    <t>Churchill Park, Lautoka</t>
  </si>
  <si>
    <t>Michael Winter (Nzl)</t>
  </si>
  <si>
    <t>Api</t>
  </si>
  <si>
    <t>22 Jl</t>
  </si>
  <si>
    <t>Tko</t>
  </si>
  <si>
    <t>Penalty Tries: v Tga (22 Jl)</t>
  </si>
  <si>
    <t>Lau</t>
  </si>
  <si>
    <t>Lta = Churchill Park, Lautoka; Os = Hanazono Stadium, Osaka; Api = Apia Park, Apia</t>
  </si>
  <si>
    <t>Os</t>
  </si>
  <si>
    <t>15-26</t>
  </si>
  <si>
    <t>Nts = Stade de La Beaujoire, Nantes; Tw = Twickenham Stadium, London</t>
  </si>
  <si>
    <t>Bor = Stade de Bordeaux, Bordeaux; Se = Stade Geoffroy-Guichard, Saint-Etienne</t>
  </si>
  <si>
    <t>Tls = Stadium de Toulouse, Toulouse</t>
  </si>
  <si>
    <t>Prs = Stade de France, Paris</t>
  </si>
  <si>
    <t>Ms = Stade Velodrome, Marseille; Prs = Stade de France, Paris</t>
  </si>
  <si>
    <t>Sapporo Dome, Sapporo</t>
  </si>
  <si>
    <t>Sap = Sapporo Dome, Sapporo; Os = Hanazono Stadium, Osaka</t>
  </si>
  <si>
    <t>28 Sp</t>
  </si>
  <si>
    <t>Tls = Stadium Toulouse, Toulouse; Nce = Stade de Nice, Nice; Nts = Stade de La Beaujoire, Nantes</t>
  </si>
  <si>
    <t>22 Sp</t>
  </si>
  <si>
    <t>SNS</t>
  </si>
  <si>
    <t>Bay</t>
  </si>
  <si>
    <t>Rm = Stadio Olimpico, Rome; Mfl = BT Murrayfield, Edinburgh; Bay = Stade Jean Dauger, Bayonne</t>
  </si>
  <si>
    <t>Sap = Sapporo Dome, Sapporo; Api = Apia Park, Apia; Bay = Stade Jean Dauger, Bayonne</t>
  </si>
  <si>
    <t>SUMMER NATS SERIES</t>
  </si>
  <si>
    <t>SUMMER NATS S</t>
  </si>
  <si>
    <t>Tls = Stadium de Toulouse, Toulouse; Lle = Stade Pierre-Mauroy, Lille</t>
  </si>
  <si>
    <t>10 Ag</t>
  </si>
  <si>
    <t>Nkl</t>
  </si>
  <si>
    <t>15 Ag</t>
  </si>
  <si>
    <t>RWC POOL STAGE</t>
  </si>
  <si>
    <t>RWC KO STAGE</t>
  </si>
  <si>
    <t>RWC OVERALL</t>
  </si>
  <si>
    <t>Syd</t>
  </si>
  <si>
    <t>Mdz = Estadio Malvinas Argentinas, Mendoza; Syd = Commbank Stadium, Sydney</t>
  </si>
  <si>
    <t>Jbg</t>
  </si>
  <si>
    <t>8 Jl</t>
  </si>
  <si>
    <t>15 Jl</t>
  </si>
  <si>
    <t>Md = Metropolitano Stadium, Madrid; Ms = Stade Velodrome, Marseille</t>
  </si>
  <si>
    <t>Se = Stade Geoffroy-Guichard, Saint-Etienne; Nts = Stade de La Beaujoire, Nantes</t>
  </si>
  <si>
    <t>Try Bonus Points</t>
  </si>
  <si>
    <t>Tries Conceded</t>
  </si>
  <si>
    <t>Try Bonus Conceded</t>
  </si>
  <si>
    <t>Ptr = Loftus Versfeld, Pretoria; Syd = Commbank Stadium, Sydney</t>
  </si>
  <si>
    <t>Mcg = Melbourne Cricket Ground, Melbourne; Dn = Forsyth Barr Stadium, Dunedin</t>
  </si>
  <si>
    <t>WC = World Cup</t>
  </si>
  <si>
    <t>Lyn = OL Stadium, Lyon; Ms = Stade Velodrome, Marseille</t>
  </si>
  <si>
    <t>6N = Six Nations; SNS = Summer Nations Series; WC = World Cup</t>
  </si>
  <si>
    <t>27 Ag</t>
  </si>
  <si>
    <t>Nts = Stade de La Beaujoire, Nantes; Lle = Stade Pierre-Mauroy, Lille</t>
  </si>
  <si>
    <t>Ms = Stade Velodrome, Marseille; Lyn = OL Stadium, Lyon</t>
  </si>
  <si>
    <t>Tbl</t>
  </si>
  <si>
    <t>Tbl = Mikheil Meskhi Stadium, Tbilisi; Prs = Stade de France, Paris</t>
  </si>
  <si>
    <t>Tls = Stadium de Toulouse, Toulouse; Bor = Stade de Bordeaux, Bordeaux</t>
  </si>
  <si>
    <t>RE = Rugby Europe Championship; INT = International; WC = World Cup</t>
  </si>
  <si>
    <t>Sbt = Stadio Riviera delle Palme, San Benedetto del Tronto</t>
  </si>
  <si>
    <t>Tv = Stadio Comunale di Monigo, Treviso; Se = Stade Geoffroy-Guichard, Saint-Etienne</t>
  </si>
  <si>
    <t>Nce = Stade de Nice, Nice; Lyn = OL Stadium, Lyon; Prs = Stade de France, Paris</t>
  </si>
  <si>
    <t>TB = Trophee des Bicentenaires (also SNS); WC = World Cup</t>
  </si>
  <si>
    <t>6N = Six Nations; SNS = Summer Nations Series</t>
  </si>
  <si>
    <t>Mv</t>
  </si>
  <si>
    <t>Vp</t>
  </si>
  <si>
    <t>INT = International; WC = World Cup</t>
  </si>
  <si>
    <t>Se = Stade Geoffroy-Guichard, Saint-Etienne; Tls = Stadium de Toulouse, Toulouse</t>
  </si>
  <si>
    <t>Ms = Stade Velodrome, Marseille; Lyn = OL Stadium, Lyon; Prs = Stade de France, Paris</t>
  </si>
  <si>
    <t>Mv = Estadio Charrua, Montevideo; Vp = Estadio Elias Figueroa, Valparaiso</t>
  </si>
  <si>
    <t>15 Sp</t>
  </si>
  <si>
    <t>27 Sp</t>
  </si>
  <si>
    <t>25 Ag</t>
  </si>
  <si>
    <t>5 Oc</t>
  </si>
  <si>
    <t>Mdz = Estadio Malvinas Argentinas, Mendoza; Akl = Eden Park, Auckland</t>
  </si>
  <si>
    <t>Tw = Twickenham Stadium, London; Prs = Stade de France, Paris</t>
  </si>
  <si>
    <t>Tls = Stadium de Toulouse, Toulouse; Lyn = OL Stadium, Lyon</t>
  </si>
  <si>
    <t>Agv</t>
  </si>
  <si>
    <t>Lis = Estadio do Restelo, Lisbon; Bjz = Estadio Nuevo Vivero, Badajoz</t>
  </si>
  <si>
    <t>Agv = Estadio Algarve, Algarve; Nce = Stade de Nice, Nice</t>
  </si>
  <si>
    <t>Tbl = Mikheil Meskhi Stadium, Tbilisi; Sbt = Stadio Riviera delle Palme, San Benedetto del Tronto</t>
  </si>
  <si>
    <t>RE = Rugby Europe Championship; INT = International; SNS = Summer Nations Series</t>
  </si>
  <si>
    <t>Bor = Stade de Bordeaux, Bordeaux; Lle = Stade Pierre-Mauroy, Lille; Prs = Stade de France, Paris</t>
  </si>
  <si>
    <t>Ba = Jose Amalfitani Stadium, Buenos Aires; Car = Principality Stadium, Cardiff</t>
  </si>
  <si>
    <t>INT = International; TRC = The Rugby Championship; WC = World Cup</t>
  </si>
  <si>
    <t>TB = Trophee des Bicentenaires (also SNS); BC = Bledisloe Cup; TRC = The Rugby Championship</t>
  </si>
  <si>
    <t>TRC = The Rugby Championship; BC = Bledisloe Cup; INT = International</t>
  </si>
  <si>
    <t>TRC = The Rugby Championship; ANS = Autumn Nations Series; PW = Prince William Cup (also SNS)</t>
  </si>
  <si>
    <t>SNS = Summer Nations Series</t>
  </si>
  <si>
    <t>SNS = Summer Nations Series; WC = World Cup</t>
  </si>
  <si>
    <t>Tw = Twickenham Stadium, London; Ms = Stade Velodrome, Marseille</t>
  </si>
  <si>
    <t>Bor = Stade de Bordeaux, Bordeaux; Prs = Stade de France, Paris</t>
  </si>
  <si>
    <t>Nkl = Teufaiva Stadium, Nuku'alofa; Nts = Stade de La Beaujoire, Nantes</t>
  </si>
  <si>
    <t>Nce = Stade de Nice, Nice; Ms = Stade Velodrome, Marseille; Lle = Stade Pierre-Mauroy, Lille</t>
  </si>
  <si>
    <t>Mv = Estadio Churrua, Montevideo; Lle = Stade Pierre-Mauroy, Lille; Nce = Stade de Nice, Nice</t>
  </si>
  <si>
    <t>CHILE IN 2023</t>
  </si>
  <si>
    <t>CHILE</t>
  </si>
  <si>
    <t>Lle = Stade Pierre-Mauroy, Lille; Nts = Stade de La Beaujoire, Nantes</t>
  </si>
  <si>
    <t>Apia Park, Apia</t>
  </si>
  <si>
    <t>5-27</t>
  </si>
  <si>
    <t>James Doleman (Nzl0</t>
  </si>
  <si>
    <t>Matthew Kellehan (Aus)</t>
  </si>
  <si>
    <t>27-5</t>
  </si>
  <si>
    <t>Melbourne Cricket Ground, Melbourne</t>
  </si>
  <si>
    <t>7-19</t>
  </si>
  <si>
    <t xml:space="preserve">Tom Foley (Eng) </t>
  </si>
  <si>
    <t>19-7</t>
  </si>
  <si>
    <t>Arnold, Koroibete, Porecki, Tupou, Vunivalu</t>
  </si>
  <si>
    <r>
      <rPr>
        <b/>
        <sz val="11"/>
        <color rgb="FFFF0000"/>
        <rFont val="Calibri"/>
        <family val="2"/>
        <scheme val="minor"/>
      </rPr>
      <t>19</t>
    </r>
    <r>
      <rPr>
        <b/>
        <sz val="11"/>
        <color theme="1"/>
        <rFont val="Calibri"/>
        <family val="2"/>
        <scheme val="minor"/>
      </rPr>
      <t xml:space="preserve"> Nzl v Aus</t>
    </r>
  </si>
  <si>
    <t>15-9</t>
  </si>
  <si>
    <t>9-15</t>
  </si>
  <si>
    <t>Emirates Airline Park, Johannesburg</t>
  </si>
  <si>
    <t>Ptr = Loftus Versfeld, Pretoria; Akl = Eden Park, Auckland</t>
  </si>
  <si>
    <t>Jbg = Emirates Airline Park, Johannesburg</t>
  </si>
  <si>
    <t>None</t>
  </si>
  <si>
    <r>
      <rPr>
        <b/>
        <sz val="11"/>
        <color rgb="FFFF0000"/>
        <rFont val="Calibri"/>
        <family val="2"/>
        <scheme val="minor"/>
      </rPr>
      <t>12</t>
    </r>
    <r>
      <rPr>
        <b/>
        <sz val="11"/>
        <color theme="1"/>
        <rFont val="Calibri"/>
        <family val="2"/>
        <scheme val="minor"/>
      </rPr>
      <t xml:space="preserve"> Arg v RSA</t>
    </r>
  </si>
  <si>
    <t>de Allende</t>
  </si>
  <si>
    <t>Summer Nations Series</t>
  </si>
  <si>
    <t>Scottish Gas Murrayfield, Edinburgh</t>
  </si>
  <si>
    <t>5-6</t>
  </si>
  <si>
    <t>Adam Leal (Eng)</t>
  </si>
  <si>
    <t>6-5</t>
  </si>
  <si>
    <t>Hanazono Stadium, Osaka</t>
  </si>
  <si>
    <t>13-5</t>
  </si>
  <si>
    <t>5-13</t>
  </si>
  <si>
    <t>Estadio Charrua, Montevideo</t>
  </si>
  <si>
    <t>19-6</t>
  </si>
  <si>
    <t>Damian Schneider (Arg)</t>
  </si>
  <si>
    <t>Nehuen Jauri Rivero (Arg)</t>
  </si>
  <si>
    <t>6-19</t>
  </si>
  <si>
    <t>SUMMER NATIONS S</t>
  </si>
  <si>
    <t>SUMMER NATIONS SERIES</t>
  </si>
  <si>
    <t>6N = Six Nations; SNS = Summer Nations Series; PW = Prince William Cup (also SNS)</t>
  </si>
  <si>
    <t>3-21</t>
  </si>
  <si>
    <t>21-3</t>
  </si>
  <si>
    <t>SUMMER NATION S</t>
  </si>
  <si>
    <t>6-9</t>
  </si>
  <si>
    <t>Andrea Piardi (ita)</t>
  </si>
  <si>
    <t>9-6</t>
  </si>
  <si>
    <t>Luc Ramos (Fra)</t>
  </si>
  <si>
    <t>13-9</t>
  </si>
  <si>
    <t>9-13</t>
  </si>
  <si>
    <t>The Rugby Championship/Bledisloe Cup I</t>
  </si>
  <si>
    <t>Bledisloe Cup II</t>
  </si>
  <si>
    <t>Forsyth Barr Stadium, Dunedin</t>
  </si>
  <si>
    <t>Madzarica Stadium, Bar</t>
  </si>
  <si>
    <t>3-17</t>
  </si>
  <si>
    <t>17-3</t>
  </si>
  <si>
    <t>Prince Chichibu Memorial Stadium, Tokyo</t>
  </si>
  <si>
    <t>0-21</t>
  </si>
  <si>
    <t>Takehito Namekawa (Jpn)</t>
  </si>
  <si>
    <t>21-0</t>
  </si>
  <si>
    <t>Lta = Churchill Park, Lautoka; Api = Apia Park, Apia; Tko = Prince Chichibu Memorial Stadium, Tokyo</t>
  </si>
  <si>
    <t>Tko = Prince Chichibu Memorial Stadium, Tokyo; Tv - Stadio Comunale di Monigo, Treviso</t>
  </si>
  <si>
    <t>Estadio Jose Amalfitani, Buenos Aires</t>
  </si>
  <si>
    <t>Jbg = Emirates Airline Park, Johannesburg; Ba = Estadio Jose Amalfitani, Buenos Aires</t>
  </si>
  <si>
    <t>10-3</t>
  </si>
  <si>
    <t>3-10</t>
  </si>
  <si>
    <t>Sam Grove-White (Sco)</t>
  </si>
  <si>
    <t>Matteo Liperini (Ita)</t>
  </si>
  <si>
    <t>Anthony Woodthorpe (Eng)</t>
  </si>
  <si>
    <t>12-8</t>
  </si>
  <si>
    <t>8-12</t>
  </si>
  <si>
    <t>0-17</t>
  </si>
  <si>
    <t>ROMANIA</t>
  </si>
  <si>
    <t>6-0</t>
  </si>
  <si>
    <t>0-6</t>
  </si>
  <si>
    <t>13-10</t>
  </si>
  <si>
    <t>10-13</t>
  </si>
  <si>
    <t>Penalty Tries: v Ita (11 Mr), Eng (12 Ag)</t>
  </si>
  <si>
    <t>Stade Geoffroy-Guichard, Saint-Etienne</t>
  </si>
  <si>
    <t>Mikheil Meskhi Stadium, Tbilisi</t>
  </si>
  <si>
    <t>25-6</t>
  </si>
  <si>
    <t>6-25</t>
  </si>
  <si>
    <t>INT = International; SNS = Summer Nations Series; WC = World Cup</t>
  </si>
  <si>
    <t>INT = Internationals; SNS = Summer Nations Series; WC = World Cup</t>
  </si>
  <si>
    <t>INT = Internationals; INT = International; WC = World Cup</t>
  </si>
  <si>
    <t>14-3</t>
  </si>
  <si>
    <t>Tevita Rokovereni (Fij)</t>
  </si>
  <si>
    <t>3-14</t>
  </si>
  <si>
    <t>1st Test</t>
  </si>
  <si>
    <t>Teufaiva Stadium, Nuku'alofa</t>
  </si>
  <si>
    <t>Estadio Algarve, Faro</t>
  </si>
  <si>
    <t>Penalty Tries: v USA (12 Ag)</t>
  </si>
  <si>
    <t>22-13</t>
  </si>
  <si>
    <t>13-22</t>
  </si>
  <si>
    <t>Bht = Stadionul National Arcul de Triumf, Bucharest; Agv = Estadio Algarve, Faro</t>
  </si>
  <si>
    <t>Estadio German Becker, Temuco</t>
  </si>
  <si>
    <t>Tco</t>
  </si>
  <si>
    <t>Mv = Estadio Charrua, Montevideo; Vp = Elias Figueroa, Valparaiso</t>
  </si>
  <si>
    <t>Francisco Gonzalez (Uru)</t>
  </si>
  <si>
    <t>Matias Esteban (Uru)</t>
  </si>
  <si>
    <t>26-0</t>
  </si>
  <si>
    <t>0-26</t>
  </si>
  <si>
    <t>9-24</t>
  </si>
  <si>
    <t>24-9</t>
  </si>
  <si>
    <t>2nd Test</t>
  </si>
  <si>
    <t>Summer Nations Series/Prince William Cup</t>
  </si>
  <si>
    <t>12-7</t>
  </si>
  <si>
    <t>Adam Jones (Wal)</t>
  </si>
  <si>
    <t>3-12</t>
  </si>
  <si>
    <t>31-7</t>
  </si>
  <si>
    <t>Ben Blain (Sco)</t>
  </si>
  <si>
    <t>Penalty Tries: v Bel (11 Fb), Ita (19 Ag)</t>
  </si>
  <si>
    <t>21-10</t>
  </si>
  <si>
    <t>Stadio Riviera delle Palme, San Benedetto del Tronto</t>
  </si>
  <si>
    <t>Stade de la Beaujoire, Nantes</t>
  </si>
  <si>
    <t>Ian Tempest (Eng)</t>
  </si>
  <si>
    <t>10-21</t>
  </si>
  <si>
    <t>0-14</t>
  </si>
  <si>
    <t>14-0</t>
  </si>
  <si>
    <t>31-3</t>
  </si>
  <si>
    <t>17-8</t>
  </si>
  <si>
    <t>8-17</t>
  </si>
  <si>
    <t>7-7</t>
  </si>
  <si>
    <t>16-5</t>
  </si>
  <si>
    <t>5-16</t>
  </si>
  <si>
    <t>Stadio Comunale di Monigo, Treviso</t>
  </si>
  <si>
    <t>Estadio Metropolitano, Madrid</t>
  </si>
  <si>
    <t>Stade Jean-Dauger, Bayonne</t>
  </si>
  <si>
    <t>Tries Aga</t>
  </si>
  <si>
    <t>DG</t>
  </si>
  <si>
    <t>YC</t>
  </si>
  <si>
    <t>RC</t>
  </si>
  <si>
    <t>RWCs</t>
  </si>
  <si>
    <t>World Cup Pool A</t>
  </si>
  <si>
    <t>9-8</t>
  </si>
  <si>
    <t>8-9</t>
  </si>
  <si>
    <t>World Cup Pool B</t>
  </si>
  <si>
    <t>Matmut Atlantique, Bordeaux</t>
  </si>
  <si>
    <t>33-8</t>
  </si>
  <si>
    <t>8-33</t>
  </si>
  <si>
    <t>World Cup Pool C</t>
  </si>
  <si>
    <t>World Cup Pool D</t>
  </si>
  <si>
    <t>Stade Velodrome, Marseille</t>
  </si>
  <si>
    <t>Ben O'Keeffe (Nzl0</t>
  </si>
  <si>
    <t>Curry</t>
  </si>
  <si>
    <r>
      <t xml:space="preserve">10+ Points scored in any </t>
    </r>
    <r>
      <rPr>
        <b/>
        <u/>
        <sz val="11"/>
        <color theme="1"/>
        <rFont val="Calibri"/>
        <family val="2"/>
        <scheme val="minor"/>
      </rPr>
      <t>10-minute</t>
    </r>
    <r>
      <rPr>
        <b/>
        <sz val="11"/>
        <color theme="1"/>
        <rFont val="Calibri"/>
        <family val="2"/>
        <scheme val="minor"/>
      </rPr>
      <t xml:space="preserve"> Powerplay period:</t>
    </r>
  </si>
  <si>
    <t>21-7</t>
  </si>
  <si>
    <t>7-21</t>
  </si>
  <si>
    <t>6-3</t>
  </si>
  <si>
    <t>3-6</t>
  </si>
  <si>
    <t>18-14</t>
  </si>
  <si>
    <t>14-18</t>
  </si>
  <si>
    <t>% Played</t>
  </si>
  <si>
    <t>11Mr</t>
  </si>
  <si>
    <t>18Mr</t>
  </si>
  <si>
    <t xml:space="preserve">Paris   </t>
  </si>
  <si>
    <t>St Etienne</t>
  </si>
  <si>
    <t>Lille</t>
  </si>
  <si>
    <t>Toulouse</t>
  </si>
  <si>
    <t>Nice</t>
  </si>
  <si>
    <t>Marseille</t>
  </si>
  <si>
    <t>Lyon</t>
  </si>
  <si>
    <t>Bordeaux</t>
  </si>
  <si>
    <t>Nantes</t>
  </si>
  <si>
    <t>Tf</t>
  </si>
  <si>
    <t>PF</t>
  </si>
  <si>
    <t>PA</t>
  </si>
  <si>
    <t>Opp</t>
  </si>
  <si>
    <t>PORTUGAL</t>
  </si>
  <si>
    <t>Stade Pierre-Mauroy, Lille</t>
  </si>
  <si>
    <t>NZL</t>
  </si>
  <si>
    <t>FRA</t>
  </si>
  <si>
    <t>ITA</t>
  </si>
  <si>
    <t>URU</t>
  </si>
  <si>
    <t>NAM</t>
  </si>
  <si>
    <t>IRE</t>
  </si>
  <si>
    <t>SCO</t>
  </si>
  <si>
    <t>RSA</t>
  </si>
  <si>
    <t>ROM</t>
  </si>
  <si>
    <t>TGA</t>
  </si>
  <si>
    <t>AUS</t>
  </si>
  <si>
    <t>WAL</t>
  </si>
  <si>
    <t>GEO</t>
  </si>
  <si>
    <t>POR</t>
  </si>
  <si>
    <t>FIJ</t>
  </si>
  <si>
    <t>ENG</t>
  </si>
  <si>
    <t>ARG</t>
  </si>
  <si>
    <t>SAM</t>
  </si>
  <si>
    <t>JPN</t>
  </si>
  <si>
    <t>CHI</t>
  </si>
  <si>
    <t>38-3</t>
  </si>
  <si>
    <t>3-38</t>
  </si>
  <si>
    <t>Taofifenua</t>
  </si>
  <si>
    <t>19-10</t>
  </si>
  <si>
    <t>10-19</t>
  </si>
  <si>
    <t>Allianz Riviera, Nice</t>
  </si>
  <si>
    <t>Pinto</t>
  </si>
  <si>
    <t>31-13</t>
  </si>
  <si>
    <t>13-31</t>
  </si>
  <si>
    <t>O'Mahony</t>
  </si>
  <si>
    <t>If at the completion of the pool phase two or more Teams are level on Match points, then the following criteria shall be used in the following order until one of the Teams can be determined as the higher ranked:</t>
  </si>
  <si>
    <t>1. The winner of the Match in which the two tied Teams have played each other shall be the higher ranked.</t>
  </si>
  <si>
    <t>2. The Team which has the best difference between points scored for and points scored against in all its pool Matches shall be the higher ranked.</t>
  </si>
  <si>
    <t>3. The Team which has the best difference between tries scored for and tries scored against in all its pool Matches shall be the higher ranked.</t>
  </si>
  <si>
    <t>4. The Team which has scored most points in all its pool Matches shall be the higher ranked.</t>
  </si>
  <si>
    <t>5. The Team which has scored most tries in all its pool Matches shall be the higher ranked.</t>
  </si>
  <si>
    <t>6. Should the tie be unresolved at the conclusion of steps 1 through 5, the rankings as per the updated. Official World Rugby World Rankings on October 14, 2019 will determine the higher ranked Team.</t>
  </si>
  <si>
    <t>For clarification, in the case of a tie between three or more Teams at the end of the pool phase, once the highest ranked Team has been determined following the above criteria, to determine the next higher ranked Team the process would repeat, starting at criterion 1.</t>
  </si>
  <si>
    <t>Qualification / elimination at the conclusion of the pool phase</t>
  </si>
  <si>
    <t>The winner and runner-up in each pool qualify for the quarter-finals. Teams ranked third, fourth and fifth will be eliminated from the Tournament.</t>
  </si>
  <si>
    <t>33-0</t>
  </si>
  <si>
    <t>0-33</t>
  </si>
  <si>
    <t>Penalty Tries: v Aus x 2 (8 Jl), v Wal (19 Ag), v Rom (17 Sp)</t>
  </si>
  <si>
    <t>7-17</t>
  </si>
  <si>
    <t>17-7</t>
  </si>
  <si>
    <t>Penalty Tries: v Chl (29 Jl), Ita (20 Sp)</t>
  </si>
  <si>
    <t>54-0</t>
  </si>
  <si>
    <t>0-54</t>
  </si>
  <si>
    <t>13-3</t>
  </si>
  <si>
    <t>3-13</t>
  </si>
  <si>
    <t>3-7</t>
  </si>
  <si>
    <t>Dittus (2), Escobar A, Inostroza, Sigren</t>
  </si>
  <si>
    <t>Cannone N, Fischetti</t>
  </si>
  <si>
    <t>7-3</t>
  </si>
  <si>
    <t>24-10</t>
  </si>
  <si>
    <t>10-24</t>
  </si>
  <si>
    <t>Fifita V</t>
  </si>
  <si>
    <t>Groupama Stadium, Lyon</t>
  </si>
  <si>
    <t>6-16</t>
  </si>
  <si>
    <t>16-6</t>
  </si>
  <si>
    <t>12-20</t>
  </si>
  <si>
    <t>20-12</t>
  </si>
  <si>
    <t>Benade, Coetzee, Uanivi, van Jaarsfeld</t>
  </si>
  <si>
    <t>Deysel, Sethie</t>
  </si>
  <si>
    <t>Tga v Ire, Uru v Nam</t>
  </si>
  <si>
    <t>Lam B</t>
  </si>
  <si>
    <t>49-3</t>
  </si>
  <si>
    <t>3-49</t>
  </si>
  <si>
    <t>24-0</t>
  </si>
  <si>
    <t>0-24</t>
  </si>
  <si>
    <t>Carreras S, Isgro</t>
  </si>
  <si>
    <t>0-9</t>
  </si>
  <si>
    <t>9-0</t>
  </si>
  <si>
    <t>AUS*</t>
  </si>
  <si>
    <t>0-42</t>
  </si>
  <si>
    <t>Ita v Nam, Ire v Rom, Uru v Ita, Uru v Nam, Sco v Rom</t>
  </si>
  <si>
    <t>24-7</t>
  </si>
  <si>
    <t>7-24</t>
  </si>
  <si>
    <r>
      <rPr>
        <b/>
        <sz val="11"/>
        <color theme="1"/>
        <rFont val="Calibri"/>
        <family val="2"/>
        <scheme val="minor"/>
      </rPr>
      <t>Sco v Rom</t>
    </r>
    <r>
      <rPr>
        <sz val="11"/>
        <color theme="1"/>
        <rFont val="Calibri"/>
        <family val="2"/>
        <scheme val="minor"/>
      </rPr>
      <t xml:space="preserve"> (some of this period 15 v 12 &amp; 15 v 13, scored seven additional points in this extended powerplay), </t>
    </r>
    <r>
      <rPr>
        <b/>
        <sz val="11"/>
        <color theme="1"/>
        <rFont val="Calibri"/>
        <family val="2"/>
        <scheme val="minor"/>
      </rPr>
      <t>Aus v Por</t>
    </r>
  </si>
  <si>
    <t>Bettencourt, Fernandes</t>
  </si>
  <si>
    <t>Faessler, Kerevi</t>
  </si>
  <si>
    <t>SCO*</t>
  </si>
  <si>
    <t>21-8</t>
  </si>
  <si>
    <t>8-21</t>
  </si>
  <si>
    <t>15 Oc</t>
  </si>
  <si>
    <t>Dosantos, Vilaseca</t>
  </si>
  <si>
    <t>ITA*</t>
  </si>
  <si>
    <t>21 Oc</t>
  </si>
  <si>
    <t>JPN*</t>
  </si>
  <si>
    <t>James Doleman (NZl)</t>
  </si>
  <si>
    <t>Pierre Brouzet (Fra)</t>
  </si>
  <si>
    <t>Basham, Domachowski, Williams J</t>
  </si>
  <si>
    <t>Modebadze, Niniashvili</t>
  </si>
  <si>
    <t>(record)</t>
  </si>
  <si>
    <t>Prev best</t>
  </si>
  <si>
    <t>1.7m 2019</t>
  </si>
  <si>
    <t>8-14</t>
  </si>
  <si>
    <t>14-8</t>
  </si>
  <si>
    <t>Enari, Manu, Paia'aua, Seuteni, Taumateine</t>
  </si>
  <si>
    <t>14 Oc</t>
  </si>
  <si>
    <t>Smith</t>
  </si>
  <si>
    <t>14-15</t>
  </si>
  <si>
    <t>15-14</t>
  </si>
  <si>
    <t>Horie, Labuschagne, Riley</t>
  </si>
  <si>
    <t>21-17</t>
  </si>
  <si>
    <t>17-21</t>
  </si>
  <si>
    <t>Fifita L, Taumoepeau</t>
  </si>
  <si>
    <t>Simionescu (2), Conache, Irimescu, Rosu</t>
  </si>
  <si>
    <t>3-3</t>
  </si>
  <si>
    <t>as at 13/10/23</t>
  </si>
  <si>
    <t>20 Oc</t>
  </si>
  <si>
    <t>FRA(Q)*</t>
  </si>
  <si>
    <t>NZL(q)*</t>
  </si>
  <si>
    <t>IRE(Q)*</t>
  </si>
  <si>
    <t>RSA(q)*</t>
  </si>
  <si>
    <t>WAL(Q)*</t>
  </si>
  <si>
    <t>FIJ(q)*</t>
  </si>
  <si>
    <t>ENG(Q)*</t>
  </si>
  <si>
    <t>ARG(q)"</t>
  </si>
  <si>
    <t>World Cup Quarter-Final</t>
  </si>
  <si>
    <t>**Jaco Peyper (RSA)</t>
  </si>
  <si>
    <t>** Peyper replaced by Karl Dickson (Eng) after 15 mins due to injury</t>
  </si>
  <si>
    <t>*Karl Dickson (Eng)</t>
  </si>
  <si>
    <t>*Jordan Way (Aus) took over as AR when Dickson became the referee</t>
  </si>
  <si>
    <t>17-18</t>
  </si>
  <si>
    <t>18-17</t>
  </si>
  <si>
    <t>Botia, Habosi, Radradra, Tagitagivalu, Tuisova</t>
  </si>
  <si>
    <t>22-19</t>
  </si>
  <si>
    <t>19-22</t>
  </si>
  <si>
    <t>World Cup Semi-Final</t>
  </si>
  <si>
    <t>WCB</t>
  </si>
  <si>
    <t>6-20</t>
  </si>
  <si>
    <t>20-6</t>
  </si>
  <si>
    <t>World Cup Bronze Final</t>
  </si>
  <si>
    <t>10-16</t>
  </si>
  <si>
    <t>16-10</t>
  </si>
  <si>
    <t>World Cup Final</t>
  </si>
  <si>
    <t>at end of the tournament</t>
  </si>
  <si>
    <t>Barrett S, Frizell, Jordan, Smith, Taylor</t>
  </si>
  <si>
    <t>Cane, de Groot</t>
  </si>
  <si>
    <t>Etzebeth, Kolbe, Kolisi</t>
  </si>
  <si>
    <t>Didn't have a PP</t>
  </si>
  <si>
    <t>RWC REC</t>
  </si>
  <si>
    <t>SIX NATIONS (2000-)</t>
  </si>
  <si>
    <t>CHAMPIONSHIP (1882-)</t>
  </si>
  <si>
    <t>Uganda</t>
  </si>
  <si>
    <t>Zambia</t>
  </si>
  <si>
    <t>Victoria Cup</t>
  </si>
  <si>
    <t>King’s Park Arena, Bweyogerere</t>
  </si>
  <si>
    <t>Stockholms Stadion, Stockholm</t>
  </si>
  <si>
    <t>Moldova</t>
  </si>
  <si>
    <t>Dinamo Stadium, Chisinau</t>
  </si>
  <si>
    <t>Rugby Europe Conference</t>
  </si>
  <si>
    <t>Myllypuro Sports Park, Helsinki</t>
  </si>
  <si>
    <t>RK Speed, Copenhagen</t>
  </si>
  <si>
    <t>Austria</t>
  </si>
  <si>
    <t>Moldiva</t>
  </si>
  <si>
    <t>Atatürk Olympic Stadium, Istanbul</t>
  </si>
  <si>
    <t>Pappelstadion, Mattersburg</t>
  </si>
  <si>
    <t>Luxembourg</t>
  </si>
  <si>
    <t>Oval Stanezici, Ljubljana</t>
  </si>
  <si>
    <t>Kenya</t>
  </si>
  <si>
    <t>Elgon Cup</t>
  </si>
  <si>
    <t>Kyadondo Rugby Club, Kampala</t>
  </si>
  <si>
    <t>Elgon Cup/Victoria Cup</t>
  </si>
  <si>
    <t>Markéta, Prague</t>
  </si>
  <si>
    <t>Makarska City Stadium, Makarska</t>
  </si>
  <si>
    <t>Stade Municipal, Yverdon-les-Bains</t>
  </si>
  <si>
    <t>Stade de Luxembourg, Luxembourg</t>
  </si>
  <si>
    <t>Central Stadium, Kaunas</t>
  </si>
  <si>
    <t xml:space="preserve">Lithuania </t>
  </si>
  <si>
    <t>Zemgales Olimpiskais Centrs, Jelgava</t>
  </si>
  <si>
    <t>Hong Kong China</t>
  </si>
  <si>
    <t>So Kon Po Recreation Ground, Hong Kong</t>
  </si>
  <si>
    <t>Aberdeen Sports Ground, Hong Kong</t>
  </si>
  <si>
    <t>Stadion Stjepan Spajić, Zagreb</t>
  </si>
  <si>
    <t>Tunisia</t>
  </si>
  <si>
    <t>Stade El Menzah, Tunis</t>
  </si>
  <si>
    <t>Kosovo</t>
  </si>
  <si>
    <t>Rugby Europe Development</t>
  </si>
  <si>
    <t>Hajvali Stadium, Pristina</t>
  </si>
  <si>
    <t>LV</t>
  </si>
  <si>
    <t>11 Nv</t>
  </si>
  <si>
    <t>18 Nv</t>
  </si>
  <si>
    <t>INT = International; LV = La Vila International Cup</t>
  </si>
  <si>
    <t>Brazil</t>
  </si>
  <si>
    <t>Tbl = Mikheil Meskhi Stadium, Tbilisi; Vja = Campo de El Pantano, Villajoyosa</t>
  </si>
  <si>
    <t>Vja</t>
  </si>
  <si>
    <t>Penalty Tries: v Rom (5 Ag), Prt (12 Ag), Esp (18 Nv)</t>
  </si>
  <si>
    <t>Jomo Kenyatta International Stadium, Kisumu</t>
  </si>
  <si>
    <t>Campo de El Pantano, Villajoyosa</t>
  </si>
  <si>
    <t>La Vila International Cup Semi-Final</t>
  </si>
  <si>
    <t>La Vila International Cup 3rd Place Play-off</t>
  </si>
  <si>
    <t>La Vila International Cup Final</t>
  </si>
  <si>
    <t>Vja = Campo de El Pantano, Villajoyosa</t>
  </si>
  <si>
    <t>6-26</t>
  </si>
  <si>
    <t>Damian Schneider (Uru)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</si>
</sst>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d/mm/yy;@"/>
  </numFmts>
  <fonts count="62" x14ac:knownFonts="1">
    <font>
      <sz val="11"/>
      <color theme="1"/>
      <name val="Calibri"/>
      <family val="2"/>
      <scheme val="minor"/>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rgb="FFFF0000"/>
      <name val="Calibri"/>
      <family val="2"/>
      <scheme val="minor"/>
    </font>
    <font>
      <b/>
      <sz val="11"/>
      <color theme="1"/>
      <name val="Calibri"/>
      <family val="2"/>
      <scheme val="minor"/>
    </font>
    <font>
      <b/>
      <sz val="11"/>
      <color rgb="FFFF0000"/>
      <name val="Calibri"/>
      <family val="2"/>
      <scheme val="minor"/>
    </font>
    <font>
      <sz val="11"/>
      <color rgb="FF0070C0"/>
      <name val="Calibri"/>
      <family val="2"/>
      <scheme val="minor"/>
    </font>
    <font>
      <b/>
      <sz val="11"/>
      <name val="Calibri"/>
      <family val="2"/>
      <scheme val="minor"/>
    </font>
    <font>
      <sz val="11"/>
      <name val="Calibri"/>
      <family val="2"/>
      <scheme val="minor"/>
    </font>
    <font>
      <sz val="11"/>
      <color rgb="FF002060"/>
      <name val="Calibri"/>
      <family val="2"/>
      <scheme val="minor"/>
    </font>
    <font>
      <sz val="11"/>
      <color rgb="FF00B050"/>
      <name val="Calibri"/>
      <family val="2"/>
      <scheme val="minor"/>
    </font>
    <font>
      <b/>
      <sz val="11"/>
      <color theme="0"/>
      <name val="Calibri"/>
      <family val="2"/>
      <scheme val="minor"/>
    </font>
    <font>
      <sz val="11"/>
      <color theme="0"/>
      <name val="Calibri"/>
      <family val="2"/>
      <scheme val="minor"/>
    </font>
    <font>
      <b/>
      <sz val="11"/>
      <color rgb="FF00B050"/>
      <name val="Calibri"/>
      <family val="2"/>
      <scheme val="minor"/>
    </font>
    <font>
      <sz val="8"/>
      <color theme="1"/>
      <name val="Calibri"/>
      <family val="2"/>
    </font>
    <font>
      <b/>
      <sz val="11"/>
      <color rgb="FF0070C0"/>
      <name val="Calibri"/>
      <family val="2"/>
      <scheme val="minor"/>
    </font>
    <font>
      <b/>
      <sz val="11"/>
      <color rgb="FF002060"/>
      <name val="Calibri"/>
      <family val="2"/>
      <scheme val="minor"/>
    </font>
    <font>
      <b/>
      <sz val="11"/>
      <color theme="0" tint="-0.249977111117893"/>
      <name val="Calibri"/>
      <family val="2"/>
      <scheme val="minor"/>
    </font>
    <font>
      <b/>
      <sz val="11"/>
      <color theme="0" tint="-0.499984740745262"/>
      <name val="Calibri"/>
      <family val="2"/>
      <scheme val="minor"/>
    </font>
    <font>
      <sz val="11"/>
      <color theme="0" tint="-0.499984740745262"/>
      <name val="Calibri"/>
      <family val="2"/>
      <scheme val="minor"/>
    </font>
    <font>
      <b/>
      <sz val="11"/>
      <color theme="0" tint="-0.34998626667073579"/>
      <name val="Calibri"/>
      <family val="2"/>
      <scheme val="minor"/>
    </font>
    <font>
      <b/>
      <sz val="12"/>
      <color theme="1"/>
      <name val="Calibri"/>
      <family val="2"/>
      <scheme val="minor"/>
    </font>
    <font>
      <sz val="10"/>
      <color theme="1"/>
      <name val="Calibri"/>
      <family val="2"/>
      <scheme val="minor"/>
    </font>
    <font>
      <b/>
      <sz val="11"/>
      <color rgb="FF000000"/>
      <name val="Calibri"/>
      <family val="2"/>
      <scheme val="minor"/>
    </font>
    <font>
      <sz val="11"/>
      <color rgb="FF000000"/>
      <name val="Calibri"/>
      <family val="2"/>
      <scheme val="minor"/>
    </font>
    <font>
      <sz val="11"/>
      <color theme="1"/>
      <name val="Calibri"/>
      <family val="2"/>
      <scheme val="minor"/>
    </font>
    <font>
      <b/>
      <sz val="11"/>
      <color rgb="FFC00000"/>
      <name val="Calibri"/>
      <family val="2"/>
      <scheme val="minor"/>
    </font>
    <font>
      <b/>
      <sz val="11"/>
      <color theme="4" tint="0.59999389629810485"/>
      <name val="Calibri"/>
      <family val="2"/>
      <scheme val="minor"/>
    </font>
    <font>
      <sz val="11"/>
      <color theme="4" tint="0.59999389629810485"/>
      <name val="Calibri"/>
      <family val="2"/>
      <scheme val="minor"/>
    </font>
    <font>
      <b/>
      <sz val="11"/>
      <color rgb="FFFFFF00"/>
      <name val="Calibri"/>
      <family val="2"/>
      <scheme val="minor"/>
    </font>
    <font>
      <b/>
      <sz val="11"/>
      <color theme="3" tint="0.59999389629810485"/>
      <name val="Calibri"/>
      <family val="2"/>
      <scheme val="minor"/>
    </font>
    <font>
      <sz val="11"/>
      <color theme="3" tint="0.59999389629810485"/>
      <name val="Calibri"/>
      <family val="2"/>
      <scheme val="minor"/>
    </font>
    <font>
      <b/>
      <sz val="11"/>
      <color rgb="FFFFC000"/>
      <name val="Calibri"/>
      <family val="2"/>
      <scheme val="minor"/>
    </font>
    <font>
      <sz val="11"/>
      <color rgb="FFFFC000"/>
      <name val="Calibri"/>
      <family val="2"/>
      <scheme val="minor"/>
    </font>
    <font>
      <sz val="11"/>
      <color rgb="FFC00000"/>
      <name val="Calibri"/>
      <family val="2"/>
      <scheme val="minor"/>
    </font>
    <font>
      <b/>
      <sz val="11"/>
      <color theme="5" tint="0.59999389629810485"/>
      <name val="Calibri"/>
      <family val="2"/>
      <scheme val="minor"/>
    </font>
    <font>
      <sz val="11"/>
      <color theme="5" tint="0.59999389629810485"/>
      <name val="Calibri"/>
      <family val="2"/>
      <scheme val="minor"/>
    </font>
    <font>
      <sz val="12"/>
      <color rgb="FFFF0000"/>
      <name val="Calibri"/>
      <family val="2"/>
      <scheme val="minor"/>
    </font>
    <font>
      <b/>
      <sz val="11"/>
      <color theme="8" tint="0.39997558519241921"/>
      <name val="Calibri"/>
      <family val="2"/>
      <scheme val="minor"/>
    </font>
    <font>
      <sz val="10"/>
      <color theme="0"/>
      <name val="Calibri"/>
      <family val="2"/>
      <scheme val="minor"/>
    </font>
    <font>
      <b/>
      <sz val="12"/>
      <color theme="0"/>
      <name val="Calibri"/>
      <family val="2"/>
      <scheme val="minor"/>
    </font>
    <font>
      <sz val="12"/>
      <color theme="0"/>
      <name val="Calibri"/>
      <family val="2"/>
      <scheme val="minor"/>
    </font>
    <font>
      <b/>
      <sz val="10"/>
      <color theme="0"/>
      <name val="Calibri"/>
      <family val="2"/>
      <scheme val="minor"/>
    </font>
    <font>
      <b/>
      <sz val="11"/>
      <color theme="7" tint="0.39997558519241921"/>
      <name val="Calibri"/>
      <family val="2"/>
      <scheme val="minor"/>
    </font>
    <font>
      <sz val="11"/>
      <color theme="7" tint="0.39997558519241921"/>
      <name val="Calibri"/>
      <family val="2"/>
      <scheme val="minor"/>
    </font>
    <font>
      <b/>
      <u/>
      <sz val="11"/>
      <color rgb="FFFF0000"/>
      <name val="Calibri"/>
      <family val="2"/>
      <scheme val="minor"/>
    </font>
    <font>
      <b/>
      <i/>
      <sz val="11"/>
      <color rgb="FF000000"/>
      <name val="Calibri"/>
      <family val="2"/>
      <scheme val="minor"/>
    </font>
    <font>
      <sz val="10"/>
      <color theme="3" tint="0.59999389629810485"/>
      <name val="Calibri"/>
      <family val="2"/>
      <scheme val="minor"/>
    </font>
    <font>
      <b/>
      <sz val="11"/>
      <color theme="0" tint="-0.14999847407452621"/>
      <name val="Calibri"/>
      <family val="2"/>
      <scheme val="minor"/>
    </font>
    <font>
      <b/>
      <sz val="11"/>
      <color theme="6" tint="-0.249977111117893"/>
      <name val="Calibri"/>
      <family val="2"/>
      <scheme val="minor"/>
    </font>
    <font>
      <b/>
      <sz val="11"/>
      <color rgb="FFFFFFFF"/>
      <name val="Calibri"/>
      <family val="2"/>
      <scheme val="minor"/>
    </font>
    <font>
      <b/>
      <sz val="11"/>
      <color theme="5" tint="0.39997558519241921"/>
      <name val="Calibri"/>
      <family val="2"/>
      <scheme val="minor"/>
    </font>
    <font>
      <sz val="11"/>
      <color theme="5" tint="0.39997558519241921"/>
      <name val="Calibri"/>
      <family val="2"/>
      <scheme val="minor"/>
    </font>
    <font>
      <sz val="10"/>
      <color theme="5" tint="0.39997558519241921"/>
      <name val="Calibri"/>
      <family val="2"/>
      <scheme val="minor"/>
    </font>
    <font>
      <b/>
      <sz val="11"/>
      <color rgb="FF00B0F0"/>
      <name val="Calibri"/>
      <family val="2"/>
      <scheme val="minor"/>
    </font>
    <font>
      <sz val="11"/>
      <color rgb="FF00B0F0"/>
      <name val="Calibri"/>
      <family val="2"/>
      <scheme val="minor"/>
    </font>
    <font>
      <b/>
      <sz val="8"/>
      <color theme="1"/>
      <name val="Calibri"/>
      <family val="2"/>
      <scheme val="minor"/>
    </font>
    <font>
      <sz val="11"/>
      <color theme="8" tint="0.39997558519241921"/>
      <name val="Calibri"/>
      <family val="2"/>
      <scheme val="minor"/>
    </font>
    <font>
      <b/>
      <u/>
      <sz val="11"/>
      <color theme="1"/>
      <name val="Calibri"/>
      <family val="2"/>
      <scheme val="minor"/>
    </font>
  </fonts>
  <fills count="3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1"/>
        <bgColor indexed="64"/>
      </patternFill>
    </fill>
    <fill>
      <patternFill patternType="solid">
        <fgColor rgb="FF00B050"/>
        <bgColor indexed="64"/>
      </patternFill>
    </fill>
    <fill>
      <patternFill patternType="solid">
        <fgColor rgb="FFFFC000"/>
        <bgColor indexed="64"/>
      </patternFill>
    </fill>
    <fill>
      <patternFill patternType="solid">
        <fgColor rgb="FFFFCC00"/>
        <bgColor indexed="64"/>
      </patternFill>
    </fill>
    <fill>
      <patternFill patternType="solid">
        <fgColor theme="5" tint="-0.499984740745262"/>
        <bgColor indexed="64"/>
      </patternFill>
    </fill>
    <fill>
      <patternFill patternType="solid">
        <fgColor rgb="FF002060"/>
        <bgColor indexed="64"/>
      </patternFill>
    </fill>
    <fill>
      <patternFill patternType="solid">
        <fgColor theme="6" tint="-0.499984740745262"/>
        <bgColor indexed="64"/>
      </patternFill>
    </fill>
    <fill>
      <patternFill patternType="solid">
        <fgColor rgb="FF00B0F0"/>
        <bgColor indexed="64"/>
      </patternFill>
    </fill>
    <fill>
      <patternFill patternType="solid">
        <fgColor rgb="FF0070C0"/>
        <bgColor indexed="64"/>
      </patternFill>
    </fill>
    <fill>
      <patternFill patternType="solid">
        <fgColor theme="4" tint="0.39997558519241921"/>
        <bgColor indexed="64"/>
      </patternFill>
    </fill>
    <fill>
      <patternFill patternType="solid">
        <fgColor rgb="FFFFFF99"/>
        <bgColor indexed="64"/>
      </patternFill>
    </fill>
    <fill>
      <patternFill patternType="solid">
        <fgColor rgb="FFFF4B21"/>
        <bgColor indexed="64"/>
      </patternFill>
    </fill>
    <fill>
      <patternFill patternType="solid">
        <fgColor theme="6" tint="0.59999389629810485"/>
        <bgColor indexed="64"/>
      </patternFill>
    </fill>
    <fill>
      <patternFill patternType="solid">
        <fgColor rgb="FFF2F2F2"/>
        <bgColor indexed="64"/>
      </patternFill>
    </fill>
    <fill>
      <patternFill patternType="solid">
        <fgColor rgb="FFFFFFFF"/>
        <bgColor indexed="64"/>
      </patternFill>
    </fill>
    <fill>
      <patternFill patternType="solid">
        <fgColor theme="2" tint="-0.749992370372631"/>
        <bgColor indexed="64"/>
      </patternFill>
    </fill>
    <fill>
      <patternFill patternType="solid">
        <fgColor theme="2" tint="-0.499984740745262"/>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rgb="FF000000"/>
        <bgColor indexed="64"/>
      </patternFill>
    </fill>
    <fill>
      <patternFill patternType="solid">
        <fgColor theme="0" tint="-0.34998626667073579"/>
        <bgColor indexed="64"/>
      </patternFill>
    </fill>
    <fill>
      <patternFill patternType="solid">
        <fgColor rgb="FF7030A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4F6228"/>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3" tint="0.59999389629810485"/>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right/>
      <top/>
      <bottom style="medium">
        <color auto="1"/>
      </bottom>
      <diagonal/>
    </border>
    <border>
      <left style="medium">
        <color auto="1"/>
      </left>
      <right style="thin">
        <color auto="1"/>
      </right>
      <top/>
      <bottom/>
      <diagonal/>
    </border>
    <border>
      <left style="medium">
        <color auto="1"/>
      </left>
      <right/>
      <top/>
      <bottom/>
      <diagonal/>
    </border>
    <border>
      <left style="thin">
        <color indexed="64"/>
      </left>
      <right style="medium">
        <color indexed="64"/>
      </right>
      <top/>
      <bottom/>
      <diagonal/>
    </border>
    <border>
      <left/>
      <right style="medium">
        <color indexed="64"/>
      </right>
      <top style="medium">
        <color indexed="64"/>
      </top>
      <bottom/>
      <diagonal/>
    </border>
  </borders>
  <cellStyleXfs count="1">
    <xf numFmtId="0" fontId="0" fillId="0" borderId="0"/>
  </cellStyleXfs>
  <cellXfs count="1174">
    <xf numFmtId="0" fontId="0" fillId="0" borderId="0" xfId="0"/>
    <xf numFmtId="0" fontId="14" fillId="4" borderId="2" xfId="0" applyFont="1" applyFill="1" applyBorder="1"/>
    <xf numFmtId="0" fontId="15" fillId="4" borderId="7" xfId="0" applyFont="1" applyFill="1" applyBorder="1"/>
    <xf numFmtId="49" fontId="15" fillId="4" borderId="7" xfId="0" applyNumberFormat="1" applyFont="1" applyFill="1" applyBorder="1"/>
    <xf numFmtId="0" fontId="15" fillId="4" borderId="8" xfId="0" applyFont="1" applyFill="1" applyBorder="1"/>
    <xf numFmtId="0" fontId="15" fillId="4" borderId="9" xfId="0" applyFont="1" applyFill="1" applyBorder="1"/>
    <xf numFmtId="0" fontId="14" fillId="4" borderId="1" xfId="0" applyFont="1" applyFill="1" applyBorder="1"/>
    <xf numFmtId="0" fontId="14" fillId="4" borderId="10" xfId="0" applyFont="1" applyFill="1" applyBorder="1" applyAlignment="1">
      <alignment vertical="center" wrapText="1"/>
    </xf>
    <xf numFmtId="0" fontId="14" fillId="4" borderId="5" xfId="0" applyFont="1" applyFill="1" applyBorder="1" applyAlignment="1">
      <alignment vertical="center" wrapText="1"/>
    </xf>
    <xf numFmtId="0" fontId="14" fillId="4" borderId="1" xfId="0" applyFont="1" applyFill="1" applyBorder="1" applyAlignment="1">
      <alignment vertical="center" wrapText="1"/>
    </xf>
    <xf numFmtId="0" fontId="14" fillId="4" borderId="1"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7" fillId="3" borderId="10" xfId="0" applyFont="1" applyFill="1" applyBorder="1" applyAlignment="1">
      <alignment vertical="center" wrapText="1"/>
    </xf>
    <xf numFmtId="0" fontId="14" fillId="3" borderId="0" xfId="0" applyFont="1" applyFill="1"/>
    <xf numFmtId="0" fontId="0" fillId="3" borderId="0" xfId="0" applyFill="1"/>
    <xf numFmtId="0" fontId="17" fillId="0" borderId="0" xfId="0" applyFont="1"/>
    <xf numFmtId="0" fontId="16" fillId="9" borderId="1" xfId="0" applyFont="1" applyFill="1" applyBorder="1"/>
    <xf numFmtId="0" fontId="16" fillId="9" borderId="2" xfId="0" applyFont="1" applyFill="1" applyBorder="1"/>
    <xf numFmtId="0" fontId="16" fillId="9" borderId="11" xfId="0" applyFont="1" applyFill="1" applyBorder="1"/>
    <xf numFmtId="0" fontId="16" fillId="9" borderId="10" xfId="0" applyFont="1" applyFill="1" applyBorder="1" applyAlignment="1">
      <alignment vertical="center" wrapText="1"/>
    </xf>
    <xf numFmtId="0" fontId="16" fillId="9" borderId="5" xfId="0" applyFont="1" applyFill="1" applyBorder="1" applyAlignment="1">
      <alignment vertical="center" wrapText="1"/>
    </xf>
    <xf numFmtId="0" fontId="16" fillId="9" borderId="1" xfId="0" applyFont="1" applyFill="1" applyBorder="1" applyAlignment="1">
      <alignment vertical="center" wrapText="1"/>
    </xf>
    <xf numFmtId="0" fontId="16" fillId="9" borderId="1" xfId="0" applyFont="1" applyFill="1" applyBorder="1" applyAlignment="1">
      <alignment horizontal="center" vertical="center" wrapText="1"/>
    </xf>
    <xf numFmtId="0" fontId="16" fillId="9" borderId="6" xfId="0" applyFont="1" applyFill="1" applyBorder="1" applyAlignment="1">
      <alignment horizontal="center" vertical="center" wrapText="1"/>
    </xf>
    <xf numFmtId="0" fontId="13" fillId="9" borderId="7" xfId="0" applyFont="1" applyFill="1" applyBorder="1"/>
    <xf numFmtId="49" fontId="13" fillId="9" borderId="7" xfId="0" applyNumberFormat="1" applyFont="1" applyFill="1" applyBorder="1"/>
    <xf numFmtId="0" fontId="13" fillId="9" borderId="8" xfId="0" applyFont="1" applyFill="1" applyBorder="1"/>
    <xf numFmtId="0" fontId="13" fillId="9" borderId="9" xfId="0" applyFont="1" applyFill="1" applyBorder="1"/>
    <xf numFmtId="0" fontId="8" fillId="10" borderId="1" xfId="0" applyFont="1" applyFill="1" applyBorder="1"/>
    <xf numFmtId="0" fontId="8" fillId="10" borderId="2" xfId="0" applyFont="1" applyFill="1" applyBorder="1"/>
    <xf numFmtId="0" fontId="8" fillId="10" borderId="11" xfId="0" applyFont="1" applyFill="1" applyBorder="1"/>
    <xf numFmtId="0" fontId="8" fillId="10" borderId="10" xfId="0" applyFont="1" applyFill="1" applyBorder="1" applyAlignment="1">
      <alignment vertical="center" wrapText="1"/>
    </xf>
    <xf numFmtId="0" fontId="8" fillId="10" borderId="5" xfId="0" applyFont="1" applyFill="1" applyBorder="1" applyAlignment="1">
      <alignment vertical="center" wrapText="1"/>
    </xf>
    <xf numFmtId="0" fontId="8" fillId="10" borderId="1" xfId="0" applyFont="1" applyFill="1" applyBorder="1" applyAlignment="1">
      <alignment vertical="center" wrapText="1"/>
    </xf>
    <xf numFmtId="0" fontId="8" fillId="10" borderId="1"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6" fillId="10" borderId="7" xfId="0" applyFont="1" applyFill="1" applyBorder="1"/>
    <xf numFmtId="49" fontId="6" fillId="10" borderId="7" xfId="0" applyNumberFormat="1" applyFont="1" applyFill="1" applyBorder="1"/>
    <xf numFmtId="0" fontId="6" fillId="10" borderId="8" xfId="0" applyFont="1" applyFill="1" applyBorder="1"/>
    <xf numFmtId="0" fontId="6" fillId="10" borderId="12" xfId="0" applyFont="1" applyFill="1" applyBorder="1"/>
    <xf numFmtId="0" fontId="6" fillId="10" borderId="9" xfId="0" applyFont="1" applyFill="1" applyBorder="1"/>
    <xf numFmtId="0" fontId="7" fillId="3" borderId="1" xfId="0" applyFont="1" applyFill="1" applyBorder="1"/>
    <xf numFmtId="0" fontId="7" fillId="3" borderId="2" xfId="0" applyFont="1" applyFill="1" applyBorder="1"/>
    <xf numFmtId="0" fontId="7" fillId="3" borderId="11" xfId="0" applyFont="1" applyFill="1" applyBorder="1"/>
    <xf numFmtId="0" fontId="7" fillId="3" borderId="5" xfId="0" applyFont="1" applyFill="1" applyBorder="1" applyAlignment="1">
      <alignment vertical="center" wrapText="1"/>
    </xf>
    <xf numFmtId="0" fontId="7"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0" fillId="3" borderId="7" xfId="0" applyFill="1" applyBorder="1"/>
    <xf numFmtId="49" fontId="0" fillId="3" borderId="7" xfId="0" applyNumberFormat="1" applyFill="1" applyBorder="1"/>
    <xf numFmtId="0" fontId="0" fillId="3" borderId="8" xfId="0" applyFill="1" applyBorder="1"/>
    <xf numFmtId="0" fontId="0" fillId="3" borderId="9" xfId="0" applyFill="1" applyBorder="1"/>
    <xf numFmtId="0" fontId="14" fillId="4" borderId="11" xfId="0" applyFont="1" applyFill="1" applyBorder="1"/>
    <xf numFmtId="0" fontId="15" fillId="4" borderId="12" xfId="0" applyFont="1" applyFill="1" applyBorder="1"/>
    <xf numFmtId="0" fontId="14" fillId="7" borderId="1" xfId="0" applyFont="1" applyFill="1" applyBorder="1"/>
    <xf numFmtId="0" fontId="14" fillId="7" borderId="2" xfId="0" applyFont="1" applyFill="1" applyBorder="1"/>
    <xf numFmtId="0" fontId="14" fillId="7" borderId="11" xfId="0" applyFont="1" applyFill="1" applyBorder="1"/>
    <xf numFmtId="0" fontId="14" fillId="7" borderId="10" xfId="0" applyFont="1" applyFill="1" applyBorder="1" applyAlignment="1">
      <alignment vertical="center" wrapText="1"/>
    </xf>
    <xf numFmtId="0" fontId="14" fillId="7" borderId="5" xfId="0" applyFont="1" applyFill="1" applyBorder="1" applyAlignment="1">
      <alignment vertical="center" wrapText="1"/>
    </xf>
    <xf numFmtId="0" fontId="14" fillId="7" borderId="1" xfId="0" applyFont="1" applyFill="1" applyBorder="1" applyAlignment="1">
      <alignment vertical="center" wrapText="1"/>
    </xf>
    <xf numFmtId="0" fontId="14" fillId="7" borderId="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5" fillId="7" borderId="7" xfId="0" applyFont="1" applyFill="1" applyBorder="1"/>
    <xf numFmtId="49" fontId="15" fillId="7" borderId="7" xfId="0" applyNumberFormat="1" applyFont="1" applyFill="1" applyBorder="1"/>
    <xf numFmtId="0" fontId="15" fillId="7" borderId="8" xfId="0" applyFont="1" applyFill="1" applyBorder="1"/>
    <xf numFmtId="0" fontId="15" fillId="7" borderId="12" xfId="0" applyFont="1" applyFill="1" applyBorder="1"/>
    <xf numFmtId="0" fontId="15" fillId="7" borderId="9" xfId="0" applyFont="1" applyFill="1" applyBorder="1"/>
    <xf numFmtId="0" fontId="14" fillId="12" borderId="1" xfId="0" applyFont="1" applyFill="1" applyBorder="1"/>
    <xf numFmtId="0" fontId="14" fillId="12" borderId="2" xfId="0" applyFont="1" applyFill="1" applyBorder="1"/>
    <xf numFmtId="0" fontId="14" fillId="12" borderId="11" xfId="0" applyFont="1" applyFill="1" applyBorder="1"/>
    <xf numFmtId="0" fontId="14" fillId="12" borderId="10" xfId="0" applyFont="1" applyFill="1" applyBorder="1" applyAlignment="1">
      <alignment vertical="center" wrapText="1"/>
    </xf>
    <xf numFmtId="0" fontId="14" fillId="12" borderId="5" xfId="0" applyFont="1" applyFill="1" applyBorder="1" applyAlignment="1">
      <alignment vertical="center" wrapText="1"/>
    </xf>
    <xf numFmtId="0" fontId="14" fillId="12" borderId="1" xfId="0" applyFont="1" applyFill="1" applyBorder="1" applyAlignment="1">
      <alignment vertical="center" wrapText="1"/>
    </xf>
    <xf numFmtId="0" fontId="14" fillId="12" borderId="1" xfId="0" applyFont="1" applyFill="1" applyBorder="1" applyAlignment="1">
      <alignment horizontal="center" vertical="center" wrapText="1"/>
    </xf>
    <xf numFmtId="0" fontId="14" fillId="12" borderId="6" xfId="0" applyFont="1" applyFill="1" applyBorder="1" applyAlignment="1">
      <alignment horizontal="center" vertical="center" wrapText="1"/>
    </xf>
    <xf numFmtId="0" fontId="15" fillId="12" borderId="7" xfId="0" applyFont="1" applyFill="1" applyBorder="1"/>
    <xf numFmtId="49" fontId="15" fillId="12" borderId="7" xfId="0" applyNumberFormat="1" applyFont="1" applyFill="1" applyBorder="1"/>
    <xf numFmtId="0" fontId="15" fillId="12" borderId="8" xfId="0" applyFont="1" applyFill="1" applyBorder="1"/>
    <xf numFmtId="0" fontId="15" fillId="12" borderId="12" xfId="0" applyFont="1" applyFill="1" applyBorder="1"/>
    <xf numFmtId="0" fontId="15" fillId="12" borderId="9" xfId="0" applyFont="1" applyFill="1" applyBorder="1"/>
    <xf numFmtId="0" fontId="14" fillId="13" borderId="1" xfId="0" applyFont="1" applyFill="1" applyBorder="1"/>
    <xf numFmtId="0" fontId="14" fillId="13" borderId="5" xfId="0" applyFont="1" applyFill="1" applyBorder="1" applyAlignment="1">
      <alignment vertical="center" wrapText="1"/>
    </xf>
    <xf numFmtId="0" fontId="14" fillId="13" borderId="1" xfId="0" applyFont="1" applyFill="1" applyBorder="1" applyAlignment="1">
      <alignment vertical="center" wrapText="1"/>
    </xf>
    <xf numFmtId="0" fontId="21" fillId="6" borderId="1" xfId="0" applyFont="1" applyFill="1" applyBorder="1"/>
    <xf numFmtId="0" fontId="21" fillId="6" borderId="2" xfId="0" applyFont="1" applyFill="1" applyBorder="1"/>
    <xf numFmtId="0" fontId="21" fillId="6" borderId="11" xfId="0" applyFont="1" applyFill="1" applyBorder="1"/>
    <xf numFmtId="0" fontId="21" fillId="6" borderId="10" xfId="0" applyFont="1" applyFill="1" applyBorder="1" applyAlignment="1">
      <alignment vertical="center" wrapText="1"/>
    </xf>
    <xf numFmtId="0" fontId="21" fillId="6" borderId="5" xfId="0" applyFont="1" applyFill="1" applyBorder="1" applyAlignment="1">
      <alignment vertical="center" wrapText="1"/>
    </xf>
    <xf numFmtId="0" fontId="21" fillId="6" borderId="1" xfId="0" applyFont="1" applyFill="1" applyBorder="1" applyAlignment="1">
      <alignment vertical="center" wrapText="1"/>
    </xf>
    <xf numFmtId="0" fontId="21" fillId="6" borderId="1"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2" fillId="6" borderId="7" xfId="0" applyFont="1" applyFill="1" applyBorder="1"/>
    <xf numFmtId="49" fontId="22" fillId="6" borderId="7" xfId="0" applyNumberFormat="1" applyFont="1" applyFill="1" applyBorder="1"/>
    <xf numFmtId="0" fontId="22" fillId="6" borderId="8" xfId="0" applyFont="1" applyFill="1" applyBorder="1"/>
    <xf numFmtId="0" fontId="22" fillId="6" borderId="12" xfId="0" applyFont="1" applyFill="1" applyBorder="1"/>
    <xf numFmtId="0" fontId="22" fillId="6" borderId="9" xfId="0" applyFont="1" applyFill="1" applyBorder="1"/>
    <xf numFmtId="0" fontId="18" fillId="2" borderId="1" xfId="0" applyFont="1" applyFill="1" applyBorder="1"/>
    <xf numFmtId="0" fontId="18" fillId="2" borderId="2" xfId="0" applyFont="1" applyFill="1" applyBorder="1"/>
    <xf numFmtId="0" fontId="18" fillId="2" borderId="10" xfId="0" applyFont="1" applyFill="1" applyBorder="1" applyAlignment="1">
      <alignment vertical="center" wrapText="1"/>
    </xf>
    <xf numFmtId="0" fontId="18" fillId="2" borderId="5" xfId="0" applyFont="1" applyFill="1" applyBorder="1" applyAlignment="1">
      <alignment vertical="center" wrapText="1"/>
    </xf>
    <xf numFmtId="0" fontId="18" fillId="2" borderId="1" xfId="0" applyFont="1" applyFill="1" applyBorder="1" applyAlignment="1">
      <alignment vertical="center" wrapText="1"/>
    </xf>
    <xf numFmtId="0" fontId="18" fillId="2" borderId="1"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9" fillId="2" borderId="7" xfId="0" applyFont="1" applyFill="1" applyBorder="1"/>
    <xf numFmtId="49" fontId="9" fillId="2" borderId="7" xfId="0" applyNumberFormat="1" applyFont="1" applyFill="1" applyBorder="1"/>
    <xf numFmtId="0" fontId="9" fillId="2" borderId="8" xfId="0" applyFont="1" applyFill="1" applyBorder="1"/>
    <xf numFmtId="0" fontId="14" fillId="11" borderId="1" xfId="0" applyFont="1" applyFill="1" applyBorder="1"/>
    <xf numFmtId="0" fontId="14" fillId="11" borderId="2" xfId="0" applyFont="1" applyFill="1" applyBorder="1"/>
    <xf numFmtId="0" fontId="14" fillId="11" borderId="11" xfId="0" applyFont="1" applyFill="1" applyBorder="1"/>
    <xf numFmtId="0" fontId="14" fillId="11" borderId="10" xfId="0" applyFont="1" applyFill="1" applyBorder="1" applyAlignment="1">
      <alignment vertical="center" wrapText="1"/>
    </xf>
    <xf numFmtId="0" fontId="14" fillId="11" borderId="5" xfId="0" applyFont="1" applyFill="1" applyBorder="1" applyAlignment="1">
      <alignment vertical="center" wrapText="1"/>
    </xf>
    <xf numFmtId="0" fontId="14" fillId="11" borderId="1" xfId="0" applyFont="1" applyFill="1" applyBorder="1" applyAlignment="1">
      <alignment vertical="center" wrapText="1"/>
    </xf>
    <xf numFmtId="0" fontId="14" fillId="11" borderId="1" xfId="0" applyFont="1" applyFill="1" applyBorder="1" applyAlignment="1">
      <alignment horizontal="center" vertical="center" wrapText="1"/>
    </xf>
    <xf numFmtId="0" fontId="14" fillId="11" borderId="6" xfId="0" applyFont="1" applyFill="1" applyBorder="1" applyAlignment="1">
      <alignment horizontal="center" vertical="center" wrapText="1"/>
    </xf>
    <xf numFmtId="0" fontId="15" fillId="11" borderId="7" xfId="0" applyFont="1" applyFill="1" applyBorder="1"/>
    <xf numFmtId="49" fontId="15" fillId="11" borderId="7" xfId="0" applyNumberFormat="1" applyFont="1" applyFill="1" applyBorder="1"/>
    <xf numFmtId="0" fontId="15" fillId="11" borderId="8" xfId="0" applyFont="1" applyFill="1" applyBorder="1"/>
    <xf numFmtId="0" fontId="15" fillId="11" borderId="12" xfId="0" applyFont="1" applyFill="1" applyBorder="1"/>
    <xf numFmtId="0" fontId="15" fillId="11" borderId="9" xfId="0" applyFont="1" applyFill="1" applyBorder="1"/>
    <xf numFmtId="0" fontId="19" fillId="4" borderId="1" xfId="0" applyFont="1" applyFill="1" applyBorder="1"/>
    <xf numFmtId="0" fontId="19" fillId="4" borderId="2" xfId="0" applyFont="1" applyFill="1" applyBorder="1"/>
    <xf numFmtId="0" fontId="19" fillId="4" borderId="11" xfId="0" applyFont="1" applyFill="1" applyBorder="1"/>
    <xf numFmtId="0" fontId="19" fillId="4" borderId="10" xfId="0" applyFont="1" applyFill="1" applyBorder="1" applyAlignment="1">
      <alignment vertical="center" wrapText="1"/>
    </xf>
    <xf numFmtId="0" fontId="19" fillId="4" borderId="5" xfId="0" applyFont="1" applyFill="1" applyBorder="1" applyAlignment="1">
      <alignment vertical="center" wrapText="1"/>
    </xf>
    <xf numFmtId="0" fontId="19" fillId="4" borderId="1" xfId="0" applyFont="1" applyFill="1" applyBorder="1" applyAlignment="1">
      <alignment vertical="center" wrapText="1"/>
    </xf>
    <xf numFmtId="0" fontId="19" fillId="4" borderId="1"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2" fillId="4" borderId="7" xfId="0" applyFont="1" applyFill="1" applyBorder="1"/>
    <xf numFmtId="49" fontId="12" fillId="4" borderId="7" xfId="0" applyNumberFormat="1" applyFont="1" applyFill="1" applyBorder="1"/>
    <xf numFmtId="0" fontId="12" fillId="4" borderId="8" xfId="0" applyFont="1" applyFill="1" applyBorder="1"/>
    <xf numFmtId="0" fontId="12" fillId="4" borderId="9" xfId="0" applyFont="1" applyFill="1" applyBorder="1"/>
    <xf numFmtId="0" fontId="10" fillId="13" borderId="1" xfId="0" applyFont="1" applyFill="1" applyBorder="1"/>
    <xf numFmtId="0" fontId="10" fillId="13" borderId="10" xfId="0" applyFont="1" applyFill="1" applyBorder="1" applyAlignment="1">
      <alignment vertical="center" wrapText="1"/>
    </xf>
    <xf numFmtId="0" fontId="10" fillId="13" borderId="5" xfId="0" applyFont="1" applyFill="1" applyBorder="1" applyAlignment="1">
      <alignment vertical="center" wrapText="1"/>
    </xf>
    <xf numFmtId="0" fontId="10" fillId="13" borderId="1" xfId="0" applyFont="1" applyFill="1" applyBorder="1" applyAlignment="1">
      <alignment vertical="center" wrapText="1"/>
    </xf>
    <xf numFmtId="0" fontId="10" fillId="13" borderId="1" xfId="0" applyFont="1" applyFill="1" applyBorder="1" applyAlignment="1">
      <alignment horizontal="center" vertical="center" wrapText="1"/>
    </xf>
    <xf numFmtId="0" fontId="10" fillId="13" borderId="6" xfId="0" applyFont="1" applyFill="1" applyBorder="1" applyAlignment="1">
      <alignment horizontal="center" vertical="center" wrapText="1"/>
    </xf>
    <xf numFmtId="0" fontId="11" fillId="13" borderId="7" xfId="0" applyFont="1" applyFill="1" applyBorder="1"/>
    <xf numFmtId="0" fontId="11" fillId="13" borderId="8" xfId="0" applyFont="1" applyFill="1" applyBorder="1"/>
    <xf numFmtId="0" fontId="11" fillId="13" borderId="9" xfId="0" applyFont="1" applyFill="1" applyBorder="1"/>
    <xf numFmtId="0" fontId="16" fillId="9" borderId="3" xfId="0" applyFont="1" applyFill="1" applyBorder="1" applyAlignment="1">
      <alignment horizontal="left" wrapText="1"/>
    </xf>
    <xf numFmtId="0" fontId="8" fillId="10" borderId="3" xfId="0" applyFont="1" applyFill="1" applyBorder="1" applyAlignment="1">
      <alignment horizontal="left" wrapText="1"/>
    </xf>
    <xf numFmtId="0" fontId="7" fillId="3" borderId="3" xfId="0" applyFont="1" applyFill="1" applyBorder="1" applyAlignment="1">
      <alignment horizontal="left" wrapText="1"/>
    </xf>
    <xf numFmtId="0" fontId="14" fillId="7" borderId="3" xfId="0" applyFont="1" applyFill="1" applyBorder="1" applyAlignment="1">
      <alignment horizontal="left" wrapText="1"/>
    </xf>
    <xf numFmtId="0" fontId="21" fillId="6" borderId="3" xfId="0" applyFont="1" applyFill="1" applyBorder="1" applyAlignment="1">
      <alignment horizontal="left" wrapText="1"/>
    </xf>
    <xf numFmtId="0" fontId="18" fillId="2" borderId="3" xfId="0" applyFont="1" applyFill="1" applyBorder="1" applyAlignment="1">
      <alignment horizontal="left" wrapText="1"/>
    </xf>
    <xf numFmtId="0" fontId="14" fillId="11" borderId="3" xfId="0" applyFont="1" applyFill="1" applyBorder="1" applyAlignment="1">
      <alignment horizontal="left" wrapText="1"/>
    </xf>
    <xf numFmtId="0" fontId="14" fillId="12" borderId="3" xfId="0" applyFont="1" applyFill="1" applyBorder="1" applyAlignment="1">
      <alignment horizontal="left" wrapText="1"/>
    </xf>
    <xf numFmtId="0" fontId="19" fillId="4" borderId="3" xfId="0" applyFont="1" applyFill="1" applyBorder="1" applyAlignment="1">
      <alignment horizontal="left" wrapText="1"/>
    </xf>
    <xf numFmtId="0" fontId="10" fillId="13" borderId="3" xfId="0" applyFont="1" applyFill="1" applyBorder="1" applyAlignment="1">
      <alignment horizontal="left" wrapText="1"/>
    </xf>
    <xf numFmtId="0" fontId="14" fillId="4" borderId="3" xfId="0" applyFont="1" applyFill="1" applyBorder="1" applyAlignment="1">
      <alignment horizontal="left" wrapText="1"/>
    </xf>
    <xf numFmtId="0" fontId="14" fillId="4" borderId="3" xfId="0" applyFont="1" applyFill="1" applyBorder="1"/>
    <xf numFmtId="0" fontId="19" fillId="4" borderId="3" xfId="0" applyFont="1" applyFill="1" applyBorder="1"/>
    <xf numFmtId="0" fontId="14" fillId="12" borderId="3" xfId="0" applyFont="1" applyFill="1" applyBorder="1"/>
    <xf numFmtId="0" fontId="21" fillId="6" borderId="3" xfId="0" applyFont="1" applyFill="1" applyBorder="1"/>
    <xf numFmtId="0" fontId="14" fillId="7" borderId="3" xfId="0" applyFont="1" applyFill="1" applyBorder="1"/>
    <xf numFmtId="0" fontId="7" fillId="3" borderId="3" xfId="0" applyFont="1" applyFill="1" applyBorder="1"/>
    <xf numFmtId="0" fontId="8" fillId="10" borderId="3" xfId="0" applyFont="1" applyFill="1" applyBorder="1"/>
    <xf numFmtId="0" fontId="16" fillId="9" borderId="3" xfId="0" applyFont="1" applyFill="1" applyBorder="1"/>
    <xf numFmtId="0" fontId="13" fillId="9" borderId="1" xfId="0" applyFont="1" applyFill="1" applyBorder="1"/>
    <xf numFmtId="0" fontId="0" fillId="3" borderId="1" xfId="0" applyFill="1" applyBorder="1"/>
    <xf numFmtId="0" fontId="12" fillId="4" borderId="1" xfId="0" applyFont="1" applyFill="1" applyBorder="1"/>
    <xf numFmtId="0" fontId="9" fillId="2" borderId="1" xfId="0" applyFont="1" applyFill="1" applyBorder="1"/>
    <xf numFmtId="0" fontId="11" fillId="13" borderId="1" xfId="0" applyFont="1" applyFill="1" applyBorder="1"/>
    <xf numFmtId="0" fontId="0" fillId="0" borderId="4" xfId="0" applyBorder="1" applyAlignment="1">
      <alignment horizontal="center" vertical="center" wrapText="1"/>
    </xf>
    <xf numFmtId="0" fontId="7" fillId="0" borderId="4" xfId="0" applyFont="1" applyBorder="1" applyAlignment="1">
      <alignment horizontal="center" vertical="center" wrapText="1"/>
    </xf>
    <xf numFmtId="0" fontId="0" fillId="3" borderId="6" xfId="0" applyFill="1" applyBorder="1" applyAlignment="1">
      <alignment horizontal="right" vertical="center" wrapText="1"/>
    </xf>
    <xf numFmtId="0" fontId="7" fillId="3" borderId="6" xfId="0" applyFont="1" applyFill="1" applyBorder="1" applyAlignment="1">
      <alignment horizontal="right" vertical="center" wrapText="1"/>
    </xf>
    <xf numFmtId="0" fontId="10" fillId="3" borderId="6" xfId="0" applyFont="1" applyFill="1" applyBorder="1" applyAlignment="1">
      <alignment horizontal="right" vertical="center" wrapText="1"/>
    </xf>
    <xf numFmtId="0" fontId="11" fillId="3" borderId="6" xfId="0" applyFont="1" applyFill="1" applyBorder="1" applyAlignment="1">
      <alignment horizontal="right" vertical="center" wrapText="1"/>
    </xf>
    <xf numFmtId="1" fontId="10" fillId="3" borderId="0" xfId="0" applyNumberFormat="1" applyFont="1" applyFill="1" applyAlignment="1">
      <alignment horizontal="left" vertical="center" wrapText="1"/>
    </xf>
    <xf numFmtId="0" fontId="11" fillId="3" borderId="0" xfId="0" applyFont="1" applyFill="1" applyAlignment="1">
      <alignment vertical="center" wrapText="1"/>
    </xf>
    <xf numFmtId="0" fontId="11" fillId="3" borderId="0" xfId="0" applyFont="1" applyFill="1" applyAlignment="1">
      <alignment horizontal="right" vertical="center" wrapText="1"/>
    </xf>
    <xf numFmtId="0" fontId="14" fillId="4" borderId="6" xfId="0" applyFont="1" applyFill="1" applyBorder="1" applyAlignment="1">
      <alignment vertical="center" wrapText="1"/>
    </xf>
    <xf numFmtId="0" fontId="14" fillId="11" borderId="6" xfId="0" applyFont="1" applyFill="1" applyBorder="1" applyAlignment="1">
      <alignment vertical="center" wrapText="1"/>
    </xf>
    <xf numFmtId="0" fontId="14" fillId="7" borderId="6" xfId="0" applyFont="1" applyFill="1" applyBorder="1" applyAlignment="1">
      <alignment vertical="center" wrapText="1"/>
    </xf>
    <xf numFmtId="0" fontId="14" fillId="3" borderId="0" xfId="0" applyFont="1" applyFill="1" applyAlignment="1">
      <alignment vertical="center" wrapText="1"/>
    </xf>
    <xf numFmtId="0" fontId="7" fillId="18" borderId="1" xfId="0" applyFont="1" applyFill="1" applyBorder="1" applyAlignment="1">
      <alignment horizontal="right"/>
    </xf>
    <xf numFmtId="0" fontId="10" fillId="17" borderId="6" xfId="0" applyFont="1" applyFill="1" applyBorder="1" applyAlignment="1">
      <alignment vertical="center" wrapText="1"/>
    </xf>
    <xf numFmtId="0" fontId="10" fillId="17" borderId="1" xfId="0" applyFont="1" applyFill="1" applyBorder="1" applyAlignment="1">
      <alignment vertical="center" wrapText="1"/>
    </xf>
    <xf numFmtId="0" fontId="7" fillId="18" borderId="1" xfId="0" applyFont="1" applyFill="1" applyBorder="1"/>
    <xf numFmtId="0" fontId="7" fillId="16" borderId="5" xfId="0" applyFont="1" applyFill="1" applyBorder="1" applyAlignment="1">
      <alignment horizontal="right" vertical="center" wrapText="1"/>
    </xf>
    <xf numFmtId="0" fontId="10" fillId="16" borderId="5" xfId="0" applyFont="1" applyFill="1" applyBorder="1" applyAlignment="1">
      <alignment horizontal="right" vertical="center" wrapText="1"/>
    </xf>
    <xf numFmtId="0" fontId="10" fillId="16" borderId="5" xfId="0" applyFont="1" applyFill="1" applyBorder="1" applyAlignment="1">
      <alignment horizontal="left" vertical="center" wrapText="1"/>
    </xf>
    <xf numFmtId="0" fontId="7" fillId="16" borderId="5" xfId="0" applyFont="1" applyFill="1" applyBorder="1" applyAlignment="1">
      <alignment horizontal="left" vertical="center" wrapText="1"/>
    </xf>
    <xf numFmtId="0" fontId="10" fillId="17" borderId="6" xfId="0" applyFont="1" applyFill="1" applyBorder="1" applyAlignment="1">
      <alignment horizontal="right" vertical="center" wrapText="1"/>
    </xf>
    <xf numFmtId="0" fontId="10" fillId="17" borderId="1" xfId="0" applyFont="1" applyFill="1" applyBorder="1" applyAlignment="1">
      <alignment horizontal="right" vertical="center" wrapText="1"/>
    </xf>
    <xf numFmtId="0" fontId="7" fillId="3" borderId="9" xfId="0" applyFont="1" applyFill="1" applyBorder="1" applyAlignment="1">
      <alignment horizontal="left" vertical="center" wrapText="1"/>
    </xf>
    <xf numFmtId="0" fontId="0" fillId="0" borderId="9" xfId="0" applyBorder="1"/>
    <xf numFmtId="0" fontId="7" fillId="0" borderId="0" xfId="0" applyFont="1"/>
    <xf numFmtId="0" fontId="8" fillId="5" borderId="3" xfId="0" applyFont="1" applyFill="1" applyBorder="1" applyAlignment="1">
      <alignment horizontal="left" wrapText="1"/>
    </xf>
    <xf numFmtId="0" fontId="8" fillId="5" borderId="1" xfId="0" applyFont="1" applyFill="1" applyBorder="1"/>
    <xf numFmtId="0" fontId="8" fillId="5" borderId="2" xfId="0" applyFont="1" applyFill="1" applyBorder="1"/>
    <xf numFmtId="0" fontId="8" fillId="5" borderId="11" xfId="0" applyFont="1" applyFill="1" applyBorder="1"/>
    <xf numFmtId="0" fontId="8" fillId="5" borderId="3" xfId="0" applyFont="1" applyFill="1" applyBorder="1"/>
    <xf numFmtId="0" fontId="8" fillId="5" borderId="10" xfId="0" applyFont="1" applyFill="1" applyBorder="1" applyAlignment="1">
      <alignment vertical="center" wrapText="1"/>
    </xf>
    <xf numFmtId="0" fontId="8" fillId="5" borderId="5" xfId="0" applyFont="1" applyFill="1" applyBorder="1" applyAlignment="1">
      <alignment vertical="center" wrapText="1"/>
    </xf>
    <xf numFmtId="0" fontId="8" fillId="5" borderId="1" xfId="0" applyFont="1" applyFill="1" applyBorder="1" applyAlignment="1">
      <alignment vertical="center" wrapText="1"/>
    </xf>
    <xf numFmtId="0" fontId="8" fillId="5" borderId="1"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6" fillId="5" borderId="7" xfId="0" applyFont="1" applyFill="1" applyBorder="1"/>
    <xf numFmtId="49" fontId="6" fillId="5" borderId="7" xfId="0" applyNumberFormat="1" applyFont="1" applyFill="1" applyBorder="1"/>
    <xf numFmtId="0" fontId="6" fillId="5" borderId="12" xfId="0" applyFont="1" applyFill="1" applyBorder="1"/>
    <xf numFmtId="0" fontId="6" fillId="5" borderId="9" xfId="0" applyFont="1" applyFill="1" applyBorder="1"/>
    <xf numFmtId="0" fontId="25" fillId="19" borderId="0" xfId="0" applyFont="1" applyFill="1"/>
    <xf numFmtId="0" fontId="26" fillId="19" borderId="0" xfId="0" applyFont="1" applyFill="1" applyAlignment="1">
      <alignment vertical="center"/>
    </xf>
    <xf numFmtId="14" fontId="26" fillId="19" borderId="0" xfId="0" applyNumberFormat="1" applyFont="1" applyFill="1" applyAlignment="1">
      <alignment vertical="center"/>
    </xf>
    <xf numFmtId="0" fontId="26" fillId="19" borderId="0" xfId="0" applyFont="1" applyFill="1" applyAlignment="1">
      <alignment horizontal="center" vertical="center"/>
    </xf>
    <xf numFmtId="0" fontId="26" fillId="19" borderId="0" xfId="0" applyFont="1" applyFill="1" applyAlignment="1">
      <alignment horizontal="right" vertical="center"/>
    </xf>
    <xf numFmtId="2" fontId="26" fillId="19" borderId="0" xfId="0" applyNumberFormat="1" applyFont="1" applyFill="1" applyAlignment="1">
      <alignment horizontal="center" vertical="center"/>
    </xf>
    <xf numFmtId="0" fontId="27" fillId="3" borderId="0" xfId="0" applyFont="1" applyFill="1" applyAlignment="1">
      <alignment vertical="center"/>
    </xf>
    <xf numFmtId="0" fontId="8" fillId="11" borderId="5" xfId="0" applyFont="1" applyFill="1" applyBorder="1" applyAlignment="1">
      <alignment vertical="center" wrapText="1"/>
    </xf>
    <xf numFmtId="0" fontId="8" fillId="11" borderId="1" xfId="0" applyFont="1" applyFill="1" applyBorder="1" applyAlignment="1">
      <alignment vertical="center" wrapText="1"/>
    </xf>
    <xf numFmtId="0" fontId="25" fillId="3" borderId="0" xfId="0" applyFont="1" applyFill="1"/>
    <xf numFmtId="0" fontId="26" fillId="3" borderId="0" xfId="0" applyFont="1" applyFill="1" applyAlignment="1">
      <alignment horizontal="center" vertical="center"/>
    </xf>
    <xf numFmtId="0" fontId="26" fillId="3" borderId="0" xfId="0" applyFont="1" applyFill="1" applyAlignment="1">
      <alignment vertical="center"/>
    </xf>
    <xf numFmtId="0" fontId="26" fillId="3" borderId="0" xfId="0" applyFont="1" applyFill="1" applyAlignment="1">
      <alignment horizontal="right" vertical="center"/>
    </xf>
    <xf numFmtId="0" fontId="26" fillId="19" borderId="0" xfId="0" applyFont="1" applyFill="1" applyAlignment="1">
      <alignment horizontal="left" vertical="center"/>
    </xf>
    <xf numFmtId="0" fontId="0" fillId="0" borderId="0" xfId="0" applyAlignment="1">
      <alignment horizontal="left" vertical="center"/>
    </xf>
    <xf numFmtId="0" fontId="7" fillId="8" borderId="7" xfId="0" applyFont="1" applyFill="1" applyBorder="1" applyAlignment="1">
      <alignment horizontal="center"/>
    </xf>
    <xf numFmtId="0" fontId="7" fillId="8" borderId="5" xfId="0" applyFont="1" applyFill="1" applyBorder="1" applyAlignment="1">
      <alignment horizontal="center"/>
    </xf>
    <xf numFmtId="0" fontId="7" fillId="8" borderId="11" xfId="0" applyFont="1" applyFill="1" applyBorder="1" applyAlignment="1">
      <alignment horizontal="center"/>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6" xfId="0" applyFont="1" applyFill="1" applyBorder="1" applyAlignment="1">
      <alignment horizontal="center"/>
    </xf>
    <xf numFmtId="0" fontId="7" fillId="8" borderId="16" xfId="0" applyFont="1" applyFill="1" applyBorder="1" applyAlignment="1">
      <alignment horizontal="center"/>
    </xf>
    <xf numFmtId="0" fontId="0" fillId="0" borderId="17" xfId="0" applyBorder="1"/>
    <xf numFmtId="1" fontId="0" fillId="0" borderId="13" xfId="0" applyNumberFormat="1" applyBorder="1"/>
    <xf numFmtId="0" fontId="7" fillId="0" borderId="11" xfId="0" applyFont="1" applyBorder="1"/>
    <xf numFmtId="0" fontId="7" fillId="0" borderId="4" xfId="0" applyFont="1" applyBorder="1"/>
    <xf numFmtId="0" fontId="7" fillId="0" borderId="14" xfId="0" applyFont="1" applyBorder="1"/>
    <xf numFmtId="2" fontId="0" fillId="0" borderId="11" xfId="0" applyNumberFormat="1" applyBorder="1"/>
    <xf numFmtId="2" fontId="0" fillId="0" borderId="4" xfId="0" applyNumberFormat="1" applyBorder="1"/>
    <xf numFmtId="0" fontId="7" fillId="5" borderId="1" xfId="0" applyFont="1" applyFill="1" applyBorder="1"/>
    <xf numFmtId="0" fontId="19" fillId="14" borderId="6" xfId="0" applyFont="1" applyFill="1" applyBorder="1" applyAlignment="1">
      <alignment vertical="center" wrapText="1"/>
    </xf>
    <xf numFmtId="0" fontId="19" fillId="14" borderId="5" xfId="0" applyFont="1" applyFill="1" applyBorder="1" applyAlignment="1">
      <alignment vertical="center" wrapText="1"/>
    </xf>
    <xf numFmtId="0" fontId="8" fillId="11" borderId="6" xfId="0" applyFont="1" applyFill="1" applyBorder="1" applyAlignment="1">
      <alignment vertical="center" wrapText="1"/>
    </xf>
    <xf numFmtId="0" fontId="29" fillId="3" borderId="6" xfId="0" applyFont="1" applyFill="1" applyBorder="1" applyAlignment="1">
      <alignment vertical="center" wrapText="1"/>
    </xf>
    <xf numFmtId="0" fontId="29" fillId="3" borderId="5" xfId="0" applyFont="1" applyFill="1" applyBorder="1" applyAlignment="1">
      <alignment vertical="center" wrapText="1"/>
    </xf>
    <xf numFmtId="0" fontId="27" fillId="0" borderId="1" xfId="0" applyFont="1" applyBorder="1" applyAlignment="1">
      <alignment vertical="center" wrapText="1"/>
    </xf>
    <xf numFmtId="0" fontId="27" fillId="0" borderId="4" xfId="0" applyFont="1" applyBorder="1" applyAlignment="1">
      <alignment horizontal="center" vertical="center" wrapText="1"/>
    </xf>
    <xf numFmtId="0" fontId="7" fillId="20" borderId="5" xfId="0" applyFont="1" applyFill="1" applyBorder="1" applyAlignment="1">
      <alignment vertical="center" wrapText="1"/>
    </xf>
    <xf numFmtId="0" fontId="29" fillId="3" borderId="1" xfId="0" applyFont="1" applyFill="1" applyBorder="1" applyAlignment="1">
      <alignment vertical="center" wrapText="1"/>
    </xf>
    <xf numFmtId="0" fontId="19" fillId="14" borderId="1" xfId="0" applyFont="1" applyFill="1" applyBorder="1" applyAlignment="1">
      <alignment vertical="center" wrapText="1"/>
    </xf>
    <xf numFmtId="0" fontId="7" fillId="5" borderId="1" xfId="0" applyFont="1" applyFill="1" applyBorder="1" applyAlignment="1">
      <alignment vertical="center" wrapText="1"/>
    </xf>
    <xf numFmtId="0" fontId="26" fillId="3" borderId="0" xfId="0" applyFont="1" applyFill="1" applyAlignment="1">
      <alignment horizontal="left" vertical="center"/>
    </xf>
    <xf numFmtId="15" fontId="0" fillId="0" borderId="0" xfId="0" applyNumberFormat="1"/>
    <xf numFmtId="0" fontId="30" fillId="11" borderId="3" xfId="0" applyFont="1" applyFill="1" applyBorder="1" applyAlignment="1">
      <alignment horizontal="left" wrapText="1"/>
    </xf>
    <xf numFmtId="0" fontId="30" fillId="11" borderId="1" xfId="0" applyFont="1" applyFill="1" applyBorder="1"/>
    <xf numFmtId="0" fontId="30" fillId="11" borderId="2" xfId="0" applyFont="1" applyFill="1" applyBorder="1"/>
    <xf numFmtId="0" fontId="30" fillId="11" borderId="11" xfId="0" applyFont="1" applyFill="1" applyBorder="1"/>
    <xf numFmtId="0" fontId="30" fillId="11" borderId="3" xfId="0" applyFont="1" applyFill="1" applyBorder="1"/>
    <xf numFmtId="0" fontId="30" fillId="11" borderId="10" xfId="0" applyFont="1" applyFill="1" applyBorder="1" applyAlignment="1">
      <alignment vertical="center" wrapText="1"/>
    </xf>
    <xf numFmtId="0" fontId="30" fillId="11" borderId="5" xfId="0" applyFont="1" applyFill="1" applyBorder="1" applyAlignment="1">
      <alignment vertical="center" wrapText="1"/>
    </xf>
    <xf numFmtId="0" fontId="30" fillId="11" borderId="1" xfId="0" applyFont="1" applyFill="1" applyBorder="1" applyAlignment="1">
      <alignment vertical="center" wrapText="1"/>
    </xf>
    <xf numFmtId="0" fontId="30" fillId="11" borderId="1" xfId="0" applyFont="1" applyFill="1" applyBorder="1" applyAlignment="1">
      <alignment horizontal="center" vertical="center" wrapText="1"/>
    </xf>
    <xf numFmtId="0" fontId="30" fillId="11" borderId="6" xfId="0" applyFont="1" applyFill="1" applyBorder="1" applyAlignment="1">
      <alignment horizontal="center" vertical="center" wrapText="1"/>
    </xf>
    <xf numFmtId="0" fontId="31" fillId="11" borderId="7" xfId="0" applyFont="1" applyFill="1" applyBorder="1"/>
    <xf numFmtId="49" fontId="31" fillId="11" borderId="7" xfId="0" applyNumberFormat="1" applyFont="1" applyFill="1" applyBorder="1"/>
    <xf numFmtId="0" fontId="31" fillId="11" borderId="8" xfId="0" applyFont="1" applyFill="1" applyBorder="1"/>
    <xf numFmtId="0" fontId="31" fillId="11" borderId="1" xfId="0" applyFont="1" applyFill="1" applyBorder="1"/>
    <xf numFmtId="0" fontId="31" fillId="11" borderId="9" xfId="0" applyFont="1" applyFill="1" applyBorder="1"/>
    <xf numFmtId="0" fontId="32" fillId="3" borderId="0" xfId="0" applyFont="1" applyFill="1"/>
    <xf numFmtId="0" fontId="32" fillId="6" borderId="1"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1" borderId="1" xfId="0" applyFont="1" applyFill="1" applyBorder="1" applyAlignment="1">
      <alignment horizontal="center" vertical="center" wrapText="1"/>
    </xf>
    <xf numFmtId="16" fontId="10" fillId="3" borderId="0" xfId="0" applyNumberFormat="1" applyFont="1" applyFill="1" applyAlignment="1">
      <alignment horizontal="left" vertical="center" wrapText="1"/>
    </xf>
    <xf numFmtId="0" fontId="10" fillId="3" borderId="0" xfId="0" applyFont="1" applyFill="1" applyAlignment="1">
      <alignment horizontal="left" vertical="center" wrapText="1"/>
    </xf>
    <xf numFmtId="0" fontId="34" fillId="0" borderId="0" xfId="0" applyFont="1"/>
    <xf numFmtId="0" fontId="33" fillId="3" borderId="0" xfId="0" applyFont="1" applyFill="1"/>
    <xf numFmtId="0" fontId="36" fillId="0" borderId="0" xfId="0" applyFont="1"/>
    <xf numFmtId="0" fontId="35" fillId="3" borderId="0" xfId="0" applyFont="1" applyFill="1"/>
    <xf numFmtId="0" fontId="35" fillId="6" borderId="4" xfId="0" applyFont="1" applyFill="1" applyBorder="1" applyAlignment="1">
      <alignment horizontal="center" vertical="center" wrapText="1"/>
    </xf>
    <xf numFmtId="0" fontId="35" fillId="23" borderId="4" xfId="0" applyFont="1" applyFill="1" applyBorder="1" applyAlignment="1">
      <alignment horizontal="center" vertical="center" wrapText="1"/>
    </xf>
    <xf numFmtId="0" fontId="35" fillId="21" borderId="4" xfId="0" applyFont="1" applyFill="1" applyBorder="1" applyAlignment="1">
      <alignment horizontal="center" vertical="center" wrapText="1"/>
    </xf>
    <xf numFmtId="0" fontId="39" fillId="0" borderId="0" xfId="0" applyFont="1"/>
    <xf numFmtId="0" fontId="38" fillId="3" borderId="0" xfId="0" applyFont="1" applyFill="1"/>
    <xf numFmtId="0" fontId="38" fillId="6" borderId="4" xfId="0" applyFont="1" applyFill="1" applyBorder="1" applyAlignment="1">
      <alignment horizontal="center" vertical="center" wrapText="1"/>
    </xf>
    <xf numFmtId="0" fontId="38" fillId="23" borderId="4" xfId="0" applyFont="1" applyFill="1" applyBorder="1" applyAlignment="1">
      <alignment horizontal="center" vertical="center" wrapText="1"/>
    </xf>
    <xf numFmtId="0" fontId="38" fillId="21" borderId="4" xfId="0" applyFont="1" applyFill="1" applyBorder="1" applyAlignment="1">
      <alignment horizontal="center" vertical="center" wrapText="1"/>
    </xf>
    <xf numFmtId="49" fontId="11" fillId="13" borderId="7" xfId="0" applyNumberFormat="1" applyFont="1" applyFill="1" applyBorder="1" applyAlignment="1">
      <alignment horizontal="center"/>
    </xf>
    <xf numFmtId="0" fontId="40" fillId="5" borderId="8" xfId="0" applyFont="1" applyFill="1" applyBorder="1"/>
    <xf numFmtId="1" fontId="0" fillId="0" borderId="0" xfId="0" applyNumberFormat="1"/>
    <xf numFmtId="0" fontId="0" fillId="0" borderId="0" xfId="0" applyAlignment="1">
      <alignment horizontal="right"/>
    </xf>
    <xf numFmtId="49" fontId="26" fillId="19" borderId="0" xfId="0" applyNumberFormat="1" applyFont="1" applyFill="1" applyAlignment="1">
      <alignment vertical="center"/>
    </xf>
    <xf numFmtId="49" fontId="0" fillId="0" borderId="0" xfId="0" applyNumberFormat="1"/>
    <xf numFmtId="49" fontId="26" fillId="3" borderId="0" xfId="0" applyNumberFormat="1" applyFont="1" applyFill="1" applyAlignment="1">
      <alignment vertical="center"/>
    </xf>
    <xf numFmtId="0" fontId="23" fillId="6" borderId="1" xfId="0" applyFont="1" applyFill="1" applyBorder="1" applyAlignment="1">
      <alignment horizontal="right"/>
    </xf>
    <xf numFmtId="0" fontId="14" fillId="12" borderId="1" xfId="0" applyFont="1" applyFill="1" applyBorder="1" applyAlignment="1">
      <alignment horizontal="right"/>
    </xf>
    <xf numFmtId="0" fontId="16" fillId="9" borderId="1" xfId="0" applyFont="1" applyFill="1" applyBorder="1" applyAlignment="1">
      <alignment horizontal="right"/>
    </xf>
    <xf numFmtId="0" fontId="7" fillId="3" borderId="1" xfId="0" applyFont="1" applyFill="1" applyBorder="1" applyAlignment="1">
      <alignment horizontal="right"/>
    </xf>
    <xf numFmtId="0" fontId="10" fillId="3" borderId="1" xfId="0" applyFont="1" applyFill="1" applyBorder="1" applyAlignment="1">
      <alignment horizontal="right"/>
    </xf>
    <xf numFmtId="0" fontId="14" fillId="7" borderId="1" xfId="0" applyFont="1" applyFill="1" applyBorder="1" applyAlignment="1">
      <alignment horizontal="right"/>
    </xf>
    <xf numFmtId="0" fontId="0" fillId="0" borderId="0" xfId="0" applyAlignment="1">
      <alignment horizontal="left"/>
    </xf>
    <xf numFmtId="1" fontId="5" fillId="0" borderId="0" xfId="0" applyNumberFormat="1" applyFont="1"/>
    <xf numFmtId="0" fontId="14" fillId="4" borderId="1" xfId="0" applyFont="1" applyFill="1" applyBorder="1" applyAlignment="1">
      <alignment horizontal="right"/>
    </xf>
    <xf numFmtId="0" fontId="14" fillId="11" borderId="1" xfId="0" applyFont="1" applyFill="1" applyBorder="1" applyAlignment="1">
      <alignment horizontal="right"/>
    </xf>
    <xf numFmtId="0" fontId="7" fillId="16" borderId="5" xfId="0" applyFont="1" applyFill="1" applyBorder="1"/>
    <xf numFmtId="0" fontId="27" fillId="20" borderId="6" xfId="0" applyFont="1" applyFill="1" applyBorder="1" applyAlignment="1">
      <alignment vertical="center" wrapText="1"/>
    </xf>
    <xf numFmtId="0" fontId="18" fillId="2" borderId="1" xfId="0" applyFont="1" applyFill="1" applyBorder="1" applyAlignment="1">
      <alignment horizontal="center"/>
    </xf>
    <xf numFmtId="0" fontId="10" fillId="13" borderId="1" xfId="0" applyFont="1" applyFill="1" applyBorder="1" applyAlignment="1">
      <alignment horizontal="center"/>
    </xf>
    <xf numFmtId="0" fontId="10" fillId="13" borderId="2" xfId="0" applyFont="1" applyFill="1" applyBorder="1" applyAlignment="1">
      <alignment horizontal="center"/>
    </xf>
    <xf numFmtId="0" fontId="10" fillId="13" borderId="11" xfId="0" applyFont="1" applyFill="1" applyBorder="1" applyAlignment="1">
      <alignment horizontal="center"/>
    </xf>
    <xf numFmtId="0" fontId="10" fillId="13" borderId="3" xfId="0" applyFont="1" applyFill="1" applyBorder="1" applyAlignment="1">
      <alignment horizontal="center"/>
    </xf>
    <xf numFmtId="0" fontId="7" fillId="3" borderId="0" xfId="0" applyFont="1" applyFill="1"/>
    <xf numFmtId="0" fontId="7" fillId="15" borderId="0" xfId="0" applyFont="1" applyFill="1"/>
    <xf numFmtId="0" fontId="7" fillId="24" borderId="0" xfId="0" applyFont="1" applyFill="1"/>
    <xf numFmtId="0" fontId="7" fillId="24" borderId="0" xfId="0" applyFont="1" applyFill="1" applyAlignment="1">
      <alignment horizontal="right"/>
    </xf>
    <xf numFmtId="0" fontId="0" fillId="24" borderId="0" xfId="0" applyFill="1"/>
    <xf numFmtId="0" fontId="7" fillId="2" borderId="0" xfId="0" applyFont="1" applyFill="1"/>
    <xf numFmtId="0" fontId="0" fillId="2" borderId="0" xfId="0" applyFill="1"/>
    <xf numFmtId="0" fontId="7" fillId="2" borderId="0" xfId="0" applyFont="1" applyFill="1" applyAlignment="1">
      <alignment horizontal="center" vertical="center"/>
    </xf>
    <xf numFmtId="0" fontId="7" fillId="2" borderId="0" xfId="0" applyFont="1" applyFill="1" applyAlignment="1">
      <alignment horizontal="right" vertical="center"/>
    </xf>
    <xf numFmtId="0" fontId="11" fillId="2" borderId="0" xfId="0" applyFont="1" applyFill="1"/>
    <xf numFmtId="0" fontId="11" fillId="2" borderId="0" xfId="0" applyFont="1" applyFill="1" applyAlignment="1">
      <alignment vertical="center"/>
    </xf>
    <xf numFmtId="10" fontId="11" fillId="2" borderId="0" xfId="0" applyNumberFormat="1" applyFont="1" applyFill="1" applyAlignment="1">
      <alignment vertical="center"/>
    </xf>
    <xf numFmtId="0" fontId="7" fillId="0" borderId="1" xfId="0" applyFont="1" applyBorder="1" applyAlignment="1">
      <alignment vertical="center" wrapText="1"/>
    </xf>
    <xf numFmtId="0" fontId="28" fillId="0" borderId="4" xfId="0" applyFont="1" applyBorder="1" applyAlignment="1">
      <alignment horizontal="right" vertical="center" wrapText="1"/>
    </xf>
    <xf numFmtId="0" fontId="7" fillId="0" borderId="5" xfId="0" applyFont="1" applyBorder="1" applyAlignment="1">
      <alignment vertical="center" wrapText="1"/>
    </xf>
    <xf numFmtId="0" fontId="28" fillId="0" borderId="6" xfId="0" applyFont="1" applyBorder="1" applyAlignment="1">
      <alignment horizontal="right" vertical="center" wrapText="1"/>
    </xf>
    <xf numFmtId="0" fontId="16" fillId="8" borderId="0" xfId="0" applyFont="1" applyFill="1"/>
    <xf numFmtId="0" fontId="8" fillId="25" borderId="0" xfId="0" applyFont="1" applyFill="1"/>
    <xf numFmtId="0" fontId="37" fillId="3" borderId="0" xfId="0" applyFont="1" applyFill="1"/>
    <xf numFmtId="0" fontId="8" fillId="10" borderId="1" xfId="0" applyFont="1" applyFill="1" applyBorder="1" applyAlignment="1">
      <alignment horizontal="center"/>
    </xf>
    <xf numFmtId="0" fontId="16" fillId="9" borderId="1" xfId="0" applyFont="1" applyFill="1" applyBorder="1" applyAlignment="1">
      <alignment horizontal="center"/>
    </xf>
    <xf numFmtId="0" fontId="14" fillId="7" borderId="0" xfId="0" applyFont="1" applyFill="1"/>
    <xf numFmtId="0" fontId="10" fillId="13" borderId="0" xfId="0" applyFont="1" applyFill="1"/>
    <xf numFmtId="0" fontId="8" fillId="5" borderId="0" xfId="0" applyFont="1" applyFill="1"/>
    <xf numFmtId="0" fontId="4" fillId="0" borderId="0" xfId="0" applyFont="1"/>
    <xf numFmtId="0" fontId="11" fillId="0" borderId="0" xfId="0" applyFont="1"/>
    <xf numFmtId="0" fontId="41" fillId="11" borderId="0" xfId="0" applyFont="1" applyFill="1"/>
    <xf numFmtId="0" fontId="23" fillId="6" borderId="0" xfId="0" applyFont="1" applyFill="1"/>
    <xf numFmtId="0" fontId="33" fillId="6" borderId="1" xfId="0" applyFont="1" applyFill="1" applyBorder="1" applyAlignment="1">
      <alignment horizontal="center" vertical="center" wrapText="1"/>
    </xf>
    <xf numFmtId="0" fontId="33" fillId="23" borderId="1" xfId="0" applyFont="1" applyFill="1" applyBorder="1" applyAlignment="1">
      <alignment horizontal="center" vertical="center" wrapText="1"/>
    </xf>
    <xf numFmtId="0" fontId="33" fillId="21" borderId="1" xfId="0" applyFont="1" applyFill="1" applyBorder="1" applyAlignment="1">
      <alignment horizontal="center" vertical="center" wrapText="1"/>
    </xf>
    <xf numFmtId="0" fontId="20" fillId="14" borderId="0" xfId="0" applyFont="1" applyFill="1"/>
    <xf numFmtId="0" fontId="14" fillId="11" borderId="0" xfId="0" applyFont="1" applyFill="1"/>
    <xf numFmtId="0" fontId="14" fillId="12" borderId="0" xfId="0" applyFont="1" applyFill="1"/>
    <xf numFmtId="0" fontId="14" fillId="4" borderId="0" xfId="0" applyFont="1" applyFill="1"/>
    <xf numFmtId="0" fontId="19" fillId="4" borderId="0" xfId="0" applyFont="1" applyFill="1"/>
    <xf numFmtId="0" fontId="15" fillId="0" borderId="0" xfId="0" applyFont="1"/>
    <xf numFmtId="0" fontId="14" fillId="6" borderId="4" xfId="0" applyFont="1" applyFill="1" applyBorder="1" applyAlignment="1">
      <alignment horizontal="center" vertical="center" wrapText="1"/>
    </xf>
    <xf numFmtId="0" fontId="14" fillId="23" borderId="4" xfId="0" applyFont="1" applyFill="1" applyBorder="1" applyAlignment="1">
      <alignment horizontal="center" vertical="center" wrapText="1"/>
    </xf>
    <xf numFmtId="0" fontId="14" fillId="21" borderId="4" xfId="0" applyFont="1" applyFill="1" applyBorder="1" applyAlignment="1">
      <alignment horizontal="center" vertical="center" wrapText="1"/>
    </xf>
    <xf numFmtId="0" fontId="8" fillId="5" borderId="1" xfId="0" applyFont="1" applyFill="1" applyBorder="1" applyAlignment="1">
      <alignment horizontal="right"/>
    </xf>
    <xf numFmtId="0" fontId="19" fillId="4" borderId="1" xfId="0" applyFont="1" applyFill="1" applyBorder="1" applyAlignment="1">
      <alignment horizontal="right"/>
    </xf>
    <xf numFmtId="0" fontId="7" fillId="3" borderId="1" xfId="0" applyFont="1" applyFill="1" applyBorder="1" applyAlignment="1">
      <alignment horizontal="center"/>
    </xf>
    <xf numFmtId="0" fontId="14" fillId="7" borderId="1" xfId="0" applyFont="1" applyFill="1" applyBorder="1" applyAlignment="1">
      <alignment horizontal="center"/>
    </xf>
    <xf numFmtId="0" fontId="21" fillId="6" borderId="1" xfId="0" applyFont="1" applyFill="1" applyBorder="1" applyAlignment="1">
      <alignment horizontal="center"/>
    </xf>
    <xf numFmtId="0" fontId="8" fillId="5" borderId="1" xfId="0" applyFont="1" applyFill="1" applyBorder="1" applyAlignment="1">
      <alignment horizontal="center"/>
    </xf>
    <xf numFmtId="0" fontId="30" fillId="11" borderId="1" xfId="0" applyFont="1" applyFill="1" applyBorder="1" applyAlignment="1">
      <alignment horizontal="right"/>
    </xf>
    <xf numFmtId="0" fontId="14" fillId="4" borderId="1" xfId="0" applyFont="1" applyFill="1" applyBorder="1" applyAlignment="1">
      <alignment horizontal="center"/>
    </xf>
    <xf numFmtId="0" fontId="14" fillId="12" borderId="1" xfId="0" applyFont="1" applyFill="1" applyBorder="1" applyAlignment="1">
      <alignment horizontal="center"/>
    </xf>
    <xf numFmtId="14" fontId="26" fillId="3" borderId="0" xfId="0" applyNumberFormat="1" applyFont="1" applyFill="1" applyAlignment="1">
      <alignment vertical="center"/>
    </xf>
    <xf numFmtId="2" fontId="26" fillId="3" borderId="0" xfId="0" applyNumberFormat="1" applyFont="1" applyFill="1" applyAlignment="1">
      <alignment horizontal="center" vertical="center"/>
    </xf>
    <xf numFmtId="0" fontId="14" fillId="11" borderId="1" xfId="0" applyFont="1" applyFill="1" applyBorder="1" applyAlignment="1">
      <alignment horizontal="center"/>
    </xf>
    <xf numFmtId="0" fontId="14" fillId="6" borderId="0" xfId="0" applyFont="1" applyFill="1"/>
    <xf numFmtId="0" fontId="15" fillId="6" borderId="0" xfId="0" applyFont="1" applyFill="1"/>
    <xf numFmtId="0" fontId="14" fillId="6" borderId="0" xfId="0" applyFont="1" applyFill="1" applyAlignment="1">
      <alignment horizontal="center" vertical="center"/>
    </xf>
    <xf numFmtId="0" fontId="14" fillId="6" borderId="0" xfId="0" applyFont="1" applyFill="1" applyAlignment="1">
      <alignment horizontal="right" vertical="center"/>
    </xf>
    <xf numFmtId="0" fontId="15" fillId="6" borderId="0" xfId="0" applyFont="1" applyFill="1" applyAlignment="1">
      <alignment vertical="center"/>
    </xf>
    <xf numFmtId="10" fontId="15" fillId="6" borderId="0" xfId="0" applyNumberFormat="1" applyFont="1" applyFill="1" applyAlignment="1">
      <alignment vertical="center"/>
    </xf>
    <xf numFmtId="0" fontId="18" fillId="2" borderId="1" xfId="0" applyFont="1" applyFill="1" applyBorder="1" applyAlignment="1">
      <alignment horizontal="right"/>
    </xf>
    <xf numFmtId="0" fontId="38" fillId="21" borderId="1" xfId="0" applyFont="1" applyFill="1" applyBorder="1"/>
    <xf numFmtId="0" fontId="14" fillId="21" borderId="1" xfId="0" applyFont="1" applyFill="1" applyBorder="1"/>
    <xf numFmtId="0" fontId="38" fillId="21" borderId="1" xfId="0" applyFont="1" applyFill="1" applyBorder="1" applyAlignment="1">
      <alignment horizontal="center" vertical="center" wrapText="1"/>
    </xf>
    <xf numFmtId="0" fontId="14" fillId="21" borderId="1" xfId="0" applyFont="1" applyFill="1" applyBorder="1" applyAlignment="1">
      <alignment horizontal="center" vertical="center" wrapText="1"/>
    </xf>
    <xf numFmtId="0" fontId="35" fillId="21" borderId="1" xfId="0" applyFont="1" applyFill="1" applyBorder="1"/>
    <xf numFmtId="0" fontId="33" fillId="21" borderId="1" xfId="0" applyFont="1" applyFill="1" applyBorder="1"/>
    <xf numFmtId="0" fontId="32" fillId="21" borderId="1" xfId="0" applyFont="1" applyFill="1" applyBorder="1"/>
    <xf numFmtId="0" fontId="32" fillId="21" borderId="5" xfId="0" applyFont="1" applyFill="1" applyBorder="1"/>
    <xf numFmtId="0" fontId="3" fillId="0" borderId="0" xfId="0" applyFont="1"/>
    <xf numFmtId="0" fontId="7" fillId="20" borderId="5" xfId="0" applyFont="1" applyFill="1" applyBorder="1" applyAlignment="1">
      <alignment horizontal="right" vertical="center" wrapText="1"/>
    </xf>
    <xf numFmtId="0" fontId="14" fillId="14" borderId="3" xfId="0" applyFont="1" applyFill="1" applyBorder="1" applyAlignment="1">
      <alignment horizontal="left" wrapText="1"/>
    </xf>
    <xf numFmtId="0" fontId="14" fillId="14" borderId="1" xfId="0" applyFont="1" applyFill="1" applyBorder="1" applyAlignment="1">
      <alignment horizontal="center"/>
    </xf>
    <xf numFmtId="0" fontId="14" fillId="14" borderId="2" xfId="0" applyFont="1" applyFill="1" applyBorder="1"/>
    <xf numFmtId="0" fontId="14" fillId="14" borderId="1" xfId="0" applyFont="1" applyFill="1" applyBorder="1"/>
    <xf numFmtId="0" fontId="14" fillId="14" borderId="11" xfId="0" applyFont="1" applyFill="1" applyBorder="1"/>
    <xf numFmtId="0" fontId="14" fillId="14" borderId="3" xfId="0" applyFont="1" applyFill="1" applyBorder="1"/>
    <xf numFmtId="0" fontId="14" fillId="14" borderId="10" xfId="0" applyFont="1" applyFill="1" applyBorder="1" applyAlignment="1">
      <alignment vertical="center" wrapText="1"/>
    </xf>
    <xf numFmtId="0" fontId="14" fillId="14" borderId="5" xfId="0" applyFont="1" applyFill="1" applyBorder="1" applyAlignment="1">
      <alignment vertical="center" wrapText="1"/>
    </xf>
    <xf numFmtId="0" fontId="14" fillId="14" borderId="1" xfId="0" applyFont="1" applyFill="1" applyBorder="1" applyAlignment="1">
      <alignment vertical="center" wrapText="1"/>
    </xf>
    <xf numFmtId="0" fontId="14" fillId="14" borderId="1" xfId="0" applyFont="1" applyFill="1" applyBorder="1" applyAlignment="1">
      <alignment horizontal="center" vertical="center" wrapText="1"/>
    </xf>
    <xf numFmtId="0" fontId="14" fillId="14" borderId="6" xfId="0" applyFont="1" applyFill="1" applyBorder="1" applyAlignment="1">
      <alignment horizontal="center" vertical="center" wrapText="1"/>
    </xf>
    <xf numFmtId="0" fontId="15" fillId="14" borderId="7" xfId="0" applyFont="1" applyFill="1" applyBorder="1"/>
    <xf numFmtId="49" fontId="15" fillId="14" borderId="7" xfId="0" applyNumberFormat="1" applyFont="1" applyFill="1" applyBorder="1"/>
    <xf numFmtId="0" fontId="15" fillId="14" borderId="8" xfId="0" applyFont="1" applyFill="1" applyBorder="1"/>
    <xf numFmtId="0" fontId="15" fillId="14" borderId="12" xfId="0" applyFont="1" applyFill="1" applyBorder="1"/>
    <xf numFmtId="0" fontId="15" fillId="14" borderId="9" xfId="0" applyFont="1" applyFill="1" applyBorder="1"/>
    <xf numFmtId="0" fontId="14" fillId="14" borderId="1" xfId="0" applyFont="1" applyFill="1" applyBorder="1" applyAlignment="1">
      <alignment horizontal="right"/>
    </xf>
    <xf numFmtId="0" fontId="14" fillId="14" borderId="0" xfId="0" applyFont="1" applyFill="1"/>
    <xf numFmtId="1" fontId="14" fillId="21" borderId="4" xfId="0" applyNumberFormat="1" applyFont="1" applyFill="1" applyBorder="1" applyAlignment="1">
      <alignment horizontal="center" vertical="center" wrapText="1"/>
    </xf>
    <xf numFmtId="2" fontId="0" fillId="0" borderId="19" xfId="0" applyNumberFormat="1" applyBorder="1"/>
    <xf numFmtId="2" fontId="0" fillId="0" borderId="18" xfId="0" applyNumberFormat="1" applyBorder="1"/>
    <xf numFmtId="0" fontId="7" fillId="16" borderId="1" xfId="0" applyFont="1" applyFill="1" applyBorder="1"/>
    <xf numFmtId="0" fontId="8" fillId="0" borderId="0" xfId="0" applyFont="1"/>
    <xf numFmtId="16" fontId="14" fillId="23" borderId="5" xfId="0" applyNumberFormat="1" applyFont="1" applyFill="1" applyBorder="1" applyAlignment="1">
      <alignment horizontal="left" vertical="center" wrapText="1"/>
    </xf>
    <xf numFmtId="0" fontId="14" fillId="23" borderId="6" xfId="0" applyFont="1" applyFill="1" applyBorder="1" applyAlignment="1">
      <alignment horizontal="left" vertical="center" wrapText="1"/>
    </xf>
    <xf numFmtId="0" fontId="14" fillId="23" borderId="6" xfId="0" applyFont="1" applyFill="1" applyBorder="1" applyAlignment="1">
      <alignment vertical="center" wrapText="1"/>
    </xf>
    <xf numFmtId="0" fontId="14" fillId="23" borderId="6" xfId="0" applyFont="1" applyFill="1" applyBorder="1" applyAlignment="1">
      <alignment horizontal="center" vertical="center" wrapText="1"/>
    </xf>
    <xf numFmtId="1" fontId="14" fillId="23" borderId="6" xfId="0" applyNumberFormat="1" applyFont="1" applyFill="1" applyBorder="1" applyAlignment="1">
      <alignment horizontal="center" vertical="center" wrapText="1"/>
    </xf>
    <xf numFmtId="0" fontId="15" fillId="23" borderId="1" xfId="0" applyFont="1" applyFill="1" applyBorder="1"/>
    <xf numFmtId="0" fontId="15" fillId="23" borderId="2" xfId="0" applyFont="1" applyFill="1" applyBorder="1"/>
    <xf numFmtId="0" fontId="15" fillId="23" borderId="3" xfId="0" applyFont="1" applyFill="1" applyBorder="1"/>
    <xf numFmtId="0" fontId="14" fillId="23" borderId="1" xfId="0" applyFont="1" applyFill="1" applyBorder="1"/>
    <xf numFmtId="0" fontId="14" fillId="23" borderId="4" xfId="0" applyFont="1" applyFill="1" applyBorder="1"/>
    <xf numFmtId="0" fontId="15" fillId="23" borderId="7" xfId="0" applyFont="1" applyFill="1" applyBorder="1"/>
    <xf numFmtId="49" fontId="43" fillId="23" borderId="7" xfId="0" applyNumberFormat="1" applyFont="1" applyFill="1" applyBorder="1" applyAlignment="1">
      <alignment horizontal="center"/>
    </xf>
    <xf numFmtId="0" fontId="15" fillId="23" borderId="8" xfId="0" applyFont="1" applyFill="1" applyBorder="1"/>
    <xf numFmtId="0" fontId="15" fillId="23" borderId="9" xfId="0" applyFont="1" applyFill="1" applyBorder="1"/>
    <xf numFmtId="49" fontId="42" fillId="23" borderId="7" xfId="0" applyNumberFormat="1" applyFont="1" applyFill="1" applyBorder="1" applyAlignment="1">
      <alignment horizontal="center"/>
    </xf>
    <xf numFmtId="0" fontId="14" fillId="23" borderId="5" xfId="0" applyFont="1" applyFill="1" applyBorder="1" applyAlignment="1">
      <alignment vertical="center" wrapText="1"/>
    </xf>
    <xf numFmtId="0" fontId="14" fillId="23" borderId="1" xfId="0" applyFont="1" applyFill="1" applyBorder="1" applyAlignment="1">
      <alignment vertical="center" wrapText="1"/>
    </xf>
    <xf numFmtId="16" fontId="14" fillId="23" borderId="1" xfId="0" applyNumberFormat="1" applyFont="1" applyFill="1" applyBorder="1" applyAlignment="1">
      <alignment horizontal="left" vertical="center" wrapText="1"/>
    </xf>
    <xf numFmtId="0" fontId="14" fillId="23" borderId="1" xfId="0" applyFont="1" applyFill="1" applyBorder="1" applyAlignment="1">
      <alignment horizontal="center" vertical="center" wrapText="1"/>
    </xf>
    <xf numFmtId="49" fontId="42" fillId="23" borderId="1" xfId="0" applyNumberFormat="1" applyFont="1" applyFill="1" applyBorder="1" applyAlignment="1">
      <alignment horizontal="center"/>
    </xf>
    <xf numFmtId="49" fontId="44" fillId="23" borderId="1" xfId="0" applyNumberFormat="1" applyFont="1" applyFill="1" applyBorder="1" applyAlignment="1">
      <alignment horizontal="center"/>
    </xf>
    <xf numFmtId="0" fontId="15" fillId="23" borderId="4" xfId="0" applyFont="1" applyFill="1" applyBorder="1"/>
    <xf numFmtId="0" fontId="14" fillId="23" borderId="13" xfId="0" applyFont="1" applyFill="1" applyBorder="1"/>
    <xf numFmtId="49" fontId="45" fillId="23" borderId="7" xfId="0" applyNumberFormat="1" applyFont="1" applyFill="1" applyBorder="1" applyAlignment="1">
      <alignment horizontal="center"/>
    </xf>
    <xf numFmtId="0" fontId="14" fillId="23" borderId="2" xfId="0" applyFont="1" applyFill="1" applyBorder="1" applyAlignment="1">
      <alignment vertical="center" wrapText="1"/>
    </xf>
    <xf numFmtId="0" fontId="15" fillId="23" borderId="0" xfId="0" applyFont="1" applyFill="1"/>
    <xf numFmtId="0" fontId="14" fillId="23" borderId="1" xfId="0" applyFont="1" applyFill="1" applyBorder="1" applyAlignment="1">
      <alignment horizontal="right"/>
    </xf>
    <xf numFmtId="16" fontId="14" fillId="6" borderId="5" xfId="0" applyNumberFormat="1" applyFont="1" applyFill="1" applyBorder="1" applyAlignment="1">
      <alignment horizontal="left" vertical="center" wrapText="1"/>
    </xf>
    <xf numFmtId="0" fontId="14" fillId="6" borderId="6" xfId="0" applyFont="1" applyFill="1" applyBorder="1" applyAlignment="1">
      <alignment vertical="center" wrapText="1"/>
    </xf>
    <xf numFmtId="0" fontId="14" fillId="6" borderId="6" xfId="0" applyFont="1" applyFill="1" applyBorder="1" applyAlignment="1">
      <alignment horizontal="center" vertical="center" wrapText="1"/>
    </xf>
    <xf numFmtId="0" fontId="15" fillId="6" borderId="7" xfId="0" applyFont="1" applyFill="1" applyBorder="1"/>
    <xf numFmtId="49" fontId="42" fillId="6" borderId="7" xfId="0" applyNumberFormat="1" applyFont="1" applyFill="1" applyBorder="1" applyAlignment="1">
      <alignment horizontal="center"/>
    </xf>
    <xf numFmtId="0" fontId="15" fillId="6" borderId="8" xfId="0" applyFont="1" applyFill="1" applyBorder="1"/>
    <xf numFmtId="0" fontId="15" fillId="6" borderId="1" xfId="0" applyFont="1" applyFill="1" applyBorder="1"/>
    <xf numFmtId="0" fontId="15" fillId="6" borderId="9" xfId="0" applyFont="1" applyFill="1" applyBorder="1"/>
    <xf numFmtId="0" fontId="14" fillId="6" borderId="1" xfId="0" applyFont="1" applyFill="1" applyBorder="1"/>
    <xf numFmtId="0" fontId="14" fillId="6" borderId="4" xfId="0" applyFont="1" applyFill="1" applyBorder="1"/>
    <xf numFmtId="49" fontId="42" fillId="6" borderId="1" xfId="0" applyNumberFormat="1" applyFont="1" applyFill="1" applyBorder="1" applyAlignment="1">
      <alignment horizontal="center"/>
    </xf>
    <xf numFmtId="0" fontId="15" fillId="6" borderId="2" xfId="0" applyFont="1" applyFill="1" applyBorder="1"/>
    <xf numFmtId="0" fontId="15" fillId="6" borderId="3" xfId="0" applyFont="1" applyFill="1" applyBorder="1"/>
    <xf numFmtId="0" fontId="14" fillId="6" borderId="6" xfId="0" applyFont="1" applyFill="1" applyBorder="1" applyAlignment="1">
      <alignment horizontal="left" vertical="center" wrapText="1"/>
    </xf>
    <xf numFmtId="1" fontId="14" fillId="6" borderId="6" xfId="0" applyNumberFormat="1" applyFont="1" applyFill="1" applyBorder="1" applyAlignment="1">
      <alignment horizontal="center" vertical="center" wrapText="1"/>
    </xf>
    <xf numFmtId="49" fontId="43" fillId="6" borderId="7" xfId="0" applyNumberFormat="1" applyFont="1" applyFill="1" applyBorder="1" applyAlignment="1">
      <alignment horizontal="center"/>
    </xf>
    <xf numFmtId="49" fontId="45" fillId="6" borderId="7" xfId="0" applyNumberFormat="1" applyFont="1" applyFill="1" applyBorder="1" applyAlignment="1">
      <alignment horizontal="center"/>
    </xf>
    <xf numFmtId="16" fontId="14" fillId="6" borderId="1" xfId="0" applyNumberFormat="1" applyFont="1" applyFill="1" applyBorder="1" applyAlignment="1">
      <alignment horizontal="left" vertical="center" wrapText="1"/>
    </xf>
    <xf numFmtId="0" fontId="14" fillId="6" borderId="1" xfId="0" applyFont="1" applyFill="1" applyBorder="1" applyAlignment="1">
      <alignment vertical="center" wrapText="1"/>
    </xf>
    <xf numFmtId="0" fontId="14" fillId="6" borderId="1" xfId="0" applyFont="1" applyFill="1" applyBorder="1" applyAlignment="1">
      <alignment horizontal="center" vertical="center" wrapText="1"/>
    </xf>
    <xf numFmtId="0" fontId="15" fillId="6" borderId="4" xfId="0" applyFont="1" applyFill="1" applyBorder="1"/>
    <xf numFmtId="16" fontId="14" fillId="6" borderId="0" xfId="0" applyNumberFormat="1" applyFont="1" applyFill="1" applyAlignment="1">
      <alignment horizontal="left" vertical="center" wrapText="1"/>
    </xf>
    <xf numFmtId="0" fontId="14" fillId="6" borderId="2" xfId="0" applyFont="1" applyFill="1" applyBorder="1" applyAlignment="1">
      <alignment vertical="center" wrapText="1"/>
    </xf>
    <xf numFmtId="0" fontId="14" fillId="6" borderId="3" xfId="0" applyFont="1" applyFill="1" applyBorder="1" applyAlignment="1">
      <alignment vertical="center" wrapText="1"/>
    </xf>
    <xf numFmtId="49" fontId="43" fillId="6" borderId="1" xfId="0" applyNumberFormat="1" applyFont="1" applyFill="1" applyBorder="1" applyAlignment="1">
      <alignment horizontal="center"/>
    </xf>
    <xf numFmtId="0" fontId="14" fillId="6" borderId="1" xfId="0" applyFont="1" applyFill="1" applyBorder="1" applyAlignment="1">
      <alignment horizontal="center"/>
    </xf>
    <xf numFmtId="49" fontId="44" fillId="6" borderId="7" xfId="0" applyNumberFormat="1" applyFont="1" applyFill="1" applyBorder="1" applyAlignment="1">
      <alignment horizontal="center"/>
    </xf>
    <xf numFmtId="0" fontId="14" fillId="6" borderId="13" xfId="0" applyFont="1" applyFill="1" applyBorder="1"/>
    <xf numFmtId="0" fontId="14" fillId="23" borderId="16" xfId="0" applyFont="1" applyFill="1" applyBorder="1" applyAlignment="1">
      <alignment vertical="center" wrapText="1"/>
    </xf>
    <xf numFmtId="0" fontId="11" fillId="3" borderId="0" xfId="0" applyFont="1" applyFill="1"/>
    <xf numFmtId="0" fontId="14" fillId="21" borderId="6" xfId="0" applyFont="1" applyFill="1" applyBorder="1" applyAlignment="1">
      <alignment horizontal="center" vertical="center" wrapText="1"/>
    </xf>
    <xf numFmtId="0" fontId="14" fillId="21" borderId="4" xfId="0" applyFont="1" applyFill="1" applyBorder="1"/>
    <xf numFmtId="0" fontId="14" fillId="23" borderId="1" xfId="0" applyFont="1" applyFill="1" applyBorder="1" applyAlignment="1">
      <alignment horizontal="center"/>
    </xf>
    <xf numFmtId="49" fontId="43" fillId="23" borderId="1" xfId="0" applyNumberFormat="1" applyFont="1" applyFill="1" applyBorder="1" applyAlignment="1">
      <alignment horizontal="center"/>
    </xf>
    <xf numFmtId="0" fontId="38" fillId="21" borderId="6" xfId="0" applyFont="1" applyFill="1" applyBorder="1" applyAlignment="1">
      <alignment horizontal="center" vertical="center" wrapText="1"/>
    </xf>
    <xf numFmtId="0" fontId="38" fillId="21" borderId="5" xfId="0" applyFont="1" applyFill="1" applyBorder="1"/>
    <xf numFmtId="0" fontId="38" fillId="21" borderId="5" xfId="0" applyFont="1" applyFill="1" applyBorder="1" applyAlignment="1">
      <alignment horizontal="center" vertical="center" wrapText="1"/>
    </xf>
    <xf numFmtId="0" fontId="38" fillId="6" borderId="6" xfId="0" applyFont="1" applyFill="1" applyBorder="1" applyAlignment="1">
      <alignment horizontal="center" vertical="center" wrapText="1"/>
    </xf>
    <xf numFmtId="0" fontId="38" fillId="23" borderId="6" xfId="0" applyFont="1" applyFill="1" applyBorder="1" applyAlignment="1">
      <alignment horizontal="center" vertical="center" wrapText="1"/>
    </xf>
    <xf numFmtId="0" fontId="14" fillId="6" borderId="1" xfId="0" applyFont="1" applyFill="1" applyBorder="1" applyAlignment="1">
      <alignment horizontal="left" vertical="center" wrapText="1"/>
    </xf>
    <xf numFmtId="0" fontId="15" fillId="21" borderId="1" xfId="0" applyFont="1" applyFill="1" applyBorder="1"/>
    <xf numFmtId="16" fontId="14" fillId="21" borderId="5" xfId="0" applyNumberFormat="1" applyFont="1" applyFill="1" applyBorder="1" applyAlignment="1">
      <alignment horizontal="left" vertical="center" wrapText="1"/>
    </xf>
    <xf numFmtId="0" fontId="14" fillId="21" borderId="6" xfId="0" applyFont="1" applyFill="1" applyBorder="1" applyAlignment="1">
      <alignment vertical="center" wrapText="1"/>
    </xf>
    <xf numFmtId="0" fontId="15" fillId="21" borderId="7" xfId="0" applyFont="1" applyFill="1" applyBorder="1"/>
    <xf numFmtId="0" fontId="15" fillId="21" borderId="8" xfId="0" applyFont="1" applyFill="1" applyBorder="1"/>
    <xf numFmtId="0" fontId="15" fillId="21" borderId="9" xfId="0" applyFont="1" applyFill="1" applyBorder="1"/>
    <xf numFmtId="49" fontId="43" fillId="21" borderId="7" xfId="0" applyNumberFormat="1" applyFont="1" applyFill="1" applyBorder="1" applyAlignment="1">
      <alignment horizontal="center"/>
    </xf>
    <xf numFmtId="0" fontId="14" fillId="0" borderId="0" xfId="0" applyFont="1"/>
    <xf numFmtId="0" fontId="2" fillId="0" borderId="0" xfId="0" applyFont="1"/>
    <xf numFmtId="0" fontId="46" fillId="21" borderId="6" xfId="0" applyFont="1" applyFill="1" applyBorder="1" applyAlignment="1">
      <alignment horizontal="center" vertical="center" wrapText="1"/>
    </xf>
    <xf numFmtId="0" fontId="47" fillId="0" borderId="0" xfId="0" applyFont="1"/>
    <xf numFmtId="0" fontId="46" fillId="3" borderId="0" xfId="0" applyFont="1" applyFill="1"/>
    <xf numFmtId="0" fontId="46" fillId="21" borderId="5" xfId="0" applyFont="1" applyFill="1" applyBorder="1"/>
    <xf numFmtId="0" fontId="46" fillId="21" borderId="4" xfId="0" applyFont="1" applyFill="1" applyBorder="1" applyAlignment="1">
      <alignment horizontal="center" vertical="center" wrapText="1"/>
    </xf>
    <xf numFmtId="0" fontId="46" fillId="6" borderId="4" xfId="0" applyFont="1" applyFill="1" applyBorder="1" applyAlignment="1">
      <alignment horizontal="center" vertical="center" wrapText="1"/>
    </xf>
    <xf numFmtId="0" fontId="46" fillId="23" borderId="4" xfId="0" applyFont="1" applyFill="1" applyBorder="1" applyAlignment="1">
      <alignment horizontal="center" vertical="center" wrapText="1"/>
    </xf>
    <xf numFmtId="16" fontId="46" fillId="3" borderId="0" xfId="0" applyNumberFormat="1" applyFont="1" applyFill="1" applyAlignment="1">
      <alignment horizontal="left" vertical="center" wrapText="1"/>
    </xf>
    <xf numFmtId="0" fontId="46" fillId="3" borderId="0" xfId="0" applyFont="1" applyFill="1" applyAlignment="1">
      <alignment horizontal="left" vertical="center" wrapText="1"/>
    </xf>
    <xf numFmtId="0" fontId="46" fillId="21" borderId="1" xfId="0" applyFont="1" applyFill="1" applyBorder="1"/>
    <xf numFmtId="16" fontId="14" fillId="3" borderId="0" xfId="0" applyNumberFormat="1" applyFont="1" applyFill="1" applyAlignment="1">
      <alignment horizontal="left" vertical="center" wrapText="1"/>
    </xf>
    <xf numFmtId="0" fontId="14" fillId="23" borderId="5" xfId="0" applyFont="1" applyFill="1" applyBorder="1"/>
    <xf numFmtId="0" fontId="14" fillId="23" borderId="6" xfId="0" applyFont="1" applyFill="1" applyBorder="1"/>
    <xf numFmtId="0" fontId="46" fillId="21" borderId="5" xfId="0" applyFont="1" applyFill="1" applyBorder="1" applyAlignment="1">
      <alignment horizontal="center" vertical="center" wrapText="1"/>
    </xf>
    <xf numFmtId="0" fontId="46" fillId="6" borderId="6" xfId="0" applyFont="1" applyFill="1" applyBorder="1" applyAlignment="1">
      <alignment horizontal="center" vertical="center" wrapText="1"/>
    </xf>
    <xf numFmtId="0" fontId="46" fillId="23" borderId="6" xfId="0" applyFont="1" applyFill="1" applyBorder="1" applyAlignment="1">
      <alignment horizontal="center" vertical="center" wrapText="1"/>
    </xf>
    <xf numFmtId="0" fontId="46" fillId="0" borderId="0" xfId="0" applyFont="1"/>
    <xf numFmtId="16" fontId="14" fillId="21" borderId="1" xfId="0" applyNumberFormat="1" applyFont="1" applyFill="1" applyBorder="1" applyAlignment="1">
      <alignment horizontal="left" vertical="center" wrapText="1"/>
    </xf>
    <xf numFmtId="0" fontId="14" fillId="21" borderId="1" xfId="0" applyFont="1" applyFill="1" applyBorder="1" applyAlignment="1">
      <alignment vertical="center" wrapText="1"/>
    </xf>
    <xf numFmtId="49" fontId="43" fillId="21" borderId="1" xfId="0" applyNumberFormat="1" applyFont="1" applyFill="1" applyBorder="1" applyAlignment="1">
      <alignment horizontal="center"/>
    </xf>
    <xf numFmtId="0" fontId="25" fillId="0" borderId="0" xfId="0" applyFont="1"/>
    <xf numFmtId="49" fontId="42" fillId="21" borderId="1" xfId="0" applyNumberFormat="1" applyFont="1" applyFill="1" applyBorder="1" applyAlignment="1">
      <alignment horizontal="center"/>
    </xf>
    <xf numFmtId="0" fontId="14" fillId="6" borderId="5" xfId="0" applyFont="1" applyFill="1" applyBorder="1" applyAlignment="1">
      <alignment vertical="center" wrapText="1"/>
    </xf>
    <xf numFmtId="49" fontId="44" fillId="21" borderId="7" xfId="0" applyNumberFormat="1" applyFont="1" applyFill="1" applyBorder="1" applyAlignment="1">
      <alignment horizontal="center"/>
    </xf>
    <xf numFmtId="0" fontId="1" fillId="0" borderId="0" xfId="0" applyFont="1"/>
    <xf numFmtId="49" fontId="45" fillId="21" borderId="7" xfId="0" applyNumberFormat="1" applyFont="1" applyFill="1" applyBorder="1" applyAlignment="1">
      <alignment horizontal="center"/>
    </xf>
    <xf numFmtId="0" fontId="14" fillId="21" borderId="4" xfId="0" applyFont="1" applyFill="1" applyBorder="1" applyAlignment="1">
      <alignment horizontal="right" vertical="center" wrapText="1"/>
    </xf>
    <xf numFmtId="0" fontId="14" fillId="6" borderId="4" xfId="0" applyFont="1" applyFill="1" applyBorder="1" applyAlignment="1">
      <alignment horizontal="right" vertical="center" wrapText="1"/>
    </xf>
    <xf numFmtId="0" fontId="14" fillId="23" borderId="4" xfId="0" applyFont="1" applyFill="1" applyBorder="1" applyAlignment="1">
      <alignment horizontal="right" vertical="center" wrapText="1"/>
    </xf>
    <xf numFmtId="0" fontId="32" fillId="21" borderId="1" xfId="0" applyFont="1" applyFill="1" applyBorder="1" applyAlignment="1">
      <alignment horizontal="right" vertical="center" wrapText="1"/>
    </xf>
    <xf numFmtId="0" fontId="32" fillId="6" borderId="1" xfId="0" applyFont="1" applyFill="1" applyBorder="1" applyAlignment="1">
      <alignment horizontal="right" vertical="center" wrapText="1"/>
    </xf>
    <xf numFmtId="0" fontId="32" fillId="23" borderId="1" xfId="0" applyFont="1" applyFill="1" applyBorder="1" applyAlignment="1">
      <alignment horizontal="right" vertical="center" wrapText="1"/>
    </xf>
    <xf numFmtId="0" fontId="46" fillId="21" borderId="5" xfId="0" applyFont="1" applyFill="1" applyBorder="1" applyAlignment="1">
      <alignment horizontal="right" vertical="center" wrapText="1"/>
    </xf>
    <xf numFmtId="0" fontId="46" fillId="21" borderId="6" xfId="0" applyFont="1" applyFill="1" applyBorder="1" applyAlignment="1">
      <alignment horizontal="right" vertical="center" wrapText="1"/>
    </xf>
    <xf numFmtId="0" fontId="46" fillId="6" borderId="6" xfId="0" applyFont="1" applyFill="1" applyBorder="1" applyAlignment="1">
      <alignment horizontal="right" vertical="center" wrapText="1"/>
    </xf>
    <xf numFmtId="0" fontId="46" fillId="23" borderId="6" xfId="0" applyFont="1" applyFill="1" applyBorder="1" applyAlignment="1">
      <alignment horizontal="right" vertical="center" wrapText="1"/>
    </xf>
    <xf numFmtId="14" fontId="7" fillId="19" borderId="0" xfId="0" applyNumberFormat="1" applyFont="1" applyFill="1"/>
    <xf numFmtId="0" fontId="7" fillId="19" borderId="0" xfId="0" applyFont="1" applyFill="1"/>
    <xf numFmtId="0" fontId="7" fillId="19" borderId="0" xfId="0" applyFont="1" applyFill="1" applyAlignment="1">
      <alignment horizontal="center"/>
    </xf>
    <xf numFmtId="0" fontId="14" fillId="11" borderId="3" xfId="0" applyFont="1" applyFill="1" applyBorder="1"/>
    <xf numFmtId="20" fontId="7" fillId="19" borderId="0" xfId="0" applyNumberFormat="1" applyFont="1" applyFill="1"/>
    <xf numFmtId="0" fontId="7" fillId="19" borderId="0" xfId="0" applyFont="1" applyFill="1" applyAlignment="1">
      <alignment horizontal="left"/>
    </xf>
    <xf numFmtId="0" fontId="7" fillId="16" borderId="1" xfId="0" applyFont="1" applyFill="1" applyBorder="1" applyAlignment="1">
      <alignment horizontal="right" vertical="center" wrapText="1"/>
    </xf>
    <xf numFmtId="16" fontId="0" fillId="0" borderId="0" xfId="0" applyNumberFormat="1"/>
    <xf numFmtId="49" fontId="15" fillId="23" borderId="7" xfId="0" applyNumberFormat="1" applyFont="1" applyFill="1" applyBorder="1" applyAlignment="1">
      <alignment horizontal="center"/>
    </xf>
    <xf numFmtId="1" fontId="0" fillId="0" borderId="0" xfId="0" applyNumberFormat="1" applyAlignment="1">
      <alignment horizontal="right"/>
    </xf>
    <xf numFmtId="0" fontId="49" fillId="19" borderId="0" xfId="0" applyFont="1" applyFill="1" applyAlignment="1">
      <alignment horizontal="right" vertical="center"/>
    </xf>
    <xf numFmtId="1" fontId="1" fillId="0" borderId="0" xfId="0" applyNumberFormat="1" applyFont="1" applyAlignment="1">
      <alignment horizontal="right"/>
    </xf>
    <xf numFmtId="0" fontId="10" fillId="16" borderId="1" xfId="0" applyFont="1" applyFill="1" applyBorder="1" applyAlignment="1">
      <alignment horizontal="left" vertical="center" wrapText="1"/>
    </xf>
    <xf numFmtId="2" fontId="0" fillId="0" borderId="18" xfId="0" applyNumberFormat="1" applyBorder="1" applyAlignment="1">
      <alignment horizontal="right"/>
    </xf>
    <xf numFmtId="16" fontId="11" fillId="3" borderId="0" xfId="0" applyNumberFormat="1" applyFont="1" applyFill="1" applyAlignment="1">
      <alignment horizontal="left" vertical="center" wrapText="1"/>
    </xf>
    <xf numFmtId="16" fontId="14" fillId="6" borderId="10" xfId="0" applyNumberFormat="1" applyFont="1" applyFill="1" applyBorder="1" applyAlignment="1">
      <alignment horizontal="left" vertical="center" wrapText="1"/>
    </xf>
    <xf numFmtId="0" fontId="14" fillId="21" borderId="2" xfId="0" applyFont="1" applyFill="1" applyBorder="1" applyAlignment="1">
      <alignment vertical="center" wrapText="1"/>
    </xf>
    <xf numFmtId="0" fontId="14" fillId="21" borderId="4" xfId="0" applyFont="1" applyFill="1" applyBorder="1" applyAlignment="1">
      <alignment horizontal="right"/>
    </xf>
    <xf numFmtId="1" fontId="1" fillId="0" borderId="0" xfId="0" applyNumberFormat="1" applyFont="1"/>
    <xf numFmtId="49" fontId="44" fillId="23" borderId="7" xfId="0" applyNumberFormat="1" applyFont="1" applyFill="1" applyBorder="1" applyAlignment="1">
      <alignment horizontal="center"/>
    </xf>
    <xf numFmtId="0" fontId="33" fillId="21" borderId="6" xfId="0" applyFont="1" applyFill="1" applyBorder="1" applyAlignment="1">
      <alignment horizontal="center" vertical="center" wrapText="1"/>
    </xf>
    <xf numFmtId="0" fontId="34" fillId="21" borderId="1" xfId="0" applyFont="1" applyFill="1" applyBorder="1"/>
    <xf numFmtId="0" fontId="51" fillId="6" borderId="5" xfId="0" applyFont="1" applyFill="1" applyBorder="1" applyAlignment="1">
      <alignment vertical="center" wrapText="1"/>
    </xf>
    <xf numFmtId="0" fontId="16" fillId="8" borderId="5" xfId="0" applyFont="1" applyFill="1" applyBorder="1" applyAlignment="1">
      <alignment vertical="center" wrapText="1"/>
    </xf>
    <xf numFmtId="0" fontId="10" fillId="16" borderId="1" xfId="0" applyFont="1" applyFill="1" applyBorder="1" applyAlignment="1">
      <alignment horizontal="right" vertical="center" wrapText="1"/>
    </xf>
    <xf numFmtId="0" fontId="14" fillId="21" borderId="13" xfId="0" applyFont="1" applyFill="1" applyBorder="1"/>
    <xf numFmtId="0" fontId="52" fillId="8" borderId="1" xfId="0" applyFont="1" applyFill="1" applyBorder="1"/>
    <xf numFmtId="0" fontId="23" fillId="6" borderId="1" xfId="0" applyFont="1" applyFill="1" applyBorder="1"/>
    <xf numFmtId="0" fontId="29" fillId="26" borderId="1" xfId="0" applyFont="1" applyFill="1" applyBorder="1"/>
    <xf numFmtId="0" fontId="14" fillId="27" borderId="1" xfId="0" applyFont="1" applyFill="1" applyBorder="1"/>
    <xf numFmtId="0" fontId="7" fillId="17" borderId="5" xfId="0" applyFont="1" applyFill="1" applyBorder="1" applyAlignment="1">
      <alignment horizontal="right" vertical="center" wrapText="1"/>
    </xf>
    <xf numFmtId="0" fontId="10" fillId="16" borderId="4" xfId="0" applyFont="1" applyFill="1" applyBorder="1" applyAlignment="1">
      <alignment horizontal="left" vertical="center" wrapText="1"/>
    </xf>
    <xf numFmtId="0" fontId="7" fillId="16" borderId="4" xfId="0" applyFont="1" applyFill="1" applyBorder="1" applyAlignment="1">
      <alignment horizontal="left" vertical="center" wrapText="1"/>
    </xf>
    <xf numFmtId="0" fontId="10" fillId="17" borderId="5" xfId="0" applyFont="1" applyFill="1" applyBorder="1" applyAlignment="1">
      <alignment vertical="center" wrapText="1"/>
    </xf>
    <xf numFmtId="0" fontId="7" fillId="17" borderId="6" xfId="0" applyFont="1" applyFill="1" applyBorder="1" applyAlignment="1">
      <alignment horizontal="right" vertical="center" wrapText="1"/>
    </xf>
    <xf numFmtId="0" fontId="14" fillId="13" borderId="5" xfId="0" applyFont="1" applyFill="1" applyBorder="1"/>
    <xf numFmtId="0" fontId="52" fillId="8" borderId="5" xfId="0" applyFont="1" applyFill="1" applyBorder="1"/>
    <xf numFmtId="0" fontId="7" fillId="3" borderId="5" xfId="0" applyFont="1" applyFill="1" applyBorder="1"/>
    <xf numFmtId="0" fontId="14" fillId="27" borderId="5" xfId="0" applyFont="1" applyFill="1" applyBorder="1"/>
    <xf numFmtId="0" fontId="33" fillId="21" borderId="4" xfId="0" applyFont="1" applyFill="1" applyBorder="1" applyAlignment="1">
      <alignment horizontal="center"/>
    </xf>
    <xf numFmtId="0" fontId="7" fillId="16" borderId="4" xfId="0" applyFont="1" applyFill="1" applyBorder="1" applyAlignment="1">
      <alignment horizontal="left"/>
    </xf>
    <xf numFmtId="0" fontId="24" fillId="17" borderId="1" xfId="0" applyFont="1" applyFill="1" applyBorder="1" applyAlignment="1">
      <alignment horizontal="left" vertical="center" wrapText="1"/>
    </xf>
    <xf numFmtId="49" fontId="14" fillId="21" borderId="1" xfId="0" applyNumberFormat="1" applyFont="1" applyFill="1" applyBorder="1" applyAlignment="1">
      <alignment horizontal="center"/>
    </xf>
    <xf numFmtId="0" fontId="0" fillId="19" borderId="0" xfId="0" applyFill="1"/>
    <xf numFmtId="0" fontId="14" fillId="23" borderId="2" xfId="0" applyFont="1" applyFill="1" applyBorder="1"/>
    <xf numFmtId="49" fontId="45" fillId="6" borderId="1" xfId="0" applyNumberFormat="1" applyFont="1" applyFill="1" applyBorder="1" applyAlignment="1">
      <alignment horizontal="center"/>
    </xf>
    <xf numFmtId="0" fontId="14" fillId="21" borderId="6" xfId="0" applyFont="1" applyFill="1" applyBorder="1" applyAlignment="1">
      <alignment horizontal="left" vertical="center" wrapText="1"/>
    </xf>
    <xf numFmtId="1" fontId="14" fillId="21" borderId="6" xfId="0" applyNumberFormat="1" applyFont="1" applyFill="1" applyBorder="1" applyAlignment="1">
      <alignment horizontal="center" vertical="center" wrapText="1"/>
    </xf>
    <xf numFmtId="0" fontId="15" fillId="21" borderId="2" xfId="0" applyFont="1" applyFill="1" applyBorder="1"/>
    <xf numFmtId="0" fontId="15" fillId="21" borderId="4" xfId="0" applyFont="1" applyFill="1" applyBorder="1"/>
    <xf numFmtId="49" fontId="42" fillId="21" borderId="7" xfId="0" applyNumberFormat="1" applyFont="1" applyFill="1" applyBorder="1" applyAlignment="1">
      <alignment horizontal="center"/>
    </xf>
    <xf numFmtId="0" fontId="14" fillId="6" borderId="0" xfId="0" applyFont="1" applyFill="1" applyAlignment="1">
      <alignment vertical="center" wrapText="1"/>
    </xf>
    <xf numFmtId="49" fontId="43" fillId="6" borderId="0" xfId="0" applyNumberFormat="1" applyFont="1" applyFill="1" applyAlignment="1">
      <alignment horizontal="center"/>
    </xf>
    <xf numFmtId="16" fontId="14" fillId="21" borderId="0" xfId="0" applyNumberFormat="1" applyFont="1" applyFill="1" applyAlignment="1">
      <alignment horizontal="left" vertical="center" wrapText="1"/>
    </xf>
    <xf numFmtId="0" fontId="14" fillId="21" borderId="0" xfId="0" applyFont="1" applyFill="1" applyAlignment="1">
      <alignment vertical="center" wrapText="1"/>
    </xf>
    <xf numFmtId="0" fontId="14" fillId="21" borderId="3" xfId="0" applyFont="1" applyFill="1" applyBorder="1" applyAlignment="1">
      <alignment vertical="center" wrapText="1"/>
    </xf>
    <xf numFmtId="0" fontId="15" fillId="21" borderId="0" xfId="0" applyFont="1" applyFill="1"/>
    <xf numFmtId="0" fontId="15" fillId="21" borderId="3" xfId="0" applyFont="1" applyFill="1" applyBorder="1"/>
    <xf numFmtId="0" fontId="14" fillId="21" borderId="1" xfId="0" applyFont="1" applyFill="1" applyBorder="1" applyAlignment="1">
      <alignment horizontal="left" vertical="center" wrapText="1"/>
    </xf>
    <xf numFmtId="0" fontId="14" fillId="21" borderId="16" xfId="0" applyFont="1" applyFill="1" applyBorder="1" applyAlignment="1">
      <alignment horizontal="left" vertical="center" wrapText="1"/>
    </xf>
    <xf numFmtId="0" fontId="14" fillId="21" borderId="16" xfId="0" applyFont="1" applyFill="1" applyBorder="1" applyAlignment="1">
      <alignment vertical="center" wrapText="1"/>
    </xf>
    <xf numFmtId="49" fontId="45" fillId="21" borderId="1" xfId="0" applyNumberFormat="1" applyFont="1" applyFill="1" applyBorder="1" applyAlignment="1">
      <alignment horizontal="center"/>
    </xf>
    <xf numFmtId="16" fontId="14" fillId="21" borderId="18" xfId="0" applyNumberFormat="1" applyFont="1" applyFill="1" applyBorder="1" applyAlignment="1">
      <alignment horizontal="left" vertical="center" wrapText="1"/>
    </xf>
    <xf numFmtId="0" fontId="14" fillId="21" borderId="5" xfId="0" applyFont="1" applyFill="1" applyBorder="1"/>
    <xf numFmtId="0" fontId="14" fillId="21" borderId="6" xfId="0" applyFont="1" applyFill="1" applyBorder="1"/>
    <xf numFmtId="0" fontId="14" fillId="21" borderId="5" xfId="0" applyFont="1" applyFill="1" applyBorder="1" applyAlignment="1">
      <alignment vertical="center" wrapText="1"/>
    </xf>
    <xf numFmtId="49" fontId="15" fillId="21" borderId="7" xfId="0" applyNumberFormat="1" applyFont="1" applyFill="1" applyBorder="1" applyAlignment="1">
      <alignment horizontal="center"/>
    </xf>
    <xf numFmtId="0" fontId="0" fillId="6" borderId="0" xfId="0" applyFill="1"/>
    <xf numFmtId="0" fontId="0" fillId="23" borderId="0" xfId="0" applyFill="1"/>
    <xf numFmtId="0" fontId="0" fillId="21" borderId="0" xfId="0" applyFill="1"/>
    <xf numFmtId="0" fontId="15" fillId="6" borderId="0" xfId="0" applyFont="1" applyFill="1" applyAlignment="1">
      <alignment horizontal="right"/>
    </xf>
    <xf numFmtId="0" fontId="14" fillId="6" borderId="0" xfId="0" applyFont="1" applyFill="1" applyAlignment="1">
      <alignment horizontal="right"/>
    </xf>
    <xf numFmtId="2" fontId="7" fillId="0" borderId="18" xfId="0" applyNumberFormat="1" applyFont="1" applyBorder="1" applyAlignment="1">
      <alignment horizontal="right"/>
    </xf>
    <xf numFmtId="2" fontId="7" fillId="0" borderId="19" xfId="0" applyNumberFormat="1" applyFont="1" applyBorder="1" applyAlignment="1">
      <alignment horizontal="right"/>
    </xf>
    <xf numFmtId="0" fontId="26" fillId="0" borderId="4" xfId="0" applyFont="1" applyBorder="1" applyAlignment="1">
      <alignment horizontal="center" vertical="center" wrapText="1"/>
    </xf>
    <xf numFmtId="0" fontId="26" fillId="20" borderId="5" xfId="0" applyFont="1" applyFill="1" applyBorder="1" applyAlignment="1">
      <alignment horizontal="right" vertical="center" wrapText="1"/>
    </xf>
    <xf numFmtId="0" fontId="53" fillId="7" borderId="6" xfId="0" applyFont="1" applyFill="1" applyBorder="1" applyAlignment="1">
      <alignment vertical="center" wrapText="1"/>
    </xf>
    <xf numFmtId="0" fontId="27" fillId="20" borderId="6" xfId="0" applyFont="1" applyFill="1" applyBorder="1" applyAlignment="1">
      <alignment horizontal="right" vertical="center" wrapText="1"/>
    </xf>
    <xf numFmtId="0" fontId="26" fillId="20" borderId="6" xfId="0" applyFont="1" applyFill="1" applyBorder="1" applyAlignment="1">
      <alignment horizontal="right" vertical="center" wrapText="1"/>
    </xf>
    <xf numFmtId="0" fontId="53" fillId="11" borderId="6" xfId="0" applyFont="1" applyFill="1" applyBorder="1" applyAlignment="1">
      <alignment vertical="center" wrapText="1"/>
    </xf>
    <xf numFmtId="0" fontId="29" fillId="20" borderId="6" xfId="0" applyFont="1" applyFill="1" applyBorder="1" applyAlignment="1">
      <alignment vertical="center" wrapText="1"/>
    </xf>
    <xf numFmtId="0" fontId="53" fillId="4" borderId="6" xfId="0" applyFont="1" applyFill="1" applyBorder="1" applyAlignment="1">
      <alignment vertical="center" wrapText="1"/>
    </xf>
    <xf numFmtId="0" fontId="14" fillId="6" borderId="1" xfId="0" applyFont="1" applyFill="1" applyBorder="1" applyAlignment="1">
      <alignment horizontal="right"/>
    </xf>
    <xf numFmtId="0" fontId="14" fillId="6" borderId="4" xfId="0" applyFont="1" applyFill="1" applyBorder="1" applyAlignment="1">
      <alignment horizontal="right"/>
    </xf>
    <xf numFmtId="16" fontId="14" fillId="23" borderId="10" xfId="0" applyNumberFormat="1" applyFont="1" applyFill="1" applyBorder="1" applyAlignment="1">
      <alignment horizontal="left" vertical="center" wrapText="1"/>
    </xf>
    <xf numFmtId="0" fontId="14" fillId="23" borderId="4" xfId="0" applyFont="1" applyFill="1" applyBorder="1" applyAlignment="1">
      <alignment horizontal="right"/>
    </xf>
    <xf numFmtId="49" fontId="43" fillId="6" borderId="7" xfId="0" applyNumberFormat="1" applyFont="1" applyFill="1" applyBorder="1"/>
    <xf numFmtId="0" fontId="29" fillId="7" borderId="3" xfId="0" applyFont="1" applyFill="1" applyBorder="1" applyAlignment="1">
      <alignment horizontal="left" wrapText="1"/>
    </xf>
    <xf numFmtId="0" fontId="29" fillId="7" borderId="1" xfId="0" applyFont="1" applyFill="1" applyBorder="1" applyAlignment="1">
      <alignment horizontal="center"/>
    </xf>
    <xf numFmtId="0" fontId="29" fillId="7" borderId="2" xfId="0" applyFont="1" applyFill="1" applyBorder="1"/>
    <xf numFmtId="0" fontId="29" fillId="7" borderId="1" xfId="0" applyFont="1" applyFill="1" applyBorder="1"/>
    <xf numFmtId="0" fontId="29" fillId="7" borderId="10" xfId="0" applyFont="1" applyFill="1" applyBorder="1" applyAlignment="1">
      <alignment vertical="center" wrapText="1"/>
    </xf>
    <xf numFmtId="0" fontId="29" fillId="7" borderId="5" xfId="0" applyFont="1" applyFill="1" applyBorder="1" applyAlignment="1">
      <alignment vertical="center" wrapText="1"/>
    </xf>
    <xf numFmtId="0" fontId="29" fillId="7" borderId="1" xfId="0" applyFont="1" applyFill="1" applyBorder="1" applyAlignment="1">
      <alignment vertical="center" wrapText="1"/>
    </xf>
    <xf numFmtId="0" fontId="29" fillId="7" borderId="1" xfId="0" applyFont="1" applyFill="1" applyBorder="1" applyAlignment="1">
      <alignment horizontal="center" vertical="center" wrapText="1"/>
    </xf>
    <xf numFmtId="0" fontId="29" fillId="7" borderId="6" xfId="0" applyFont="1" applyFill="1" applyBorder="1" applyAlignment="1">
      <alignment horizontal="center" vertical="center" wrapText="1"/>
    </xf>
    <xf numFmtId="0" fontId="37" fillId="7" borderId="7" xfId="0" applyFont="1" applyFill="1" applyBorder="1"/>
    <xf numFmtId="49" fontId="37" fillId="7" borderId="7" xfId="0" applyNumberFormat="1" applyFont="1" applyFill="1" applyBorder="1"/>
    <xf numFmtId="0" fontId="37" fillId="7" borderId="8" xfId="0" applyFont="1" applyFill="1" applyBorder="1"/>
    <xf numFmtId="0" fontId="37" fillId="7" borderId="1" xfId="0" applyFont="1" applyFill="1" applyBorder="1"/>
    <xf numFmtId="0" fontId="29" fillId="7" borderId="1" xfId="0" applyFont="1" applyFill="1" applyBorder="1" applyAlignment="1">
      <alignment horizontal="right"/>
    </xf>
    <xf numFmtId="2" fontId="0" fillId="0" borderId="19" xfId="0" applyNumberFormat="1" applyBorder="1" applyAlignment="1">
      <alignment horizontal="right"/>
    </xf>
    <xf numFmtId="0" fontId="27" fillId="0" borderId="6" xfId="0" applyFont="1" applyBorder="1" applyAlignment="1">
      <alignment vertical="center"/>
    </xf>
    <xf numFmtId="0" fontId="14" fillId="21" borderId="1" xfId="0" applyFont="1" applyFill="1" applyBorder="1" applyAlignment="1">
      <alignment horizontal="right"/>
    </xf>
    <xf numFmtId="49" fontId="14" fillId="6" borderId="7" xfId="0" applyNumberFormat="1" applyFont="1" applyFill="1" applyBorder="1"/>
    <xf numFmtId="16" fontId="14" fillId="21" borderId="10" xfId="0" applyNumberFormat="1" applyFont="1" applyFill="1" applyBorder="1" applyAlignment="1">
      <alignment horizontal="left" vertical="center" wrapText="1"/>
    </xf>
    <xf numFmtId="49" fontId="15" fillId="6" borderId="7" xfId="0" applyNumberFormat="1" applyFont="1" applyFill="1" applyBorder="1" applyAlignment="1">
      <alignment horizontal="center"/>
    </xf>
    <xf numFmtId="0" fontId="7" fillId="19" borderId="0" xfId="0" applyFont="1" applyFill="1" applyAlignment="1">
      <alignment horizontal="right"/>
    </xf>
    <xf numFmtId="0" fontId="14" fillId="13" borderId="6" xfId="0" applyFont="1" applyFill="1" applyBorder="1" applyAlignment="1">
      <alignment vertical="center" wrapText="1"/>
    </xf>
    <xf numFmtId="0" fontId="16" fillId="8" borderId="6" xfId="0" applyFont="1" applyFill="1" applyBorder="1" applyAlignment="1">
      <alignment vertical="center" wrapText="1"/>
    </xf>
    <xf numFmtId="0" fontId="14" fillId="12" borderId="6" xfId="0" applyFont="1" applyFill="1" applyBorder="1" applyAlignment="1">
      <alignment vertical="center" wrapText="1"/>
    </xf>
    <xf numFmtId="164" fontId="7" fillId="19" borderId="0" xfId="0" applyNumberFormat="1" applyFont="1" applyFill="1"/>
    <xf numFmtId="49" fontId="7" fillId="19" borderId="0" xfId="0" applyNumberFormat="1" applyFont="1" applyFill="1" applyAlignment="1">
      <alignment horizontal="right"/>
    </xf>
    <xf numFmtId="0" fontId="0" fillId="3" borderId="0" xfId="0" applyFill="1" applyAlignment="1">
      <alignment horizontal="center"/>
    </xf>
    <xf numFmtId="0" fontId="11" fillId="28" borderId="6" xfId="0" applyFont="1" applyFill="1" applyBorder="1" applyAlignment="1">
      <alignment horizontal="right" vertical="center" wrapText="1"/>
    </xf>
    <xf numFmtId="0" fontId="0" fillId="3" borderId="0" xfId="0" applyFill="1" applyAlignment="1">
      <alignment horizontal="right"/>
    </xf>
    <xf numFmtId="0" fontId="11" fillId="3" borderId="0" xfId="0" applyFont="1" applyFill="1" applyAlignment="1">
      <alignment horizontal="center" vertical="center" wrapText="1"/>
    </xf>
    <xf numFmtId="0" fontId="10" fillId="3" borderId="0" xfId="0" applyFont="1" applyFill="1" applyAlignment="1">
      <alignment horizontal="right" vertical="center" wrapText="1"/>
    </xf>
    <xf numFmtId="0" fontId="7" fillId="3" borderId="0" xfId="0" applyFont="1" applyFill="1" applyAlignment="1">
      <alignment horizontal="left"/>
    </xf>
    <xf numFmtId="20" fontId="7" fillId="3" borderId="0" xfId="0" applyNumberFormat="1" applyFont="1" applyFill="1" applyAlignment="1">
      <alignment horizontal="center"/>
    </xf>
    <xf numFmtId="0" fontId="7" fillId="3" borderId="0" xfId="0" applyFont="1" applyFill="1" applyAlignment="1">
      <alignment horizontal="right"/>
    </xf>
    <xf numFmtId="0" fontId="7" fillId="29" borderId="0" xfId="0" applyFont="1" applyFill="1" applyAlignment="1">
      <alignment horizontal="left"/>
    </xf>
    <xf numFmtId="20" fontId="7" fillId="29" borderId="0" xfId="0" applyNumberFormat="1" applyFont="1" applyFill="1" applyAlignment="1">
      <alignment horizontal="left"/>
    </xf>
    <xf numFmtId="0" fontId="7" fillId="29" borderId="0" xfId="0" applyFont="1" applyFill="1"/>
    <xf numFmtId="0" fontId="0" fillId="29" borderId="0" xfId="0" applyFill="1"/>
    <xf numFmtId="165" fontId="7" fillId="29" borderId="0" xfId="0" applyNumberFormat="1" applyFont="1" applyFill="1" applyAlignment="1">
      <alignment horizontal="left"/>
    </xf>
    <xf numFmtId="0" fontId="7" fillId="29" borderId="0" xfId="0" applyFont="1" applyFill="1" applyAlignment="1">
      <alignment horizontal="right"/>
    </xf>
    <xf numFmtId="20" fontId="7" fillId="29" borderId="0" xfId="0" applyNumberFormat="1" applyFont="1" applyFill="1" applyAlignment="1">
      <alignment horizontal="center"/>
    </xf>
    <xf numFmtId="1" fontId="0" fillId="29" borderId="1" xfId="0" applyNumberFormat="1" applyFill="1" applyBorder="1" applyAlignment="1">
      <alignment horizontal="left" vertical="center" wrapText="1"/>
    </xf>
    <xf numFmtId="0" fontId="0" fillId="29" borderId="4" xfId="0" applyFill="1" applyBorder="1" applyAlignment="1">
      <alignment horizontal="center" vertical="center" wrapText="1"/>
    </xf>
    <xf numFmtId="0" fontId="7" fillId="29" borderId="4" xfId="0" applyFont="1" applyFill="1" applyBorder="1" applyAlignment="1">
      <alignment horizontal="center" vertical="center" wrapText="1"/>
    </xf>
    <xf numFmtId="1" fontId="10" fillId="29" borderId="5" xfId="0" applyNumberFormat="1" applyFont="1" applyFill="1" applyBorder="1" applyAlignment="1">
      <alignment horizontal="left" vertical="center" wrapText="1"/>
    </xf>
    <xf numFmtId="0" fontId="11" fillId="29" borderId="6" xfId="0" applyFont="1" applyFill="1" applyBorder="1" applyAlignment="1">
      <alignment horizontal="center" vertical="center" wrapText="1"/>
    </xf>
    <xf numFmtId="0" fontId="0" fillId="29" borderId="6" xfId="0" applyFill="1" applyBorder="1" applyAlignment="1">
      <alignment horizontal="center" vertical="center" wrapText="1"/>
    </xf>
    <xf numFmtId="0" fontId="7" fillId="24" borderId="0" xfId="0" applyFont="1" applyFill="1" applyAlignment="1">
      <alignment horizontal="left"/>
    </xf>
    <xf numFmtId="20" fontId="7" fillId="24" borderId="0" xfId="0" applyNumberFormat="1" applyFont="1" applyFill="1" applyAlignment="1">
      <alignment horizontal="center"/>
    </xf>
    <xf numFmtId="20" fontId="7" fillId="24" borderId="0" xfId="0" applyNumberFormat="1" applyFont="1" applyFill="1" applyAlignment="1">
      <alignment horizontal="left"/>
    </xf>
    <xf numFmtId="165" fontId="7" fillId="24" borderId="0" xfId="0" applyNumberFormat="1" applyFont="1" applyFill="1" applyAlignment="1">
      <alignment horizontal="left"/>
    </xf>
    <xf numFmtId="1" fontId="0" fillId="24" borderId="1" xfId="0" applyNumberFormat="1" applyFill="1" applyBorder="1" applyAlignment="1">
      <alignment horizontal="left" vertical="center" wrapText="1"/>
    </xf>
    <xf numFmtId="0" fontId="0" fillId="24" borderId="4" xfId="0" applyFill="1" applyBorder="1" applyAlignment="1">
      <alignment horizontal="center" vertical="center" wrapText="1"/>
    </xf>
    <xf numFmtId="0" fontId="7" fillId="24" borderId="4" xfId="0" applyFont="1" applyFill="1" applyBorder="1" applyAlignment="1">
      <alignment horizontal="center" vertical="center" wrapText="1"/>
    </xf>
    <xf numFmtId="1" fontId="10" fillId="24" borderId="5" xfId="0" applyNumberFormat="1" applyFont="1" applyFill="1" applyBorder="1" applyAlignment="1">
      <alignment horizontal="left" vertical="center" wrapText="1"/>
    </xf>
    <xf numFmtId="0" fontId="11" fillId="24" borderId="6" xfId="0" applyFont="1" applyFill="1" applyBorder="1" applyAlignment="1">
      <alignment horizontal="center" vertical="center" wrapText="1"/>
    </xf>
    <xf numFmtId="0" fontId="0" fillId="24" borderId="6" xfId="0" applyFill="1" applyBorder="1" applyAlignment="1">
      <alignment horizontal="center" vertical="center" wrapText="1"/>
    </xf>
    <xf numFmtId="1" fontId="10" fillId="3" borderId="9" xfId="0" applyNumberFormat="1" applyFont="1" applyFill="1" applyBorder="1" applyAlignment="1">
      <alignment horizontal="left" vertical="center" wrapText="1"/>
    </xf>
    <xf numFmtId="0" fontId="11" fillId="3" borderId="9" xfId="0" applyFont="1" applyFill="1" applyBorder="1" applyAlignment="1">
      <alignment horizontal="center" vertical="center" wrapText="1"/>
    </xf>
    <xf numFmtId="0" fontId="0" fillId="3" borderId="9" xfId="0" applyFill="1" applyBorder="1" applyAlignment="1">
      <alignment horizontal="center" vertical="center" wrapText="1"/>
    </xf>
    <xf numFmtId="0" fontId="0" fillId="3" borderId="9" xfId="0" applyFill="1" applyBorder="1" applyAlignment="1">
      <alignment horizontal="right" vertical="center" wrapText="1"/>
    </xf>
    <xf numFmtId="0" fontId="10" fillId="3" borderId="9" xfId="0" applyFont="1" applyFill="1" applyBorder="1" applyAlignment="1">
      <alignment horizontal="right" vertical="center" wrapText="1"/>
    </xf>
    <xf numFmtId="0" fontId="11" fillId="3" borderId="9" xfId="0" applyFont="1" applyFill="1" applyBorder="1" applyAlignment="1">
      <alignment horizontal="right" vertical="center" wrapText="1"/>
    </xf>
    <xf numFmtId="0" fontId="7" fillId="3" borderId="0" xfId="0" applyFont="1" applyFill="1" applyAlignment="1">
      <alignment horizontal="center"/>
    </xf>
    <xf numFmtId="49" fontId="7" fillId="3" borderId="0" xfId="0" applyNumberFormat="1" applyFont="1" applyFill="1" applyAlignment="1">
      <alignment horizontal="right"/>
    </xf>
    <xf numFmtId="0" fontId="7" fillId="28" borderId="0" xfId="0" applyFont="1" applyFill="1" applyAlignment="1">
      <alignment horizontal="left"/>
    </xf>
    <xf numFmtId="20" fontId="7" fillId="28" borderId="0" xfId="0" applyNumberFormat="1" applyFont="1" applyFill="1" applyAlignment="1">
      <alignment horizontal="left"/>
    </xf>
    <xf numFmtId="0" fontId="7" fillId="28" borderId="0" xfId="0" applyFont="1" applyFill="1"/>
    <xf numFmtId="49" fontId="7" fillId="28" borderId="0" xfId="0" applyNumberFormat="1" applyFont="1" applyFill="1" applyAlignment="1">
      <alignment horizontal="right"/>
    </xf>
    <xf numFmtId="0" fontId="0" fillId="28" borderId="0" xfId="0" applyFill="1"/>
    <xf numFmtId="165" fontId="7" fillId="28" borderId="0" xfId="0" applyNumberFormat="1" applyFont="1" applyFill="1" applyAlignment="1">
      <alignment horizontal="left"/>
    </xf>
    <xf numFmtId="0" fontId="7" fillId="28" borderId="0" xfId="0" applyFont="1" applyFill="1" applyAlignment="1">
      <alignment horizontal="right"/>
    </xf>
    <xf numFmtId="0" fontId="0" fillId="28" borderId="0" xfId="0" applyFill="1" applyAlignment="1">
      <alignment horizontal="left"/>
    </xf>
    <xf numFmtId="0" fontId="53" fillId="30" borderId="6" xfId="0" applyFont="1" applyFill="1" applyBorder="1" applyAlignment="1">
      <alignment vertical="center" wrapText="1"/>
    </xf>
    <xf numFmtId="0" fontId="53" fillId="25" borderId="6" xfId="0" applyFont="1" applyFill="1" applyBorder="1" applyAlignment="1">
      <alignment vertical="center" wrapText="1"/>
    </xf>
    <xf numFmtId="0" fontId="53" fillId="13" borderId="6" xfId="0" applyFont="1" applyFill="1" applyBorder="1" applyAlignment="1">
      <alignment vertical="center" wrapText="1"/>
    </xf>
    <xf numFmtId="49" fontId="15" fillId="6" borderId="1" xfId="0" applyNumberFormat="1" applyFont="1" applyFill="1" applyBorder="1" applyAlignment="1">
      <alignment horizontal="center"/>
    </xf>
    <xf numFmtId="49" fontId="14" fillId="23" borderId="7" xfId="0" applyNumberFormat="1" applyFont="1" applyFill="1" applyBorder="1" applyAlignment="1">
      <alignment horizontal="center"/>
    </xf>
    <xf numFmtId="16" fontId="7" fillId="29" borderId="0" xfId="0" applyNumberFormat="1" applyFont="1" applyFill="1" applyAlignment="1">
      <alignment horizontal="left"/>
    </xf>
    <xf numFmtId="16" fontId="7" fillId="24" borderId="0" xfId="0" applyNumberFormat="1" applyFont="1" applyFill="1" applyAlignment="1">
      <alignment horizontal="left"/>
    </xf>
    <xf numFmtId="16" fontId="7" fillId="28" borderId="0" xfId="0" applyNumberFormat="1" applyFont="1" applyFill="1" applyAlignment="1">
      <alignment horizontal="left"/>
    </xf>
    <xf numFmtId="0" fontId="14" fillId="23" borderId="13" xfId="0" applyFont="1" applyFill="1" applyBorder="1" applyAlignment="1">
      <alignment horizontal="right"/>
    </xf>
    <xf numFmtId="0" fontId="14" fillId="3" borderId="0" xfId="0" applyFont="1" applyFill="1" applyAlignment="1">
      <alignment horizontal="left" vertical="center" wrapText="1"/>
    </xf>
    <xf numFmtId="0" fontId="14" fillId="3" borderId="0" xfId="0" applyFont="1" applyFill="1" applyAlignment="1">
      <alignment horizontal="center" vertical="center" wrapText="1"/>
    </xf>
    <xf numFmtId="0" fontId="15" fillId="3" borderId="0" xfId="0" applyFont="1" applyFill="1"/>
    <xf numFmtId="0" fontId="14" fillId="3" borderId="0" xfId="0" applyFont="1" applyFill="1" applyAlignment="1">
      <alignment horizontal="right" vertical="center" wrapText="1"/>
    </xf>
    <xf numFmtId="49" fontId="14" fillId="6" borderId="7" xfId="0" applyNumberFormat="1" applyFont="1" applyFill="1" applyBorder="1" applyAlignment="1">
      <alignment horizontal="center"/>
    </xf>
    <xf numFmtId="0" fontId="54" fillId="21" borderId="6" xfId="0" applyFont="1" applyFill="1" applyBorder="1" applyAlignment="1">
      <alignment horizontal="center" vertical="center" wrapText="1"/>
    </xf>
    <xf numFmtId="0" fontId="55" fillId="3" borderId="0" xfId="0" applyFont="1" applyFill="1"/>
    <xf numFmtId="49" fontId="56" fillId="3" borderId="0" xfId="0" applyNumberFormat="1" applyFont="1" applyFill="1" applyAlignment="1">
      <alignment horizontal="center"/>
    </xf>
    <xf numFmtId="0" fontId="54" fillId="21" borderId="1" xfId="0" applyFont="1" applyFill="1" applyBorder="1"/>
    <xf numFmtId="0" fontId="54" fillId="21" borderId="4" xfId="0" applyFont="1" applyFill="1" applyBorder="1" applyAlignment="1">
      <alignment horizontal="center"/>
    </xf>
    <xf numFmtId="0" fontId="55" fillId="0" borderId="0" xfId="0" applyFont="1"/>
    <xf numFmtId="0" fontId="54" fillId="3" borderId="0" xfId="0" applyFont="1" applyFill="1"/>
    <xf numFmtId="0" fontId="54" fillId="21" borderId="5" xfId="0" applyFont="1" applyFill="1" applyBorder="1"/>
    <xf numFmtId="0" fontId="54" fillId="21" borderId="4" xfId="0" applyFont="1" applyFill="1" applyBorder="1" applyAlignment="1">
      <alignment horizontal="center" vertical="center" wrapText="1"/>
    </xf>
    <xf numFmtId="0" fontId="54" fillId="6" borderId="4" xfId="0" applyFont="1" applyFill="1" applyBorder="1" applyAlignment="1">
      <alignment horizontal="center" vertical="center" wrapText="1"/>
    </xf>
    <xf numFmtId="0" fontId="54" fillId="23" borderId="4" xfId="0" applyFont="1" applyFill="1" applyBorder="1" applyAlignment="1">
      <alignment horizontal="center" vertical="center" wrapText="1"/>
    </xf>
    <xf numFmtId="0" fontId="14" fillId="6" borderId="13" xfId="0" applyFont="1" applyFill="1" applyBorder="1" applyAlignment="1">
      <alignment horizontal="right"/>
    </xf>
    <xf numFmtId="0" fontId="7" fillId="31" borderId="0" xfId="0" applyFont="1" applyFill="1" applyAlignment="1">
      <alignment horizontal="left"/>
    </xf>
    <xf numFmtId="20" fontId="7" fillId="31" borderId="0" xfId="0" applyNumberFormat="1" applyFont="1" applyFill="1" applyAlignment="1">
      <alignment horizontal="left"/>
    </xf>
    <xf numFmtId="0" fontId="7" fillId="31" borderId="0" xfId="0" applyFont="1" applyFill="1"/>
    <xf numFmtId="0" fontId="0" fillId="31" borderId="0" xfId="0" applyFill="1"/>
    <xf numFmtId="165" fontId="7" fillId="31" borderId="0" xfId="0" applyNumberFormat="1" applyFont="1" applyFill="1" applyAlignment="1">
      <alignment horizontal="left"/>
    </xf>
    <xf numFmtId="16" fontId="7" fillId="31" borderId="0" xfId="0" applyNumberFormat="1" applyFont="1" applyFill="1" applyAlignment="1">
      <alignment horizontal="left"/>
    </xf>
    <xf numFmtId="20" fontId="7" fillId="31" borderId="0" xfId="0" applyNumberFormat="1" applyFont="1" applyFill="1" applyAlignment="1">
      <alignment horizontal="center"/>
    </xf>
    <xf numFmtId="0" fontId="7" fillId="31" borderId="0" xfId="0" applyFont="1" applyFill="1" applyAlignment="1">
      <alignment horizontal="right"/>
    </xf>
    <xf numFmtId="1" fontId="0" fillId="31" borderId="1" xfId="0" applyNumberFormat="1" applyFill="1" applyBorder="1" applyAlignment="1">
      <alignment horizontal="left" vertical="center" wrapText="1"/>
    </xf>
    <xf numFmtId="0" fontId="0" fillId="31" borderId="4" xfId="0" applyFill="1" applyBorder="1" applyAlignment="1">
      <alignment horizontal="center" vertical="center" wrapText="1"/>
    </xf>
    <xf numFmtId="0" fontId="7" fillId="31" borderId="4" xfId="0" applyFont="1" applyFill="1" applyBorder="1" applyAlignment="1">
      <alignment horizontal="center" vertical="center" wrapText="1"/>
    </xf>
    <xf numFmtId="1" fontId="10" fillId="31" borderId="5" xfId="0" applyNumberFormat="1" applyFont="1" applyFill="1" applyBorder="1" applyAlignment="1">
      <alignment horizontal="left" vertical="center" wrapText="1"/>
    </xf>
    <xf numFmtId="0" fontId="11" fillId="31" borderId="6" xfId="0" applyFont="1" applyFill="1" applyBorder="1" applyAlignment="1">
      <alignment horizontal="center" vertical="center" wrapText="1"/>
    </xf>
    <xf numFmtId="0" fontId="0" fillId="31" borderId="6" xfId="0" applyFill="1" applyBorder="1" applyAlignment="1">
      <alignment horizontal="center" vertical="center" wrapText="1"/>
    </xf>
    <xf numFmtId="0" fontId="57" fillId="21" borderId="6" xfId="0" applyFont="1" applyFill="1" applyBorder="1" applyAlignment="1">
      <alignment horizontal="center" vertical="center" wrapText="1"/>
    </xf>
    <xf numFmtId="0" fontId="58" fillId="0" borderId="0" xfId="0" applyFont="1"/>
    <xf numFmtId="0" fontId="57" fillId="3" borderId="0" xfId="0" applyFont="1" applyFill="1"/>
    <xf numFmtId="0" fontId="57" fillId="21" borderId="5" xfId="0" applyFont="1" applyFill="1" applyBorder="1"/>
    <xf numFmtId="0" fontId="57" fillId="21" borderId="5" xfId="0" applyFont="1" applyFill="1" applyBorder="1" applyAlignment="1">
      <alignment horizontal="center" vertical="center" wrapText="1"/>
    </xf>
    <xf numFmtId="0" fontId="57" fillId="6" borderId="6" xfId="0" applyFont="1" applyFill="1" applyBorder="1" applyAlignment="1">
      <alignment horizontal="center" vertical="center" wrapText="1"/>
    </xf>
    <xf numFmtId="0" fontId="57" fillId="23" borderId="6" xfId="0" applyFont="1" applyFill="1" applyBorder="1" applyAlignment="1">
      <alignment horizontal="center" vertical="center" wrapText="1"/>
    </xf>
    <xf numFmtId="0" fontId="11" fillId="32" borderId="6" xfId="0" applyFont="1" applyFill="1" applyBorder="1" applyAlignment="1">
      <alignment horizontal="center" vertical="center" wrapText="1"/>
    </xf>
    <xf numFmtId="0" fontId="7" fillId="32" borderId="0" xfId="0" applyFont="1" applyFill="1" applyAlignment="1">
      <alignment horizontal="left"/>
    </xf>
    <xf numFmtId="20" fontId="7" fillId="32" borderId="0" xfId="0" applyNumberFormat="1" applyFont="1" applyFill="1" applyAlignment="1">
      <alignment horizontal="center"/>
    </xf>
    <xf numFmtId="0" fontId="7" fillId="32" borderId="0" xfId="0" applyFont="1" applyFill="1"/>
    <xf numFmtId="0" fontId="7" fillId="32" borderId="0" xfId="0" applyFont="1" applyFill="1" applyAlignment="1">
      <alignment horizontal="right"/>
    </xf>
    <xf numFmtId="0" fontId="0" fillId="32" borderId="0" xfId="0" applyFill="1"/>
    <xf numFmtId="20" fontId="7" fillId="32" borderId="0" xfId="0" applyNumberFormat="1" applyFont="1" applyFill="1" applyAlignment="1">
      <alignment horizontal="left"/>
    </xf>
    <xf numFmtId="165" fontId="7" fillId="32" borderId="0" xfId="0" applyNumberFormat="1" applyFont="1" applyFill="1" applyAlignment="1">
      <alignment horizontal="left"/>
    </xf>
    <xf numFmtId="16" fontId="7" fillId="32" borderId="0" xfId="0" applyNumberFormat="1" applyFont="1" applyFill="1" applyAlignment="1">
      <alignment horizontal="left"/>
    </xf>
    <xf numFmtId="1" fontId="0" fillId="32" borderId="1" xfId="0" applyNumberFormat="1" applyFill="1" applyBorder="1" applyAlignment="1">
      <alignment horizontal="left" vertical="center" wrapText="1"/>
    </xf>
    <xf numFmtId="0" fontId="0" fillId="32" borderId="4" xfId="0" applyFill="1" applyBorder="1" applyAlignment="1">
      <alignment horizontal="center" vertical="center" wrapText="1"/>
    </xf>
    <xf numFmtId="0" fontId="7" fillId="32" borderId="4" xfId="0" applyFont="1" applyFill="1" applyBorder="1" applyAlignment="1">
      <alignment horizontal="center" vertical="center" wrapText="1"/>
    </xf>
    <xf numFmtId="1" fontId="10" fillId="32" borderId="5" xfId="0" applyNumberFormat="1" applyFont="1" applyFill="1" applyBorder="1" applyAlignment="1">
      <alignment horizontal="left" vertical="center" wrapText="1"/>
    </xf>
    <xf numFmtId="0" fontId="0" fillId="32" borderId="6" xfId="0" applyFill="1" applyBorder="1" applyAlignment="1">
      <alignment horizontal="center" vertical="center" wrapText="1"/>
    </xf>
    <xf numFmtId="1" fontId="7" fillId="8" borderId="5" xfId="0" applyNumberFormat="1" applyFont="1" applyFill="1" applyBorder="1" applyAlignment="1">
      <alignment horizontal="left" vertical="center" wrapText="1"/>
    </xf>
    <xf numFmtId="0" fontId="11" fillId="8" borderId="6" xfId="0" applyFont="1" applyFill="1" applyBorder="1" applyAlignment="1">
      <alignment horizontal="center" vertical="center" wrapText="1"/>
    </xf>
    <xf numFmtId="1" fontId="10" fillId="8" borderId="5" xfId="0" applyNumberFormat="1" applyFont="1" applyFill="1" applyBorder="1" applyAlignment="1">
      <alignment horizontal="left" vertical="center" wrapText="1"/>
    </xf>
    <xf numFmtId="0" fontId="0" fillId="8" borderId="6" xfId="0" applyFill="1" applyBorder="1" applyAlignment="1">
      <alignment horizontal="center" vertical="center" wrapText="1"/>
    </xf>
    <xf numFmtId="0" fontId="8" fillId="28" borderId="1" xfId="0" applyFont="1" applyFill="1" applyBorder="1" applyAlignment="1">
      <alignment vertical="center" wrapText="1"/>
    </xf>
    <xf numFmtId="0" fontId="8" fillId="28" borderId="4" xfId="0" applyFont="1" applyFill="1" applyBorder="1" applyAlignment="1">
      <alignment vertical="center" wrapText="1"/>
    </xf>
    <xf numFmtId="0" fontId="8" fillId="5" borderId="4" xfId="0" applyFont="1" applyFill="1" applyBorder="1" applyAlignment="1">
      <alignment vertical="center" wrapText="1"/>
    </xf>
    <xf numFmtId="0" fontId="8" fillId="33" borderId="4" xfId="0" applyFont="1" applyFill="1" applyBorder="1" applyAlignment="1">
      <alignment vertical="center" wrapText="1"/>
    </xf>
    <xf numFmtId="0" fontId="8" fillId="34" borderId="4" xfId="0" applyFont="1" applyFill="1" applyBorder="1" applyAlignment="1">
      <alignment vertical="center" wrapText="1"/>
    </xf>
    <xf numFmtId="0" fontId="11" fillId="28" borderId="5" xfId="0" applyFont="1" applyFill="1" applyBorder="1" applyAlignment="1">
      <alignment vertical="center" wrapText="1"/>
    </xf>
    <xf numFmtId="0" fontId="11" fillId="5" borderId="6" xfId="0" applyFont="1" applyFill="1" applyBorder="1" applyAlignment="1">
      <alignment vertical="center" wrapText="1"/>
    </xf>
    <xf numFmtId="0" fontId="11" fillId="5" borderId="6" xfId="0" applyFont="1" applyFill="1" applyBorder="1" applyAlignment="1">
      <alignment horizontal="right" vertical="center" wrapText="1"/>
    </xf>
    <xf numFmtId="0" fontId="11" fillId="33" borderId="6" xfId="0" applyFont="1" applyFill="1" applyBorder="1" applyAlignment="1">
      <alignment vertical="center" wrapText="1"/>
    </xf>
    <xf numFmtId="0" fontId="11" fillId="33" borderId="6" xfId="0" applyFont="1" applyFill="1" applyBorder="1" applyAlignment="1">
      <alignment horizontal="right" vertical="center" wrapText="1"/>
    </xf>
    <xf numFmtId="0" fontId="11" fillId="34" borderId="6" xfId="0" applyFont="1" applyFill="1" applyBorder="1" applyAlignment="1">
      <alignment vertical="center" wrapText="1"/>
    </xf>
    <xf numFmtId="0" fontId="11" fillId="34" borderId="6" xfId="0" applyFont="1" applyFill="1" applyBorder="1" applyAlignment="1">
      <alignment horizontal="right" vertical="center" wrapText="1"/>
    </xf>
    <xf numFmtId="14" fontId="59" fillId="0" borderId="0" xfId="0" applyNumberFormat="1" applyFont="1" applyAlignment="1">
      <alignment horizontal="left"/>
    </xf>
    <xf numFmtId="0" fontId="11" fillId="5" borderId="5" xfId="0" applyFont="1" applyFill="1" applyBorder="1" applyAlignment="1">
      <alignment vertical="center" wrapText="1"/>
    </xf>
    <xf numFmtId="0" fontId="14" fillId="23" borderId="10" xfId="0" applyFont="1" applyFill="1" applyBorder="1" applyAlignment="1">
      <alignment vertical="center" wrapText="1"/>
    </xf>
    <xf numFmtId="0" fontId="14" fillId="6" borderId="10" xfId="0" applyFont="1" applyFill="1" applyBorder="1" applyAlignment="1">
      <alignment vertical="center" wrapText="1"/>
    </xf>
    <xf numFmtId="0" fontId="41" fillId="4" borderId="3" xfId="0" applyFont="1" applyFill="1" applyBorder="1" applyAlignment="1">
      <alignment horizontal="left" wrapText="1"/>
    </xf>
    <xf numFmtId="0" fontId="41" fillId="4" borderId="1" xfId="0" applyFont="1" applyFill="1" applyBorder="1"/>
    <xf numFmtId="0" fontId="41" fillId="4" borderId="2" xfId="0" applyFont="1" applyFill="1" applyBorder="1"/>
    <xf numFmtId="0" fontId="41" fillId="4" borderId="11" xfId="0" applyFont="1" applyFill="1" applyBorder="1"/>
    <xf numFmtId="0" fontId="41" fillId="4" borderId="3" xfId="0" applyFont="1" applyFill="1" applyBorder="1"/>
    <xf numFmtId="0" fontId="41" fillId="4" borderId="10" xfId="0" applyFont="1" applyFill="1" applyBorder="1" applyAlignment="1">
      <alignment vertical="center" wrapText="1"/>
    </xf>
    <xf numFmtId="0" fontId="41" fillId="4" borderId="5" xfId="0" applyFont="1" applyFill="1" applyBorder="1" applyAlignment="1">
      <alignment vertical="center" wrapText="1"/>
    </xf>
    <xf numFmtId="0" fontId="41" fillId="4" borderId="1" xfId="0" applyFont="1" applyFill="1" applyBorder="1" applyAlignment="1">
      <alignment vertical="center" wrapText="1"/>
    </xf>
    <xf numFmtId="0" fontId="41" fillId="4" borderId="1" xfId="0" applyFont="1" applyFill="1" applyBorder="1" applyAlignment="1">
      <alignment horizontal="center" vertical="center" wrapText="1"/>
    </xf>
    <xf numFmtId="0" fontId="41" fillId="4" borderId="6" xfId="0" applyFont="1" applyFill="1" applyBorder="1" applyAlignment="1">
      <alignment horizontal="center" vertical="center" wrapText="1"/>
    </xf>
    <xf numFmtId="0" fontId="60" fillId="4" borderId="7" xfId="0" applyFont="1" applyFill="1" applyBorder="1"/>
    <xf numFmtId="49" fontId="60" fillId="4" borderId="7" xfId="0" applyNumberFormat="1" applyFont="1" applyFill="1" applyBorder="1"/>
    <xf numFmtId="0" fontId="60" fillId="4" borderId="8" xfId="0" applyFont="1" applyFill="1" applyBorder="1"/>
    <xf numFmtId="0" fontId="60" fillId="4" borderId="1" xfId="0" applyFont="1" applyFill="1" applyBorder="1"/>
    <xf numFmtId="0" fontId="60" fillId="4" borderId="9" xfId="0" applyFont="1" applyFill="1" applyBorder="1"/>
    <xf numFmtId="0" fontId="41" fillId="4" borderId="1" xfId="0" applyFont="1" applyFill="1" applyBorder="1" applyAlignment="1">
      <alignment horizontal="right"/>
    </xf>
    <xf numFmtId="49" fontId="14" fillId="3" borderId="0" xfId="0" applyNumberFormat="1" applyFont="1" applyFill="1" applyAlignment="1">
      <alignment horizontal="center"/>
    </xf>
    <xf numFmtId="0" fontId="46" fillId="21" borderId="6" xfId="0" applyFont="1" applyFill="1" applyBorder="1" applyAlignment="1">
      <alignment horizontal="center"/>
    </xf>
    <xf numFmtId="0" fontId="46" fillId="6" borderId="6" xfId="0" applyFont="1" applyFill="1" applyBorder="1" applyAlignment="1">
      <alignment horizontal="center"/>
    </xf>
    <xf numFmtId="0" fontId="46" fillId="23" borderId="6" xfId="0" applyFont="1" applyFill="1" applyBorder="1" applyAlignment="1">
      <alignment horizontal="center"/>
    </xf>
    <xf numFmtId="0" fontId="11" fillId="2" borderId="0" xfId="0" applyFont="1" applyFill="1" applyAlignment="1">
      <alignment horizontal="right" vertical="center"/>
    </xf>
    <xf numFmtId="0" fontId="0" fillId="35" borderId="0" xfId="0" applyFill="1"/>
    <xf numFmtId="0" fontId="57" fillId="21" borderId="5" xfId="0" applyFont="1" applyFill="1" applyBorder="1" applyAlignment="1">
      <alignment horizontal="right" vertical="center" wrapText="1"/>
    </xf>
    <xf numFmtId="0" fontId="57" fillId="21" borderId="6" xfId="0" applyFont="1" applyFill="1" applyBorder="1" applyAlignment="1">
      <alignment horizontal="right" vertical="center" wrapText="1"/>
    </xf>
    <xf numFmtId="0" fontId="57" fillId="6" borderId="6" xfId="0" applyFont="1" applyFill="1" applyBorder="1" applyAlignment="1">
      <alignment horizontal="right" vertical="center" wrapText="1"/>
    </xf>
    <xf numFmtId="0" fontId="57" fillId="23" borderId="6" xfId="0" applyFont="1" applyFill="1" applyBorder="1" applyAlignment="1">
      <alignment horizontal="right" vertical="center" wrapText="1"/>
    </xf>
    <xf numFmtId="0" fontId="54" fillId="3" borderId="0" xfId="0" applyFont="1" applyFill="1" applyAlignment="1">
      <alignment horizontal="left" vertical="center" wrapText="1"/>
    </xf>
    <xf numFmtId="0" fontId="54" fillId="21" borderId="5" xfId="0" applyFont="1" applyFill="1" applyBorder="1" applyAlignment="1">
      <alignment horizontal="center" vertical="center" wrapText="1"/>
    </xf>
    <xf numFmtId="0" fontId="54" fillId="6" borderId="6" xfId="0" applyFont="1" applyFill="1" applyBorder="1" applyAlignment="1">
      <alignment horizontal="center" vertical="center" wrapText="1"/>
    </xf>
    <xf numFmtId="0" fontId="54" fillId="23" borderId="6" xfId="0" applyFont="1" applyFill="1" applyBorder="1" applyAlignment="1">
      <alignment horizontal="center" vertical="center" wrapText="1"/>
    </xf>
    <xf numFmtId="0" fontId="34" fillId="3" borderId="8" xfId="0" applyFont="1" applyFill="1" applyBorder="1"/>
    <xf numFmtId="0" fontId="34" fillId="3" borderId="20" xfId="0" applyFont="1" applyFill="1" applyBorder="1"/>
    <xf numFmtId="49" fontId="50" fillId="3" borderId="9" xfId="0" applyNumberFormat="1" applyFont="1" applyFill="1" applyBorder="1" applyAlignment="1">
      <alignment horizontal="center"/>
    </xf>
    <xf numFmtId="0" fontId="34" fillId="3" borderId="9" xfId="0" applyFont="1" applyFill="1" applyBorder="1"/>
    <xf numFmtId="0" fontId="54" fillId="3" borderId="13" xfId="0" applyFont="1" applyFill="1" applyBorder="1"/>
    <xf numFmtId="0" fontId="14" fillId="22" borderId="4" xfId="0" applyFont="1" applyFill="1" applyBorder="1" applyAlignment="1">
      <alignment horizontal="center" vertical="center" wrapText="1"/>
    </xf>
    <xf numFmtId="49" fontId="54" fillId="3" borderId="0" xfId="0" applyNumberFormat="1" applyFont="1" applyFill="1" applyAlignment="1">
      <alignment horizontal="center"/>
    </xf>
    <xf numFmtId="0" fontId="55" fillId="21" borderId="5" xfId="0" applyFont="1" applyFill="1" applyBorder="1"/>
    <xf numFmtId="0" fontId="54" fillId="21" borderId="6" xfId="0" applyFont="1" applyFill="1" applyBorder="1" applyAlignment="1">
      <alignment horizontal="center"/>
    </xf>
    <xf numFmtId="0" fontId="54" fillId="6" borderId="6" xfId="0" applyFont="1" applyFill="1" applyBorder="1" applyAlignment="1">
      <alignment horizontal="center"/>
    </xf>
    <xf numFmtId="0" fontId="54" fillId="23" borderId="6" xfId="0" applyFont="1" applyFill="1" applyBorder="1" applyAlignment="1">
      <alignment horizontal="center"/>
    </xf>
    <xf numFmtId="0" fontId="54" fillId="6" borderId="4" xfId="0" applyFont="1" applyFill="1" applyBorder="1" applyAlignment="1">
      <alignment horizontal="center"/>
    </xf>
    <xf numFmtId="0" fontId="54" fillId="23" borderId="4" xfId="0" applyFont="1" applyFill="1" applyBorder="1" applyAlignment="1">
      <alignment horizontal="center"/>
    </xf>
    <xf numFmtId="49" fontId="45" fillId="23" borderId="1" xfId="0" applyNumberFormat="1" applyFont="1" applyFill="1" applyBorder="1" applyAlignment="1">
      <alignment horizontal="center"/>
    </xf>
    <xf numFmtId="0" fontId="54" fillId="21" borderId="1" xfId="0" applyFont="1" applyFill="1" applyBorder="1" applyAlignment="1">
      <alignment horizontal="center" vertical="center" wrapText="1"/>
    </xf>
    <xf numFmtId="0" fontId="54" fillId="6" borderId="1" xfId="0" applyFont="1" applyFill="1" applyBorder="1" applyAlignment="1">
      <alignment horizontal="center" vertical="center" wrapText="1"/>
    </xf>
    <xf numFmtId="0" fontId="54" fillId="23" borderId="1"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31" borderId="6" xfId="0" applyFont="1" applyFill="1" applyBorder="1" applyAlignment="1">
      <alignment horizontal="center" vertical="center" wrapText="1"/>
    </xf>
    <xf numFmtId="0" fontId="10" fillId="32" borderId="6" xfId="0" applyFont="1" applyFill="1" applyBorder="1" applyAlignment="1">
      <alignment horizontal="center" vertical="center" wrapText="1"/>
    </xf>
    <xf numFmtId="0" fontId="10" fillId="29" borderId="6" xfId="0" applyFont="1" applyFill="1" applyBorder="1" applyAlignment="1">
      <alignment horizontal="center" vertical="center" wrapText="1"/>
    </xf>
    <xf numFmtId="0" fontId="10" fillId="24" borderId="6" xfId="0" applyFont="1" applyFill="1" applyBorder="1" applyAlignment="1">
      <alignment horizontal="center" vertical="center" wrapText="1"/>
    </xf>
    <xf numFmtId="0" fontId="18" fillId="2" borderId="0" xfId="0" applyFont="1" applyFill="1"/>
    <xf numFmtId="49" fontId="42" fillId="3" borderId="0" xfId="0" applyNumberFormat="1" applyFont="1" applyFill="1" applyAlignment="1">
      <alignment horizontal="center"/>
    </xf>
    <xf numFmtId="0" fontId="15" fillId="14" borderId="3" xfId="0" applyFont="1" applyFill="1" applyBorder="1"/>
    <xf numFmtId="0" fontId="15" fillId="11" borderId="0" xfId="0" applyFont="1" applyFill="1"/>
    <xf numFmtId="0" fontId="14" fillId="11" borderId="0" xfId="0" applyFont="1" applyFill="1" applyAlignment="1">
      <alignment horizontal="center" vertical="center"/>
    </xf>
    <xf numFmtId="0" fontId="14" fillId="11" borderId="0" xfId="0" applyFont="1" applyFill="1" applyAlignment="1">
      <alignment horizontal="right" vertical="center"/>
    </xf>
    <xf numFmtId="0" fontId="15" fillId="11" borderId="0" xfId="0" applyFont="1" applyFill="1" applyAlignment="1">
      <alignment vertical="center"/>
    </xf>
    <xf numFmtId="10" fontId="15" fillId="11" borderId="0" xfId="0" applyNumberFormat="1" applyFont="1" applyFill="1" applyAlignment="1">
      <alignment vertical="center"/>
    </xf>
    <xf numFmtId="1" fontId="14" fillId="11" borderId="0" xfId="0" applyNumberFormat="1" applyFont="1" applyFill="1"/>
    <xf numFmtId="0" fontId="14" fillId="11" borderId="0" xfId="0" applyFont="1" applyFill="1" applyAlignment="1">
      <alignment horizontal="right"/>
    </xf>
    <xf numFmtId="0" fontId="0" fillId="11" borderId="0" xfId="0" applyFill="1"/>
    <xf numFmtId="2" fontId="7" fillId="0" borderId="18" xfId="0" applyNumberFormat="1" applyFont="1" applyBorder="1"/>
    <xf numFmtId="2" fontId="7" fillId="0" borderId="13" xfId="0" applyNumberFormat="1" applyFont="1" applyBorder="1" applyAlignment="1">
      <alignment horizontal="right"/>
    </xf>
    <xf numFmtId="10" fontId="0" fillId="0" borderId="0" xfId="0" applyNumberFormat="1"/>
    <xf numFmtId="0" fontId="37" fillId="7" borderId="0" xfId="0" applyFont="1" applyFill="1"/>
    <xf numFmtId="0" fontId="29" fillId="7" borderId="0" xfId="0" applyFont="1" applyFill="1"/>
    <xf numFmtId="0" fontId="26" fillId="0" borderId="1" xfId="0" applyFont="1" applyBorder="1" applyAlignment="1">
      <alignment vertical="center" wrapText="1"/>
    </xf>
    <xf numFmtId="0" fontId="27" fillId="0" borderId="4" xfId="0" applyFont="1" applyBorder="1" applyAlignment="1">
      <alignment horizontal="right" vertical="center" wrapText="1"/>
    </xf>
    <xf numFmtId="0" fontId="26" fillId="0" borderId="5" xfId="0" applyFont="1" applyBorder="1" applyAlignment="1">
      <alignment vertical="center" wrapText="1"/>
    </xf>
    <xf numFmtId="0" fontId="27" fillId="0" borderId="6" xfId="0" applyFont="1" applyBorder="1" applyAlignment="1">
      <alignment horizontal="right" vertical="center" wrapText="1"/>
    </xf>
    <xf numFmtId="0" fontId="24" fillId="17" borderId="4" xfId="0" applyFont="1" applyFill="1" applyBorder="1" applyAlignment="1">
      <alignment horizontal="left" vertical="center" wrapText="1"/>
    </xf>
    <xf numFmtId="0" fontId="10" fillId="17" borderId="4" xfId="0" applyFont="1" applyFill="1" applyBorder="1" applyAlignment="1">
      <alignment horizontal="left" vertical="center" wrapText="1"/>
    </xf>
    <xf numFmtId="0" fontId="10" fillId="17" borderId="1" xfId="0" applyFont="1" applyFill="1" applyBorder="1" applyAlignment="1">
      <alignment horizontal="left" vertical="center" wrapText="1"/>
    </xf>
    <xf numFmtId="0" fontId="37" fillId="11" borderId="0" xfId="0" applyFont="1" applyFill="1"/>
    <xf numFmtId="0" fontId="14" fillId="36" borderId="3" xfId="0" applyFont="1" applyFill="1" applyBorder="1" applyAlignment="1">
      <alignment horizontal="left" wrapText="1"/>
    </xf>
    <xf numFmtId="0" fontId="14" fillId="36" borderId="1" xfId="0" applyFont="1" applyFill="1" applyBorder="1" applyAlignment="1">
      <alignment horizontal="center"/>
    </xf>
    <xf numFmtId="0" fontId="14" fillId="36" borderId="2" xfId="0" applyFont="1" applyFill="1" applyBorder="1"/>
    <xf numFmtId="0" fontId="14" fillId="36" borderId="1" xfId="0" applyFont="1" applyFill="1" applyBorder="1"/>
    <xf numFmtId="0" fontId="14" fillId="36" borderId="10" xfId="0" applyFont="1" applyFill="1" applyBorder="1" applyAlignment="1">
      <alignment vertical="center" wrapText="1"/>
    </xf>
    <xf numFmtId="0" fontId="14" fillId="36" borderId="5" xfId="0" applyFont="1" applyFill="1" applyBorder="1" applyAlignment="1">
      <alignment vertical="center" wrapText="1"/>
    </xf>
    <xf numFmtId="0" fontId="14" fillId="36" borderId="1" xfId="0" applyFont="1" applyFill="1" applyBorder="1" applyAlignment="1">
      <alignment vertical="center" wrapText="1"/>
    </xf>
    <xf numFmtId="0" fontId="14" fillId="36" borderId="1" xfId="0" applyFont="1" applyFill="1" applyBorder="1" applyAlignment="1">
      <alignment horizontal="center" vertical="center" wrapText="1"/>
    </xf>
    <xf numFmtId="0" fontId="14" fillId="36" borderId="6" xfId="0" applyFont="1" applyFill="1" applyBorder="1" applyAlignment="1">
      <alignment horizontal="center" vertical="center" wrapText="1"/>
    </xf>
    <xf numFmtId="0" fontId="15" fillId="36" borderId="7" xfId="0" applyFont="1" applyFill="1" applyBorder="1"/>
    <xf numFmtId="49" fontId="15" fillId="36" borderId="7" xfId="0" applyNumberFormat="1" applyFont="1" applyFill="1" applyBorder="1"/>
    <xf numFmtId="0" fontId="15" fillId="36" borderId="1" xfId="0" applyFont="1" applyFill="1" applyBorder="1"/>
    <xf numFmtId="0" fontId="14" fillId="36" borderId="1" xfId="0" applyFont="1" applyFill="1" applyBorder="1" applyAlignment="1">
      <alignment horizontal="right"/>
    </xf>
    <xf numFmtId="0" fontId="14" fillId="36" borderId="0" xfId="0" applyFont="1" applyFill="1"/>
    <xf numFmtId="0" fontId="7" fillId="17" borderId="1" xfId="0" applyFont="1" applyFill="1" applyBorder="1" applyAlignment="1">
      <alignment horizontal="left" vertical="center" wrapText="1"/>
    </xf>
    <xf numFmtId="0" fontId="14" fillId="21" borderId="4" xfId="0" applyFont="1" applyFill="1" applyBorder="1" applyAlignment="1">
      <alignment horizontal="left" vertical="center" wrapText="1"/>
    </xf>
    <xf numFmtId="49" fontId="44" fillId="6" borderId="1" xfId="0" applyNumberFormat="1" applyFont="1" applyFill="1" applyBorder="1" applyAlignment="1">
      <alignment horizontal="center"/>
    </xf>
    <xf numFmtId="0" fontId="42" fillId="21" borderId="7" xfId="0" applyFont="1" applyFill="1" applyBorder="1" applyAlignment="1">
      <alignment horizontal="center"/>
    </xf>
    <xf numFmtId="0" fontId="14" fillId="21" borderId="4" xfId="0" applyFont="1" applyFill="1" applyBorder="1" applyAlignment="1">
      <alignment vertical="center" wrapText="1"/>
    </xf>
    <xf numFmtId="0" fontId="32" fillId="21" borderId="5" xfId="0" applyFont="1" applyFill="1" applyBorder="1" applyAlignment="1">
      <alignment horizontal="center" vertical="center" wrapText="1"/>
    </xf>
    <xf numFmtId="49" fontId="44" fillId="21" borderId="1" xfId="0" applyNumberFormat="1" applyFont="1" applyFill="1" applyBorder="1" applyAlignment="1">
      <alignment horizontal="center"/>
    </xf>
    <xf numFmtId="0" fontId="15" fillId="3" borderId="0" xfId="0" applyFont="1" applyFill="1" applyAlignment="1">
      <alignment vertical="center"/>
    </xf>
    <xf numFmtId="0" fontId="11" fillId="3" borderId="0" xfId="0" applyFont="1" applyFill="1" applyAlignment="1">
      <alignment vertical="center"/>
    </xf>
    <xf numFmtId="0" fontId="14" fillId="37" borderId="3" xfId="0" applyFont="1" applyFill="1" applyBorder="1" applyAlignment="1">
      <alignment horizontal="left" wrapText="1"/>
    </xf>
    <xf numFmtId="0" fontId="14" fillId="37" borderId="1" xfId="0" applyFont="1" applyFill="1" applyBorder="1" applyAlignment="1">
      <alignment horizontal="center"/>
    </xf>
    <xf numFmtId="0" fontId="14" fillId="37" borderId="2" xfId="0" applyFont="1" applyFill="1" applyBorder="1"/>
    <xf numFmtId="0" fontId="14" fillId="37" borderId="1" xfId="0" applyFont="1" applyFill="1" applyBorder="1"/>
    <xf numFmtId="0" fontId="14" fillId="37" borderId="11" xfId="0" applyFont="1" applyFill="1" applyBorder="1"/>
    <xf numFmtId="0" fontId="14" fillId="37" borderId="3" xfId="0" applyFont="1" applyFill="1" applyBorder="1"/>
    <xf numFmtId="0" fontId="14" fillId="37" borderId="10" xfId="0" applyFont="1" applyFill="1" applyBorder="1" applyAlignment="1">
      <alignment vertical="center" wrapText="1"/>
    </xf>
    <xf numFmtId="0" fontId="14" fillId="37" borderId="5" xfId="0" applyFont="1" applyFill="1" applyBorder="1" applyAlignment="1">
      <alignment vertical="center" wrapText="1"/>
    </xf>
    <xf numFmtId="0" fontId="14" fillId="37" borderId="1" xfId="0" applyFont="1" applyFill="1" applyBorder="1" applyAlignment="1">
      <alignment vertical="center" wrapText="1"/>
    </xf>
    <xf numFmtId="0" fontId="14" fillId="37" borderId="1" xfId="0" applyFont="1" applyFill="1" applyBorder="1" applyAlignment="1">
      <alignment horizontal="center" vertical="center" wrapText="1"/>
    </xf>
    <xf numFmtId="0" fontId="14" fillId="37" borderId="6" xfId="0" applyFont="1" applyFill="1" applyBorder="1" applyAlignment="1">
      <alignment horizontal="center" vertical="center" wrapText="1"/>
    </xf>
    <xf numFmtId="0" fontId="15" fillId="37" borderId="7" xfId="0" applyFont="1" applyFill="1" applyBorder="1"/>
    <xf numFmtId="49" fontId="15" fillId="37" borderId="7" xfId="0" applyNumberFormat="1" applyFont="1" applyFill="1" applyBorder="1" applyAlignment="1">
      <alignment horizontal="center"/>
    </xf>
    <xf numFmtId="0" fontId="15" fillId="37" borderId="8" xfId="0" applyFont="1" applyFill="1" applyBorder="1"/>
    <xf numFmtId="0" fontId="15" fillId="37" borderId="12" xfId="0" applyFont="1" applyFill="1" applyBorder="1"/>
    <xf numFmtId="0" fontId="15" fillId="37" borderId="9" xfId="0" applyFont="1" applyFill="1" applyBorder="1"/>
    <xf numFmtId="0" fontId="14" fillId="37" borderId="1" xfId="0" applyFont="1" applyFill="1" applyBorder="1" applyAlignment="1">
      <alignment horizontal="right"/>
    </xf>
    <xf numFmtId="0" fontId="14" fillId="37" borderId="0" xfId="0" applyFont="1" applyFill="1"/>
    <xf numFmtId="49" fontId="44" fillId="6" borderId="0" xfId="0" applyNumberFormat="1" applyFont="1" applyFill="1" applyAlignment="1">
      <alignment horizontal="center"/>
    </xf>
    <xf numFmtId="0" fontId="14" fillId="23" borderId="1" xfId="0" applyFont="1" applyFill="1" applyBorder="1" applyAlignment="1">
      <alignment horizontal="left" vertical="center" wrapText="1"/>
    </xf>
    <xf numFmtId="0" fontId="29" fillId="3" borderId="4" xfId="0" applyFont="1" applyFill="1" applyBorder="1" applyAlignment="1">
      <alignment horizontal="left" wrapText="1"/>
    </xf>
    <xf numFmtId="0" fontId="29" fillId="3" borderId="1" xfId="0" applyFont="1" applyFill="1" applyBorder="1" applyAlignment="1">
      <alignment horizontal="center"/>
    </xf>
    <xf numFmtId="0" fontId="29" fillId="3" borderId="1" xfId="0" applyFont="1" applyFill="1" applyBorder="1"/>
    <xf numFmtId="0" fontId="29" fillId="3" borderId="10" xfId="0" applyFont="1" applyFill="1" applyBorder="1" applyAlignment="1">
      <alignment vertical="center" wrapText="1"/>
    </xf>
    <xf numFmtId="0" fontId="29" fillId="3" borderId="1"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29" fillId="3" borderId="7" xfId="0" applyFont="1" applyFill="1" applyBorder="1"/>
    <xf numFmtId="49" fontId="29" fillId="3" borderId="7" xfId="0" applyNumberFormat="1" applyFont="1" applyFill="1" applyBorder="1"/>
    <xf numFmtId="0" fontId="29" fillId="3" borderId="8" xfId="0" applyFont="1" applyFill="1" applyBorder="1"/>
    <xf numFmtId="0" fontId="29" fillId="3" borderId="9" xfId="0" applyFont="1" applyFill="1" applyBorder="1"/>
    <xf numFmtId="0" fontId="29" fillId="3" borderId="1" xfId="0" applyFont="1" applyFill="1" applyBorder="1" applyAlignment="1">
      <alignment horizontal="right"/>
    </xf>
    <xf numFmtId="0" fontId="29" fillId="3" borderId="0" xfId="0" applyFont="1" applyFill="1"/>
    <xf numFmtId="0" fontId="7" fillId="6" borderId="0" xfId="0" applyFont="1" applyFill="1"/>
    <xf numFmtId="49" fontId="15" fillId="23" borderId="1" xfId="0" applyNumberFormat="1" applyFont="1" applyFill="1" applyBorder="1" applyAlignment="1">
      <alignment horizontal="center"/>
    </xf>
    <xf numFmtId="0" fontId="0" fillId="0" borderId="0" xfId="0" applyAlignment="1">
      <alignment horizontal="left"/>
    </xf>
    <xf numFmtId="0" fontId="7" fillId="29" borderId="0" xfId="0" applyFont="1" applyFill="1" applyAlignment="1">
      <alignment horizontal="left"/>
    </xf>
    <xf numFmtId="0" fontId="0" fillId="29" borderId="0" xfId="0" applyFill="1" applyAlignment="1">
      <alignment horizontal="left"/>
    </xf>
    <xf numFmtId="0" fontId="7" fillId="32" borderId="0" xfId="0" applyFont="1" applyFill="1" applyAlignment="1">
      <alignment horizontal="left"/>
    </xf>
    <xf numFmtId="0" fontId="0" fillId="0" borderId="0" xfId="0"/>
    <xf numFmtId="0" fontId="7" fillId="28" borderId="0" xfId="0" applyFont="1" applyFill="1" applyAlignment="1">
      <alignment horizontal="left"/>
    </xf>
    <xf numFmtId="0" fontId="0" fillId="28" borderId="0" xfId="0" applyFill="1" applyAlignment="1">
      <alignment horizontal="left"/>
    </xf>
    <xf numFmtId="0" fontId="0" fillId="32" borderId="0" xfId="0" applyFill="1" applyAlignment="1">
      <alignment horizontal="left"/>
    </xf>
    <xf numFmtId="0" fontId="7" fillId="31" borderId="0" xfId="0" applyFont="1" applyFill="1" applyAlignment="1">
      <alignment horizontal="left"/>
    </xf>
    <xf numFmtId="0" fontId="0" fillId="31" borderId="0" xfId="0" applyFill="1" applyAlignment="1">
      <alignment horizontal="left"/>
    </xf>
    <xf numFmtId="0" fontId="7" fillId="24" borderId="0" xfId="0" applyFont="1" applyFill="1" applyAlignment="1">
      <alignment horizontal="left"/>
    </xf>
    <xf numFmtId="0" fontId="0" fillId="24" borderId="0" xfId="0" applyFill="1" applyAlignment="1">
      <alignment horizontal="left"/>
    </xf>
    <xf numFmtId="0" fontId="7" fillId="31" borderId="0" xfId="0" applyFont="1" applyFill="1"/>
    <xf numFmtId="0" fontId="0" fillId="31" borderId="0" xfId="0" applyFill="1"/>
    <xf numFmtId="0" fontId="7" fillId="24" borderId="0" xfId="0" applyFont="1" applyFill="1"/>
    <xf numFmtId="0" fontId="0" fillId="24" borderId="0" xfId="0" applyFill="1"/>
    <xf numFmtId="14" fontId="7" fillId="0" borderId="0" xfId="0" applyNumberFormat="1" applyFont="1" applyAlignment="1">
      <alignment horizontal="left"/>
    </xf>
    <xf numFmtId="0" fontId="7" fillId="0" borderId="0" xfId="0" applyFont="1"/>
    <xf numFmtId="0" fontId="7" fillId="8" borderId="7" xfId="0" applyFont="1" applyFill="1" applyBorder="1" applyAlignment="1">
      <alignment horizontal="center"/>
    </xf>
    <xf numFmtId="0" fontId="7" fillId="8" borderId="5" xfId="0" applyFont="1" applyFill="1" applyBorder="1" applyAlignment="1">
      <alignment horizontal="center"/>
    </xf>
    <xf numFmtId="0" fontId="7" fillId="8" borderId="2" xfId="0" applyFont="1" applyFill="1" applyBorder="1" applyAlignment="1">
      <alignment horizontal="center"/>
    </xf>
    <xf numFmtId="0" fontId="7" fillId="8" borderId="4" xfId="0" applyFont="1" applyFill="1" applyBorder="1" applyAlignment="1">
      <alignment horizontal="center"/>
    </xf>
    <xf numFmtId="0" fontId="7" fillId="8" borderId="3" xfId="0" applyFont="1" applyFill="1" applyBorder="1" applyAlignment="1">
      <alignment horizontal="center"/>
    </xf>
    <xf numFmtId="0" fontId="24" fillId="16" borderId="2" xfId="0" applyFont="1" applyFill="1" applyBorder="1" applyAlignment="1">
      <alignment horizontal="center" vertical="center" wrapText="1"/>
    </xf>
    <xf numFmtId="0" fontId="0" fillId="0" borderId="4" xfId="0" applyBorder="1" applyAlignment="1">
      <alignment horizontal="center" vertical="center" wrapText="1"/>
    </xf>
    <xf numFmtId="0" fontId="24" fillId="17" borderId="2" xfId="0" applyFont="1" applyFill="1" applyBorder="1" applyAlignment="1">
      <alignment horizontal="center" vertical="center" wrapText="1"/>
    </xf>
    <xf numFmtId="0" fontId="24" fillId="17" borderId="4" xfId="0" applyFont="1" applyFill="1" applyBorder="1" applyAlignment="1">
      <alignment horizontal="center" vertical="center" wrapText="1"/>
    </xf>
    <xf numFmtId="0" fontId="7" fillId="19" borderId="0" xfId="0" applyFont="1" applyFill="1" applyAlignment="1">
      <alignment horizontal="right"/>
    </xf>
    <xf numFmtId="0" fontId="7" fillId="19" borderId="0" xfId="0" applyFont="1" applyFill="1"/>
    <xf numFmtId="0" fontId="0" fillId="19" borderId="0" xfId="0" applyFill="1"/>
    <xf numFmtId="0" fontId="26" fillId="19" borderId="0" xfId="0" applyFont="1" applyFill="1" applyAlignment="1">
      <alignment horizontal="right" vertical="center"/>
    </xf>
    <xf numFmtId="0" fontId="0" fillId="0" borderId="0" xfId="0" applyAlignment="1">
      <alignment horizontal="right"/>
    </xf>
    <xf numFmtId="0" fontId="26" fillId="19" borderId="0" xfId="0" applyFont="1" applyFill="1" applyAlignment="1">
      <alignment vertical="center"/>
    </xf>
    <xf numFmtId="0" fontId="28" fillId="0" borderId="0" xfId="0" applyFont="1" applyAlignment="1">
      <alignment vertical="center" wrapText="1"/>
    </xf>
    <xf numFmtId="0" fontId="27" fillId="3" borderId="0" xfId="0" applyFont="1" applyFill="1" applyAlignment="1">
      <alignment vertical="center"/>
    </xf>
    <xf numFmtId="14" fontId="0" fillId="0" borderId="0" xfId="0" applyNumberFormat="1" applyAlignment="1">
      <alignment horizontal="left"/>
    </xf>
    <xf numFmtId="0" fontId="0" fillId="19" borderId="0" xfId="0" applyFill="1" applyAlignment="1">
      <alignment horizontal="right"/>
    </xf>
    <xf numFmtId="0" fontId="26" fillId="19" borderId="0" xfId="0" applyFont="1" applyFill="1" applyAlignment="1">
      <alignment horizontal="left" vertical="center"/>
    </xf>
    <xf numFmtId="0" fontId="7" fillId="19" borderId="0" xfId="0" applyFont="1" applyFill="1" applyAlignment="1">
      <alignment horizontal="left"/>
    </xf>
    <xf numFmtId="0" fontId="14" fillId="37" borderId="2" xfId="0" applyFont="1" applyFill="1" applyBorder="1" applyAlignment="1">
      <alignment horizontal="center" wrapText="1"/>
    </xf>
    <xf numFmtId="0" fontId="14" fillId="37" borderId="4" xfId="0" applyFont="1" applyFill="1" applyBorder="1" applyAlignment="1">
      <alignment horizontal="center" wrapText="1"/>
    </xf>
    <xf numFmtId="0" fontId="14" fillId="37" borderId="3" xfId="0" applyFont="1" applyFill="1" applyBorder="1" applyAlignment="1">
      <alignment horizontal="center" wrapText="1"/>
    </xf>
    <xf numFmtId="0" fontId="14" fillId="37" borderId="2" xfId="0" applyFont="1" applyFill="1" applyBorder="1" applyAlignment="1">
      <alignment horizontal="left" wrapText="1"/>
    </xf>
    <xf numFmtId="0" fontId="14" fillId="37" borderId="3" xfId="0" applyFont="1" applyFill="1" applyBorder="1" applyAlignment="1">
      <alignment horizontal="left" wrapText="1"/>
    </xf>
    <xf numFmtId="0" fontId="14" fillId="37" borderId="2" xfId="0" applyFont="1" applyFill="1" applyBorder="1" applyAlignment="1">
      <alignment horizontal="center" vertical="center" wrapText="1"/>
    </xf>
    <xf numFmtId="0" fontId="14" fillId="37" borderId="3" xfId="0" applyFont="1" applyFill="1" applyBorder="1" applyAlignment="1">
      <alignment horizontal="center" vertical="center" wrapText="1"/>
    </xf>
    <xf numFmtId="0" fontId="14" fillId="37" borderId="4" xfId="0" applyFont="1" applyFill="1" applyBorder="1" applyAlignment="1">
      <alignment horizontal="center" vertical="center" wrapText="1"/>
    </xf>
    <xf numFmtId="0" fontId="38" fillId="21" borderId="10" xfId="0" applyFont="1" applyFill="1" applyBorder="1" applyAlignment="1">
      <alignment horizontal="left" vertical="center" wrapText="1"/>
    </xf>
    <xf numFmtId="0" fontId="38" fillId="21" borderId="16" xfId="0" applyFont="1" applyFill="1" applyBorder="1" applyAlignment="1">
      <alignment horizontal="left" vertical="center" wrapText="1"/>
    </xf>
    <xf numFmtId="0" fontId="38" fillId="21" borderId="6" xfId="0" applyFont="1" applyFill="1" applyBorder="1" applyAlignment="1">
      <alignment horizontal="left" vertical="center" wrapText="1"/>
    </xf>
    <xf numFmtId="0" fontId="14" fillId="37" borderId="2" xfId="0" applyFont="1" applyFill="1" applyBorder="1" applyAlignment="1">
      <alignment horizontal="center"/>
    </xf>
    <xf numFmtId="0" fontId="0" fillId="37" borderId="3" xfId="0" applyFill="1" applyBorder="1" applyAlignment="1">
      <alignment horizontal="center"/>
    </xf>
    <xf numFmtId="0" fontId="0" fillId="37" borderId="4" xfId="0" applyFill="1" applyBorder="1" applyAlignment="1">
      <alignment horizontal="center"/>
    </xf>
    <xf numFmtId="0" fontId="14" fillId="37" borderId="16" xfId="0" applyFont="1" applyFill="1" applyBorder="1" applyAlignment="1">
      <alignment horizontal="center"/>
    </xf>
    <xf numFmtId="0" fontId="0" fillId="37" borderId="16" xfId="0" applyFill="1" applyBorder="1" applyAlignment="1">
      <alignment horizontal="center"/>
    </xf>
    <xf numFmtId="0" fontId="46" fillId="21" borderId="2" xfId="0" applyFont="1" applyFill="1" applyBorder="1" applyAlignment="1">
      <alignment horizontal="left" vertical="center" wrapText="1"/>
    </xf>
    <xf numFmtId="0" fontId="47" fillId="0" borderId="3" xfId="0" applyFont="1" applyBorder="1" applyAlignment="1">
      <alignment horizontal="left" vertical="center" wrapText="1"/>
    </xf>
    <xf numFmtId="0" fontId="47" fillId="0" borderId="4" xfId="0" applyFont="1" applyBorder="1" applyAlignment="1">
      <alignment horizontal="left" vertical="center" wrapText="1"/>
    </xf>
    <xf numFmtId="0" fontId="57" fillId="21" borderId="2" xfId="0" applyFont="1" applyFill="1" applyBorder="1" applyAlignment="1">
      <alignment horizontal="left" vertical="center" wrapText="1"/>
    </xf>
    <xf numFmtId="0" fontId="58" fillId="0" borderId="3" xfId="0" applyFont="1" applyBorder="1" applyAlignment="1">
      <alignment horizontal="left" vertical="center" wrapText="1"/>
    </xf>
    <xf numFmtId="0" fontId="58" fillId="0" borderId="4"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1" fillId="3" borderId="0" xfId="0" applyFont="1" applyFill="1" applyAlignment="1">
      <alignment wrapText="1"/>
    </xf>
    <xf numFmtId="0" fontId="14" fillId="21" borderId="2" xfId="0" applyFont="1" applyFill="1" applyBorder="1" applyAlignment="1">
      <alignment horizontal="left" vertical="center" wrapText="1"/>
    </xf>
    <xf numFmtId="0" fontId="14" fillId="21" borderId="3" xfId="0" applyFont="1" applyFill="1" applyBorder="1" applyAlignment="1">
      <alignment horizontal="left" vertical="center" wrapText="1"/>
    </xf>
    <xf numFmtId="0" fontId="14" fillId="21" borderId="4" xfId="0" applyFont="1" applyFill="1" applyBorder="1" applyAlignment="1">
      <alignment horizontal="left" vertical="center" wrapText="1"/>
    </xf>
    <xf numFmtId="0" fontId="16" fillId="9" borderId="2" xfId="0" applyFont="1" applyFill="1" applyBorder="1" applyAlignment="1">
      <alignment horizontal="center"/>
    </xf>
    <xf numFmtId="0" fontId="13" fillId="9" borderId="3" xfId="0" applyFont="1" applyFill="1" applyBorder="1" applyAlignment="1">
      <alignment horizontal="center"/>
    </xf>
    <xf numFmtId="0" fontId="13" fillId="9" borderId="4" xfId="0" applyFont="1" applyFill="1" applyBorder="1" applyAlignment="1">
      <alignment horizontal="center"/>
    </xf>
    <xf numFmtId="0" fontId="38" fillId="21" borderId="2" xfId="0" applyFont="1" applyFill="1" applyBorder="1" applyAlignment="1">
      <alignment horizontal="left" vertical="center" wrapText="1"/>
    </xf>
    <xf numFmtId="0" fontId="38" fillId="21" borderId="3" xfId="0" applyFont="1" applyFill="1" applyBorder="1" applyAlignment="1">
      <alignment horizontal="left" vertical="center" wrapText="1"/>
    </xf>
    <xf numFmtId="0" fontId="38" fillId="21" borderId="4" xfId="0" applyFont="1" applyFill="1" applyBorder="1" applyAlignment="1">
      <alignment horizontal="left" vertical="center" wrapText="1"/>
    </xf>
    <xf numFmtId="0" fontId="16" fillId="9" borderId="2"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16" fillId="9" borderId="4" xfId="0" applyFont="1" applyFill="1" applyBorder="1" applyAlignment="1">
      <alignment horizontal="center" vertical="center" wrapText="1"/>
    </xf>
    <xf numFmtId="0" fontId="16" fillId="9" borderId="2" xfId="0" applyFont="1" applyFill="1" applyBorder="1" applyAlignment="1">
      <alignment horizontal="left" wrapText="1"/>
    </xf>
    <xf numFmtId="0" fontId="16" fillId="9" borderId="3" xfId="0" applyFont="1" applyFill="1" applyBorder="1" applyAlignment="1">
      <alignment horizontal="left" wrapText="1"/>
    </xf>
    <xf numFmtId="0" fontId="16" fillId="9" borderId="2" xfId="0" applyFont="1" applyFill="1" applyBorder="1" applyAlignment="1">
      <alignment horizontal="center" wrapText="1"/>
    </xf>
    <xf numFmtId="0" fontId="16" fillId="9" borderId="3" xfId="0" applyFont="1" applyFill="1" applyBorder="1" applyAlignment="1">
      <alignment horizontal="center" wrapText="1"/>
    </xf>
    <xf numFmtId="0" fontId="16" fillId="9" borderId="4" xfId="0" applyFont="1" applyFill="1"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16" fontId="11" fillId="3" borderId="0" xfId="0" applyNumberFormat="1" applyFont="1" applyFill="1" applyAlignment="1">
      <alignment horizontal="left" vertical="center" wrapText="1"/>
    </xf>
    <xf numFmtId="0" fontId="11" fillId="0" borderId="0" xfId="0" applyFont="1"/>
    <xf numFmtId="0" fontId="8" fillId="0" borderId="0" xfId="0" applyFont="1" applyAlignment="1">
      <alignment vertical="center" wrapText="1"/>
    </xf>
    <xf numFmtId="0" fontId="6" fillId="0" borderId="0" xfId="0" applyFont="1"/>
    <xf numFmtId="0" fontId="8" fillId="10" borderId="2" xfId="0" applyFont="1" applyFill="1" applyBorder="1" applyAlignment="1">
      <alignment horizontal="center"/>
    </xf>
    <xf numFmtId="0" fontId="8" fillId="10" borderId="2"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8" fillId="10" borderId="2" xfId="0" applyFont="1" applyFill="1" applyBorder="1" applyAlignment="1">
      <alignment horizontal="left" wrapText="1"/>
    </xf>
    <xf numFmtId="0" fontId="8" fillId="10" borderId="3" xfId="0" applyFont="1" applyFill="1" applyBorder="1" applyAlignment="1">
      <alignment horizontal="left" wrapText="1"/>
    </xf>
    <xf numFmtId="0" fontId="8" fillId="10" borderId="2" xfId="0" applyFont="1" applyFill="1" applyBorder="1" applyAlignment="1">
      <alignment horizontal="center" wrapText="1"/>
    </xf>
    <xf numFmtId="0" fontId="8" fillId="10" borderId="3" xfId="0" applyFont="1" applyFill="1" applyBorder="1" applyAlignment="1">
      <alignment horizontal="center" wrapText="1"/>
    </xf>
    <xf numFmtId="0" fontId="8" fillId="10" borderId="4" xfId="0" applyFont="1" applyFill="1" applyBorder="1" applyAlignment="1">
      <alignment horizontal="center" wrapText="1"/>
    </xf>
    <xf numFmtId="0" fontId="46" fillId="21" borderId="3" xfId="0" applyFont="1" applyFill="1" applyBorder="1" applyAlignment="1">
      <alignment horizontal="left" vertical="center" wrapText="1"/>
    </xf>
    <xf numFmtId="0" fontId="46" fillId="21" borderId="4" xfId="0" applyFont="1" applyFill="1" applyBorder="1" applyAlignment="1">
      <alignment horizontal="left" vertical="center" wrapText="1"/>
    </xf>
    <xf numFmtId="0" fontId="41" fillId="4" borderId="2" xfId="0" applyFont="1" applyFill="1" applyBorder="1" applyAlignment="1">
      <alignment horizontal="center"/>
    </xf>
    <xf numFmtId="0" fontId="60" fillId="4" borderId="3" xfId="0" applyFont="1" applyFill="1" applyBorder="1" applyAlignment="1">
      <alignment horizontal="center"/>
    </xf>
    <xf numFmtId="0" fontId="60" fillId="4" borderId="4" xfId="0" applyFont="1" applyFill="1" applyBorder="1" applyAlignment="1">
      <alignment horizontal="center"/>
    </xf>
    <xf numFmtId="0" fontId="41" fillId="4" borderId="2" xfId="0" applyFont="1" applyFill="1" applyBorder="1" applyAlignment="1">
      <alignment horizontal="left" wrapText="1"/>
    </xf>
    <xf numFmtId="0" fontId="41" fillId="4" borderId="3" xfId="0" applyFont="1" applyFill="1" applyBorder="1" applyAlignment="1">
      <alignment horizontal="left" wrapText="1"/>
    </xf>
    <xf numFmtId="0" fontId="41" fillId="4" borderId="2" xfId="0" applyFont="1" applyFill="1" applyBorder="1" applyAlignment="1">
      <alignment horizontal="center" wrapText="1"/>
    </xf>
    <xf numFmtId="0" fontId="41" fillId="4" borderId="3" xfId="0" applyFont="1" applyFill="1" applyBorder="1" applyAlignment="1">
      <alignment horizontal="center" wrapText="1"/>
    </xf>
    <xf numFmtId="0" fontId="41" fillId="4" borderId="4" xfId="0" applyFont="1" applyFill="1" applyBorder="1" applyAlignment="1">
      <alignment horizontal="center" wrapText="1"/>
    </xf>
    <xf numFmtId="0" fontId="41" fillId="4" borderId="2" xfId="0" applyFont="1" applyFill="1" applyBorder="1" applyAlignment="1">
      <alignment horizontal="center" vertical="center" wrapText="1"/>
    </xf>
    <xf numFmtId="0" fontId="41" fillId="4" borderId="3" xfId="0" applyFont="1" applyFill="1" applyBorder="1" applyAlignment="1">
      <alignment horizontal="center" vertical="center" wrapText="1"/>
    </xf>
    <xf numFmtId="0" fontId="41" fillId="4" borderId="4" xfId="0" applyFont="1" applyFill="1" applyBorder="1" applyAlignment="1">
      <alignment horizontal="center" vertical="center" wrapText="1"/>
    </xf>
    <xf numFmtId="0" fontId="46" fillId="21" borderId="2" xfId="0" applyFont="1" applyFill="1" applyBorder="1" applyAlignment="1">
      <alignment vertical="center" wrapText="1"/>
    </xf>
    <xf numFmtId="0" fontId="47" fillId="0" borderId="3" xfId="0" applyFont="1" applyBorder="1" applyAlignment="1">
      <alignment vertical="center" wrapText="1"/>
    </xf>
    <xf numFmtId="0" fontId="47" fillId="0" borderId="4" xfId="0" applyFont="1" applyBorder="1" applyAlignment="1">
      <alignment vertical="center" wrapText="1"/>
    </xf>
    <xf numFmtId="0" fontId="29" fillId="3" borderId="2" xfId="0" applyFont="1" applyFill="1" applyBorder="1" applyAlignment="1">
      <alignment horizontal="center"/>
    </xf>
    <xf numFmtId="0" fontId="29" fillId="0" borderId="3" xfId="0" applyFont="1" applyBorder="1" applyAlignment="1">
      <alignment horizontal="center"/>
    </xf>
    <xf numFmtId="0" fontId="29" fillId="0" borderId="4" xfId="0" applyFont="1" applyBorder="1" applyAlignment="1">
      <alignment horizontal="center"/>
    </xf>
    <xf numFmtId="0" fontId="32" fillId="21" borderId="2" xfId="0" applyFont="1" applyFill="1" applyBorder="1" applyAlignment="1">
      <alignment horizontal="left" vertical="center" wrapText="1"/>
    </xf>
    <xf numFmtId="0" fontId="32" fillId="21" borderId="3" xfId="0" applyFont="1" applyFill="1" applyBorder="1" applyAlignment="1">
      <alignment horizontal="left" vertical="center" wrapText="1"/>
    </xf>
    <xf numFmtId="0" fontId="32" fillId="21" borderId="4" xfId="0" applyFont="1" applyFill="1" applyBorder="1" applyAlignment="1">
      <alignment horizontal="left" vertical="center" wrapText="1"/>
    </xf>
    <xf numFmtId="0" fontId="29" fillId="3" borderId="2"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29" fillId="3" borderId="4" xfId="0" applyFont="1" applyFill="1" applyBorder="1" applyAlignment="1">
      <alignment horizontal="center" vertical="center" wrapText="1"/>
    </xf>
    <xf numFmtId="0" fontId="29" fillId="3" borderId="2" xfId="0" applyFont="1" applyFill="1" applyBorder="1" applyAlignment="1">
      <alignment horizontal="left" wrapText="1"/>
    </xf>
    <xf numFmtId="0" fontId="29" fillId="3" borderId="3" xfId="0" applyFont="1" applyFill="1" applyBorder="1" applyAlignment="1">
      <alignment horizontal="left" wrapText="1"/>
    </xf>
    <xf numFmtId="0" fontId="29" fillId="3" borderId="2" xfId="0" applyFont="1" applyFill="1" applyBorder="1" applyAlignment="1">
      <alignment horizontal="center" wrapText="1"/>
    </xf>
    <xf numFmtId="0" fontId="29" fillId="3" borderId="3" xfId="0" applyFont="1" applyFill="1" applyBorder="1" applyAlignment="1">
      <alignment horizontal="center" wrapText="1"/>
    </xf>
    <xf numFmtId="0" fontId="29" fillId="3" borderId="4" xfId="0" applyFont="1" applyFill="1" applyBorder="1" applyAlignment="1">
      <alignment horizontal="center" wrapText="1"/>
    </xf>
    <xf numFmtId="0" fontId="7" fillId="3" borderId="2" xfId="0" applyFont="1" applyFill="1" applyBorder="1" applyAlignment="1">
      <alignment horizontal="center"/>
    </xf>
    <xf numFmtId="0" fontId="10" fillId="3" borderId="2" xfId="0" applyFont="1" applyFill="1" applyBorder="1" applyAlignment="1">
      <alignment horizont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2" xfId="0" applyFont="1" applyFill="1" applyBorder="1" applyAlignment="1">
      <alignment horizontal="center" wrapText="1"/>
    </xf>
    <xf numFmtId="0" fontId="7" fillId="3" borderId="4" xfId="0" applyFont="1" applyFill="1" applyBorder="1" applyAlignment="1">
      <alignment horizontal="center" wrapText="1"/>
    </xf>
    <xf numFmtId="0" fontId="7" fillId="3" borderId="2" xfId="0" applyFont="1" applyFill="1" applyBorder="1" applyAlignment="1">
      <alignment horizontal="left" wrapText="1"/>
    </xf>
    <xf numFmtId="0" fontId="7" fillId="3" borderId="3" xfId="0" applyFont="1" applyFill="1" applyBorder="1" applyAlignment="1">
      <alignment horizontal="left" wrapText="1"/>
    </xf>
    <xf numFmtId="0" fontId="7" fillId="3" borderId="3" xfId="0" applyFont="1" applyFill="1" applyBorder="1" applyAlignment="1">
      <alignment horizontal="center" wrapText="1"/>
    </xf>
    <xf numFmtId="0" fontId="14" fillId="21" borderId="2" xfId="0" applyFont="1"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54" fillId="21" borderId="2" xfId="0" applyFont="1" applyFill="1" applyBorder="1" applyAlignment="1">
      <alignment vertical="center" wrapText="1"/>
    </xf>
    <xf numFmtId="0" fontId="55" fillId="0" borderId="3" xfId="0" applyFont="1" applyBorder="1" applyAlignment="1">
      <alignment vertical="center" wrapText="1"/>
    </xf>
    <xf numFmtId="0" fontId="55" fillId="0" borderId="4" xfId="0" applyFont="1" applyBorder="1" applyAlignment="1">
      <alignment vertical="center" wrapText="1"/>
    </xf>
    <xf numFmtId="0" fontId="14" fillId="11" borderId="2" xfId="0" applyFont="1" applyFill="1" applyBorder="1" applyAlignment="1">
      <alignment horizontal="left" wrapText="1"/>
    </xf>
    <xf numFmtId="0" fontId="14" fillId="11" borderId="3" xfId="0" applyFont="1" applyFill="1" applyBorder="1" applyAlignment="1">
      <alignment horizontal="left" wrapText="1"/>
    </xf>
    <xf numFmtId="0" fontId="14" fillId="11" borderId="2" xfId="0" applyFont="1" applyFill="1" applyBorder="1" applyAlignment="1">
      <alignment horizontal="center" wrapText="1"/>
    </xf>
    <xf numFmtId="0" fontId="14" fillId="11" borderId="3" xfId="0" applyFont="1" applyFill="1" applyBorder="1" applyAlignment="1">
      <alignment horizontal="center" wrapText="1"/>
    </xf>
    <xf numFmtId="0" fontId="14" fillId="11" borderId="4" xfId="0" applyFont="1" applyFill="1" applyBorder="1" applyAlignment="1">
      <alignment horizontal="center" wrapText="1"/>
    </xf>
    <xf numFmtId="0" fontId="14" fillId="11" borderId="2" xfId="0" applyFont="1" applyFill="1" applyBorder="1" applyAlignment="1">
      <alignment horizontal="center" vertical="center" wrapText="1"/>
    </xf>
    <xf numFmtId="0" fontId="14" fillId="11" borderId="3" xfId="0" applyFont="1" applyFill="1" applyBorder="1" applyAlignment="1">
      <alignment horizontal="center" vertical="center" wrapText="1"/>
    </xf>
    <xf numFmtId="0" fontId="14" fillId="11" borderId="4" xfId="0" applyFont="1" applyFill="1" applyBorder="1" applyAlignment="1">
      <alignment horizontal="center" vertical="center" wrapText="1"/>
    </xf>
    <xf numFmtId="0" fontId="14" fillId="11" borderId="2" xfId="0" applyFont="1" applyFill="1" applyBorder="1" applyAlignment="1">
      <alignment horizontal="center"/>
    </xf>
    <xf numFmtId="0" fontId="15" fillId="0" borderId="3" xfId="0" applyFont="1" applyBorder="1" applyAlignment="1">
      <alignment horizontal="center"/>
    </xf>
    <xf numFmtId="0" fontId="15" fillId="0" borderId="4" xfId="0" applyFont="1" applyBorder="1" applyAlignment="1">
      <alignment horizontal="center"/>
    </xf>
    <xf numFmtId="0" fontId="14" fillId="36" borderId="2" xfId="0" applyFont="1" applyFill="1" applyBorder="1" applyAlignment="1">
      <alignment horizontal="center"/>
    </xf>
    <xf numFmtId="0" fontId="15" fillId="36" borderId="3" xfId="0" applyFont="1" applyFill="1" applyBorder="1" applyAlignment="1">
      <alignment horizontal="center"/>
    </xf>
    <xf numFmtId="0" fontId="15" fillId="36" borderId="4" xfId="0" applyFont="1" applyFill="1" applyBorder="1" applyAlignment="1">
      <alignment horizontal="center"/>
    </xf>
    <xf numFmtId="0" fontId="14" fillId="36" borderId="2" xfId="0" applyFont="1" applyFill="1" applyBorder="1" applyAlignment="1">
      <alignment horizontal="center" vertical="center" wrapText="1"/>
    </xf>
    <xf numFmtId="0" fontId="14" fillId="36" borderId="4" xfId="0" applyFont="1" applyFill="1" applyBorder="1" applyAlignment="1">
      <alignment horizontal="center" vertical="center" wrapText="1"/>
    </xf>
    <xf numFmtId="0" fontId="14" fillId="36" borderId="3" xfId="0" applyFont="1" applyFill="1" applyBorder="1" applyAlignment="1">
      <alignment horizontal="center" vertical="center" wrapText="1"/>
    </xf>
    <xf numFmtId="0" fontId="14" fillId="36" borderId="2" xfId="0" applyFont="1" applyFill="1" applyBorder="1" applyAlignment="1">
      <alignment horizontal="left" wrapText="1"/>
    </xf>
    <xf numFmtId="0" fontId="14" fillId="36" borderId="3" xfId="0" applyFont="1" applyFill="1" applyBorder="1" applyAlignment="1">
      <alignment horizontal="left" wrapText="1"/>
    </xf>
    <xf numFmtId="0" fontId="14" fillId="36" borderId="2" xfId="0" applyFont="1" applyFill="1" applyBorder="1" applyAlignment="1">
      <alignment horizontal="center" wrapText="1"/>
    </xf>
    <xf numFmtId="0" fontId="14" fillId="36" borderId="3" xfId="0" applyFont="1" applyFill="1" applyBorder="1" applyAlignment="1">
      <alignment horizontal="center" wrapText="1"/>
    </xf>
    <xf numFmtId="0" fontId="14" fillId="36" borderId="4" xfId="0" applyFont="1" applyFill="1" applyBorder="1" applyAlignment="1">
      <alignment horizontal="center" wrapText="1"/>
    </xf>
    <xf numFmtId="0" fontId="14" fillId="7" borderId="2"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4" fillId="7" borderId="2" xfId="0" applyFont="1" applyFill="1" applyBorder="1" applyAlignment="1">
      <alignment horizontal="center"/>
    </xf>
    <xf numFmtId="0" fontId="14" fillId="7" borderId="2" xfId="0" applyFont="1" applyFill="1" applyBorder="1" applyAlignment="1">
      <alignment horizontal="left" wrapText="1"/>
    </xf>
    <xf numFmtId="0" fontId="14" fillId="7" borderId="3" xfId="0" applyFont="1" applyFill="1" applyBorder="1" applyAlignment="1">
      <alignment horizontal="left" wrapText="1"/>
    </xf>
    <xf numFmtId="0" fontId="14" fillId="7" borderId="2" xfId="0" applyFont="1" applyFill="1" applyBorder="1" applyAlignment="1">
      <alignment horizontal="center" wrapText="1"/>
    </xf>
    <xf numFmtId="0" fontId="14" fillId="7" borderId="3" xfId="0" applyFont="1" applyFill="1" applyBorder="1" applyAlignment="1">
      <alignment horizontal="center" wrapText="1"/>
    </xf>
    <xf numFmtId="0" fontId="14" fillId="7" borderId="4" xfId="0" applyFont="1" applyFill="1" applyBorder="1" applyAlignment="1">
      <alignment horizontal="center" wrapText="1"/>
    </xf>
    <xf numFmtId="0" fontId="14" fillId="14" borderId="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4" xfId="0" applyFont="1" applyFill="1" applyBorder="1" applyAlignment="1">
      <alignment horizontal="center" vertical="center" wrapText="1"/>
    </xf>
    <xf numFmtId="0" fontId="14" fillId="14" borderId="2" xfId="0" applyFont="1" applyFill="1" applyBorder="1" applyAlignment="1">
      <alignment horizontal="center"/>
    </xf>
    <xf numFmtId="0" fontId="15" fillId="14" borderId="3" xfId="0" applyFont="1" applyFill="1" applyBorder="1" applyAlignment="1">
      <alignment horizontal="center"/>
    </xf>
    <xf numFmtId="0" fontId="15" fillId="14" borderId="4" xfId="0" applyFont="1" applyFill="1" applyBorder="1" applyAlignment="1">
      <alignment horizontal="center"/>
    </xf>
    <xf numFmtId="0" fontId="14" fillId="14" borderId="2" xfId="0" applyFont="1" applyFill="1" applyBorder="1" applyAlignment="1">
      <alignment horizontal="left" wrapText="1"/>
    </xf>
    <xf numFmtId="0" fontId="14" fillId="14" borderId="3" xfId="0" applyFont="1" applyFill="1" applyBorder="1" applyAlignment="1">
      <alignment horizontal="left" wrapText="1"/>
    </xf>
    <xf numFmtId="0" fontId="14" fillId="14" borderId="2" xfId="0" applyFont="1" applyFill="1" applyBorder="1" applyAlignment="1">
      <alignment horizontal="center" wrapText="1"/>
    </xf>
    <xf numFmtId="0" fontId="14" fillId="14" borderId="3" xfId="0" applyFont="1" applyFill="1" applyBorder="1" applyAlignment="1">
      <alignment horizontal="center" wrapText="1"/>
    </xf>
    <xf numFmtId="0" fontId="14" fillId="14" borderId="4" xfId="0" applyFont="1" applyFill="1" applyBorder="1" applyAlignment="1">
      <alignment horizontal="center" wrapText="1"/>
    </xf>
    <xf numFmtId="0" fontId="33" fillId="21" borderId="2" xfId="0" applyFont="1" applyFill="1" applyBorder="1" applyAlignment="1">
      <alignment vertical="center" wrapText="1"/>
    </xf>
    <xf numFmtId="0" fontId="33" fillId="21" borderId="3" xfId="0" applyFont="1" applyFill="1" applyBorder="1" applyAlignment="1">
      <alignment vertical="center" wrapText="1"/>
    </xf>
    <xf numFmtId="0" fontId="33" fillId="21" borderId="4" xfId="0" applyFont="1" applyFill="1" applyBorder="1" applyAlignment="1">
      <alignment vertical="center" wrapText="1"/>
    </xf>
    <xf numFmtId="0" fontId="8" fillId="5" borderId="2" xfId="0" applyFont="1" applyFill="1" applyBorder="1" applyAlignment="1">
      <alignment horizontal="center"/>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2" xfId="0" applyFont="1" applyFill="1" applyBorder="1" applyAlignment="1">
      <alignment horizontal="left" wrapText="1"/>
    </xf>
    <xf numFmtId="0" fontId="8" fillId="5" borderId="3" xfId="0" applyFont="1" applyFill="1" applyBorder="1" applyAlignment="1">
      <alignment horizontal="left" wrapText="1"/>
    </xf>
    <xf numFmtId="0" fontId="8" fillId="5" borderId="2" xfId="0" applyFont="1" applyFill="1" applyBorder="1" applyAlignment="1">
      <alignment horizontal="center" wrapText="1"/>
    </xf>
    <xf numFmtId="0" fontId="8" fillId="5" borderId="3" xfId="0" applyFont="1" applyFill="1" applyBorder="1" applyAlignment="1">
      <alignment horizontal="center" wrapText="1"/>
    </xf>
    <xf numFmtId="0" fontId="8" fillId="5" borderId="4" xfId="0" applyFont="1" applyFill="1" applyBorder="1" applyAlignment="1">
      <alignment horizontal="center" wrapText="1"/>
    </xf>
    <xf numFmtId="0" fontId="54" fillId="21" borderId="2" xfId="0" applyFont="1" applyFill="1" applyBorder="1" applyAlignment="1">
      <alignment horizontal="left" vertical="center" wrapText="1"/>
    </xf>
    <xf numFmtId="0" fontId="55" fillId="0" borderId="3" xfId="0" applyFont="1" applyBorder="1" applyAlignment="1">
      <alignment horizontal="left" vertical="center" wrapText="1"/>
    </xf>
    <xf numFmtId="0" fontId="55" fillId="0" borderId="4" xfId="0" applyFont="1" applyBorder="1" applyAlignment="1">
      <alignment horizontal="left" vertical="center" wrapText="1"/>
    </xf>
    <xf numFmtId="0" fontId="0" fillId="0" borderId="0" xfId="0" applyAlignment="1">
      <alignment wrapText="1"/>
    </xf>
    <xf numFmtId="0" fontId="30" fillId="11" borderId="2" xfId="0" applyFont="1" applyFill="1" applyBorder="1" applyAlignment="1">
      <alignment horizontal="center"/>
    </xf>
    <xf numFmtId="0" fontId="30" fillId="11" borderId="2" xfId="0" applyFont="1" applyFill="1" applyBorder="1" applyAlignment="1">
      <alignment horizontal="center" vertical="center" wrapText="1"/>
    </xf>
    <xf numFmtId="0" fontId="30" fillId="11" borderId="3" xfId="0" applyFont="1" applyFill="1" applyBorder="1" applyAlignment="1">
      <alignment horizontal="center" vertical="center" wrapText="1"/>
    </xf>
    <xf numFmtId="0" fontId="30" fillId="11" borderId="4" xfId="0" applyFont="1" applyFill="1" applyBorder="1" applyAlignment="1">
      <alignment horizontal="center" vertical="center" wrapText="1"/>
    </xf>
    <xf numFmtId="0" fontId="30" fillId="11" borderId="2" xfId="0" applyFont="1" applyFill="1" applyBorder="1" applyAlignment="1">
      <alignment horizontal="left" wrapText="1"/>
    </xf>
    <xf numFmtId="0" fontId="30" fillId="11" borderId="3" xfId="0" applyFont="1" applyFill="1" applyBorder="1" applyAlignment="1">
      <alignment horizontal="left" wrapText="1"/>
    </xf>
    <xf numFmtId="0" fontId="30" fillId="11" borderId="2" xfId="0" applyFont="1" applyFill="1" applyBorder="1" applyAlignment="1">
      <alignment horizontal="center" wrapText="1"/>
    </xf>
    <xf numFmtId="0" fontId="30" fillId="11" borderId="3" xfId="0" applyFont="1" applyFill="1" applyBorder="1" applyAlignment="1">
      <alignment horizontal="center" wrapText="1"/>
    </xf>
    <xf numFmtId="0" fontId="30" fillId="11" borderId="4" xfId="0" applyFont="1" applyFill="1" applyBorder="1" applyAlignment="1">
      <alignment horizontal="center" wrapText="1"/>
    </xf>
    <xf numFmtId="0" fontId="23" fillId="6" borderId="16" xfId="0" applyFont="1" applyFill="1" applyBorder="1" applyAlignment="1">
      <alignment horizontal="center"/>
    </xf>
    <xf numFmtId="0" fontId="0" fillId="0" borderId="16" xfId="0" applyBorder="1" applyAlignment="1">
      <alignment horizontal="center"/>
    </xf>
    <xf numFmtId="0" fontId="21" fillId="6" borderId="2"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2" xfId="0" applyFont="1" applyFill="1" applyBorder="1" applyAlignment="1">
      <alignment horizontal="left" wrapText="1"/>
    </xf>
    <xf numFmtId="0" fontId="21" fillId="6" borderId="3" xfId="0" applyFont="1" applyFill="1" applyBorder="1" applyAlignment="1">
      <alignment horizontal="left" wrapText="1"/>
    </xf>
    <xf numFmtId="0" fontId="21" fillId="6" borderId="2" xfId="0" applyFont="1" applyFill="1" applyBorder="1" applyAlignment="1">
      <alignment horizontal="center" wrapText="1"/>
    </xf>
    <xf numFmtId="0" fontId="21" fillId="6" borderId="3" xfId="0" applyFont="1" applyFill="1" applyBorder="1" applyAlignment="1">
      <alignment horizontal="center" wrapText="1"/>
    </xf>
    <xf numFmtId="0" fontId="21" fillId="6" borderId="4" xfId="0" applyFont="1" applyFill="1" applyBorder="1" applyAlignment="1">
      <alignment horizontal="center" wrapText="1"/>
    </xf>
    <xf numFmtId="0" fontId="29" fillId="7" borderId="2" xfId="0" applyFont="1" applyFill="1" applyBorder="1" applyAlignment="1">
      <alignment horizontal="left" wrapText="1"/>
    </xf>
    <xf numFmtId="0" fontId="29" fillId="7" borderId="3" xfId="0" applyFont="1" applyFill="1" applyBorder="1" applyAlignment="1">
      <alignment horizontal="left" wrapText="1"/>
    </xf>
    <xf numFmtId="0" fontId="29" fillId="7" borderId="2" xfId="0" applyFont="1" applyFill="1" applyBorder="1" applyAlignment="1">
      <alignment horizontal="center" wrapText="1"/>
    </xf>
    <xf numFmtId="0" fontId="29" fillId="7" borderId="3" xfId="0" applyFont="1" applyFill="1" applyBorder="1" applyAlignment="1">
      <alignment horizontal="center" wrapText="1"/>
    </xf>
    <xf numFmtId="0" fontId="29" fillId="7" borderId="4" xfId="0" applyFont="1" applyFill="1" applyBorder="1" applyAlignment="1">
      <alignment horizontal="center" wrapText="1"/>
    </xf>
    <xf numFmtId="0" fontId="29" fillId="7" borderId="2" xfId="0" applyFont="1" applyFill="1" applyBorder="1" applyAlignment="1">
      <alignment horizontal="center" vertical="center" wrapText="1"/>
    </xf>
    <xf numFmtId="0" fontId="29" fillId="7" borderId="3" xfId="0" applyFont="1" applyFill="1" applyBorder="1" applyAlignment="1">
      <alignment horizontal="center" vertical="center" wrapText="1"/>
    </xf>
    <xf numFmtId="0" fontId="29" fillId="7" borderId="4" xfId="0" applyFont="1" applyFill="1" applyBorder="1" applyAlignment="1">
      <alignment horizontal="center" vertical="center" wrapText="1"/>
    </xf>
    <xf numFmtId="0" fontId="29" fillId="7" borderId="2" xfId="0" applyFont="1" applyFill="1" applyBorder="1" applyAlignment="1">
      <alignment horizontal="center"/>
    </xf>
    <xf numFmtId="0" fontId="37" fillId="7" borderId="3" xfId="0" applyFont="1" applyFill="1" applyBorder="1" applyAlignment="1">
      <alignment horizontal="center"/>
    </xf>
    <xf numFmtId="0" fontId="37" fillId="7" borderId="4" xfId="0" applyFont="1" applyFill="1" applyBorder="1" applyAlignment="1">
      <alignment horizontal="center"/>
    </xf>
    <xf numFmtId="0" fontId="32" fillId="21" borderId="10" xfId="0" applyFont="1" applyFill="1" applyBorder="1" applyAlignment="1">
      <alignment horizontal="left" vertical="center" wrapText="1"/>
    </xf>
    <xf numFmtId="0" fontId="32" fillId="21" borderId="16" xfId="0" applyFont="1" applyFill="1" applyBorder="1" applyAlignment="1">
      <alignment horizontal="left" vertical="center" wrapText="1"/>
    </xf>
    <xf numFmtId="0" fontId="32" fillId="21" borderId="6" xfId="0" applyFont="1" applyFill="1" applyBorder="1" applyAlignment="1">
      <alignment horizontal="left" vertical="center" wrapText="1"/>
    </xf>
    <xf numFmtId="0" fontId="18" fillId="2" borderId="2" xfId="0" applyFont="1" applyFill="1" applyBorder="1" applyAlignment="1">
      <alignment horizontal="center"/>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2" xfId="0" applyFont="1" applyFill="1" applyBorder="1" applyAlignment="1">
      <alignment horizontal="left" wrapText="1"/>
    </xf>
    <xf numFmtId="0" fontId="18" fillId="2" borderId="3" xfId="0" applyFont="1" applyFill="1" applyBorder="1" applyAlignment="1">
      <alignment horizontal="left" wrapText="1"/>
    </xf>
    <xf numFmtId="0" fontId="18" fillId="2" borderId="2" xfId="0" applyFont="1" applyFill="1" applyBorder="1" applyAlignment="1">
      <alignment horizontal="center" wrapText="1"/>
    </xf>
    <xf numFmtId="0" fontId="18" fillId="2" borderId="3" xfId="0" applyFont="1" applyFill="1" applyBorder="1" applyAlignment="1">
      <alignment horizontal="center" wrapText="1"/>
    </xf>
    <xf numFmtId="0" fontId="18" fillId="2" borderId="4" xfId="0" applyFont="1" applyFill="1" applyBorder="1" applyAlignment="1">
      <alignment horizontal="center" wrapText="1"/>
    </xf>
    <xf numFmtId="0" fontId="33" fillId="21" borderId="2" xfId="0" applyFont="1" applyFill="1" applyBorder="1" applyAlignment="1">
      <alignment horizontal="left" vertical="center" wrapText="1"/>
    </xf>
    <xf numFmtId="0" fontId="33" fillId="21" borderId="3" xfId="0" applyFont="1" applyFill="1" applyBorder="1" applyAlignment="1">
      <alignment horizontal="left" vertical="center" wrapText="1"/>
    </xf>
    <xf numFmtId="0" fontId="33" fillId="21" borderId="4" xfId="0" applyFont="1" applyFill="1" applyBorder="1" applyAlignment="1">
      <alignment horizontal="left" vertical="center" wrapText="1"/>
    </xf>
    <xf numFmtId="0" fontId="14" fillId="12" borderId="2" xfId="0" applyFont="1" applyFill="1" applyBorder="1" applyAlignment="1">
      <alignment horizontal="center"/>
    </xf>
    <xf numFmtId="0" fontId="14" fillId="12" borderId="2" xfId="0" applyFont="1" applyFill="1" applyBorder="1" applyAlignment="1">
      <alignment horizontal="center" vertical="center" wrapText="1"/>
    </xf>
    <xf numFmtId="0" fontId="14" fillId="12" borderId="3" xfId="0" applyFont="1" applyFill="1" applyBorder="1" applyAlignment="1">
      <alignment horizontal="center" vertical="center" wrapText="1"/>
    </xf>
    <xf numFmtId="0" fontId="14" fillId="12" borderId="4" xfId="0" applyFont="1" applyFill="1" applyBorder="1" applyAlignment="1">
      <alignment horizontal="center" vertical="center" wrapText="1"/>
    </xf>
    <xf numFmtId="0" fontId="14" fillId="12" borderId="2" xfId="0" applyFont="1" applyFill="1" applyBorder="1" applyAlignment="1">
      <alignment horizontal="left" wrapText="1"/>
    </xf>
    <xf numFmtId="0" fontId="14" fillId="12" borderId="3" xfId="0" applyFont="1" applyFill="1" applyBorder="1" applyAlignment="1">
      <alignment horizontal="left" wrapText="1"/>
    </xf>
    <xf numFmtId="0" fontId="14" fillId="12" borderId="2" xfId="0" applyFont="1" applyFill="1" applyBorder="1" applyAlignment="1">
      <alignment horizontal="center" wrapText="1"/>
    </xf>
    <xf numFmtId="0" fontId="14" fillId="12" borderId="3" xfId="0" applyFont="1" applyFill="1" applyBorder="1" applyAlignment="1">
      <alignment horizontal="center" wrapText="1"/>
    </xf>
    <xf numFmtId="0" fontId="14" fillId="12" borderId="4" xfId="0" applyFont="1" applyFill="1" applyBorder="1" applyAlignment="1">
      <alignment horizontal="center" wrapText="1"/>
    </xf>
    <xf numFmtId="0" fontId="14" fillId="4" borderId="2" xfId="0" applyFont="1" applyFill="1" applyBorder="1" applyAlignment="1">
      <alignment horizontal="left" wrapText="1"/>
    </xf>
    <xf numFmtId="0" fontId="14" fillId="4" borderId="3" xfId="0" applyFont="1" applyFill="1" applyBorder="1" applyAlignment="1">
      <alignment horizontal="left" wrapText="1"/>
    </xf>
    <xf numFmtId="0" fontId="14" fillId="4" borderId="2" xfId="0" applyFont="1" applyFill="1" applyBorder="1" applyAlignment="1">
      <alignment horizontal="center" wrapText="1"/>
    </xf>
    <xf numFmtId="0" fontId="14" fillId="4" borderId="3" xfId="0" applyFont="1" applyFill="1" applyBorder="1" applyAlignment="1">
      <alignment horizontal="center" wrapText="1"/>
    </xf>
    <xf numFmtId="0" fontId="14" fillId="4" borderId="4" xfId="0" applyFont="1" applyFill="1" applyBorder="1" applyAlignment="1">
      <alignment horizont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2" xfId="0" applyFont="1" applyFill="1" applyBorder="1" applyAlignment="1">
      <alignment horizontal="center"/>
    </xf>
    <xf numFmtId="0" fontId="15" fillId="4" borderId="3" xfId="0" applyFont="1" applyFill="1" applyBorder="1" applyAlignment="1">
      <alignment horizontal="center"/>
    </xf>
    <xf numFmtId="0" fontId="15" fillId="4" borderId="4" xfId="0" applyFont="1" applyFill="1" applyBorder="1" applyAlignment="1">
      <alignment horizontal="center"/>
    </xf>
    <xf numFmtId="0" fontId="0" fillId="0" borderId="0" xfId="0" applyAlignment="1">
      <alignment horizontal="left" vertical="center" wrapText="1"/>
    </xf>
    <xf numFmtId="0" fontId="19" fillId="4" borderId="2" xfId="0" applyFont="1" applyFill="1" applyBorder="1" applyAlignment="1">
      <alignment horizontal="center"/>
    </xf>
    <xf numFmtId="0" fontId="19" fillId="4" borderId="16" xfId="0" applyFont="1" applyFill="1" applyBorder="1" applyAlignment="1">
      <alignment horizontal="center"/>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 xfId="0" applyFont="1" applyFill="1" applyBorder="1" applyAlignment="1">
      <alignment horizontal="left" wrapText="1"/>
    </xf>
    <xf numFmtId="0" fontId="19" fillId="4" borderId="3" xfId="0" applyFont="1" applyFill="1" applyBorder="1" applyAlignment="1">
      <alignment horizontal="left" wrapText="1"/>
    </xf>
    <xf numFmtId="0" fontId="19" fillId="4" borderId="2" xfId="0" applyFont="1" applyFill="1" applyBorder="1" applyAlignment="1">
      <alignment horizontal="center" wrapText="1"/>
    </xf>
    <xf numFmtId="0" fontId="19" fillId="4" borderId="3" xfId="0" applyFont="1" applyFill="1" applyBorder="1" applyAlignment="1">
      <alignment horizontal="center" wrapText="1"/>
    </xf>
    <xf numFmtId="0" fontId="19" fillId="4" borderId="4" xfId="0" applyFont="1" applyFill="1" applyBorder="1" applyAlignment="1">
      <alignment horizontal="center" wrapText="1"/>
    </xf>
    <xf numFmtId="0" fontId="54" fillId="21" borderId="10" xfId="0" applyFont="1" applyFill="1" applyBorder="1" applyAlignment="1">
      <alignment horizontal="left" vertical="center" wrapText="1"/>
    </xf>
    <xf numFmtId="0" fontId="54" fillId="21" borderId="16" xfId="0" applyFont="1" applyFill="1" applyBorder="1" applyAlignment="1">
      <alignment horizontal="left" vertical="center" wrapText="1"/>
    </xf>
    <xf numFmtId="0" fontId="54" fillId="21" borderId="6" xfId="0" applyFont="1" applyFill="1" applyBorder="1" applyAlignment="1">
      <alignment horizontal="left" vertical="center" wrapText="1"/>
    </xf>
    <xf numFmtId="0" fontId="10" fillId="13" borderId="2" xfId="0" applyFont="1" applyFill="1" applyBorder="1" applyAlignment="1">
      <alignment horizontal="left" wrapText="1"/>
    </xf>
    <xf numFmtId="0" fontId="10" fillId="13" borderId="3" xfId="0" applyFont="1" applyFill="1" applyBorder="1" applyAlignment="1">
      <alignment horizontal="left" wrapText="1"/>
    </xf>
    <xf numFmtId="0" fontId="10" fillId="13" borderId="2" xfId="0" applyFont="1" applyFill="1" applyBorder="1" applyAlignment="1">
      <alignment horizontal="center" wrapText="1"/>
    </xf>
    <xf numFmtId="0" fontId="10" fillId="13" borderId="3" xfId="0" applyFont="1" applyFill="1" applyBorder="1" applyAlignment="1">
      <alignment horizontal="center" wrapText="1"/>
    </xf>
    <xf numFmtId="0" fontId="10" fillId="13" borderId="4" xfId="0" applyFont="1" applyFill="1" applyBorder="1" applyAlignment="1">
      <alignment horizontal="center" wrapText="1"/>
    </xf>
    <xf numFmtId="0" fontId="10" fillId="13" borderId="2" xfId="0" applyFont="1" applyFill="1" applyBorder="1" applyAlignment="1">
      <alignment horizontal="center" vertical="center" wrapText="1"/>
    </xf>
    <xf numFmtId="0" fontId="10" fillId="13" borderId="3" xfId="0" applyFont="1" applyFill="1" applyBorder="1" applyAlignment="1">
      <alignment horizontal="center" vertical="center" wrapText="1"/>
    </xf>
    <xf numFmtId="0" fontId="10" fillId="13" borderId="4" xfId="0" applyFont="1" applyFill="1" applyBorder="1" applyAlignment="1">
      <alignment horizontal="center" vertical="center" wrapText="1"/>
    </xf>
    <xf numFmtId="0" fontId="10" fillId="13" borderId="2" xfId="0" applyFont="1" applyFill="1" applyBorder="1" applyAlignment="1">
      <alignment horizontal="center"/>
    </xf>
    <xf numFmtId="16" fontId="10" fillId="3" borderId="0" xfId="0" applyNumberFormat="1" applyFont="1" applyFill="1" applyAlignment="1">
      <alignment horizontal="left" vertical="center" wrapText="1"/>
    </xf>
    <xf numFmtId="0" fontId="35" fillId="21" borderId="2" xfId="0" applyFont="1" applyFill="1" applyBorder="1" applyAlignment="1">
      <alignment horizontal="left" vertical="center" wrapText="1"/>
    </xf>
    <xf numFmtId="0" fontId="35" fillId="21" borderId="3" xfId="0" applyFont="1" applyFill="1" applyBorder="1" applyAlignment="1">
      <alignment horizontal="left" vertical="center" wrapText="1"/>
    </xf>
    <xf numFmtId="0" fontId="35" fillId="21"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4B21"/>
      <color rgb="FFF2F2F2"/>
      <color rgb="FFFFFF99"/>
      <color rgb="FFA03A7C"/>
      <color rgb="FFFFCC00"/>
      <color rgb="FF000000"/>
      <color rgb="FFCC3399"/>
      <color rgb="FF990099"/>
      <color rgb="FFFF3300"/>
      <color rgb="FFB436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e%20Hill/Documents/BT%20PREMIERSHIP/Season%202018-19/Prem%2018-19%20Results%20&amp;%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e%20Hill/Documents/BT%20PREMIERSHIP/2016-17%20Season/Prem%20Club%20by%20Club%20Results%20&amp;%20Tables%202016-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T%20PREMIERSHIP/2015-16%20Season/Prem%20Club%20by%20Club%20Results%20&amp;%20Tables%202015-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Yr-By-Yr"/>
      <sheetName val="18-19 Sum"/>
      <sheetName val="Cards"/>
      <sheetName val="Stats"/>
      <sheetName val="Form"/>
      <sheetName val="Table"/>
      <sheetName val="Results"/>
      <sheetName val="BTH"/>
      <sheetName val="BRI"/>
      <sheetName val="EXE"/>
      <sheetName val="GLO"/>
      <sheetName val="HAR"/>
      <sheetName val="LEIC"/>
      <sheetName val="NEW"/>
      <sheetName val="NOR"/>
      <sheetName val="SAL"/>
      <sheetName val="SAR"/>
      <sheetName val="WAS"/>
      <sheetName val="WOR"/>
    </sheetNames>
    <sheetDataSet>
      <sheetData sheetId="0">
        <row r="3">
          <cell r="B3">
            <v>494</v>
          </cell>
          <cell r="C3">
            <v>275</v>
          </cell>
          <cell r="D3">
            <v>212</v>
          </cell>
          <cell r="E3">
            <v>19</v>
          </cell>
          <cell r="G3">
            <v>11071</v>
          </cell>
          <cell r="H3">
            <v>9789</v>
          </cell>
          <cell r="J3">
            <v>1121</v>
          </cell>
        </row>
      </sheetData>
      <sheetData sheetId="1"/>
      <sheetData sheetId="2"/>
      <sheetData sheetId="3"/>
      <sheetData sheetId="4"/>
      <sheetData sheetId="5"/>
      <sheetData sheetId="6"/>
      <sheetData sheetId="7"/>
      <sheetData sheetId="8">
        <row r="37">
          <cell r="F37">
            <v>481</v>
          </cell>
          <cell r="G37">
            <v>480</v>
          </cell>
          <cell r="J37">
            <v>52</v>
          </cell>
          <cell r="L37">
            <v>2</v>
          </cell>
          <cell r="N37">
            <v>11</v>
          </cell>
          <cell r="O37">
            <v>1</v>
          </cell>
          <cell r="R37">
            <v>54</v>
          </cell>
          <cell r="Y37">
            <v>22</v>
          </cell>
          <cell r="AB37">
            <v>10</v>
          </cell>
        </row>
      </sheetData>
      <sheetData sheetId="9">
        <row r="36">
          <cell r="H36">
            <v>6</v>
          </cell>
          <cell r="L36">
            <v>0</v>
          </cell>
          <cell r="P36">
            <v>10</v>
          </cell>
        </row>
        <row r="38">
          <cell r="F38">
            <v>503</v>
          </cell>
          <cell r="G38">
            <v>580</v>
          </cell>
          <cell r="J38">
            <v>55</v>
          </cell>
          <cell r="L38">
            <v>0</v>
          </cell>
          <cell r="N38">
            <v>7</v>
          </cell>
          <cell r="O38">
            <v>1</v>
          </cell>
          <cell r="R38">
            <v>74</v>
          </cell>
          <cell r="Y38">
            <v>22</v>
          </cell>
          <cell r="Z38">
            <v>9</v>
          </cell>
          <cell r="AA38">
            <v>1</v>
          </cell>
          <cell r="AB38">
            <v>12</v>
          </cell>
        </row>
      </sheetData>
      <sheetData sheetId="10">
        <row r="37">
          <cell r="H37">
            <v>14</v>
          </cell>
          <cell r="P37">
            <v>6</v>
          </cell>
          <cell r="AA37">
            <v>0</v>
          </cell>
        </row>
        <row r="39">
          <cell r="F39">
            <v>706</v>
          </cell>
          <cell r="G39">
            <v>487</v>
          </cell>
          <cell r="J39">
            <v>100</v>
          </cell>
          <cell r="L39">
            <v>0</v>
          </cell>
          <cell r="N39">
            <v>8</v>
          </cell>
          <cell r="O39">
            <v>0</v>
          </cell>
          <cell r="R39">
            <v>58</v>
          </cell>
          <cell r="Y39">
            <v>24</v>
          </cell>
          <cell r="Z39">
            <v>18</v>
          </cell>
          <cell r="AB39">
            <v>6</v>
          </cell>
        </row>
      </sheetData>
      <sheetData sheetId="11">
        <row r="36">
          <cell r="H36">
            <v>10</v>
          </cell>
          <cell r="P36">
            <v>6</v>
          </cell>
        </row>
        <row r="38">
          <cell r="F38">
            <v>606</v>
          </cell>
          <cell r="G38">
            <v>559</v>
          </cell>
          <cell r="J38">
            <v>78</v>
          </cell>
          <cell r="L38">
            <v>0</v>
          </cell>
          <cell r="N38">
            <v>8</v>
          </cell>
          <cell r="O38">
            <v>0</v>
          </cell>
          <cell r="R38">
            <v>66</v>
          </cell>
          <cell r="Y38">
            <v>23</v>
          </cell>
          <cell r="Z38">
            <v>13</v>
          </cell>
          <cell r="AA38">
            <v>1</v>
          </cell>
          <cell r="AB38">
            <v>9</v>
          </cell>
        </row>
      </sheetData>
      <sheetData sheetId="12">
        <row r="37">
          <cell r="H37">
            <v>7</v>
          </cell>
          <cell r="P37">
            <v>6</v>
          </cell>
        </row>
        <row r="39">
          <cell r="F39">
            <v>544</v>
          </cell>
          <cell r="G39">
            <v>528</v>
          </cell>
          <cell r="J39">
            <v>63</v>
          </cell>
          <cell r="L39">
            <v>0</v>
          </cell>
          <cell r="N39">
            <v>13</v>
          </cell>
          <cell r="O39">
            <v>0</v>
          </cell>
          <cell r="R39">
            <v>56</v>
          </cell>
          <cell r="Y39">
            <v>22</v>
          </cell>
          <cell r="Z39">
            <v>10</v>
          </cell>
          <cell r="AA39">
            <v>0</v>
          </cell>
          <cell r="AB39">
            <v>12</v>
          </cell>
        </row>
      </sheetData>
      <sheetData sheetId="13">
        <row r="35">
          <cell r="H35">
            <v>5</v>
          </cell>
          <cell r="P35">
            <v>10</v>
          </cell>
        </row>
        <row r="37">
          <cell r="F37">
            <v>478</v>
          </cell>
          <cell r="G37">
            <v>632</v>
          </cell>
          <cell r="J37">
            <v>47</v>
          </cell>
          <cell r="L37">
            <v>0</v>
          </cell>
          <cell r="N37">
            <v>7</v>
          </cell>
          <cell r="O37">
            <v>4</v>
          </cell>
          <cell r="R37">
            <v>81</v>
          </cell>
          <cell r="Y37">
            <v>22</v>
          </cell>
          <cell r="Z37">
            <v>7</v>
          </cell>
          <cell r="AA37">
            <v>0</v>
          </cell>
          <cell r="AB37">
            <v>15</v>
          </cell>
        </row>
      </sheetData>
      <sheetData sheetId="14">
        <row r="36">
          <cell r="H36">
            <v>1</v>
          </cell>
          <cell r="P36">
            <v>9</v>
          </cell>
          <cell r="AA36">
            <v>0</v>
          </cell>
        </row>
        <row r="38">
          <cell r="F38">
            <v>395</v>
          </cell>
          <cell r="G38">
            <v>541</v>
          </cell>
          <cell r="J38">
            <v>43</v>
          </cell>
          <cell r="L38">
            <v>0</v>
          </cell>
          <cell r="N38">
            <v>9</v>
          </cell>
          <cell r="O38">
            <v>0</v>
          </cell>
          <cell r="R38">
            <v>66</v>
          </cell>
          <cell r="Y38">
            <v>22</v>
          </cell>
          <cell r="Z38">
            <v>6</v>
          </cell>
          <cell r="AB38">
            <v>16</v>
          </cell>
        </row>
      </sheetData>
      <sheetData sheetId="15">
        <row r="40">
          <cell r="H40">
            <v>8</v>
          </cell>
          <cell r="P40">
            <v>7</v>
          </cell>
        </row>
        <row r="42">
          <cell r="F42">
            <v>602</v>
          </cell>
          <cell r="G42">
            <v>563</v>
          </cell>
          <cell r="J42">
            <v>75</v>
          </cell>
          <cell r="L42">
            <v>0</v>
          </cell>
          <cell r="R42">
            <v>68</v>
          </cell>
          <cell r="Y42">
            <v>23</v>
          </cell>
          <cell r="Z42">
            <v>11</v>
          </cell>
          <cell r="AA42">
            <v>0</v>
          </cell>
          <cell r="AB42">
            <v>12</v>
          </cell>
        </row>
      </sheetData>
      <sheetData sheetId="16">
        <row r="37">
          <cell r="F37">
            <v>462</v>
          </cell>
          <cell r="G37">
            <v>504</v>
          </cell>
          <cell r="H37">
            <v>3</v>
          </cell>
          <cell r="P37">
            <v>7</v>
          </cell>
        </row>
        <row r="39">
          <cell r="J39">
            <v>52</v>
          </cell>
          <cell r="L39">
            <v>0</v>
          </cell>
          <cell r="N39">
            <v>6</v>
          </cell>
          <cell r="O39">
            <v>0</v>
          </cell>
          <cell r="R39">
            <v>62</v>
          </cell>
          <cell r="Y39">
            <v>22</v>
          </cell>
          <cell r="Z39">
            <v>11</v>
          </cell>
          <cell r="AA39">
            <v>2</v>
          </cell>
          <cell r="AB39">
            <v>9</v>
          </cell>
        </row>
      </sheetData>
      <sheetData sheetId="17">
        <row r="42">
          <cell r="H42">
            <v>10</v>
          </cell>
          <cell r="P42">
            <v>2</v>
          </cell>
        </row>
        <row r="44">
          <cell r="F44">
            <v>725</v>
          </cell>
          <cell r="G44">
            <v>493</v>
          </cell>
          <cell r="J44">
            <v>88</v>
          </cell>
          <cell r="L44">
            <v>0</v>
          </cell>
          <cell r="N44">
            <v>18</v>
          </cell>
          <cell r="O44">
            <v>0</v>
          </cell>
          <cell r="R44">
            <v>52</v>
          </cell>
          <cell r="Y44">
            <v>24</v>
          </cell>
          <cell r="Z44">
            <v>18</v>
          </cell>
          <cell r="AA44">
            <v>0</v>
          </cell>
          <cell r="AB44">
            <v>6</v>
          </cell>
        </row>
      </sheetData>
      <sheetData sheetId="18">
        <row r="35">
          <cell r="H35">
            <v>7</v>
          </cell>
          <cell r="P35">
            <v>6</v>
          </cell>
        </row>
        <row r="37">
          <cell r="F37">
            <v>483</v>
          </cell>
          <cell r="G37">
            <v>552</v>
          </cell>
          <cell r="J37">
            <v>56</v>
          </cell>
          <cell r="L37">
            <v>0</v>
          </cell>
          <cell r="N37">
            <v>8</v>
          </cell>
          <cell r="O37">
            <v>0</v>
          </cell>
          <cell r="R37">
            <v>62</v>
          </cell>
          <cell r="Y37">
            <v>22</v>
          </cell>
          <cell r="Z37">
            <v>10</v>
          </cell>
          <cell r="AA37">
            <v>0</v>
          </cell>
          <cell r="AB37">
            <v>12</v>
          </cell>
        </row>
      </sheetData>
      <sheetData sheetId="19">
        <row r="37">
          <cell r="H37">
            <v>6</v>
          </cell>
          <cell r="P37">
            <v>7</v>
          </cell>
        </row>
        <row r="39">
          <cell r="F39">
            <v>491</v>
          </cell>
          <cell r="G39">
            <v>557</v>
          </cell>
          <cell r="J39">
            <v>56</v>
          </cell>
          <cell r="L39">
            <v>0</v>
          </cell>
          <cell r="N39">
            <v>8</v>
          </cell>
          <cell r="O39">
            <v>1</v>
          </cell>
          <cell r="R39">
            <v>66</v>
          </cell>
          <cell r="Y39">
            <v>22</v>
          </cell>
          <cell r="Z39">
            <v>9</v>
          </cell>
          <cell r="AA39">
            <v>0</v>
          </cell>
          <cell r="AB39">
            <v>13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Yr-By-Yr"/>
      <sheetName val="Cards"/>
      <sheetName val="Stats"/>
      <sheetName val="Form"/>
      <sheetName val="Table"/>
      <sheetName val="Results"/>
      <sheetName val="BTH"/>
      <sheetName val="BRI"/>
      <sheetName val="EXE"/>
      <sheetName val="GLO"/>
      <sheetName val="HAR"/>
      <sheetName val="LEIC"/>
      <sheetName val="NEW"/>
      <sheetName val="NOR"/>
      <sheetName val="SAL"/>
      <sheetName val="SAR"/>
      <sheetName val="WAS"/>
      <sheetName val="WOR"/>
    </sheetNames>
    <sheetDataSet>
      <sheetData sheetId="0"/>
      <sheetData sheetId="1"/>
      <sheetData sheetId="2"/>
      <sheetData sheetId="3"/>
      <sheetData sheetId="4"/>
      <sheetData sheetId="5"/>
      <sheetData sheetId="6"/>
      <sheetData sheetId="7"/>
      <sheetData sheetId="8">
        <row r="35">
          <cell r="N35">
            <v>10</v>
          </cell>
          <cell r="O35">
            <v>1</v>
          </cell>
        </row>
      </sheetData>
      <sheetData sheetId="9">
        <row r="39">
          <cell r="N39">
            <v>5</v>
          </cell>
          <cell r="O39">
            <v>2</v>
          </cell>
        </row>
      </sheetData>
      <sheetData sheetId="10">
        <row r="40">
          <cell r="N40">
            <v>2</v>
          </cell>
          <cell r="O40">
            <v>0</v>
          </cell>
        </row>
      </sheetData>
      <sheetData sheetId="11"/>
      <sheetData sheetId="12">
        <row r="39">
          <cell r="N39">
            <v>12</v>
          </cell>
          <cell r="O39">
            <v>0</v>
          </cell>
        </row>
      </sheetData>
      <sheetData sheetId="13">
        <row r="37">
          <cell r="N37">
            <v>13</v>
          </cell>
          <cell r="O37">
            <v>1</v>
          </cell>
        </row>
      </sheetData>
      <sheetData sheetId="14">
        <row r="37">
          <cell r="N37">
            <v>10</v>
          </cell>
          <cell r="O37">
            <v>2</v>
          </cell>
        </row>
      </sheetData>
      <sheetData sheetId="15"/>
      <sheetData sheetId="16">
        <row r="42">
          <cell r="N42">
            <v>0</v>
          </cell>
          <cell r="O42">
            <v>0</v>
          </cell>
        </row>
      </sheetData>
      <sheetData sheetId="17">
        <row r="40">
          <cell r="N40">
            <v>3</v>
          </cell>
          <cell r="O40">
            <v>0</v>
          </cell>
        </row>
      </sheetData>
      <sheetData sheetId="18">
        <row r="35">
          <cell r="N35">
            <v>9</v>
          </cell>
          <cell r="O35">
            <v>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Yr-By-Yr"/>
      <sheetName val="Cards"/>
      <sheetName val="Team Stats"/>
      <sheetName val="Form"/>
      <sheetName val="Table"/>
      <sheetName val="Results"/>
      <sheetName val="BTH"/>
      <sheetName val="EXE"/>
      <sheetName val="GLO"/>
      <sheetName val="HAR"/>
      <sheetName val="LEI"/>
      <sheetName val="LIR"/>
      <sheetName val="NEW"/>
      <sheetName val="NOR"/>
      <sheetName val="SAL"/>
      <sheetName val="SAR"/>
      <sheetName val="WAS"/>
      <sheetName val="W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6">
          <cell r="AB36">
            <v>1</v>
          </cell>
        </row>
      </sheetData>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92AC4-5D7B-4914-8AFA-668E28E7E64F}">
  <dimension ref="A1:P77"/>
  <sheetViews>
    <sheetView topLeftCell="A56" workbookViewId="0">
      <selection activeCell="G66" sqref="G66"/>
    </sheetView>
  </sheetViews>
  <sheetFormatPr defaultRowHeight="14.3" x14ac:dyDescent="0.25"/>
  <cols>
    <col min="1" max="1" width="12.5" bestFit="1" customWidth="1"/>
    <col min="10" max="11" width="9" customWidth="1"/>
    <col min="14" max="14" width="9" customWidth="1"/>
    <col min="15" max="16" width="12.25" bestFit="1" customWidth="1"/>
  </cols>
  <sheetData>
    <row r="1" spans="1:9" x14ac:dyDescent="0.25">
      <c r="A1" s="309" t="s">
        <v>171</v>
      </c>
      <c r="B1" s="310"/>
      <c r="C1" s="310"/>
      <c r="D1" s="310"/>
      <c r="E1" s="310"/>
      <c r="F1" s="310"/>
      <c r="G1" s="310"/>
      <c r="H1" s="310"/>
      <c r="I1" s="310"/>
    </row>
    <row r="2" spans="1:9" x14ac:dyDescent="0.25">
      <c r="A2" s="311"/>
      <c r="B2" s="312" t="s">
        <v>130</v>
      </c>
      <c r="C2" s="312" t="s">
        <v>131</v>
      </c>
      <c r="D2" s="312" t="s">
        <v>132</v>
      </c>
      <c r="E2" s="312" t="s">
        <v>137</v>
      </c>
      <c r="F2" s="312" t="s">
        <v>133</v>
      </c>
      <c r="G2" s="312" t="s">
        <v>134</v>
      </c>
      <c r="H2" s="312" t="s">
        <v>135</v>
      </c>
      <c r="I2" s="312" t="s">
        <v>136</v>
      </c>
    </row>
    <row r="3" spans="1:9" x14ac:dyDescent="0.25">
      <c r="A3" s="313" t="s">
        <v>37</v>
      </c>
      <c r="B3" s="314">
        <f>477+arg2019played</f>
        <v>489</v>
      </c>
      <c r="C3" s="314">
        <f>238+arg2019won</f>
        <v>244</v>
      </c>
      <c r="D3" s="314">
        <f>226+arg2019lost</f>
        <v>232</v>
      </c>
      <c r="E3" s="314">
        <f>13+arg2019drawn</f>
        <v>13</v>
      </c>
      <c r="F3" s="315">
        <f t="shared" ref="F3:F24" si="0">SUM(C3+E3*0.5)/B3</f>
        <v>0.51226993865030679</v>
      </c>
      <c r="G3" s="314">
        <f>13245+arg2019ptsscored</f>
        <v>13572</v>
      </c>
      <c r="H3" s="314">
        <f>9990+arg2019ptsconc</f>
        <v>10267</v>
      </c>
      <c r="I3" s="313">
        <f>1646+arg2019triesscored</f>
        <v>1683</v>
      </c>
    </row>
    <row r="4" spans="1:9" x14ac:dyDescent="0.25">
      <c r="A4" s="313" t="s">
        <v>29</v>
      </c>
      <c r="B4" s="314">
        <f>675+australiaalltests2019playedcorrect</f>
        <v>684</v>
      </c>
      <c r="C4" s="314">
        <f>339+australiaalltests2019won</f>
        <v>341</v>
      </c>
      <c r="D4" s="314">
        <f>314+australiaalltests2019lost</f>
        <v>321</v>
      </c>
      <c r="E4" s="314">
        <f>22+australiaalltests2019drawn</f>
        <v>22</v>
      </c>
      <c r="F4" s="315">
        <f t="shared" si="0"/>
        <v>0.51461988304093564</v>
      </c>
      <c r="G4" s="314">
        <f>14305+australiaalltests2019ptsscored</f>
        <v>14482</v>
      </c>
      <c r="H4" s="314">
        <f>12242+australiaalltests2019ptsagainst</f>
        <v>12512</v>
      </c>
      <c r="I4" s="314">
        <f>1773+australiaalltests2019triesscored</f>
        <v>1796</v>
      </c>
    </row>
    <row r="5" spans="1:9" x14ac:dyDescent="0.25">
      <c r="A5" s="313" t="s">
        <v>40</v>
      </c>
      <c r="B5" s="314">
        <f>289+can2019alltestsplayed</f>
        <v>293</v>
      </c>
      <c r="C5" s="314">
        <f>112+can2019alltestswon</f>
        <v>113</v>
      </c>
      <c r="D5" s="314">
        <f>171+can2019alltestslost</f>
        <v>174</v>
      </c>
      <c r="E5" s="314">
        <f>6+can2019alltestsdrawn</f>
        <v>6</v>
      </c>
      <c r="F5" s="315">
        <f t="shared" si="0"/>
        <v>0.39590443686006827</v>
      </c>
      <c r="G5" s="314">
        <f>6085+can2019alltestsptsscored</f>
        <v>6160</v>
      </c>
      <c r="H5" s="314">
        <f>7625+can2019alltestsptsagainst</f>
        <v>7746</v>
      </c>
      <c r="I5" s="314">
        <f>650+can2019allteststriesscored</f>
        <v>660</v>
      </c>
    </row>
    <row r="6" spans="1:9" x14ac:dyDescent="0.25">
      <c r="A6" s="313" t="s">
        <v>192</v>
      </c>
      <c r="B6" s="314">
        <f>192+chlyrplayed</f>
        <v>198</v>
      </c>
      <c r="C6" s="314">
        <f>76+chlyrwon</f>
        <v>76</v>
      </c>
      <c r="D6" s="314">
        <f>113+chlyrlost</f>
        <v>119</v>
      </c>
      <c r="E6" s="314">
        <f>3+chlyrdrawn</f>
        <v>3</v>
      </c>
      <c r="F6" s="315">
        <f t="shared" si="0"/>
        <v>0.39141414141414144</v>
      </c>
      <c r="G6" s="314">
        <f>4050+chlyrptsscored</f>
        <v>4128</v>
      </c>
      <c r="H6" s="314">
        <f>5007+chlyrptsconc</f>
        <v>5276</v>
      </c>
      <c r="I6" s="769" t="s">
        <v>258</v>
      </c>
    </row>
    <row r="7" spans="1:9" x14ac:dyDescent="0.25">
      <c r="A7" s="313" t="s">
        <v>30</v>
      </c>
      <c r="B7" s="314">
        <f>773+Eng2019alltestsplayed</f>
        <v>789</v>
      </c>
      <c r="C7" s="314">
        <f>431+Eng2019alltestswon</f>
        <v>440</v>
      </c>
      <c r="D7" s="314">
        <f>290+Eng2019alltestslost</f>
        <v>297</v>
      </c>
      <c r="E7" s="314">
        <f>52+Eng2019alltestsdrawn</f>
        <v>52</v>
      </c>
      <c r="F7" s="315">
        <f t="shared" si="0"/>
        <v>0.59062103929024079</v>
      </c>
      <c r="G7" s="314">
        <f>13829+Eng2019alltestsptsscored</f>
        <v>14210</v>
      </c>
      <c r="H7" s="314">
        <f>10060+Eng2019alltestsptsagainst</f>
        <v>10393</v>
      </c>
      <c r="I7" s="313">
        <f>1782+Eng2019allteststriesscored</f>
        <v>1821</v>
      </c>
    </row>
    <row r="8" spans="1:9" x14ac:dyDescent="0.25">
      <c r="A8" s="313" t="s">
        <v>31</v>
      </c>
      <c r="B8" s="314">
        <f>356+Fij2019alltestsplayed</f>
        <v>366</v>
      </c>
      <c r="C8" s="314">
        <f>172+Fij2019alltestswon</f>
        <v>178</v>
      </c>
      <c r="D8" s="314">
        <f>173+Fij2019alltestslost</f>
        <v>177</v>
      </c>
      <c r="E8" s="314">
        <f>11+Fij2019alltestsdrawn</f>
        <v>11</v>
      </c>
      <c r="F8" s="315">
        <f t="shared" si="0"/>
        <v>0.50136612021857918</v>
      </c>
      <c r="G8" s="314">
        <f>7711+Fij2019alltestsptsscored</f>
        <v>7974</v>
      </c>
      <c r="H8" s="314">
        <f>7519+Fij2019alltestsptsagainst</f>
        <v>7739</v>
      </c>
      <c r="I8" s="313">
        <f>1084+Fij2019allteststriesscored</f>
        <v>1115</v>
      </c>
    </row>
    <row r="9" spans="1:9" x14ac:dyDescent="0.25">
      <c r="A9" s="313" t="s">
        <v>34</v>
      </c>
      <c r="B9" s="314">
        <f>796+Fra2019alltestsplayed</f>
        <v>810</v>
      </c>
      <c r="C9" s="314">
        <f>436+Fra2019alltestswon</f>
        <v>447</v>
      </c>
      <c r="D9" s="314">
        <f>327+Fra2019alltestslost</f>
        <v>330</v>
      </c>
      <c r="E9" s="314">
        <f>33+Fra2019alltestsdrawn</f>
        <v>33</v>
      </c>
      <c r="F9" s="315">
        <f t="shared" si="0"/>
        <v>0.57222222222222219</v>
      </c>
      <c r="G9" s="314">
        <f>14923+Fra2019alltestsptsscored</f>
        <v>15461</v>
      </c>
      <c r="H9" s="314">
        <f>12360+Fra2019alltestsptsagainst</f>
        <v>12622</v>
      </c>
      <c r="I9" s="313">
        <f>1868+Fra2019allteststriesscored</f>
        <v>1932</v>
      </c>
    </row>
    <row r="10" spans="1:9" x14ac:dyDescent="0.25">
      <c r="A10" s="313" t="s">
        <v>38</v>
      </c>
      <c r="B10" s="314">
        <f>256+Geo2019alltestsplayed</f>
        <v>268</v>
      </c>
      <c r="C10" s="314">
        <f>158+Geo2019alltestswon</f>
        <v>165</v>
      </c>
      <c r="D10" s="314">
        <f>89+Geo2019alltestslost</f>
        <v>93</v>
      </c>
      <c r="E10" s="314">
        <f>9+Geo2019alltestsdrawn</f>
        <v>10</v>
      </c>
      <c r="F10" s="315">
        <f t="shared" si="0"/>
        <v>0.63432835820895528</v>
      </c>
      <c r="G10" s="314">
        <f>6032+Geo2019alltestsptsscored</f>
        <v>6405</v>
      </c>
      <c r="H10" s="314">
        <f>4705+Geo2019alltestsptsagainst</f>
        <v>4905</v>
      </c>
      <c r="I10" s="313">
        <f>735+Geo2019allteststriesscored</f>
        <v>787</v>
      </c>
    </row>
    <row r="11" spans="1:9" x14ac:dyDescent="0.25">
      <c r="A11" s="313" t="s">
        <v>39</v>
      </c>
      <c r="B11" s="314">
        <f>734+Ire2019alltestsplayed</f>
        <v>747</v>
      </c>
      <c r="C11" s="314">
        <f>341+Ire2019alltestswon</f>
        <v>353</v>
      </c>
      <c r="D11" s="314">
        <f>361+Ire2019alltestslost</f>
        <v>362</v>
      </c>
      <c r="E11" s="314">
        <f>32+Ire2019alltestsdrawn</f>
        <v>32</v>
      </c>
      <c r="F11" s="315">
        <f t="shared" si="0"/>
        <v>0.49397590361445781</v>
      </c>
      <c r="G11" s="314">
        <f>11647+Ire2019alltestsptsscored</f>
        <v>12091</v>
      </c>
      <c r="H11" s="314">
        <f>10501+Ire2019alltestsptscon</f>
        <v>10687</v>
      </c>
      <c r="I11" s="313">
        <f>1443+Ire2019allteststriesscored</f>
        <v>1506</v>
      </c>
    </row>
    <row r="12" spans="1:9" x14ac:dyDescent="0.25">
      <c r="A12" s="313" t="s">
        <v>33</v>
      </c>
      <c r="B12" s="314">
        <f>533+ita2019alltestsplayed</f>
        <v>546</v>
      </c>
      <c r="C12" s="314">
        <f>193+ita2019alltestswon</f>
        <v>197</v>
      </c>
      <c r="D12" s="314">
        <f>326+ita2019alltestslost</f>
        <v>335</v>
      </c>
      <c r="E12" s="314">
        <f>14+ita2019alltestsdrawn</f>
        <v>14</v>
      </c>
      <c r="F12" s="315">
        <f t="shared" si="0"/>
        <v>0.37362637362637363</v>
      </c>
      <c r="G12" s="314">
        <f>9174+ita2019alltestsptsscored</f>
        <v>9506</v>
      </c>
      <c r="H12" s="314">
        <f>12684+ita2019alltestsptscon</f>
        <v>13100</v>
      </c>
      <c r="I12" s="314">
        <f>1022+ita2019allteststriesscored</f>
        <v>1063</v>
      </c>
    </row>
    <row r="13" spans="1:9" x14ac:dyDescent="0.25">
      <c r="A13" s="313" t="s">
        <v>36</v>
      </c>
      <c r="B13" s="314">
        <f>369+jpn2019alltestsplayed</f>
        <v>377</v>
      </c>
      <c r="C13" s="314">
        <f>160+jpn2019alltestswon</f>
        <v>163</v>
      </c>
      <c r="D13" s="314">
        <f>199+jpn2019alltestslost</f>
        <v>204</v>
      </c>
      <c r="E13" s="314">
        <f>10+jpn2019alltestsdrawn</f>
        <v>10</v>
      </c>
      <c r="F13" s="315">
        <f t="shared" si="0"/>
        <v>0.44562334217506633</v>
      </c>
      <c r="G13" s="314">
        <f>10337+jpn2019alltestsptsscored</f>
        <v>10522</v>
      </c>
      <c r="H13" s="314">
        <f>10299+jpn2019alltestsptsagainst</f>
        <v>10523</v>
      </c>
      <c r="I13" s="314">
        <f>1406+jpn2019allteststriesscored</f>
        <v>1427</v>
      </c>
    </row>
    <row r="14" spans="1:9" x14ac:dyDescent="0.25">
      <c r="A14" s="313" t="s">
        <v>121</v>
      </c>
      <c r="B14" s="314">
        <f>166+Nam2019alltestsplayed</f>
        <v>172</v>
      </c>
      <c r="C14" s="314">
        <f>96++Nam2019alltestswon</f>
        <v>97</v>
      </c>
      <c r="D14" s="314">
        <f>68+Nam2019alltestslost</f>
        <v>73</v>
      </c>
      <c r="E14" s="314">
        <f>2+Nam2019alltestsdrawn</f>
        <v>2</v>
      </c>
      <c r="F14" s="315">
        <f t="shared" si="0"/>
        <v>0.56976744186046513</v>
      </c>
      <c r="G14" s="314">
        <f>5218+Nam2019alltestsptsscored</f>
        <v>5301</v>
      </c>
      <c r="H14" s="314">
        <f>4289+Nam2019alltestsptscon</f>
        <v>4596</v>
      </c>
      <c r="I14" s="313">
        <f>703+Nam2019allteststriesscored</f>
        <v>713</v>
      </c>
    </row>
    <row r="15" spans="1:9" x14ac:dyDescent="0.25">
      <c r="A15" s="313" t="s">
        <v>126</v>
      </c>
      <c r="B15" s="314">
        <f>625+Nzl2019alltestsplayed</f>
        <v>637</v>
      </c>
      <c r="C15" s="314">
        <f>480+Nzl2019alltestswon</f>
        <v>489</v>
      </c>
      <c r="D15" s="314">
        <f>122+Nzl2019alltestslost</f>
        <v>125</v>
      </c>
      <c r="E15" s="314">
        <f>23+drawn</f>
        <v>23</v>
      </c>
      <c r="F15" s="315">
        <f t="shared" si="0"/>
        <v>0.7857142857142857</v>
      </c>
      <c r="G15" s="314">
        <f>17715+Nzl2019alltestsptsscored</f>
        <v>18195</v>
      </c>
      <c r="H15" s="314">
        <f>8521+Nzl2019alltestsptscon</f>
        <v>8704</v>
      </c>
      <c r="I15" s="313">
        <f>2328+Nzl2019allteststriesscored</f>
        <v>2397</v>
      </c>
    </row>
    <row r="16" spans="1:9" x14ac:dyDescent="0.25">
      <c r="A16" s="313" t="s">
        <v>124</v>
      </c>
      <c r="B16" s="314">
        <f>304+poralltestsplayed</f>
        <v>314</v>
      </c>
      <c r="C16" s="314">
        <f>128+poralltestswon</f>
        <v>134</v>
      </c>
      <c r="D16" s="314">
        <f>161+poralltestslost</f>
        <v>164</v>
      </c>
      <c r="E16" s="314">
        <f>15+poralltestsdrawn</f>
        <v>16</v>
      </c>
      <c r="F16" s="315">
        <f t="shared" si="0"/>
        <v>0.45222929936305734</v>
      </c>
      <c r="G16" s="314">
        <f>5793+poralltestsptsscored</f>
        <v>6098</v>
      </c>
      <c r="H16" s="314">
        <f>6704+poralltestsptsconc</f>
        <v>6915</v>
      </c>
      <c r="I16" s="313">
        <f>647+porallteststriesscored</f>
        <v>690</v>
      </c>
    </row>
    <row r="17" spans="1:15" x14ac:dyDescent="0.25">
      <c r="A17" s="313" t="s">
        <v>122</v>
      </c>
      <c r="B17" s="314">
        <f>476+romaniaalltestsplayed</f>
        <v>488</v>
      </c>
      <c r="C17" s="314">
        <f>271+romaniaalltestswon</f>
        <v>274</v>
      </c>
      <c r="D17" s="314">
        <f>193+romaniaalltestslost</f>
        <v>202</v>
      </c>
      <c r="E17" s="314">
        <f>12+romaniaalltestsdrawn</f>
        <v>12</v>
      </c>
      <c r="F17" s="315">
        <f t="shared" si="0"/>
        <v>0.57377049180327866</v>
      </c>
      <c r="G17" s="314">
        <f>10730+romaniaalltestsptsscored</f>
        <v>10973</v>
      </c>
      <c r="H17" s="314">
        <f>8672+romaniaalltestsptsagainst</f>
        <v>9229</v>
      </c>
      <c r="I17" s="313">
        <f>940+romaniaallteststriesscored</f>
        <v>974</v>
      </c>
    </row>
    <row r="18" spans="1:15" x14ac:dyDescent="0.25">
      <c r="A18" s="313" t="s">
        <v>119</v>
      </c>
      <c r="B18" s="314">
        <f>250+Sam2019alltestsplayed</f>
        <v>258</v>
      </c>
      <c r="C18" s="314">
        <f>110+Sam2019alltestswon</f>
        <v>113</v>
      </c>
      <c r="D18" s="314">
        <f>131+Sam2019alltestslost</f>
        <v>136</v>
      </c>
      <c r="E18" s="314">
        <f>9+Sam2019alltestsdrawn</f>
        <v>9</v>
      </c>
      <c r="F18" s="315">
        <f t="shared" si="0"/>
        <v>0.45542635658914726</v>
      </c>
      <c r="G18" s="314">
        <f>5104+Sam2019alltestsptsscored</f>
        <v>5286</v>
      </c>
      <c r="H18" s="314">
        <f>5581+Sam2019alltestsptscon</f>
        <v>5737</v>
      </c>
      <c r="I18" s="314">
        <f>546+Sam2019allteststriescored</f>
        <v>568</v>
      </c>
    </row>
    <row r="19" spans="1:15" x14ac:dyDescent="0.25">
      <c r="A19" s="313" t="s">
        <v>35</v>
      </c>
      <c r="B19" s="314">
        <f>730+Sco2019alltestsplayed</f>
        <v>743</v>
      </c>
      <c r="C19" s="314">
        <f>318+Sco2019alltestswon</f>
        <v>326</v>
      </c>
      <c r="D19" s="314">
        <f>379+Sco2019alltestslost</f>
        <v>384</v>
      </c>
      <c r="E19" s="314">
        <f>33+Sco2019alltestsdrawn</f>
        <v>33</v>
      </c>
      <c r="F19" s="315">
        <f t="shared" si="0"/>
        <v>0.46096904441453568</v>
      </c>
      <c r="G19" s="314">
        <f>10656+Sco2019alltestsptsscored</f>
        <v>11030</v>
      </c>
      <c r="H19" s="314">
        <f>11188+Sco2019alltestsptsagainst</f>
        <v>11427</v>
      </c>
      <c r="I19" s="313">
        <f>1361+Sco2019allteststriesscored</f>
        <v>1414</v>
      </c>
    </row>
    <row r="20" spans="1:15" x14ac:dyDescent="0.25">
      <c r="A20" s="313" t="s">
        <v>125</v>
      </c>
      <c r="B20" s="314">
        <f>529+Rsa2019alltestsplayed</f>
        <v>541</v>
      </c>
      <c r="C20" s="314">
        <f>331+Rsa2019alltestswon</f>
        <v>341</v>
      </c>
      <c r="D20" s="314">
        <f>174+Rsa2019alltestslost</f>
        <v>176</v>
      </c>
      <c r="E20" s="314">
        <f>24+Rsa2019alltestsdrawn</f>
        <v>24</v>
      </c>
      <c r="F20" s="315">
        <f t="shared" si="0"/>
        <v>0.65249537892791132</v>
      </c>
      <c r="G20" s="314">
        <f>12519+Rsa2019alltestsptsscored</f>
        <v>12923</v>
      </c>
      <c r="H20" s="314">
        <f>8634+Rsa2019alltestsptscon</f>
        <v>8826</v>
      </c>
      <c r="I20" s="313">
        <f>1496+Rsa2019allteststriesscored</f>
        <v>1550</v>
      </c>
    </row>
    <row r="21" spans="1:15" x14ac:dyDescent="0.25">
      <c r="A21" s="313" t="s">
        <v>118</v>
      </c>
      <c r="B21" s="314">
        <f>297+Ton2019alltestsplayed</f>
        <v>306</v>
      </c>
      <c r="C21" s="314">
        <f>113+Ton2019alltestswon</f>
        <v>116</v>
      </c>
      <c r="D21" s="314">
        <f>177+Ton2019alltestslost</f>
        <v>183</v>
      </c>
      <c r="E21" s="314">
        <f>7+Ton2019alltestsdrawn</f>
        <v>7</v>
      </c>
      <c r="F21" s="315">
        <v>0.57515657620041749</v>
      </c>
      <c r="G21" s="314">
        <f>5463+Ton2019alltestsptsscored</f>
        <v>5668</v>
      </c>
      <c r="H21" s="314">
        <f>7024+Ton2019alltestsptscon</f>
        <v>7307</v>
      </c>
      <c r="I21" s="313">
        <f>655+Ton2019allteststriesscored</f>
        <v>683</v>
      </c>
    </row>
    <row r="22" spans="1:15" x14ac:dyDescent="0.25">
      <c r="A22" s="313" t="s">
        <v>156</v>
      </c>
      <c r="B22" s="314">
        <f>272+USA2019alltestsplayed</f>
        <v>277</v>
      </c>
      <c r="C22" s="314">
        <f>100+USA2019alltestswon</f>
        <v>103</v>
      </c>
      <c r="D22" s="314">
        <f>167+USA2019alltestslost</f>
        <v>169</v>
      </c>
      <c r="E22" s="314">
        <f>5+USA2019alltestsdrawn</f>
        <v>5</v>
      </c>
      <c r="F22" s="315">
        <f t="shared" si="0"/>
        <v>0.38086642599277976</v>
      </c>
      <c r="G22" s="314">
        <f>5819+USA2019alltestsptsscored</f>
        <v>5967</v>
      </c>
      <c r="H22" s="314">
        <f>7391+USA2019alltestsptscon</f>
        <v>7491</v>
      </c>
      <c r="I22" s="314">
        <f>694+USA2019allteststriesscored</f>
        <v>715</v>
      </c>
    </row>
    <row r="23" spans="1:15" x14ac:dyDescent="0.25">
      <c r="A23" s="313" t="s">
        <v>105</v>
      </c>
      <c r="B23" s="314">
        <f>300+Uru2019alltestsplayedcorrect</f>
        <v>306</v>
      </c>
      <c r="C23" s="314">
        <f>141+Uru2019alltestswon</f>
        <v>144</v>
      </c>
      <c r="D23" s="314">
        <f>155+Uru2019alltestslost</f>
        <v>158</v>
      </c>
      <c r="E23" s="314">
        <f>4+Uru2019alltestsdrawn</f>
        <v>4</v>
      </c>
      <c r="F23" s="315">
        <f t="shared" si="0"/>
        <v>0.47712418300653597</v>
      </c>
      <c r="G23" s="314">
        <f>6750+Uru2019alltestsptsscored</f>
        <v>6867</v>
      </c>
      <c r="H23" s="314">
        <f>7646+Uru2019alltestsptscon</f>
        <v>7853</v>
      </c>
      <c r="I23" s="313">
        <f>818+Uru2019allteststriesscored</f>
        <v>835</v>
      </c>
    </row>
    <row r="24" spans="1:15" x14ac:dyDescent="0.25">
      <c r="A24" s="313" t="s">
        <v>32</v>
      </c>
      <c r="B24" s="314">
        <f>767+Wal2019alltestsplayed</f>
        <v>780</v>
      </c>
      <c r="C24" s="314">
        <f>398+Wal2019alltestswon</f>
        <v>404</v>
      </c>
      <c r="D24" s="314">
        <f>338+Wal2019alltestslostcorrect</f>
        <v>345</v>
      </c>
      <c r="E24" s="314">
        <f>30+Wal2019alltestsdrawn</f>
        <v>30</v>
      </c>
      <c r="F24" s="315">
        <f t="shared" si="0"/>
        <v>0.53717948717948716</v>
      </c>
      <c r="G24" s="314">
        <f>13469+Wal2019alltestsptsscored</f>
        <v>13766</v>
      </c>
      <c r="H24" s="314">
        <f>11891+Wal2019alltestsptscon</f>
        <v>12206</v>
      </c>
      <c r="I24" s="314">
        <f>1683+Wal2019allteststriesscored</f>
        <v>1718</v>
      </c>
    </row>
    <row r="25" spans="1:15" x14ac:dyDescent="0.25">
      <c r="A25" s="309" t="s">
        <v>962</v>
      </c>
      <c r="B25" s="310"/>
      <c r="C25" s="310"/>
      <c r="D25" s="310"/>
      <c r="E25" s="310"/>
      <c r="F25" s="310"/>
      <c r="G25" s="310"/>
      <c r="H25" s="310"/>
      <c r="I25" s="310"/>
    </row>
    <row r="27" spans="1:15" x14ac:dyDescent="0.25">
      <c r="A27" s="336" t="s">
        <v>172</v>
      </c>
      <c r="B27" s="804"/>
      <c r="C27" s="804"/>
      <c r="D27" s="804"/>
      <c r="E27" s="804"/>
      <c r="F27" s="804"/>
      <c r="G27" s="804"/>
      <c r="H27" s="804"/>
      <c r="I27" s="804"/>
      <c r="J27" s="804"/>
      <c r="K27" s="804"/>
      <c r="L27" s="811"/>
      <c r="M27" s="811"/>
      <c r="N27" s="811"/>
    </row>
    <row r="28" spans="1:15" x14ac:dyDescent="0.25">
      <c r="A28" s="805"/>
      <c r="B28" s="806" t="s">
        <v>130</v>
      </c>
      <c r="C28" s="806" t="s">
        <v>131</v>
      </c>
      <c r="D28" s="806" t="s">
        <v>132</v>
      </c>
      <c r="E28" s="806" t="s">
        <v>137</v>
      </c>
      <c r="F28" s="806" t="s">
        <v>133</v>
      </c>
      <c r="G28" s="806" t="s">
        <v>134</v>
      </c>
      <c r="H28" s="806" t="s">
        <v>135</v>
      </c>
      <c r="I28" s="806" t="s">
        <v>136</v>
      </c>
      <c r="J28" s="806" t="s">
        <v>811</v>
      </c>
      <c r="K28" s="806" t="s">
        <v>812</v>
      </c>
      <c r="L28" s="806" t="s">
        <v>813</v>
      </c>
      <c r="M28" s="806" t="s">
        <v>814</v>
      </c>
      <c r="N28" s="806" t="s">
        <v>815</v>
      </c>
    </row>
    <row r="29" spans="1:15" x14ac:dyDescent="0.25">
      <c r="A29" s="804" t="s">
        <v>37</v>
      </c>
      <c r="B29" s="807">
        <f>SUM(41+arg2023wcoverallplayed)</f>
        <v>48</v>
      </c>
      <c r="C29" s="807">
        <f>SUM(21+arg2023wcoverallwon)</f>
        <v>25</v>
      </c>
      <c r="D29" s="807">
        <f>20+arg2023wcoveralllost</f>
        <v>23</v>
      </c>
      <c r="E29" s="807">
        <f>0+arg2023wcoveralldrawn</f>
        <v>0</v>
      </c>
      <c r="F29" s="808">
        <f t="shared" ref="F29:F50" si="1">SUM(C29+E29*0.5)/B29</f>
        <v>0.52083333333333337</v>
      </c>
      <c r="G29" s="807">
        <f>1098+arg2023wcoverallptsscored</f>
        <v>1283</v>
      </c>
      <c r="H29" s="807">
        <f>839+arg2023wcoverallptsconc</f>
        <v>995</v>
      </c>
      <c r="I29" s="804">
        <f>115+arg2023wcoveralltriescored</f>
        <v>134</v>
      </c>
      <c r="J29" s="804">
        <f>84+arg2023wcoveralltriesconc</f>
        <v>100</v>
      </c>
      <c r="K29" s="804">
        <f>11+arg2023wcoveralldg</f>
        <v>11</v>
      </c>
      <c r="L29" s="804">
        <f>10+arg2023wcoverallyc</f>
        <v>12</v>
      </c>
      <c r="M29" s="804">
        <f>2+arg2023wcoverallrc</f>
        <v>2</v>
      </c>
      <c r="N29" s="804">
        <v>10</v>
      </c>
    </row>
    <row r="30" spans="1:15" x14ac:dyDescent="0.25">
      <c r="A30" s="804" t="s">
        <v>29</v>
      </c>
      <c r="B30" s="807">
        <f>53+aus2023wcoverallplayed</f>
        <v>57</v>
      </c>
      <c r="C30" s="807">
        <f>42+aus2023wcoverallwon</f>
        <v>44</v>
      </c>
      <c r="D30" s="807">
        <f>11+aus2023wcoveralllost</f>
        <v>13</v>
      </c>
      <c r="E30" s="807">
        <f>0+aus2023wcoveralldrawn</f>
        <v>0</v>
      </c>
      <c r="F30" s="808">
        <f t="shared" si="1"/>
        <v>0.77192982456140347</v>
      </c>
      <c r="G30" s="807">
        <f>1797+aus2023wcoverallptsscored</f>
        <v>1887</v>
      </c>
      <c r="H30" s="807">
        <f>754+aus2023wcoverallptsconc</f>
        <v>845</v>
      </c>
      <c r="I30" s="807">
        <f>230+aus2023wcoveralltriesscored</f>
        <v>241</v>
      </c>
      <c r="J30" s="807">
        <f>57+aus2023wcoveralltriesconc</f>
        <v>65</v>
      </c>
      <c r="K30" s="807">
        <f>8++aus2023wcoveralldg</f>
        <v>8</v>
      </c>
      <c r="L30" s="807">
        <f>10++aus2023wcoverallyc</f>
        <v>12</v>
      </c>
      <c r="M30" s="807">
        <f>1++aus2023wcoverallrc</f>
        <v>1</v>
      </c>
      <c r="N30" s="804">
        <v>10</v>
      </c>
    </row>
    <row r="31" spans="1:15" x14ac:dyDescent="0.25">
      <c r="A31" s="804" t="s">
        <v>40</v>
      </c>
      <c r="B31" s="807">
        <v>32</v>
      </c>
      <c r="C31" s="807">
        <v>7</v>
      </c>
      <c r="D31" s="807">
        <v>23</v>
      </c>
      <c r="E31" s="807">
        <v>2</v>
      </c>
      <c r="F31" s="808">
        <f t="shared" si="1"/>
        <v>0.25</v>
      </c>
      <c r="G31" s="807">
        <v>541</v>
      </c>
      <c r="H31" s="807">
        <v>1015</v>
      </c>
      <c r="I31" s="807">
        <v>58</v>
      </c>
      <c r="J31" s="807">
        <v>134</v>
      </c>
      <c r="K31" s="807">
        <v>8</v>
      </c>
      <c r="L31" s="807">
        <v>5</v>
      </c>
      <c r="M31" s="807">
        <v>4</v>
      </c>
      <c r="N31" s="804">
        <v>9</v>
      </c>
      <c r="O31" s="847"/>
    </row>
    <row r="32" spans="1:15" x14ac:dyDescent="0.25">
      <c r="A32" s="804" t="s">
        <v>192</v>
      </c>
      <c r="B32" s="807">
        <f>0+chl2023wcoverallplayed</f>
        <v>4</v>
      </c>
      <c r="C32" s="807">
        <f>0+chl2023wcoverallwon</f>
        <v>0</v>
      </c>
      <c r="D32" s="807">
        <f>0+chl2023wcoveralllost</f>
        <v>4</v>
      </c>
      <c r="E32" s="807">
        <f>0+chl2023wcoveralldrawn</f>
        <v>0</v>
      </c>
      <c r="F32" s="808">
        <v>0</v>
      </c>
      <c r="G32" s="807">
        <f>0+chl2023wcoverallptsscored</f>
        <v>27</v>
      </c>
      <c r="H32" s="807">
        <f>0+chl2023wcoverallptsconc</f>
        <v>215</v>
      </c>
      <c r="I32" s="807">
        <f>+chl2023wcoveralltriesscored</f>
        <v>4</v>
      </c>
      <c r="J32" s="807">
        <f>+chl2023wcoveralltriesconc</f>
        <v>30</v>
      </c>
      <c r="K32" s="807">
        <f>+chl2023wcoveralldg</f>
        <v>0</v>
      </c>
      <c r="L32" s="807">
        <f>+chl2023wcoverallyc</f>
        <v>5</v>
      </c>
      <c r="M32" s="807">
        <f>+chl2023wcoverallrc</f>
        <v>0</v>
      </c>
      <c r="N32" s="804">
        <v>1</v>
      </c>
    </row>
    <row r="33" spans="1:14" x14ac:dyDescent="0.25">
      <c r="A33" s="804" t="s">
        <v>30</v>
      </c>
      <c r="B33" s="807">
        <f>50+englandrwc2023overallplayed</f>
        <v>57</v>
      </c>
      <c r="C33" s="807">
        <f>36+englandrwc2023overallwon</f>
        <v>42</v>
      </c>
      <c r="D33" s="807">
        <f>14+englandrwc2023overalllost</f>
        <v>15</v>
      </c>
      <c r="E33" s="807">
        <f>0+englandrwc2023overalldrawn</f>
        <v>0</v>
      </c>
      <c r="F33" s="808">
        <f t="shared" si="1"/>
        <v>0.73684210526315785</v>
      </c>
      <c r="G33" s="807">
        <f>1569+englandrwc2023overallptsscored</f>
        <v>1790</v>
      </c>
      <c r="H33" s="807">
        <f>783+englandrwc2023overallptscon</f>
        <v>885</v>
      </c>
      <c r="I33" s="804">
        <f>169+englandrwc2023overalltriesscored</f>
        <v>190</v>
      </c>
      <c r="J33" s="804">
        <f>67+englandrwc2023overalltriesconc</f>
        <v>76</v>
      </c>
      <c r="K33" s="804">
        <f>21+englandrwc2023overalldg</f>
        <v>26</v>
      </c>
      <c r="L33" s="804">
        <f>5+englandrwc2023overallyc</f>
        <v>5</v>
      </c>
      <c r="M33" s="804">
        <f>0+englandrwc2023overallrc</f>
        <v>1</v>
      </c>
      <c r="N33" s="804">
        <v>10</v>
      </c>
    </row>
    <row r="34" spans="1:14" x14ac:dyDescent="0.25">
      <c r="A34" s="804" t="s">
        <v>31</v>
      </c>
      <c r="B34" s="807">
        <f>32+fijrwc2023overallplayed</f>
        <v>37</v>
      </c>
      <c r="C34" s="807">
        <f>11+fijrwc2023overallwon</f>
        <v>13</v>
      </c>
      <c r="D34" s="807">
        <f>21+fijrwc2023overalllost</f>
        <v>24</v>
      </c>
      <c r="E34" s="807">
        <f>0+fijrwc2023overalldrawn</f>
        <v>0</v>
      </c>
      <c r="F34" s="808">
        <f t="shared" si="1"/>
        <v>0.35135135135135137</v>
      </c>
      <c r="G34" s="807">
        <f>732+fijrwc2023overallptsscored</f>
        <v>844</v>
      </c>
      <c r="H34" s="807">
        <f>974+fijrwc2023overallptsconc</f>
        <v>1087</v>
      </c>
      <c r="I34" s="804">
        <f>86+fijrwc2023overalltriesscored</f>
        <v>98</v>
      </c>
      <c r="J34" s="804">
        <f>116+fijrwc2023overalltriesconc</f>
        <v>127</v>
      </c>
      <c r="K34" s="804">
        <f>6+fijrwc2023overalldg</f>
        <v>6</v>
      </c>
      <c r="L34" s="804">
        <f>12+fijrwc2023overallyc</f>
        <v>17</v>
      </c>
      <c r="M34" s="804">
        <f>1+fijrwc2023overallrc</f>
        <v>1</v>
      </c>
      <c r="N34" s="804">
        <v>9</v>
      </c>
    </row>
    <row r="35" spans="1:14" x14ac:dyDescent="0.25">
      <c r="A35" s="804" t="s">
        <v>34</v>
      </c>
      <c r="B35" s="807">
        <f>52+frarwc2023overallplayed</f>
        <v>57</v>
      </c>
      <c r="C35" s="807">
        <f>36+frarwc2023overallwon</f>
        <v>40</v>
      </c>
      <c r="D35" s="807">
        <f>15+frarwc2023overalllost</f>
        <v>16</v>
      </c>
      <c r="E35" s="807">
        <f>1+frarwc2023overalldrawn</f>
        <v>1</v>
      </c>
      <c r="F35" s="808">
        <f t="shared" si="1"/>
        <v>0.71052631578947367</v>
      </c>
      <c r="G35" s="807">
        <f>1588+frarwc2023overallptsscored</f>
        <v>1826</v>
      </c>
      <c r="H35" s="807">
        <f>966+frarwc2023overallptsconc</f>
        <v>1027</v>
      </c>
      <c r="I35" s="804">
        <f>183+frarwc2023overalltriesscored</f>
        <v>213</v>
      </c>
      <c r="J35" s="804">
        <f>91+frarwc2023overalltriesconc</f>
        <v>100</v>
      </c>
      <c r="K35" s="804">
        <f>11+frarwc2023overalldg</f>
        <v>11</v>
      </c>
      <c r="L35" s="804">
        <f>9+frarwc2023overallyc</f>
        <v>10</v>
      </c>
      <c r="M35" s="804">
        <f>1+frarwc2023overallrc</f>
        <v>1</v>
      </c>
      <c r="N35" s="804">
        <v>10</v>
      </c>
    </row>
    <row r="36" spans="1:14" x14ac:dyDescent="0.25">
      <c r="A36" s="804" t="s">
        <v>38</v>
      </c>
      <c r="B36" s="807">
        <f>20+georwc2023overallplayed</f>
        <v>24</v>
      </c>
      <c r="C36" s="807">
        <f>5+georwc2023overallwon</f>
        <v>5</v>
      </c>
      <c r="D36" s="807">
        <f>15+georwc2023overalllost</f>
        <v>18</v>
      </c>
      <c r="E36" s="807">
        <f>0+georwc2023overalldrawn</f>
        <v>1</v>
      </c>
      <c r="F36" s="808">
        <f t="shared" si="1"/>
        <v>0.22916666666666666</v>
      </c>
      <c r="G36" s="807">
        <f>262+georwc2023overallptsscored</f>
        <v>326</v>
      </c>
      <c r="H36" s="807">
        <f>646+georwc2023overallptsconc</f>
        <v>759</v>
      </c>
      <c r="I36" s="804">
        <f>23+georwc2023overalltriesscored</f>
        <v>30</v>
      </c>
      <c r="J36" s="804">
        <f>86+georwc2023overalltriesconc</f>
        <v>100</v>
      </c>
      <c r="K36" s="804">
        <f>1+georwc2023overalldg</f>
        <v>1</v>
      </c>
      <c r="L36" s="804">
        <f>8+georwc2023overallyc</f>
        <v>10</v>
      </c>
      <c r="M36" s="804">
        <f>0+georwc2023overallrc</f>
        <v>0</v>
      </c>
      <c r="N36" s="804">
        <v>6</v>
      </c>
    </row>
    <row r="37" spans="1:14" x14ac:dyDescent="0.25">
      <c r="A37" s="804" t="s">
        <v>39</v>
      </c>
      <c r="B37" s="807">
        <f>40+irerwc2023overallplayed</f>
        <v>45</v>
      </c>
      <c r="C37" s="807">
        <f>24+irerwc2023overallwon</f>
        <v>28</v>
      </c>
      <c r="D37" s="807">
        <f>16+irerwc2023overalllost</f>
        <v>17</v>
      </c>
      <c r="E37" s="807">
        <f>0+irerwc2023overalldrawn</f>
        <v>0</v>
      </c>
      <c r="F37" s="808">
        <f t="shared" si="1"/>
        <v>0.62222222222222223</v>
      </c>
      <c r="G37" s="807">
        <f>1108+irerwc2023overallptsscored</f>
        <v>1322</v>
      </c>
      <c r="H37" s="807">
        <f>735+irerwc2023overallptsconc</f>
        <v>809</v>
      </c>
      <c r="I37" s="804">
        <f>134+irerwc2023overalltriesscored</f>
        <v>164</v>
      </c>
      <c r="J37" s="804">
        <f>70+irerwc2023overalltriesconc</f>
        <v>78</v>
      </c>
      <c r="K37" s="804">
        <f>9+irerwc2023overalldg</f>
        <v>9</v>
      </c>
      <c r="L37" s="804">
        <f>7+irerwc2023overallyc</f>
        <v>8</v>
      </c>
      <c r="M37" s="804">
        <f>1+irerwc2023overallrc</f>
        <v>1</v>
      </c>
      <c r="N37" s="804">
        <v>10</v>
      </c>
    </row>
    <row r="38" spans="1:14" x14ac:dyDescent="0.25">
      <c r="A38" s="804" t="s">
        <v>33</v>
      </c>
      <c r="B38" s="807">
        <f>31+itarwc2023overallplayed</f>
        <v>35</v>
      </c>
      <c r="C38" s="807">
        <f>13+itarwc2023overallwon</f>
        <v>15</v>
      </c>
      <c r="D38" s="807">
        <f>18+itarwc2023overalllost</f>
        <v>20</v>
      </c>
      <c r="E38" s="807">
        <f>0+itarwc2023overalldrawn</f>
        <v>0</v>
      </c>
      <c r="F38" s="808">
        <f t="shared" si="1"/>
        <v>0.42857142857142855</v>
      </c>
      <c r="G38" s="807">
        <f>627+itarwc2023overallptsscored</f>
        <v>741</v>
      </c>
      <c r="H38" s="807">
        <f>977+itarwc2023overallptsconc</f>
        <v>1158</v>
      </c>
      <c r="I38" s="807">
        <f>68+itarwc2023overalltriesscored</f>
        <v>83</v>
      </c>
      <c r="J38" s="807">
        <f>122+itarwc2023overalltriesconc</f>
        <v>147</v>
      </c>
      <c r="K38" s="807">
        <f>3+itarwc2023overalldg</f>
        <v>3</v>
      </c>
      <c r="L38" s="807">
        <f>9+itarwc2023overallyc</f>
        <v>11</v>
      </c>
      <c r="M38" s="807">
        <f>1+itarwc2023overallrc</f>
        <v>1</v>
      </c>
      <c r="N38" s="804">
        <v>10</v>
      </c>
    </row>
    <row r="39" spans="1:14" x14ac:dyDescent="0.25">
      <c r="A39" s="804" t="s">
        <v>153</v>
      </c>
      <c r="B39" s="807">
        <v>3</v>
      </c>
      <c r="C39" s="807">
        <v>0</v>
      </c>
      <c r="D39" s="807">
        <v>3</v>
      </c>
      <c r="E39" s="807">
        <v>0</v>
      </c>
      <c r="F39" s="808">
        <f t="shared" si="1"/>
        <v>0</v>
      </c>
      <c r="G39" s="807">
        <v>29</v>
      </c>
      <c r="H39" s="807">
        <v>172</v>
      </c>
      <c r="I39" s="807">
        <v>3</v>
      </c>
      <c r="J39" s="807">
        <v>25</v>
      </c>
      <c r="K39" s="807">
        <v>0</v>
      </c>
      <c r="L39" s="807">
        <v>0</v>
      </c>
      <c r="M39" s="807">
        <v>0</v>
      </c>
      <c r="N39" s="804">
        <v>1</v>
      </c>
    </row>
    <row r="40" spans="1:14" x14ac:dyDescent="0.25">
      <c r="A40" s="804" t="s">
        <v>36</v>
      </c>
      <c r="B40" s="807">
        <f>33+jpnrwc2023overallplayed</f>
        <v>37</v>
      </c>
      <c r="C40" s="807">
        <f>8+jpnrwc2023overallwon</f>
        <v>10</v>
      </c>
      <c r="D40" s="807">
        <f>23+jpnrwc2023overalllost</f>
        <v>25</v>
      </c>
      <c r="E40" s="807">
        <f>2+jpnrwc2023overalldrawn</f>
        <v>2</v>
      </c>
      <c r="F40" s="808">
        <f t="shared" si="1"/>
        <v>0.29729729729729731</v>
      </c>
      <c r="G40" s="807">
        <f>644+jpnrwc2023overallptsscored</f>
        <v>753</v>
      </c>
      <c r="H40" s="807">
        <f>1347+jpnrwc2023overallptsconc</f>
        <v>1454</v>
      </c>
      <c r="I40" s="807">
        <f>73+jpnrwc2023overalltriesscored</f>
        <v>85</v>
      </c>
      <c r="J40" s="807">
        <f>183+jpnrwc2023overalltriesconc</f>
        <v>197</v>
      </c>
      <c r="K40" s="807">
        <f>3+jpnrwc2023overalldg</f>
        <v>4</v>
      </c>
      <c r="L40" s="807">
        <f>2+jpnrwc2023overallyc</f>
        <v>5</v>
      </c>
      <c r="M40" s="807">
        <f>0+jpnrwc2023overallrc</f>
        <v>0</v>
      </c>
      <c r="N40" s="804">
        <v>10</v>
      </c>
    </row>
    <row r="41" spans="1:14" x14ac:dyDescent="0.25">
      <c r="A41" s="804" t="s">
        <v>121</v>
      </c>
      <c r="B41" s="807">
        <f>22+namrwc2023overallplayed</f>
        <v>26</v>
      </c>
      <c r="C41" s="807">
        <f>0+namrwc2023overallwon</f>
        <v>0</v>
      </c>
      <c r="D41" s="807">
        <f>22+namrwc2023overalllost</f>
        <v>26</v>
      </c>
      <c r="E41" s="807">
        <f>0+namrwc2023overalldrawn</f>
        <v>0</v>
      </c>
      <c r="F41" s="808">
        <f t="shared" si="1"/>
        <v>0</v>
      </c>
      <c r="G41" s="807">
        <f>248+namrwc2023overallptsscored</f>
        <v>285</v>
      </c>
      <c r="H41" s="807">
        <f>1323+namrwc2023overallptsconc</f>
        <v>1578</v>
      </c>
      <c r="I41" s="804">
        <f>27+namrwc2023overalltrioesscored</f>
        <v>30</v>
      </c>
      <c r="J41" s="804">
        <f>189+namrwc2023overalltriesconc</f>
        <v>226</v>
      </c>
      <c r="K41" s="804">
        <f>4+namrwc2023overalldg</f>
        <v>4</v>
      </c>
      <c r="L41" s="804">
        <f>11+namrwc2023overallyc</f>
        <v>15</v>
      </c>
      <c r="M41" s="804">
        <f>1+namrwc2023overallrc</f>
        <v>3</v>
      </c>
      <c r="N41" s="804">
        <v>7</v>
      </c>
    </row>
    <row r="42" spans="1:14" x14ac:dyDescent="0.25">
      <c r="A42" s="804" t="s">
        <v>126</v>
      </c>
      <c r="B42" s="807">
        <f>56+nzlrwc2023overallplayed</f>
        <v>63</v>
      </c>
      <c r="C42" s="807">
        <f>49+nzlrwc2023overallwon</f>
        <v>54</v>
      </c>
      <c r="D42" s="807">
        <f>7+nzlrwc2023overalllost</f>
        <v>9</v>
      </c>
      <c r="E42" s="807">
        <f>0+nzlrwc2023overalldrawn</f>
        <v>0</v>
      </c>
      <c r="F42" s="808">
        <f t="shared" si="1"/>
        <v>0.8571428571428571</v>
      </c>
      <c r="G42" s="807">
        <f>2552+nzlrwc2023overallptsscored</f>
        <v>2888</v>
      </c>
      <c r="H42" s="807">
        <f>753+nzlrwc2023overallptsconc</f>
        <v>842</v>
      </c>
      <c r="I42" s="804">
        <f>347+nzlrwc2023overalltriesscored</f>
        <v>396</v>
      </c>
      <c r="J42" s="804">
        <f>65+nzlrwc2023overalltriesconc</f>
        <v>72</v>
      </c>
      <c r="K42" s="804">
        <f>10+nzlrwc2023overalldg</f>
        <v>10</v>
      </c>
      <c r="L42" s="804">
        <f>12+nzlrwc2023overallyc</f>
        <v>17</v>
      </c>
      <c r="M42" s="804">
        <f>0+nzlrwc2023overallrc</f>
        <v>2</v>
      </c>
      <c r="N42" s="804">
        <v>10</v>
      </c>
    </row>
    <row r="43" spans="1:14" x14ac:dyDescent="0.25">
      <c r="A43" s="804" t="s">
        <v>124</v>
      </c>
      <c r="B43" s="807">
        <f>4+prtrwc2023overallplayed</f>
        <v>8</v>
      </c>
      <c r="C43" s="807">
        <f>0+prtrwc2023overallwon</f>
        <v>1</v>
      </c>
      <c r="D43" s="807">
        <f>4+prtrwc2023overalllost</f>
        <v>6</v>
      </c>
      <c r="E43" s="807">
        <f>0+prtrwc2023overalldrawn</f>
        <v>1</v>
      </c>
      <c r="F43" s="808">
        <f t="shared" si="1"/>
        <v>0.1875</v>
      </c>
      <c r="G43" s="807">
        <f>38+prtrwc2023overallptsscored</f>
        <v>102</v>
      </c>
      <c r="H43" s="807">
        <f>209+prtrwc2023overallptsconc</f>
        <v>312</v>
      </c>
      <c r="I43" s="804">
        <f>4+prtrwc2023overalltriesscored</f>
        <v>12</v>
      </c>
      <c r="J43" s="804">
        <f>29+prtrwc2023overalltriesconc</f>
        <v>42</v>
      </c>
      <c r="K43" s="804">
        <f>1+prtrwc2023overalldg</f>
        <v>1</v>
      </c>
      <c r="L43" s="804">
        <f>1+prtrwc2023overallyc</f>
        <v>3</v>
      </c>
      <c r="M43" s="804">
        <f>0+prtrwc2023overallrc</f>
        <v>1</v>
      </c>
      <c r="N43" s="804">
        <v>2</v>
      </c>
    </row>
    <row r="44" spans="1:14" x14ac:dyDescent="0.25">
      <c r="A44" s="804" t="s">
        <v>122</v>
      </c>
      <c r="B44" s="807">
        <f>28+romrwc2023overallplayed</f>
        <v>32</v>
      </c>
      <c r="C44" s="807">
        <f>6+romrwc2023overallwon</f>
        <v>6</v>
      </c>
      <c r="D44" s="807">
        <f>22+romrwc2023overalllost</f>
        <v>26</v>
      </c>
      <c r="E44" s="807">
        <f>0+romrwc2023overalldrawn</f>
        <v>0</v>
      </c>
      <c r="F44" s="808">
        <f t="shared" si="1"/>
        <v>0.1875</v>
      </c>
      <c r="G44" s="807">
        <f>365+romrwc2023overallptsscored</f>
        <v>397</v>
      </c>
      <c r="H44" s="807">
        <f>1068+romrwc2023overallptsconc</f>
        <v>1355</v>
      </c>
      <c r="I44" s="804">
        <f>40+romrwc2023overalltriesscored</f>
        <v>44</v>
      </c>
      <c r="J44" s="804">
        <f>141+romrwc2023overalltriesconc</f>
        <v>184</v>
      </c>
      <c r="K44" s="804">
        <f>1+romrwc2023overalldg</f>
        <v>1</v>
      </c>
      <c r="L44" s="804">
        <f>7+romrwc2023overallyc</f>
        <v>12</v>
      </c>
      <c r="M44" s="804">
        <f>0+romrwc2023overallrc</f>
        <v>0</v>
      </c>
      <c r="N44" s="804">
        <v>9</v>
      </c>
    </row>
    <row r="45" spans="1:14" x14ac:dyDescent="0.25">
      <c r="A45" s="804" t="s">
        <v>104</v>
      </c>
      <c r="B45" s="807">
        <v>8</v>
      </c>
      <c r="C45" s="807">
        <v>0</v>
      </c>
      <c r="D45" s="807">
        <v>8</v>
      </c>
      <c r="E45" s="807">
        <v>0</v>
      </c>
      <c r="F45" s="808">
        <f t="shared" si="1"/>
        <v>0</v>
      </c>
      <c r="G45" s="807">
        <v>76</v>
      </c>
      <c r="H45" s="807">
        <v>356</v>
      </c>
      <c r="I45" s="807">
        <v>9</v>
      </c>
      <c r="J45" s="807">
        <v>53</v>
      </c>
      <c r="K45" s="807">
        <v>1</v>
      </c>
      <c r="L45" s="807">
        <v>4</v>
      </c>
      <c r="M45" s="807">
        <v>0</v>
      </c>
      <c r="N45" s="804">
        <v>2</v>
      </c>
    </row>
    <row r="46" spans="1:14" x14ac:dyDescent="0.25">
      <c r="A46" s="804" t="s">
        <v>119</v>
      </c>
      <c r="B46" s="807">
        <f>32+samrwc2023overallplayed</f>
        <v>36</v>
      </c>
      <c r="C46" s="807">
        <f>13+samrwc2023overallwon</f>
        <v>14</v>
      </c>
      <c r="D46" s="807">
        <f>19+samrwc2023overalllost</f>
        <v>22</v>
      </c>
      <c r="E46" s="807">
        <f>0+samrwc2023overalldrawn</f>
        <v>0</v>
      </c>
      <c r="F46" s="808">
        <f t="shared" si="1"/>
        <v>0.3888888888888889</v>
      </c>
      <c r="G46" s="807">
        <f>712+samrwc2023overallptsscored</f>
        <v>804</v>
      </c>
      <c r="H46" s="807">
        <f>860+samrwc2023overallptsconc</f>
        <v>935</v>
      </c>
      <c r="I46" s="807">
        <f>83+samrwc2023overalltriesscored</f>
        <v>94</v>
      </c>
      <c r="J46" s="807">
        <f>89+samrwc2023overalltriesconc</f>
        <v>96</v>
      </c>
      <c r="K46" s="807">
        <f>2+samrwc2023overalldg</f>
        <v>2</v>
      </c>
      <c r="L46" s="807">
        <f>12+samrwc2023overallyc</f>
        <v>17</v>
      </c>
      <c r="M46" s="807">
        <f>3+samrwc2023overallrc</f>
        <v>4</v>
      </c>
      <c r="N46" s="804">
        <v>9</v>
      </c>
    </row>
    <row r="47" spans="1:14" x14ac:dyDescent="0.25">
      <c r="A47" s="804" t="s">
        <v>35</v>
      </c>
      <c r="B47" s="807">
        <f>42+scorwc2023overallplayed</f>
        <v>46</v>
      </c>
      <c r="C47" s="807">
        <f>24+scorwc2023overallwon</f>
        <v>26</v>
      </c>
      <c r="D47" s="807">
        <f>17+scorwc2023overalllost</f>
        <v>19</v>
      </c>
      <c r="E47" s="807">
        <f>1+scorwc2023overalldrawn</f>
        <v>1</v>
      </c>
      <c r="F47" s="808">
        <f t="shared" si="1"/>
        <v>0.57608695652173914</v>
      </c>
      <c r="G47" s="807">
        <f>1261+scorwc2023overallptsscored</f>
        <v>1407</v>
      </c>
      <c r="H47" s="807">
        <f>803+scorwc2023overallptsconc</f>
        <v>874</v>
      </c>
      <c r="I47" s="804">
        <f>146+scorwc2023overalltriesscored</f>
        <v>167</v>
      </c>
      <c r="J47" s="804">
        <f>79+scorwc2023overalltriesconc</f>
        <v>89</v>
      </c>
      <c r="K47" s="804">
        <f>11+scorwc2023overalldg</f>
        <v>11</v>
      </c>
      <c r="L47" s="804">
        <f>5+scorwc2023overallyc</f>
        <v>6</v>
      </c>
      <c r="M47" s="804">
        <f>0+scorwc2023overallrc</f>
        <v>0</v>
      </c>
      <c r="N47" s="804">
        <v>10</v>
      </c>
    </row>
    <row r="48" spans="1:14" x14ac:dyDescent="0.25">
      <c r="A48" s="804" t="s">
        <v>125</v>
      </c>
      <c r="B48" s="807">
        <f>43+RSArwc2023overallplayedcorrect</f>
        <v>49</v>
      </c>
      <c r="C48" s="807">
        <f>36+RSArwc2023overallwon</f>
        <v>41</v>
      </c>
      <c r="D48" s="807">
        <f>7+RSArwc2023overalllost</f>
        <v>8</v>
      </c>
      <c r="E48" s="807">
        <f>0+RSArwc2023overalldrawn</f>
        <v>0</v>
      </c>
      <c r="F48" s="808">
        <f t="shared" si="1"/>
        <v>0.83673469387755106</v>
      </c>
      <c r="G48" s="807">
        <f>1512+RSArwc2023overallptsscored</f>
        <v>1720</v>
      </c>
      <c r="H48" s="807">
        <f>553+RSArwc2023overallptsconc</f>
        <v>641</v>
      </c>
      <c r="I48" s="804">
        <f>174+RSArwc2023overalltriesscored</f>
        <v>201</v>
      </c>
      <c r="J48" s="804">
        <f>37+RSArwc2023overalltriesconc</f>
        <v>45</v>
      </c>
      <c r="K48" s="804">
        <f>16+RSArwc2023overalldg</f>
        <v>16</v>
      </c>
      <c r="L48" s="804">
        <f>9+RSArwc2023overallyc</f>
        <v>12</v>
      </c>
      <c r="M48" s="804">
        <f>2+RSArwc2023overallrc</f>
        <v>2</v>
      </c>
      <c r="N48" s="804">
        <v>8</v>
      </c>
    </row>
    <row r="49" spans="1:16" x14ac:dyDescent="0.25">
      <c r="A49" s="804" t="s">
        <v>123</v>
      </c>
      <c r="B49" s="807">
        <v>3</v>
      </c>
      <c r="C49" s="807">
        <v>0</v>
      </c>
      <c r="D49" s="807">
        <v>3</v>
      </c>
      <c r="E49" s="807">
        <v>0</v>
      </c>
      <c r="F49" s="808">
        <f t="shared" si="1"/>
        <v>0</v>
      </c>
      <c r="G49" s="807">
        <v>18</v>
      </c>
      <c r="H49" s="807">
        <v>122</v>
      </c>
      <c r="I49" s="804">
        <v>0</v>
      </c>
      <c r="J49" s="804">
        <v>18</v>
      </c>
      <c r="K49" s="804">
        <v>0</v>
      </c>
      <c r="L49" s="804">
        <v>0</v>
      </c>
      <c r="M49" s="804">
        <v>0</v>
      </c>
      <c r="N49" s="804">
        <v>1</v>
      </c>
    </row>
    <row r="50" spans="1:16" x14ac:dyDescent="0.25">
      <c r="A50" s="804" t="s">
        <v>118</v>
      </c>
      <c r="B50" s="807">
        <f>29+tgarwc2023overallplayed</f>
        <v>33</v>
      </c>
      <c r="C50" s="807">
        <f>8+tgarwc2023overallwon</f>
        <v>9</v>
      </c>
      <c r="D50" s="807">
        <f>21+tgarwc2023overalllost</f>
        <v>24</v>
      </c>
      <c r="E50" s="807">
        <f>0+tgarwc2023overalldrawn</f>
        <v>0</v>
      </c>
      <c r="F50" s="808">
        <f t="shared" si="1"/>
        <v>0.27272727272727271</v>
      </c>
      <c r="G50" s="807">
        <f>472+tgarwc2023overallptsscored</f>
        <v>568</v>
      </c>
      <c r="H50" s="807">
        <f>966+tgarwc2023overallptsconc</f>
        <v>1143</v>
      </c>
      <c r="I50" s="804">
        <f>53+tgarwc2023overalltriesscored</f>
        <v>66</v>
      </c>
      <c r="J50" s="804">
        <f>116+tgarwc2023overalltriesconc</f>
        <v>141</v>
      </c>
      <c r="K50" s="804">
        <f>1+tgarwc2023overalldg</f>
        <v>1</v>
      </c>
      <c r="L50" s="804">
        <f>11+tgarwc2023overallyc</f>
        <v>13</v>
      </c>
      <c r="M50" s="804">
        <f>3+tgarwc2023overallrc</f>
        <v>4</v>
      </c>
      <c r="N50" s="804">
        <v>9</v>
      </c>
    </row>
    <row r="51" spans="1:16" x14ac:dyDescent="0.25">
      <c r="A51" s="804" t="s">
        <v>156</v>
      </c>
      <c r="B51" s="807">
        <v>29</v>
      </c>
      <c r="C51" s="807">
        <v>3</v>
      </c>
      <c r="D51" s="807">
        <v>26</v>
      </c>
      <c r="E51" s="807">
        <v>0</v>
      </c>
      <c r="F51" s="808">
        <f t="shared" ref="F51:F53" si="2">SUM(C51+E51*0.5)/B51</f>
        <v>0.10344827586206896</v>
      </c>
      <c r="G51" s="807">
        <v>402</v>
      </c>
      <c r="H51" s="807">
        <v>1048</v>
      </c>
      <c r="I51" s="807">
        <v>44</v>
      </c>
      <c r="J51" s="807">
        <v>142</v>
      </c>
      <c r="K51" s="807">
        <v>1</v>
      </c>
      <c r="L51" s="807">
        <v>7</v>
      </c>
      <c r="M51" s="807">
        <v>1</v>
      </c>
      <c r="N51" s="804">
        <v>8</v>
      </c>
      <c r="O51" s="846"/>
    </row>
    <row r="52" spans="1:16" x14ac:dyDescent="0.25">
      <c r="A52" s="804" t="s">
        <v>105</v>
      </c>
      <c r="B52" s="807">
        <f>15+ururwc2023overallplayed</f>
        <v>19</v>
      </c>
      <c r="C52" s="807">
        <f>3+ururwc2023overallwon</f>
        <v>4</v>
      </c>
      <c r="D52" s="807">
        <f>12+ururwc2023overalllost</f>
        <v>15</v>
      </c>
      <c r="E52" s="807">
        <f>0+ururwc2023overalldrawn</f>
        <v>0</v>
      </c>
      <c r="F52" s="808">
        <f t="shared" si="2"/>
        <v>0.21052631578947367</v>
      </c>
      <c r="G52" s="807">
        <f>188+ururwc2023overallptsscored</f>
        <v>253</v>
      </c>
      <c r="H52" s="807">
        <f>718+ururwc2023overallptssonc</f>
        <v>882</v>
      </c>
      <c r="I52" s="804">
        <f>18+ururwc2023overalltriesscored</f>
        <v>27</v>
      </c>
      <c r="J52" s="804">
        <f>108+ururwc2023overalltriessconc</f>
        <v>129</v>
      </c>
      <c r="K52" s="804">
        <f>0+ururwc2023overalldg</f>
        <v>1</v>
      </c>
      <c r="L52" s="804">
        <f>3+ururwc2023overallyc</f>
        <v>5</v>
      </c>
      <c r="M52" s="804">
        <f>2+ururwc2023overallrc</f>
        <v>2</v>
      </c>
      <c r="N52" s="804">
        <v>5</v>
      </c>
    </row>
    <row r="53" spans="1:16" x14ac:dyDescent="0.25">
      <c r="A53" s="804" t="s">
        <v>32</v>
      </c>
      <c r="B53" s="807">
        <f>44+walrwc2023overallplayed</f>
        <v>49</v>
      </c>
      <c r="C53" s="807">
        <f>26+walrwc2023overallwon</f>
        <v>30</v>
      </c>
      <c r="D53" s="807">
        <f>18+walrwc2023overalllost</f>
        <v>19</v>
      </c>
      <c r="E53" s="807">
        <f>0+walrwc2023overalldrawn</f>
        <v>0</v>
      </c>
      <c r="F53" s="808">
        <f t="shared" si="2"/>
        <v>0.61224489795918369</v>
      </c>
      <c r="G53" s="807">
        <f>1238+walrwc2023overallptsscored</f>
        <v>1398</v>
      </c>
      <c r="H53" s="807">
        <f>865+walrwc2023overallptsconc</f>
        <v>953</v>
      </c>
      <c r="I53" s="807">
        <f>149+walrwc2023overalltriesscored</f>
        <v>168</v>
      </c>
      <c r="J53" s="807">
        <f>94+walrwc2023overalltriesconc</f>
        <v>104</v>
      </c>
      <c r="K53" s="807">
        <f>9+walrwc2023overalldg</f>
        <v>10</v>
      </c>
      <c r="L53" s="807">
        <f>6+walrwc2023overallyc</f>
        <v>9</v>
      </c>
      <c r="M53" s="807">
        <f>2+walrwc2023overallrc</f>
        <v>2</v>
      </c>
      <c r="N53" s="804">
        <v>10</v>
      </c>
    </row>
    <row r="54" spans="1:16" x14ac:dyDescent="0.25">
      <c r="A54" s="804" t="s">
        <v>154</v>
      </c>
      <c r="B54" s="807">
        <v>6</v>
      </c>
      <c r="C54" s="807">
        <v>0</v>
      </c>
      <c r="D54" s="807">
        <v>6</v>
      </c>
      <c r="E54" s="807">
        <v>0</v>
      </c>
      <c r="F54" s="808">
        <f t="shared" ref="F54" si="3">SUM(C54+E54*0.5)/B54</f>
        <v>0</v>
      </c>
      <c r="G54" s="807">
        <v>84</v>
      </c>
      <c r="H54" s="807">
        <v>309</v>
      </c>
      <c r="I54" s="807">
        <v>11</v>
      </c>
      <c r="J54" s="807">
        <v>52</v>
      </c>
      <c r="K54" s="807">
        <v>0</v>
      </c>
      <c r="L54" s="807">
        <v>0</v>
      </c>
      <c r="M54" s="807">
        <v>0</v>
      </c>
      <c r="N54" s="804">
        <v>2</v>
      </c>
    </row>
    <row r="55" spans="1:16" x14ac:dyDescent="0.25">
      <c r="A55" s="336" t="s">
        <v>57</v>
      </c>
      <c r="B55" s="809">
        <f>SUM(B29:B54)/2</f>
        <v>421.5</v>
      </c>
      <c r="C55" s="809">
        <f>SUM(C29:C54)/2</f>
        <v>208.5</v>
      </c>
      <c r="D55" s="809">
        <f>SUM(D29:D54)/2</f>
        <v>209</v>
      </c>
      <c r="E55" s="809">
        <f>SUM(E29:E54)/2</f>
        <v>4</v>
      </c>
      <c r="F55" s="810" t="s">
        <v>106</v>
      </c>
      <c r="G55" s="336">
        <f>SUM(G29:G54)</f>
        <v>21771</v>
      </c>
      <c r="H55" s="336">
        <f>SUM(H29:H54)</f>
        <v>21771</v>
      </c>
      <c r="I55" s="336">
        <f>SUM(I29:I54)</f>
        <v>2572</v>
      </c>
      <c r="J55" s="336">
        <f t="shared" ref="J55:M55" si="4">SUM(J29:J54)</f>
        <v>2572</v>
      </c>
      <c r="K55" s="336">
        <f t="shared" si="4"/>
        <v>146</v>
      </c>
      <c r="L55" s="336">
        <f t="shared" si="4"/>
        <v>220</v>
      </c>
      <c r="M55" s="336">
        <f t="shared" si="4"/>
        <v>33</v>
      </c>
      <c r="N55" s="809">
        <f>SUM(N29:N54)/18.5</f>
        <v>10.162162162162161</v>
      </c>
    </row>
    <row r="56" spans="1:16" x14ac:dyDescent="0.25">
      <c r="A56" s="336" t="s">
        <v>962</v>
      </c>
      <c r="B56" s="824"/>
      <c r="C56" s="804"/>
      <c r="D56" s="804"/>
      <c r="E56" s="804"/>
      <c r="F56" s="804"/>
      <c r="G56" s="804"/>
      <c r="H56" s="804"/>
      <c r="I56" s="804"/>
      <c r="J56" s="804"/>
      <c r="K56" s="804"/>
      <c r="L56" s="804"/>
      <c r="M56" s="804"/>
      <c r="N56" s="804"/>
    </row>
    <row r="58" spans="1:16" x14ac:dyDescent="0.25">
      <c r="A58" s="356" t="s">
        <v>259</v>
      </c>
      <c r="B58" s="357"/>
      <c r="C58" s="357"/>
      <c r="D58" s="357"/>
      <c r="E58" s="357"/>
      <c r="F58" s="357"/>
      <c r="G58" s="357"/>
      <c r="H58" s="357"/>
      <c r="I58" s="357"/>
      <c r="J58" s="575"/>
      <c r="K58" s="579" t="s">
        <v>260</v>
      </c>
      <c r="L58" s="579" t="s">
        <v>261</v>
      </c>
      <c r="M58" s="575"/>
      <c r="N58" s="575"/>
      <c r="O58" s="575"/>
      <c r="P58" s="575"/>
    </row>
    <row r="59" spans="1:16" x14ac:dyDescent="0.25">
      <c r="A59" s="358"/>
      <c r="B59" s="359" t="s">
        <v>130</v>
      </c>
      <c r="C59" s="359" t="s">
        <v>131</v>
      </c>
      <c r="D59" s="359" t="s">
        <v>132</v>
      </c>
      <c r="E59" s="359" t="s">
        <v>137</v>
      </c>
      <c r="F59" s="359" t="s">
        <v>133</v>
      </c>
      <c r="G59" s="359" t="s">
        <v>134</v>
      </c>
      <c r="H59" s="359" t="s">
        <v>135</v>
      </c>
      <c r="I59" s="359" t="s">
        <v>136</v>
      </c>
      <c r="J59" s="359"/>
      <c r="K59" s="359" t="s">
        <v>254</v>
      </c>
      <c r="L59" s="359" t="s">
        <v>254</v>
      </c>
      <c r="M59" s="359" t="s">
        <v>255</v>
      </c>
      <c r="N59" s="359" t="s">
        <v>256</v>
      </c>
      <c r="O59" s="359" t="s">
        <v>257</v>
      </c>
      <c r="P59" s="359" t="s">
        <v>155</v>
      </c>
    </row>
    <row r="60" spans="1:16" x14ac:dyDescent="0.25">
      <c r="A60" s="357" t="s">
        <v>30</v>
      </c>
      <c r="B60" s="360">
        <f>493+Englandplayed</f>
        <v>498</v>
      </c>
      <c r="C60" s="360">
        <f>269+Englandwon</f>
        <v>271</v>
      </c>
      <c r="D60" s="360">
        <f>184+Englandlost</f>
        <v>187</v>
      </c>
      <c r="E60" s="360">
        <f>40+Englanddrawn</f>
        <v>40</v>
      </c>
      <c r="F60" s="361">
        <f t="shared" ref="F60:F64" si="5">SUM(C60+E60*0.5)/B60</f>
        <v>0.58433734939759041</v>
      </c>
      <c r="G60" s="360">
        <f>7193+Englandptsscored</f>
        <v>7293</v>
      </c>
      <c r="H60" s="360">
        <f>5402+Englandptsagainst</f>
        <v>5537</v>
      </c>
      <c r="I60" s="357">
        <f>985+Englandtriesscored</f>
        <v>998</v>
      </c>
      <c r="J60" s="357"/>
      <c r="K60" s="357">
        <v>29</v>
      </c>
      <c r="L60" s="357">
        <v>10</v>
      </c>
      <c r="M60" s="357">
        <v>13</v>
      </c>
      <c r="N60" s="357">
        <v>26</v>
      </c>
      <c r="O60" s="357">
        <v>17</v>
      </c>
      <c r="P60" s="357">
        <v>127</v>
      </c>
    </row>
    <row r="61" spans="1:16" x14ac:dyDescent="0.25">
      <c r="A61" s="357" t="s">
        <v>34</v>
      </c>
      <c r="B61" s="360">
        <f>394+Franceplayed</f>
        <v>399</v>
      </c>
      <c r="C61" s="360">
        <f>206+Francewon</f>
        <v>210</v>
      </c>
      <c r="D61" s="360">
        <f>169+Francelost</f>
        <v>170</v>
      </c>
      <c r="E61" s="360">
        <f>19+Francedrawn</f>
        <v>19</v>
      </c>
      <c r="F61" s="361">
        <f t="shared" si="5"/>
        <v>0.55012531328320802</v>
      </c>
      <c r="G61" s="360">
        <f>6132+Franceptsscored</f>
        <v>6306</v>
      </c>
      <c r="H61" s="360">
        <f>5392+Franceptsagainst</f>
        <v>5507</v>
      </c>
      <c r="I61" s="357">
        <f>765+Francetriesscored</f>
        <v>786</v>
      </c>
      <c r="J61" s="357"/>
      <c r="K61" s="357">
        <v>18</v>
      </c>
      <c r="L61" s="357">
        <v>8</v>
      </c>
      <c r="M61" s="357">
        <v>10</v>
      </c>
      <c r="N61" s="578" t="s">
        <v>258</v>
      </c>
      <c r="O61" s="357">
        <v>10</v>
      </c>
      <c r="P61" s="357">
        <v>94</v>
      </c>
    </row>
    <row r="62" spans="1:16" x14ac:dyDescent="0.25">
      <c r="A62" s="357" t="s">
        <v>39</v>
      </c>
      <c r="B62" s="360">
        <f>493+Irelandplayed</f>
        <v>498</v>
      </c>
      <c r="C62" s="360">
        <f>218+Irelandwon</f>
        <v>223</v>
      </c>
      <c r="D62" s="360">
        <f>249+Irelandlost</f>
        <v>249</v>
      </c>
      <c r="E62" s="360">
        <f>26+Irelanddrawn</f>
        <v>26</v>
      </c>
      <c r="F62" s="361">
        <f t="shared" si="5"/>
        <v>0.47389558232931728</v>
      </c>
      <c r="G62" s="360">
        <f>6064+Irelandptsscored</f>
        <v>6215</v>
      </c>
      <c r="H62" s="360">
        <f>6200+Irelandptsagainst</f>
        <v>6272</v>
      </c>
      <c r="I62" s="357">
        <f>789+Irelandtriesscored</f>
        <v>809</v>
      </c>
      <c r="J62" s="357"/>
      <c r="K62" s="357">
        <v>15</v>
      </c>
      <c r="L62" s="357">
        <v>8</v>
      </c>
      <c r="M62" s="357">
        <v>4</v>
      </c>
      <c r="N62" s="357">
        <v>13</v>
      </c>
      <c r="O62" s="357">
        <v>25</v>
      </c>
      <c r="P62" s="357">
        <v>129</v>
      </c>
    </row>
    <row r="63" spans="1:16" x14ac:dyDescent="0.25">
      <c r="A63" s="357" t="s">
        <v>33</v>
      </c>
      <c r="B63" s="360">
        <f>115+Italyplayed</f>
        <v>120</v>
      </c>
      <c r="C63" s="360">
        <f>13+Italywon</f>
        <v>13</v>
      </c>
      <c r="D63" s="360">
        <f>101+Italylost</f>
        <v>106</v>
      </c>
      <c r="E63" s="360">
        <f>1+Italydrawn</f>
        <v>1</v>
      </c>
      <c r="F63" s="361">
        <f t="shared" si="5"/>
        <v>0.1125</v>
      </c>
      <c r="G63" s="360">
        <f>1619+Italyptsscored</f>
        <v>1708</v>
      </c>
      <c r="H63" s="360">
        <f>3961+Italyptsagainst</f>
        <v>4110</v>
      </c>
      <c r="I63" s="360">
        <f>150+Italytriesscored</f>
        <v>159</v>
      </c>
      <c r="J63" s="360"/>
      <c r="K63" s="357">
        <v>0</v>
      </c>
      <c r="L63" s="357">
        <v>0</v>
      </c>
      <c r="M63" s="357">
        <v>0</v>
      </c>
      <c r="N63" s="578" t="s">
        <v>258</v>
      </c>
      <c r="O63" s="357">
        <v>18</v>
      </c>
      <c r="P63" s="357">
        <v>24</v>
      </c>
    </row>
    <row r="64" spans="1:16" x14ac:dyDescent="0.25">
      <c r="A64" s="357" t="s">
        <v>35</v>
      </c>
      <c r="B64" s="360">
        <f>494+Scotlandplayed</f>
        <v>499</v>
      </c>
      <c r="C64" s="360">
        <f>205+Scotlandwon</f>
        <v>208</v>
      </c>
      <c r="D64" s="360">
        <f>265+Scotlandlost</f>
        <v>267</v>
      </c>
      <c r="E64" s="360">
        <f>24+Scotlanddrawn</f>
        <v>24</v>
      </c>
      <c r="F64" s="361">
        <f t="shared" si="5"/>
        <v>0.4408817635270541</v>
      </c>
      <c r="G64" s="360">
        <f>5643+Scotlandptsscored</f>
        <v>5761</v>
      </c>
      <c r="H64" s="360">
        <f>6611+Scotlandptsagainst</f>
        <v>6709</v>
      </c>
      <c r="I64" s="357">
        <f>762+Scotlandtriesscored</f>
        <v>779</v>
      </c>
      <c r="J64" s="357"/>
      <c r="K64" s="357">
        <v>14</v>
      </c>
      <c r="L64" s="357">
        <v>8</v>
      </c>
      <c r="M64" s="357">
        <v>3</v>
      </c>
      <c r="N64" s="357">
        <v>10</v>
      </c>
      <c r="O64" s="357">
        <v>24</v>
      </c>
      <c r="P64" s="357">
        <v>129</v>
      </c>
    </row>
    <row r="65" spans="1:16" x14ac:dyDescent="0.25">
      <c r="A65" s="357" t="s">
        <v>32</v>
      </c>
      <c r="B65" s="360">
        <f>491+Walesplayed</f>
        <v>496</v>
      </c>
      <c r="C65" s="360">
        <f>261+Waleswon</f>
        <v>262</v>
      </c>
      <c r="D65" s="360">
        <f>204+Waleslost</f>
        <v>208</v>
      </c>
      <c r="E65" s="360">
        <f>26+Walesdrawn</f>
        <v>26</v>
      </c>
      <c r="F65" s="361">
        <f t="shared" ref="F65" si="6">SUM(C65+E65*0.5)/B65</f>
        <v>0.55443548387096775</v>
      </c>
      <c r="G65" s="360">
        <f>6865+Walesptsscored</f>
        <v>6949</v>
      </c>
      <c r="H65" s="360">
        <f>5950+Walesptsagainst</f>
        <v>6097</v>
      </c>
      <c r="I65" s="360">
        <f>935+Walestriesscored</f>
        <v>946</v>
      </c>
      <c r="J65" s="360"/>
      <c r="K65" s="357">
        <v>28</v>
      </c>
      <c r="L65" s="357">
        <v>11</v>
      </c>
      <c r="M65" s="357">
        <v>12</v>
      </c>
      <c r="N65" s="357">
        <v>22</v>
      </c>
      <c r="O65" s="357">
        <v>17</v>
      </c>
      <c r="P65" s="357">
        <v>129</v>
      </c>
    </row>
    <row r="66" spans="1:16" x14ac:dyDescent="0.25">
      <c r="A66" s="356" t="s">
        <v>465</v>
      </c>
      <c r="B66" s="357"/>
      <c r="C66" s="357"/>
      <c r="D66" s="357"/>
      <c r="E66" s="357"/>
      <c r="F66" s="357"/>
      <c r="G66" s="357"/>
      <c r="H66" s="357"/>
      <c r="I66" s="357"/>
      <c r="J66" s="575"/>
      <c r="K66" s="575"/>
      <c r="L66" s="575"/>
      <c r="M66" s="575"/>
      <c r="N66" s="575"/>
      <c r="O66" s="575"/>
      <c r="P66" s="575"/>
    </row>
    <row r="68" spans="1:16" x14ac:dyDescent="0.25">
      <c r="A68" s="356" t="s">
        <v>165</v>
      </c>
      <c r="B68" s="357"/>
      <c r="C68" s="357"/>
      <c r="D68" s="357"/>
      <c r="E68" s="357"/>
      <c r="F68" s="357"/>
      <c r="G68" s="357"/>
      <c r="H68" s="357"/>
      <c r="I68" s="357"/>
      <c r="J68" s="575"/>
      <c r="K68" s="575"/>
      <c r="L68" s="575"/>
      <c r="M68" s="575"/>
      <c r="N68" s="575"/>
      <c r="O68" s="575"/>
    </row>
    <row r="69" spans="1:16" x14ac:dyDescent="0.25">
      <c r="A69" s="358"/>
      <c r="B69" s="359" t="s">
        <v>130</v>
      </c>
      <c r="C69" s="359" t="s">
        <v>131</v>
      </c>
      <c r="D69" s="359" t="s">
        <v>132</v>
      </c>
      <c r="E69" s="359" t="s">
        <v>137</v>
      </c>
      <c r="F69" s="359" t="s">
        <v>133</v>
      </c>
      <c r="G69" s="359" t="s">
        <v>134</v>
      </c>
      <c r="H69" s="359" t="s">
        <v>135</v>
      </c>
      <c r="I69" s="359" t="s">
        <v>136</v>
      </c>
      <c r="J69" s="359" t="s">
        <v>253</v>
      </c>
      <c r="K69" s="359" t="s">
        <v>254</v>
      </c>
      <c r="L69" s="359" t="s">
        <v>255</v>
      </c>
      <c r="M69" s="359" t="s">
        <v>256</v>
      </c>
      <c r="N69" s="359" t="s">
        <v>257</v>
      </c>
      <c r="O69" s="359" t="s">
        <v>155</v>
      </c>
    </row>
    <row r="70" spans="1:16" x14ac:dyDescent="0.25">
      <c r="A70" s="357" t="s">
        <v>30</v>
      </c>
      <c r="B70" s="360">
        <f>115+Englandplayed</f>
        <v>120</v>
      </c>
      <c r="C70" s="360">
        <f>77+Englandwon</f>
        <v>79</v>
      </c>
      <c r="D70" s="360">
        <f>36+Englandlost</f>
        <v>39</v>
      </c>
      <c r="E70" s="360">
        <f>2+Englanddrawn</f>
        <v>2</v>
      </c>
      <c r="F70" s="361">
        <f t="shared" ref="F70:F75" si="7">SUM(C70+E70*0.5)/B70</f>
        <v>0.66666666666666663</v>
      </c>
      <c r="G70" s="360">
        <f>3116+Englandptsscored</f>
        <v>3216</v>
      </c>
      <c r="H70" s="360">
        <f>1895+Englandptsagainst</f>
        <v>2030</v>
      </c>
      <c r="I70" s="357">
        <f>333+Englandtriesscored</f>
        <v>346</v>
      </c>
      <c r="J70" s="357">
        <f>160+eng6ntriesconc</f>
        <v>178</v>
      </c>
      <c r="K70" s="357">
        <v>7</v>
      </c>
      <c r="L70" s="357">
        <v>2</v>
      </c>
      <c r="M70" s="357">
        <v>5</v>
      </c>
      <c r="N70" s="357">
        <v>0</v>
      </c>
      <c r="O70" s="357">
        <v>24</v>
      </c>
    </row>
    <row r="71" spans="1:16" x14ac:dyDescent="0.25">
      <c r="A71" s="357" t="s">
        <v>34</v>
      </c>
      <c r="B71" s="360">
        <f>115+Franceplayed</f>
        <v>120</v>
      </c>
      <c r="C71" s="360">
        <f>73+Francewon</f>
        <v>77</v>
      </c>
      <c r="D71" s="360">
        <f>40+Francelost</f>
        <v>41</v>
      </c>
      <c r="E71" s="360">
        <f>2+Francedrawn</f>
        <v>2</v>
      </c>
      <c r="F71" s="361">
        <f t="shared" si="7"/>
        <v>0.65</v>
      </c>
      <c r="G71" s="360">
        <f>2811+Franceptsscored</f>
        <v>2985</v>
      </c>
      <c r="H71" s="360">
        <f>2129+Franceptsagainst</f>
        <v>2244</v>
      </c>
      <c r="I71" s="357">
        <f>280+Francetriesscored</f>
        <v>301</v>
      </c>
      <c r="J71" s="357">
        <f>191+fra6ntriesconc</f>
        <v>205</v>
      </c>
      <c r="K71" s="357">
        <v>6</v>
      </c>
      <c r="L71" s="357">
        <v>4</v>
      </c>
      <c r="M71" s="578" t="s">
        <v>258</v>
      </c>
      <c r="N71" s="357">
        <v>1</v>
      </c>
      <c r="O71" s="357">
        <v>24</v>
      </c>
    </row>
    <row r="72" spans="1:16" x14ac:dyDescent="0.25">
      <c r="A72" s="357" t="s">
        <v>39</v>
      </c>
      <c r="B72" s="360">
        <f>115+Irelandplayed</f>
        <v>120</v>
      </c>
      <c r="C72" s="360">
        <f>76+Irelandwon</f>
        <v>81</v>
      </c>
      <c r="D72" s="360">
        <f>36+Irelandlost</f>
        <v>36</v>
      </c>
      <c r="E72" s="360">
        <f>3+Irelanddrawn</f>
        <v>3</v>
      </c>
      <c r="F72" s="361">
        <f t="shared" si="7"/>
        <v>0.6875</v>
      </c>
      <c r="G72" s="360">
        <f>2903+Irelandptsscored</f>
        <v>3054</v>
      </c>
      <c r="H72" s="360">
        <f>2048+Irelandptsagainst</f>
        <v>2120</v>
      </c>
      <c r="I72" s="357">
        <f>312+Irelandtriesscored</f>
        <v>332</v>
      </c>
      <c r="J72" s="357">
        <f>184+ire6ntriesconc</f>
        <v>190</v>
      </c>
      <c r="K72" s="357">
        <v>5</v>
      </c>
      <c r="L72" s="357">
        <v>3</v>
      </c>
      <c r="M72" s="357">
        <v>7</v>
      </c>
      <c r="N72" s="357">
        <v>0</v>
      </c>
      <c r="O72" s="357">
        <v>24</v>
      </c>
    </row>
    <row r="73" spans="1:16" x14ac:dyDescent="0.25">
      <c r="A73" s="357" t="s">
        <v>33</v>
      </c>
      <c r="B73" s="360">
        <f>115+Italyplayed</f>
        <v>120</v>
      </c>
      <c r="C73" s="360">
        <f>13+Italywon</f>
        <v>13</v>
      </c>
      <c r="D73" s="360">
        <f>101+Italylost</f>
        <v>106</v>
      </c>
      <c r="E73" s="360">
        <f>1+Italydrawn</f>
        <v>1</v>
      </c>
      <c r="F73" s="361">
        <f t="shared" si="7"/>
        <v>0.1125</v>
      </c>
      <c r="G73" s="360">
        <f>1619+Italyptsscored</f>
        <v>1708</v>
      </c>
      <c r="H73" s="360">
        <f>3961+Italyptsagainst</f>
        <v>4110</v>
      </c>
      <c r="I73" s="360">
        <f>150+Italytriesscored</f>
        <v>159</v>
      </c>
      <c r="J73" s="360">
        <f>475+ita6ntriesconc</f>
        <v>497</v>
      </c>
      <c r="K73" s="357">
        <v>0</v>
      </c>
      <c r="L73" s="357">
        <v>0</v>
      </c>
      <c r="M73" s="578" t="s">
        <v>258</v>
      </c>
      <c r="N73" s="357">
        <v>18</v>
      </c>
      <c r="O73" s="357">
        <v>24</v>
      </c>
    </row>
    <row r="74" spans="1:16" x14ac:dyDescent="0.25">
      <c r="A74" s="357" t="s">
        <v>35</v>
      </c>
      <c r="B74" s="360">
        <f>115+Scotlandplayed</f>
        <v>120</v>
      </c>
      <c r="C74" s="360">
        <f>36+Scotlandwon</f>
        <v>39</v>
      </c>
      <c r="D74" s="360">
        <f>76+Scotlandlost</f>
        <v>78</v>
      </c>
      <c r="E74" s="360">
        <f>3+Scotlanddrawn</f>
        <v>3</v>
      </c>
      <c r="F74" s="361">
        <f t="shared" si="7"/>
        <v>0.33750000000000002</v>
      </c>
      <c r="G74" s="360">
        <f>2013+Scotlandptsscored</f>
        <v>2131</v>
      </c>
      <c r="H74" s="360">
        <f>2757+Scotlandptsagainst</f>
        <v>2855</v>
      </c>
      <c r="I74" s="357">
        <f>177+Scotlandtriesscored</f>
        <v>194</v>
      </c>
      <c r="J74" s="357">
        <f>284+sco6ntriesconc</f>
        <v>296</v>
      </c>
      <c r="K74" s="357">
        <v>0</v>
      </c>
      <c r="L74" s="357">
        <v>0</v>
      </c>
      <c r="M74" s="357">
        <v>0</v>
      </c>
      <c r="N74" s="357">
        <v>4</v>
      </c>
      <c r="O74" s="357">
        <v>24</v>
      </c>
    </row>
    <row r="75" spans="1:16" x14ac:dyDescent="0.25">
      <c r="A75" s="357" t="s">
        <v>32</v>
      </c>
      <c r="B75" s="360">
        <f>115+Walesplayed</f>
        <v>120</v>
      </c>
      <c r="C75" s="360">
        <f>63+Waleswon</f>
        <v>64</v>
      </c>
      <c r="D75" s="360">
        <f>49+Waleslost</f>
        <v>53</v>
      </c>
      <c r="E75" s="360">
        <f>3+Walesdrawn</f>
        <v>3</v>
      </c>
      <c r="F75" s="361">
        <f t="shared" si="7"/>
        <v>0.54583333333333328</v>
      </c>
      <c r="G75" s="360">
        <f>2678+Walesptsscored</f>
        <v>2762</v>
      </c>
      <c r="H75" s="360">
        <f>2350+Walesptsagainst</f>
        <v>2497</v>
      </c>
      <c r="I75" s="360">
        <f>255+Walestriesscored</f>
        <v>266</v>
      </c>
      <c r="J75" s="360">
        <f>213+wal6ntriesconc</f>
        <v>232</v>
      </c>
      <c r="K75" s="357">
        <v>6</v>
      </c>
      <c r="L75" s="357">
        <v>4</v>
      </c>
      <c r="M75" s="357">
        <v>5</v>
      </c>
      <c r="N75" s="357">
        <v>1</v>
      </c>
      <c r="O75" s="357">
        <v>24</v>
      </c>
    </row>
    <row r="76" spans="1:16" x14ac:dyDescent="0.25">
      <c r="A76" s="356" t="s">
        <v>465</v>
      </c>
      <c r="B76" s="357"/>
      <c r="C76" s="357"/>
      <c r="D76" s="357"/>
      <c r="E76" s="357"/>
      <c r="F76" s="357"/>
      <c r="G76" s="357"/>
      <c r="H76" s="357"/>
      <c r="I76" s="357"/>
      <c r="J76" s="575"/>
      <c r="K76" s="575"/>
      <c r="L76" s="575"/>
      <c r="M76" s="575"/>
      <c r="N76" s="575"/>
      <c r="O76" s="575"/>
    </row>
    <row r="77" spans="1:16" x14ac:dyDescent="0.25">
      <c r="A77" s="371" t="s">
        <v>28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7EBEE-4BDD-4645-95AF-7318EF8BD096}">
  <dimension ref="A1:O7"/>
  <sheetViews>
    <sheetView workbookViewId="0">
      <selection activeCell="J9" sqref="J9"/>
    </sheetView>
  </sheetViews>
  <sheetFormatPr defaultRowHeight="14.3" x14ac:dyDescent="0.25"/>
  <cols>
    <col min="1" max="1" width="10.625" bestFit="1" customWidth="1"/>
    <col min="7" max="7" width="1.875" bestFit="1" customWidth="1"/>
  </cols>
  <sheetData>
    <row r="1" spans="1:15" x14ac:dyDescent="0.25">
      <c r="A1" s="551"/>
      <c r="B1" s="615" t="s">
        <v>532</v>
      </c>
      <c r="C1" s="551"/>
      <c r="D1" s="551"/>
      <c r="E1" s="551"/>
      <c r="F1" s="912">
        <v>2023</v>
      </c>
      <c r="G1" s="911"/>
      <c r="H1" s="551"/>
      <c r="I1" s="551"/>
      <c r="J1" s="551"/>
      <c r="K1" s="551"/>
      <c r="L1" s="551"/>
      <c r="M1" s="551"/>
      <c r="N1" s="551"/>
      <c r="O1" s="770"/>
    </row>
    <row r="2" spans="1:15" x14ac:dyDescent="0.25">
      <c r="A2" s="619">
        <v>45115</v>
      </c>
      <c r="B2" s="620">
        <v>16.05</v>
      </c>
      <c r="C2" s="909" t="s">
        <v>125</v>
      </c>
      <c r="D2" s="913"/>
      <c r="E2" s="913"/>
      <c r="F2" s="509">
        <v>43</v>
      </c>
      <c r="G2" s="510" t="s">
        <v>168</v>
      </c>
      <c r="H2" s="513">
        <v>12</v>
      </c>
      <c r="I2" s="910" t="s">
        <v>29</v>
      </c>
      <c r="J2" s="911"/>
      <c r="K2" s="911"/>
      <c r="L2" s="909" t="s">
        <v>530</v>
      </c>
      <c r="M2" s="909"/>
      <c r="N2" s="909"/>
      <c r="O2" s="770"/>
    </row>
    <row r="3" spans="1:15" x14ac:dyDescent="0.25">
      <c r="A3" s="619">
        <v>45115</v>
      </c>
      <c r="B3" s="620" t="s">
        <v>534</v>
      </c>
      <c r="C3" s="912" t="s">
        <v>37</v>
      </c>
      <c r="D3" s="912"/>
      <c r="E3" s="912"/>
      <c r="F3" s="509">
        <v>12</v>
      </c>
      <c r="G3" s="510" t="s">
        <v>168</v>
      </c>
      <c r="H3" s="513">
        <v>41</v>
      </c>
      <c r="I3" s="509" t="s">
        <v>126</v>
      </c>
      <c r="J3" s="509"/>
      <c r="K3" s="509"/>
      <c r="L3" s="912" t="s">
        <v>533</v>
      </c>
      <c r="M3" s="912"/>
      <c r="N3" s="912"/>
      <c r="O3" s="770"/>
    </row>
    <row r="4" spans="1:15" x14ac:dyDescent="0.25">
      <c r="A4" s="619">
        <v>45122</v>
      </c>
      <c r="B4" s="620" t="s">
        <v>535</v>
      </c>
      <c r="C4" s="912" t="s">
        <v>126</v>
      </c>
      <c r="D4" s="912"/>
      <c r="E4" s="912"/>
      <c r="F4" s="509">
        <v>35</v>
      </c>
      <c r="G4" s="510" t="s">
        <v>168</v>
      </c>
      <c r="H4" s="513">
        <v>20</v>
      </c>
      <c r="I4" s="920" t="s">
        <v>125</v>
      </c>
      <c r="J4" s="882"/>
      <c r="K4" s="882"/>
      <c r="L4" s="912" t="s">
        <v>536</v>
      </c>
      <c r="M4" s="912"/>
      <c r="N4" s="912"/>
      <c r="O4" s="770"/>
    </row>
    <row r="5" spans="1:15" x14ac:dyDescent="0.25">
      <c r="A5" s="619">
        <v>45122</v>
      </c>
      <c r="B5" s="620" t="s">
        <v>537</v>
      </c>
      <c r="C5" s="909" t="s">
        <v>29</v>
      </c>
      <c r="D5" s="918"/>
      <c r="E5" s="918"/>
      <c r="F5" s="509">
        <v>31</v>
      </c>
      <c r="G5" s="510" t="s">
        <v>168</v>
      </c>
      <c r="H5" s="513">
        <v>34</v>
      </c>
      <c r="I5" s="919" t="s">
        <v>37</v>
      </c>
      <c r="J5" s="919"/>
      <c r="K5" s="919"/>
      <c r="L5" s="912" t="s">
        <v>538</v>
      </c>
      <c r="M5" s="912"/>
      <c r="N5" s="912"/>
      <c r="O5" s="770"/>
    </row>
    <row r="6" spans="1:15" x14ac:dyDescent="0.25">
      <c r="A6" s="619">
        <v>45136</v>
      </c>
      <c r="B6" s="620" t="s">
        <v>537</v>
      </c>
      <c r="C6" s="909" t="s">
        <v>29</v>
      </c>
      <c r="D6" s="918"/>
      <c r="E6" s="918"/>
      <c r="F6" s="509">
        <v>7</v>
      </c>
      <c r="G6" s="510" t="s">
        <v>168</v>
      </c>
      <c r="H6" s="513">
        <v>38</v>
      </c>
      <c r="I6" s="513" t="s">
        <v>126</v>
      </c>
      <c r="J6" s="513"/>
      <c r="K6" s="513"/>
      <c r="L6" s="912" t="s">
        <v>539</v>
      </c>
      <c r="M6" s="912"/>
      <c r="N6" s="912"/>
      <c r="O6" s="770"/>
    </row>
    <row r="7" spans="1:15" x14ac:dyDescent="0.25">
      <c r="A7" s="619">
        <v>45136</v>
      </c>
      <c r="B7" s="620" t="s">
        <v>540</v>
      </c>
      <c r="C7" s="909" t="s">
        <v>125</v>
      </c>
      <c r="D7" s="913"/>
      <c r="E7" s="913"/>
      <c r="F7" s="509">
        <v>22</v>
      </c>
      <c r="G7" s="510" t="s">
        <v>168</v>
      </c>
      <c r="H7" s="513">
        <v>21</v>
      </c>
      <c r="I7" s="919" t="s">
        <v>37</v>
      </c>
      <c r="J7" s="919"/>
      <c r="K7" s="919"/>
      <c r="L7" s="912" t="s">
        <v>702</v>
      </c>
      <c r="M7" s="886"/>
      <c r="N7" s="886"/>
      <c r="O7" s="886"/>
    </row>
  </sheetData>
  <mergeCells count="17">
    <mergeCell ref="L7:O7"/>
    <mergeCell ref="L4:N4"/>
    <mergeCell ref="C5:E5"/>
    <mergeCell ref="L5:N5"/>
    <mergeCell ref="C6:E6"/>
    <mergeCell ref="L6:N6"/>
    <mergeCell ref="C7:E7"/>
    <mergeCell ref="I5:K5"/>
    <mergeCell ref="I7:K7"/>
    <mergeCell ref="C4:E4"/>
    <mergeCell ref="I4:K4"/>
    <mergeCell ref="F1:G1"/>
    <mergeCell ref="C2:E2"/>
    <mergeCell ref="I2:K2"/>
    <mergeCell ref="L2:N2"/>
    <mergeCell ref="C3:E3"/>
    <mergeCell ref="L3:N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C9AAF-1309-4A8B-AAD8-731C8CD18048}">
  <dimension ref="A1:R30"/>
  <sheetViews>
    <sheetView workbookViewId="0">
      <selection activeCell="A12" sqref="A12"/>
    </sheetView>
  </sheetViews>
  <sheetFormatPr defaultRowHeight="14.3" x14ac:dyDescent="0.25"/>
  <cols>
    <col min="1" max="1" width="9.875" bestFit="1" customWidth="1"/>
    <col min="3" max="3" width="39.5" bestFit="1" customWidth="1"/>
    <col min="8" max="8" width="9.875" bestFit="1" customWidth="1"/>
  </cols>
  <sheetData>
    <row r="1" spans="1:18" ht="14.95" customHeight="1" thickBot="1" x14ac:dyDescent="0.3">
      <c r="A1" s="160"/>
      <c r="B1" s="905" t="s">
        <v>54</v>
      </c>
      <c r="C1" s="906"/>
      <c r="D1" s="907" t="s">
        <v>55</v>
      </c>
      <c r="E1" s="908"/>
      <c r="F1" s="177" t="s">
        <v>56</v>
      </c>
      <c r="H1" s="900" t="s">
        <v>58</v>
      </c>
      <c r="I1" s="902" t="s">
        <v>92</v>
      </c>
      <c r="J1" s="903"/>
      <c r="K1" s="902" t="s">
        <v>93</v>
      </c>
      <c r="L1" s="904"/>
      <c r="M1" s="904"/>
      <c r="N1" s="904"/>
      <c r="O1" s="903"/>
      <c r="P1" s="219" t="s">
        <v>94</v>
      </c>
      <c r="Q1" s="902" t="s">
        <v>95</v>
      </c>
      <c r="R1" s="903"/>
    </row>
    <row r="2" spans="1:18" ht="14.95" customHeight="1" thickBot="1" x14ac:dyDescent="0.3">
      <c r="A2" s="530" t="s">
        <v>117</v>
      </c>
      <c r="B2" s="532">
        <v>0</v>
      </c>
      <c r="C2" s="520"/>
      <c r="D2" s="178">
        <v>0</v>
      </c>
      <c r="E2" s="179"/>
      <c r="F2" s="180">
        <f>SUM(B2+D2*2)</f>
        <v>0</v>
      </c>
      <c r="H2" s="901"/>
      <c r="I2" s="220" t="s">
        <v>4</v>
      </c>
      <c r="J2" s="220" t="s">
        <v>5</v>
      </c>
      <c r="K2" s="221" t="s">
        <v>96</v>
      </c>
      <c r="L2" s="222" t="s">
        <v>97</v>
      </c>
      <c r="M2" s="222" t="s">
        <v>98</v>
      </c>
      <c r="N2" s="223" t="s">
        <v>99</v>
      </c>
      <c r="O2" s="224" t="s">
        <v>100</v>
      </c>
      <c r="P2" s="225" t="s">
        <v>101</v>
      </c>
      <c r="Q2" s="221" t="s">
        <v>4</v>
      </c>
      <c r="R2" s="224" t="s">
        <v>5</v>
      </c>
    </row>
    <row r="3" spans="1:18" ht="14.95" customHeight="1" thickBot="1" x14ac:dyDescent="0.3">
      <c r="A3" s="81" t="s">
        <v>37</v>
      </c>
      <c r="B3" s="181">
        <v>1</v>
      </c>
      <c r="C3" s="297" t="s">
        <v>547</v>
      </c>
      <c r="D3" s="178">
        <v>0</v>
      </c>
      <c r="E3" s="179"/>
      <c r="F3" s="180">
        <f>SUM(B3+D3*2)</f>
        <v>1</v>
      </c>
      <c r="H3" s="81" t="s">
        <v>37</v>
      </c>
      <c r="I3" s="226">
        <v>0</v>
      </c>
      <c r="J3" s="226">
        <v>0</v>
      </c>
      <c r="K3" s="226">
        <v>10</v>
      </c>
      <c r="L3" s="226">
        <v>0</v>
      </c>
      <c r="M3" s="226">
        <v>0</v>
      </c>
      <c r="N3" s="226">
        <v>0</v>
      </c>
      <c r="O3" s="227">
        <f t="shared" ref="O3:O6" si="0">SUM(K3:N3)</f>
        <v>10</v>
      </c>
      <c r="P3" s="226">
        <v>0</v>
      </c>
      <c r="Q3" s="393">
        <f t="shared" ref="Q3" si="1">SUM(I3/O3)*10</f>
        <v>0</v>
      </c>
      <c r="R3" s="392">
        <f t="shared" ref="R3" si="2">SUM(J3/O3)*10</f>
        <v>0</v>
      </c>
    </row>
    <row r="4" spans="1:18" ht="14.95" customHeight="1" thickBot="1" x14ac:dyDescent="0.3">
      <c r="A4" s="71" t="s">
        <v>170</v>
      </c>
      <c r="B4" s="182">
        <v>1</v>
      </c>
      <c r="C4" s="520" t="s">
        <v>707</v>
      </c>
      <c r="D4" s="178">
        <v>0</v>
      </c>
      <c r="E4" s="179"/>
      <c r="F4" s="180">
        <f>SUM(B4+D4*2)</f>
        <v>1</v>
      </c>
      <c r="H4" s="531" t="s">
        <v>29</v>
      </c>
      <c r="I4" s="226">
        <v>0</v>
      </c>
      <c r="J4" s="226">
        <v>40</v>
      </c>
      <c r="K4" s="226">
        <v>50</v>
      </c>
      <c r="L4" s="226">
        <v>0</v>
      </c>
      <c r="M4" s="226">
        <v>0</v>
      </c>
      <c r="N4" s="226">
        <v>0</v>
      </c>
      <c r="O4" s="227">
        <f t="shared" si="0"/>
        <v>50</v>
      </c>
      <c r="P4" s="226">
        <v>0</v>
      </c>
      <c r="Q4" s="393">
        <f t="shared" ref="Q4" si="3">SUM(I4/O4)*10</f>
        <v>0</v>
      </c>
      <c r="R4" s="392">
        <f t="shared" ref="R4" si="4">SUM(J4/O4)*10</f>
        <v>8</v>
      </c>
    </row>
    <row r="5" spans="1:18" ht="14.95" customHeight="1" thickBot="1" x14ac:dyDescent="0.3">
      <c r="A5" s="531" t="s">
        <v>29</v>
      </c>
      <c r="B5" s="181">
        <v>5</v>
      </c>
      <c r="C5" s="297" t="s">
        <v>698</v>
      </c>
      <c r="D5" s="178">
        <f>Irelandred</f>
        <v>0</v>
      </c>
      <c r="E5" s="179"/>
      <c r="F5" s="180">
        <f>SUM(B5+D5*2)</f>
        <v>5</v>
      </c>
      <c r="H5" s="530" t="s">
        <v>117</v>
      </c>
      <c r="I5" s="226">
        <v>0</v>
      </c>
      <c r="J5" s="226">
        <v>0</v>
      </c>
      <c r="K5" s="226">
        <v>0</v>
      </c>
      <c r="L5" s="226">
        <v>0</v>
      </c>
      <c r="M5" s="226">
        <v>0</v>
      </c>
      <c r="N5" s="226">
        <v>0</v>
      </c>
      <c r="O5" s="227">
        <f t="shared" si="0"/>
        <v>0</v>
      </c>
      <c r="P5" s="226">
        <v>0</v>
      </c>
      <c r="Q5" s="580" t="s">
        <v>258</v>
      </c>
      <c r="R5" s="581" t="s">
        <v>258</v>
      </c>
    </row>
    <row r="6" spans="1:18" ht="14.95" customHeight="1" thickBot="1" x14ac:dyDescent="0.3">
      <c r="A6" s="244" t="s">
        <v>57</v>
      </c>
      <c r="B6" s="181">
        <f>SUM(B2:B5)</f>
        <v>7</v>
      </c>
      <c r="C6" s="184"/>
      <c r="D6" s="185">
        <f>SUM(D2:D5)</f>
        <v>0</v>
      </c>
      <c r="E6" s="186"/>
      <c r="F6" s="177" t="s">
        <v>58</v>
      </c>
      <c r="H6" s="71" t="s">
        <v>170</v>
      </c>
      <c r="I6" s="226">
        <v>0</v>
      </c>
      <c r="J6" s="226">
        <v>12</v>
      </c>
      <c r="K6" s="226">
        <v>10</v>
      </c>
      <c r="L6" s="226">
        <v>0</v>
      </c>
      <c r="M6" s="226">
        <v>0</v>
      </c>
      <c r="N6" s="226">
        <v>0</v>
      </c>
      <c r="O6" s="227">
        <f t="shared" si="0"/>
        <v>10</v>
      </c>
      <c r="P6" s="226">
        <v>0</v>
      </c>
      <c r="Q6" s="393">
        <f t="shared" ref="Q6" si="5">SUM(I6/O6)*10</f>
        <v>0</v>
      </c>
      <c r="R6" s="392">
        <f t="shared" ref="R6" si="6">SUM(J6/O6)*10</f>
        <v>12</v>
      </c>
    </row>
    <row r="7" spans="1:18" ht="14.95" customHeight="1" thickBot="1" x14ac:dyDescent="0.3">
      <c r="D7" s="187"/>
      <c r="E7" s="188"/>
      <c r="H7" s="233" t="s">
        <v>57</v>
      </c>
      <c r="I7" s="228">
        <f t="shared" ref="I7:P7" si="7">SUM(I3:I6)</f>
        <v>0</v>
      </c>
      <c r="J7" s="228">
        <f t="shared" si="7"/>
        <v>52</v>
      </c>
      <c r="K7" s="228">
        <f t="shared" si="7"/>
        <v>70</v>
      </c>
      <c r="L7" s="228">
        <f t="shared" si="7"/>
        <v>0</v>
      </c>
      <c r="M7" s="228">
        <f t="shared" si="7"/>
        <v>0</v>
      </c>
      <c r="N7" s="228">
        <f t="shared" si="7"/>
        <v>0</v>
      </c>
      <c r="O7" s="228">
        <f t="shared" si="7"/>
        <v>70</v>
      </c>
      <c r="P7" s="228">
        <f t="shared" si="7"/>
        <v>0</v>
      </c>
      <c r="Q7" s="231">
        <f t="shared" ref="Q7" si="8">SUM(I7/O7)*10</f>
        <v>0</v>
      </c>
      <c r="R7" s="232">
        <f t="shared" ref="R7" si="9">SUM(J7/O7)*10</f>
        <v>7.4285714285714288</v>
      </c>
    </row>
    <row r="8" spans="1:18" ht="14.95" customHeight="1" x14ac:dyDescent="0.25">
      <c r="A8" s="189" t="s">
        <v>59</v>
      </c>
      <c r="B8" s="189"/>
    </row>
    <row r="9" spans="1:18" ht="14.95" customHeight="1" x14ac:dyDescent="0.25">
      <c r="A9" s="917" t="s">
        <v>469</v>
      </c>
      <c r="B9" s="917"/>
      <c r="C9" s="886"/>
      <c r="D9" s="886"/>
      <c r="H9" s="189" t="s">
        <v>186</v>
      </c>
    </row>
    <row r="10" spans="1:18" ht="14.95" customHeight="1" thickBot="1" x14ac:dyDescent="0.3">
      <c r="A10" s="371"/>
      <c r="B10" s="15"/>
      <c r="E10" t="s">
        <v>58</v>
      </c>
      <c r="I10" s="189"/>
    </row>
    <row r="11" spans="1:18" ht="14.95" customHeight="1" thickBot="1" x14ac:dyDescent="0.3">
      <c r="H11" s="900" t="s">
        <v>58</v>
      </c>
      <c r="I11" s="902" t="s">
        <v>92</v>
      </c>
      <c r="J11" s="903"/>
      <c r="K11" s="902" t="s">
        <v>58</v>
      </c>
      <c r="L11" s="904"/>
      <c r="M11" s="904"/>
      <c r="N11" s="904"/>
      <c r="O11" s="903"/>
      <c r="P11" s="902" t="s">
        <v>95</v>
      </c>
      <c r="Q11" s="903"/>
    </row>
    <row r="12" spans="1:18" ht="14.95" customHeight="1" thickBot="1" x14ac:dyDescent="0.3">
      <c r="H12" s="901"/>
      <c r="I12" s="220" t="s">
        <v>4</v>
      </c>
      <c r="J12" s="220" t="s">
        <v>5</v>
      </c>
      <c r="K12" s="221" t="s">
        <v>102</v>
      </c>
      <c r="L12" s="222" t="s">
        <v>103</v>
      </c>
      <c r="M12" s="222" t="s">
        <v>189</v>
      </c>
      <c r="N12" s="223" t="s">
        <v>196</v>
      </c>
      <c r="O12" s="224" t="s">
        <v>100</v>
      </c>
      <c r="P12" s="221" t="s">
        <v>4</v>
      </c>
      <c r="Q12" s="224" t="s">
        <v>5</v>
      </c>
    </row>
    <row r="13" spans="1:18" ht="14.95" customHeight="1" thickBot="1" x14ac:dyDescent="0.3">
      <c r="H13" s="81" t="s">
        <v>37</v>
      </c>
      <c r="I13" s="226">
        <v>19</v>
      </c>
      <c r="J13" s="226">
        <v>0</v>
      </c>
      <c r="K13" s="226">
        <v>20</v>
      </c>
      <c r="L13" s="226">
        <v>0</v>
      </c>
      <c r="M13" s="226">
        <v>0</v>
      </c>
      <c r="N13" s="226">
        <v>0</v>
      </c>
      <c r="O13" s="227">
        <f t="shared" ref="O13:O16" si="10">SUM(K13:N13)</f>
        <v>20</v>
      </c>
      <c r="P13" s="393">
        <f t="shared" ref="P13" si="11">SUM(I13/O13)*10</f>
        <v>9.5</v>
      </c>
      <c r="Q13" s="392">
        <f t="shared" ref="Q13" si="12">SUM(J13/O13)*10</f>
        <v>0</v>
      </c>
    </row>
    <row r="14" spans="1:18" ht="14.95" customHeight="1" thickBot="1" x14ac:dyDescent="0.3">
      <c r="H14" s="531" t="s">
        <v>29</v>
      </c>
      <c r="I14" s="226">
        <v>0</v>
      </c>
      <c r="J14" s="226">
        <v>0</v>
      </c>
      <c r="K14" s="226">
        <v>0</v>
      </c>
      <c r="L14" s="226">
        <v>0</v>
      </c>
      <c r="M14" s="226">
        <v>0</v>
      </c>
      <c r="N14" s="226">
        <v>0</v>
      </c>
      <c r="O14" s="227">
        <f t="shared" si="10"/>
        <v>0</v>
      </c>
      <c r="P14" s="580" t="s">
        <v>258</v>
      </c>
      <c r="Q14" s="581" t="s">
        <v>258</v>
      </c>
    </row>
    <row r="15" spans="1:18" ht="14.95" customHeight="1" thickBot="1" x14ac:dyDescent="0.3">
      <c r="H15" s="530" t="s">
        <v>117</v>
      </c>
      <c r="I15" s="226">
        <v>26</v>
      </c>
      <c r="J15" s="226">
        <v>0</v>
      </c>
      <c r="K15" s="226">
        <v>30</v>
      </c>
      <c r="L15" s="226">
        <v>0</v>
      </c>
      <c r="M15" s="226">
        <v>0</v>
      </c>
      <c r="N15" s="226">
        <v>0</v>
      </c>
      <c r="O15" s="227">
        <f t="shared" si="10"/>
        <v>30</v>
      </c>
      <c r="P15" s="393">
        <f t="shared" ref="P15" si="13">SUM(I15/O15)*10</f>
        <v>8.6666666666666679</v>
      </c>
      <c r="Q15" s="392">
        <f t="shared" ref="Q15" si="14">SUM(J15/O15)*10</f>
        <v>0</v>
      </c>
    </row>
    <row r="16" spans="1:18" ht="14.95" customHeight="1" thickBot="1" x14ac:dyDescent="0.3">
      <c r="H16" s="71" t="s">
        <v>170</v>
      </c>
      <c r="I16" s="226">
        <v>7</v>
      </c>
      <c r="J16" s="226">
        <v>0</v>
      </c>
      <c r="K16" s="226">
        <v>20</v>
      </c>
      <c r="L16" s="226">
        <v>0</v>
      </c>
      <c r="M16" s="226">
        <v>0</v>
      </c>
      <c r="N16" s="226">
        <v>0</v>
      </c>
      <c r="O16" s="227">
        <f t="shared" si="10"/>
        <v>20</v>
      </c>
      <c r="P16" s="393">
        <f t="shared" ref="P16" si="15">SUM(I16/O16)*10</f>
        <v>3.5</v>
      </c>
      <c r="Q16" s="392">
        <f t="shared" ref="Q16" si="16">SUM(J16/O16)*10</f>
        <v>0</v>
      </c>
    </row>
    <row r="17" spans="1:17" ht="14.95" customHeight="1" thickBot="1" x14ac:dyDescent="0.3">
      <c r="H17" s="233" t="s">
        <v>57</v>
      </c>
      <c r="I17" s="228">
        <f t="shared" ref="I17:O17" si="17">SUM(I13:I16)</f>
        <v>52</v>
      </c>
      <c r="J17" s="229">
        <f t="shared" si="17"/>
        <v>0</v>
      </c>
      <c r="K17" s="228">
        <f t="shared" si="17"/>
        <v>70</v>
      </c>
      <c r="L17" s="230">
        <f t="shared" si="17"/>
        <v>0</v>
      </c>
      <c r="M17" s="230">
        <f t="shared" si="17"/>
        <v>0</v>
      </c>
      <c r="N17" s="230">
        <f t="shared" si="17"/>
        <v>0</v>
      </c>
      <c r="O17" s="229">
        <f t="shared" si="17"/>
        <v>70</v>
      </c>
      <c r="P17" s="231">
        <f t="shared" ref="P17" si="18">SUM(I17/O17)*10</f>
        <v>7.4285714285714288</v>
      </c>
      <c r="Q17" s="232">
        <f t="shared" ref="Q17" si="19">SUM(J17/O17)*10</f>
        <v>0</v>
      </c>
    </row>
    <row r="18" spans="1:17" ht="14.95" customHeight="1" x14ac:dyDescent="0.25">
      <c r="H18" t="s">
        <v>58</v>
      </c>
    </row>
    <row r="19" spans="1:17" ht="14.95" customHeight="1" x14ac:dyDescent="0.25">
      <c r="H19" s="189" t="s">
        <v>190</v>
      </c>
      <c r="I19" s="189"/>
      <c r="J19" s="189"/>
      <c r="K19" s="189"/>
    </row>
    <row r="20" spans="1:17" ht="14.95" customHeight="1" x14ac:dyDescent="0.25">
      <c r="H20" s="189" t="s">
        <v>699</v>
      </c>
      <c r="I20" s="189"/>
      <c r="J20" s="189"/>
      <c r="K20" s="189"/>
    </row>
    <row r="21" spans="1:17" ht="14.95" customHeight="1" x14ac:dyDescent="0.25">
      <c r="H21" s="189" t="s">
        <v>706</v>
      </c>
      <c r="J21" s="189"/>
      <c r="K21" s="189"/>
      <c r="L21" s="189"/>
    </row>
    <row r="22" spans="1:17" ht="14.95" customHeight="1" x14ac:dyDescent="0.25">
      <c r="H22" s="189"/>
      <c r="J22" s="189"/>
      <c r="K22" s="189"/>
      <c r="L22" s="189"/>
    </row>
    <row r="23" spans="1:17" ht="14.95" customHeight="1" x14ac:dyDescent="0.25">
      <c r="H23" s="189" t="s">
        <v>185</v>
      </c>
      <c r="J23" s="189"/>
      <c r="K23" s="189"/>
      <c r="L23" s="189"/>
    </row>
    <row r="24" spans="1:17" ht="14.95" customHeight="1" x14ac:dyDescent="0.25">
      <c r="H24" s="189" t="s">
        <v>705</v>
      </c>
      <c r="J24" s="189"/>
      <c r="K24" s="189"/>
      <c r="L24" s="189"/>
    </row>
    <row r="25" spans="1:17" ht="14.95" customHeight="1" x14ac:dyDescent="0.25"/>
    <row r="26" spans="1:17" ht="14.95" customHeight="1" x14ac:dyDescent="0.25"/>
    <row r="27" spans="1:17" ht="14.95" customHeight="1" x14ac:dyDescent="0.25"/>
    <row r="28" spans="1:17" ht="14.95" customHeight="1" x14ac:dyDescent="0.25">
      <c r="A28" s="371" t="s">
        <v>28</v>
      </c>
    </row>
    <row r="29" spans="1:17" ht="14.95" customHeight="1" x14ac:dyDescent="0.25"/>
    <row r="30" spans="1:17" ht="14.95" customHeight="1" x14ac:dyDescent="0.25"/>
  </sheetData>
  <sortState xmlns:xlrd2="http://schemas.microsoft.com/office/spreadsheetml/2017/richdata2" ref="A2:F5">
    <sortCondition ref="F2:F5"/>
    <sortCondition ref="B2:B5"/>
    <sortCondition ref="D2:D5"/>
    <sortCondition ref="A2:A5"/>
  </sortState>
  <mergeCells count="11">
    <mergeCell ref="Q1:R1"/>
    <mergeCell ref="B1:C1"/>
    <mergeCell ref="D1:E1"/>
    <mergeCell ref="H1:H2"/>
    <mergeCell ref="I1:J1"/>
    <mergeCell ref="K1:O1"/>
    <mergeCell ref="A9:D9"/>
    <mergeCell ref="H11:H12"/>
    <mergeCell ref="I11:J11"/>
    <mergeCell ref="K11:O11"/>
    <mergeCell ref="P11:Q11"/>
  </mergeCell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3"/>
  <sheetViews>
    <sheetView zoomScaleNormal="100" workbookViewId="0">
      <pane ySplit="2" topLeftCell="A3" activePane="bottomLeft" state="frozen"/>
      <selection pane="bottomLeft" activeCell="W21" sqref="W21"/>
    </sheetView>
  </sheetViews>
  <sheetFormatPr defaultRowHeight="14.3" x14ac:dyDescent="0.25"/>
  <cols>
    <col min="1" max="1" width="7.5" customWidth="1"/>
    <col min="2" max="2" width="5.125" bestFit="1" customWidth="1"/>
    <col min="3" max="3" width="11.5" customWidth="1"/>
    <col min="4" max="4" width="4.875" bestFit="1" customWidth="1"/>
    <col min="5" max="5" width="3.625" customWidth="1"/>
    <col min="6" max="7" width="4" bestFit="1" customWidth="1"/>
    <col min="8" max="18" width="3.625" customWidth="1"/>
    <col min="19" max="20" width="6.375" customWidth="1"/>
    <col min="21" max="21" width="30.5" bestFit="1" customWidth="1"/>
    <col min="22" max="23" width="31" bestFit="1" customWidth="1"/>
    <col min="24" max="24" width="30.5" customWidth="1"/>
    <col min="25" max="40" width="3.625" customWidth="1"/>
    <col min="42" max="42" width="13.125" bestFit="1" customWidth="1"/>
    <col min="45" max="45" width="13.125" bestFit="1" customWidth="1"/>
  </cols>
  <sheetData>
    <row r="1" spans="1:46" ht="14.95" customHeight="1" thickBot="1" x14ac:dyDescent="0.3">
      <c r="A1" s="924" t="s">
        <v>201</v>
      </c>
      <c r="B1" s="925"/>
      <c r="C1" s="925"/>
      <c r="D1" s="848"/>
      <c r="E1" s="921" t="s">
        <v>24</v>
      </c>
      <c r="F1" s="923"/>
      <c r="G1" s="922"/>
      <c r="H1" s="921" t="s">
        <v>23</v>
      </c>
      <c r="I1" s="922"/>
      <c r="J1" s="926" t="s">
        <v>6</v>
      </c>
      <c r="K1" s="927"/>
      <c r="L1" s="927"/>
      <c r="M1" s="928"/>
      <c r="N1" s="926" t="s">
        <v>7</v>
      </c>
      <c r="O1" s="928"/>
      <c r="P1" s="926" t="s">
        <v>25</v>
      </c>
      <c r="Q1" s="927"/>
      <c r="R1" s="928"/>
      <c r="S1" s="849" t="s">
        <v>8</v>
      </c>
      <c r="T1" s="849" t="s">
        <v>9</v>
      </c>
      <c r="U1" s="850" t="s">
        <v>10</v>
      </c>
      <c r="V1" s="851" t="s">
        <v>11</v>
      </c>
      <c r="W1" s="852" t="s">
        <v>26</v>
      </c>
      <c r="X1" s="853" t="s">
        <v>27</v>
      </c>
      <c r="Y1" s="932" t="s">
        <v>20</v>
      </c>
      <c r="Z1" s="933"/>
      <c r="AA1" s="933"/>
      <c r="AB1" s="934"/>
      <c r="AC1" s="932" t="s">
        <v>61</v>
      </c>
      <c r="AD1" s="933"/>
      <c r="AE1" s="933"/>
      <c r="AF1" s="934"/>
      <c r="AG1" s="932" t="s">
        <v>62</v>
      </c>
      <c r="AH1" s="933"/>
      <c r="AI1" s="933"/>
      <c r="AJ1" s="934"/>
      <c r="AK1" s="935" t="s">
        <v>63</v>
      </c>
      <c r="AL1" s="936"/>
      <c r="AM1" s="936"/>
      <c r="AN1" s="936"/>
      <c r="AP1" s="865" t="s">
        <v>140</v>
      </c>
      <c r="AQ1" s="14"/>
      <c r="AS1" s="865" t="s">
        <v>140</v>
      </c>
    </row>
    <row r="2" spans="1:46" ht="14.95" customHeight="1" thickBot="1" x14ac:dyDescent="0.3">
      <c r="A2" s="854" t="s">
        <v>19</v>
      </c>
      <c r="B2" s="855" t="s">
        <v>18</v>
      </c>
      <c r="C2" s="856" t="s">
        <v>17</v>
      </c>
      <c r="D2" s="857" t="s">
        <v>41</v>
      </c>
      <c r="E2" s="857" t="s">
        <v>16</v>
      </c>
      <c r="F2" s="857" t="s">
        <v>4</v>
      </c>
      <c r="G2" s="857" t="s">
        <v>5</v>
      </c>
      <c r="H2" s="858" t="s">
        <v>12</v>
      </c>
      <c r="I2" s="858" t="s">
        <v>3</v>
      </c>
      <c r="J2" s="858" t="s">
        <v>12</v>
      </c>
      <c r="K2" s="858" t="s">
        <v>13</v>
      </c>
      <c r="L2" s="858" t="s">
        <v>2</v>
      </c>
      <c r="M2" s="858" t="s">
        <v>14</v>
      </c>
      <c r="N2" s="858" t="s">
        <v>15</v>
      </c>
      <c r="O2" s="858" t="s">
        <v>16</v>
      </c>
      <c r="P2" s="858" t="s">
        <v>21</v>
      </c>
      <c r="Q2" s="858" t="s">
        <v>22</v>
      </c>
      <c r="R2" s="858" t="s">
        <v>12</v>
      </c>
      <c r="S2" s="859"/>
      <c r="T2" s="860"/>
      <c r="U2" s="861"/>
      <c r="V2" s="859"/>
      <c r="W2" s="862"/>
      <c r="X2" s="863"/>
      <c r="Y2" s="864" t="s">
        <v>0</v>
      </c>
      <c r="Z2" s="864" t="s">
        <v>1</v>
      </c>
      <c r="AA2" s="864" t="s">
        <v>2</v>
      </c>
      <c r="AB2" s="864" t="s">
        <v>3</v>
      </c>
      <c r="AC2" s="864" t="s">
        <v>0</v>
      </c>
      <c r="AD2" s="864" t="s">
        <v>1</v>
      </c>
      <c r="AE2" s="864" t="s">
        <v>2</v>
      </c>
      <c r="AF2" s="864" t="s">
        <v>3</v>
      </c>
      <c r="AG2" s="864" t="s">
        <v>0</v>
      </c>
      <c r="AH2" s="864" t="s">
        <v>1</v>
      </c>
      <c r="AI2" s="864" t="s">
        <v>2</v>
      </c>
      <c r="AJ2" s="864" t="s">
        <v>3</v>
      </c>
      <c r="AK2" s="864" t="s">
        <v>0</v>
      </c>
      <c r="AL2" s="864" t="s">
        <v>1</v>
      </c>
      <c r="AM2" s="864" t="s">
        <v>2</v>
      </c>
      <c r="AN2" s="864" t="s">
        <v>3</v>
      </c>
      <c r="AP2" s="305" t="s">
        <v>107</v>
      </c>
      <c r="AQ2" s="189"/>
      <c r="AS2" s="336" t="s">
        <v>128</v>
      </c>
      <c r="AT2" s="189"/>
    </row>
    <row r="3" spans="1:46" ht="14.95" customHeight="1" thickBot="1" x14ac:dyDescent="0.3">
      <c r="A3" s="423" t="s">
        <v>631</v>
      </c>
      <c r="B3" s="424" t="s">
        <v>541</v>
      </c>
      <c r="C3" s="424" t="s">
        <v>117</v>
      </c>
      <c r="D3" s="424" t="s">
        <v>194</v>
      </c>
      <c r="E3" s="425" t="s">
        <v>3</v>
      </c>
      <c r="F3" s="425">
        <v>12</v>
      </c>
      <c r="G3" s="425">
        <v>41</v>
      </c>
      <c r="H3" s="425">
        <v>0</v>
      </c>
      <c r="I3" s="425">
        <v>0</v>
      </c>
      <c r="J3" s="425">
        <v>2</v>
      </c>
      <c r="K3" s="425">
        <v>1</v>
      </c>
      <c r="L3" s="425">
        <v>0</v>
      </c>
      <c r="M3" s="425">
        <v>0</v>
      </c>
      <c r="N3" s="425">
        <v>1</v>
      </c>
      <c r="O3" s="425">
        <v>0</v>
      </c>
      <c r="P3" s="425">
        <v>1</v>
      </c>
      <c r="Q3" s="425">
        <v>0</v>
      </c>
      <c r="R3" s="425">
        <v>7</v>
      </c>
      <c r="S3" s="426">
        <v>40000</v>
      </c>
      <c r="T3" s="427" t="s">
        <v>545</v>
      </c>
      <c r="U3" s="428" t="s">
        <v>265</v>
      </c>
      <c r="V3" s="426" t="s">
        <v>432</v>
      </c>
      <c r="W3" s="429" t="s">
        <v>280</v>
      </c>
      <c r="X3" s="430" t="s">
        <v>281</v>
      </c>
      <c r="Y3" s="431">
        <v>1</v>
      </c>
      <c r="Z3" s="431">
        <v>0</v>
      </c>
      <c r="AA3" s="431">
        <v>0</v>
      </c>
      <c r="AB3" s="432">
        <v>1</v>
      </c>
      <c r="AC3" s="431">
        <v>1</v>
      </c>
      <c r="AD3" s="431">
        <v>0</v>
      </c>
      <c r="AE3" s="431">
        <v>0</v>
      </c>
      <c r="AF3" s="432">
        <v>1</v>
      </c>
      <c r="AG3" s="431">
        <v>0</v>
      </c>
      <c r="AH3" s="431">
        <v>0</v>
      </c>
      <c r="AI3" s="431">
        <v>0</v>
      </c>
      <c r="AJ3" s="432">
        <v>0</v>
      </c>
      <c r="AK3" s="431">
        <v>0</v>
      </c>
      <c r="AL3" s="431">
        <v>0</v>
      </c>
      <c r="AM3" s="431">
        <v>0</v>
      </c>
      <c r="AN3" s="432">
        <v>0</v>
      </c>
      <c r="AP3" s="316" t="s">
        <v>130</v>
      </c>
      <c r="AQ3" s="317">
        <f>Argentinaalltestsplayed</f>
        <v>489</v>
      </c>
      <c r="AS3" s="316" t="s">
        <v>130</v>
      </c>
      <c r="AT3" s="317">
        <f>ArgentinaWChistplayed</f>
        <v>48</v>
      </c>
    </row>
    <row r="4" spans="1:46" ht="14.95" customHeight="1" thickBot="1" x14ac:dyDescent="0.3">
      <c r="A4" s="396" t="s">
        <v>632</v>
      </c>
      <c r="B4" s="398" t="s">
        <v>541</v>
      </c>
      <c r="C4" s="398" t="s">
        <v>29</v>
      </c>
      <c r="D4" s="398" t="s">
        <v>628</v>
      </c>
      <c r="E4" s="399" t="s">
        <v>1</v>
      </c>
      <c r="F4" s="399">
        <v>34</v>
      </c>
      <c r="G4" s="399">
        <v>31</v>
      </c>
      <c r="H4" s="399">
        <v>0</v>
      </c>
      <c r="I4" s="399">
        <v>0</v>
      </c>
      <c r="J4" s="399">
        <v>4</v>
      </c>
      <c r="K4" s="399">
        <v>4</v>
      </c>
      <c r="L4" s="399">
        <v>0</v>
      </c>
      <c r="M4" s="399">
        <v>2</v>
      </c>
      <c r="N4" s="399">
        <v>0</v>
      </c>
      <c r="O4" s="399">
        <v>0</v>
      </c>
      <c r="P4" s="399">
        <v>0</v>
      </c>
      <c r="Q4" s="399">
        <v>1</v>
      </c>
      <c r="R4" s="399">
        <v>4</v>
      </c>
      <c r="S4" s="406">
        <v>28000</v>
      </c>
      <c r="T4" s="672" t="s">
        <v>580</v>
      </c>
      <c r="U4" s="401" t="s">
        <v>433</v>
      </c>
      <c r="V4" s="406" t="s">
        <v>413</v>
      </c>
      <c r="W4" s="401" t="s">
        <v>269</v>
      </c>
      <c r="X4" s="409" t="s">
        <v>272</v>
      </c>
      <c r="Y4" s="404">
        <v>1</v>
      </c>
      <c r="Z4" s="404">
        <v>1</v>
      </c>
      <c r="AA4" s="404">
        <v>0</v>
      </c>
      <c r="AB4" s="405">
        <v>0</v>
      </c>
      <c r="AC4" s="404">
        <v>0</v>
      </c>
      <c r="AD4" s="404">
        <v>0</v>
      </c>
      <c r="AE4" s="404">
        <v>0</v>
      </c>
      <c r="AF4" s="405">
        <v>0</v>
      </c>
      <c r="AG4" s="404">
        <v>1</v>
      </c>
      <c r="AH4" s="404">
        <v>1</v>
      </c>
      <c r="AI4" s="404">
        <v>0</v>
      </c>
      <c r="AJ4" s="405">
        <v>0</v>
      </c>
      <c r="AK4" s="404">
        <v>0</v>
      </c>
      <c r="AL4" s="404">
        <v>0</v>
      </c>
      <c r="AM4" s="404">
        <v>0</v>
      </c>
      <c r="AN4" s="405">
        <v>0</v>
      </c>
      <c r="AP4" s="318" t="s">
        <v>131</v>
      </c>
      <c r="AQ4" s="319">
        <f>Argentinaalltestswon</f>
        <v>244</v>
      </c>
      <c r="AS4" s="318" t="s">
        <v>131</v>
      </c>
      <c r="AT4" s="319">
        <f>ArgentinaWChistwon</f>
        <v>25</v>
      </c>
    </row>
    <row r="5" spans="1:46" ht="14.95" customHeight="1" thickBot="1" x14ac:dyDescent="0.3">
      <c r="A5" s="396" t="s">
        <v>332</v>
      </c>
      <c r="B5" s="411" t="s">
        <v>541</v>
      </c>
      <c r="C5" s="398" t="s">
        <v>170</v>
      </c>
      <c r="D5" s="397" t="s">
        <v>630</v>
      </c>
      <c r="E5" s="399" t="s">
        <v>3</v>
      </c>
      <c r="F5" s="399">
        <v>21</v>
      </c>
      <c r="G5" s="399">
        <v>22</v>
      </c>
      <c r="H5" s="399">
        <v>0</v>
      </c>
      <c r="I5" s="399">
        <v>1</v>
      </c>
      <c r="J5" s="399">
        <v>2</v>
      </c>
      <c r="K5" s="399">
        <v>1</v>
      </c>
      <c r="L5" s="399">
        <v>0</v>
      </c>
      <c r="M5" s="399">
        <v>3</v>
      </c>
      <c r="N5" s="399">
        <v>0</v>
      </c>
      <c r="O5" s="399">
        <v>0</v>
      </c>
      <c r="P5" s="399">
        <v>0</v>
      </c>
      <c r="Q5" s="399">
        <v>0</v>
      </c>
      <c r="R5" s="399">
        <v>3</v>
      </c>
      <c r="S5" s="406">
        <v>45000</v>
      </c>
      <c r="T5" s="410" t="s">
        <v>701</v>
      </c>
      <c r="U5" s="401" t="s">
        <v>346</v>
      </c>
      <c r="V5" s="406" t="s">
        <v>432</v>
      </c>
      <c r="W5" s="401" t="s">
        <v>402</v>
      </c>
      <c r="X5" s="409" t="s">
        <v>349</v>
      </c>
      <c r="Y5" s="404">
        <v>1</v>
      </c>
      <c r="Z5" s="404">
        <v>0</v>
      </c>
      <c r="AA5" s="404">
        <v>0</v>
      </c>
      <c r="AB5" s="405">
        <v>1</v>
      </c>
      <c r="AC5" s="404">
        <v>0</v>
      </c>
      <c r="AD5" s="404">
        <v>0</v>
      </c>
      <c r="AE5" s="404">
        <v>0</v>
      </c>
      <c r="AF5" s="405">
        <v>0</v>
      </c>
      <c r="AG5" s="404">
        <v>1</v>
      </c>
      <c r="AH5" s="404">
        <v>0</v>
      </c>
      <c r="AI5" s="404">
        <v>0</v>
      </c>
      <c r="AJ5" s="405">
        <v>1</v>
      </c>
      <c r="AK5" s="404">
        <v>0</v>
      </c>
      <c r="AL5" s="404">
        <v>0</v>
      </c>
      <c r="AM5" s="404">
        <v>0</v>
      </c>
      <c r="AN5" s="405">
        <v>0</v>
      </c>
      <c r="AP5" s="318" t="s">
        <v>137</v>
      </c>
      <c r="AQ5" s="319">
        <f>Argentinaalltestsdrawn</f>
        <v>13</v>
      </c>
      <c r="AS5" s="318" t="s">
        <v>137</v>
      </c>
      <c r="AT5" s="319">
        <f>ArgentinaWChistdrawn</f>
        <v>0</v>
      </c>
    </row>
    <row r="6" spans="1:46" ht="14.95" customHeight="1" thickBot="1" x14ac:dyDescent="0.35">
      <c r="A6" s="423" t="s">
        <v>322</v>
      </c>
      <c r="B6" s="424" t="s">
        <v>45</v>
      </c>
      <c r="C6" s="424" t="s">
        <v>170</v>
      </c>
      <c r="D6" s="424" t="s">
        <v>195</v>
      </c>
      <c r="E6" s="425" t="s">
        <v>3</v>
      </c>
      <c r="F6" s="425">
        <v>13</v>
      </c>
      <c r="G6" s="425">
        <v>24</v>
      </c>
      <c r="H6" s="425" t="s">
        <v>106</v>
      </c>
      <c r="I6" s="425" t="s">
        <v>106</v>
      </c>
      <c r="J6" s="425">
        <v>1</v>
      </c>
      <c r="K6" s="425">
        <v>1</v>
      </c>
      <c r="L6" s="425">
        <v>0</v>
      </c>
      <c r="M6" s="425">
        <v>2</v>
      </c>
      <c r="N6" s="425">
        <v>0</v>
      </c>
      <c r="O6" s="425">
        <v>0</v>
      </c>
      <c r="P6" s="425" t="s">
        <v>106</v>
      </c>
      <c r="Q6" s="425" t="s">
        <v>106</v>
      </c>
      <c r="R6" s="425">
        <v>2</v>
      </c>
      <c r="S6" s="429">
        <v>60000</v>
      </c>
      <c r="T6" s="841" t="s">
        <v>747</v>
      </c>
      <c r="U6" s="434" t="s">
        <v>402</v>
      </c>
      <c r="V6" s="429" t="s">
        <v>347</v>
      </c>
      <c r="W6" s="429" t="s">
        <v>346</v>
      </c>
      <c r="X6" s="435" t="s">
        <v>349</v>
      </c>
      <c r="Y6" s="431">
        <v>1</v>
      </c>
      <c r="Z6" s="431">
        <v>0</v>
      </c>
      <c r="AA6" s="431">
        <v>0</v>
      </c>
      <c r="AB6" s="432">
        <v>1</v>
      </c>
      <c r="AC6" s="431">
        <v>1</v>
      </c>
      <c r="AD6" s="431">
        <v>0</v>
      </c>
      <c r="AE6" s="431">
        <v>0</v>
      </c>
      <c r="AF6" s="432">
        <v>1</v>
      </c>
      <c r="AG6" s="431">
        <v>0</v>
      </c>
      <c r="AH6" s="431">
        <v>0</v>
      </c>
      <c r="AI6" s="431">
        <v>0</v>
      </c>
      <c r="AJ6" s="432">
        <v>0</v>
      </c>
      <c r="AK6" s="431">
        <v>0</v>
      </c>
      <c r="AL6" s="431">
        <v>0</v>
      </c>
      <c r="AM6" s="431">
        <v>0</v>
      </c>
      <c r="AN6" s="432">
        <v>0</v>
      </c>
      <c r="AP6" s="318" t="s">
        <v>132</v>
      </c>
      <c r="AQ6" s="319">
        <f>Argentinaalltestslost</f>
        <v>232</v>
      </c>
      <c r="AS6" s="318" t="s">
        <v>132</v>
      </c>
      <c r="AT6" s="319">
        <f>ArgentinaWChistlost</f>
        <v>23</v>
      </c>
    </row>
    <row r="7" spans="1:46" ht="14.95" customHeight="1" thickBot="1" x14ac:dyDescent="0.35">
      <c r="A7" s="396" t="s">
        <v>325</v>
      </c>
      <c r="B7" s="398" t="s">
        <v>45</v>
      </c>
      <c r="C7" s="398" t="s">
        <v>123</v>
      </c>
      <c r="D7" s="398" t="s">
        <v>225</v>
      </c>
      <c r="E7" s="342" t="s">
        <v>1</v>
      </c>
      <c r="F7" s="342">
        <v>62</v>
      </c>
      <c r="G7" s="342">
        <v>3</v>
      </c>
      <c r="H7" s="342" t="s">
        <v>106</v>
      </c>
      <c r="I7" s="342" t="s">
        <v>106</v>
      </c>
      <c r="J7" s="342">
        <v>9</v>
      </c>
      <c r="K7" s="342">
        <v>7</v>
      </c>
      <c r="L7" s="342">
        <v>0</v>
      </c>
      <c r="M7" s="342">
        <v>1</v>
      </c>
      <c r="N7" s="342">
        <v>0</v>
      </c>
      <c r="O7" s="342">
        <v>0</v>
      </c>
      <c r="P7" s="342" t="s">
        <v>106</v>
      </c>
      <c r="Q7" s="342" t="s">
        <v>106</v>
      </c>
      <c r="R7" s="342">
        <v>0</v>
      </c>
      <c r="S7" s="401"/>
      <c r="T7" s="456" t="s">
        <v>802</v>
      </c>
      <c r="U7" s="401" t="s">
        <v>346</v>
      </c>
      <c r="V7" s="401" t="s">
        <v>750</v>
      </c>
      <c r="W7" s="402" t="s">
        <v>391</v>
      </c>
      <c r="X7" s="403" t="s">
        <v>452</v>
      </c>
      <c r="Y7" s="404">
        <v>1</v>
      </c>
      <c r="Z7" s="405">
        <v>1</v>
      </c>
      <c r="AA7" s="405">
        <v>0</v>
      </c>
      <c r="AB7" s="405">
        <v>0</v>
      </c>
      <c r="AC7" s="405">
        <v>0</v>
      </c>
      <c r="AD7" s="405">
        <v>0</v>
      </c>
      <c r="AE7" s="405">
        <v>0</v>
      </c>
      <c r="AF7" s="405">
        <v>0</v>
      </c>
      <c r="AG7" s="405">
        <v>1</v>
      </c>
      <c r="AH7" s="405">
        <v>1</v>
      </c>
      <c r="AI7" s="405">
        <v>0</v>
      </c>
      <c r="AJ7" s="405">
        <v>0</v>
      </c>
      <c r="AK7" s="405">
        <v>0</v>
      </c>
      <c r="AL7" s="405">
        <v>0</v>
      </c>
      <c r="AM7" s="405">
        <v>0</v>
      </c>
      <c r="AN7" s="405">
        <v>0</v>
      </c>
      <c r="AP7" s="318" t="s">
        <v>138</v>
      </c>
      <c r="AQ7" s="319">
        <f>Argentinaalltestsptsscored</f>
        <v>13572</v>
      </c>
      <c r="AS7" s="318" t="s">
        <v>138</v>
      </c>
      <c r="AT7" s="319">
        <f>ArgentinaWChistptsscored</f>
        <v>1283</v>
      </c>
    </row>
    <row r="8" spans="1:46" ht="14.95" customHeight="1" thickBot="1" x14ac:dyDescent="0.3">
      <c r="A8" s="489" t="s">
        <v>326</v>
      </c>
      <c r="B8" s="490" t="s">
        <v>198</v>
      </c>
      <c r="C8" s="490" t="s">
        <v>30</v>
      </c>
      <c r="D8" s="566" t="s">
        <v>229</v>
      </c>
      <c r="E8" s="453" t="s">
        <v>3</v>
      </c>
      <c r="F8" s="453">
        <v>10</v>
      </c>
      <c r="G8" s="453">
        <v>27</v>
      </c>
      <c r="H8" s="453">
        <v>0</v>
      </c>
      <c r="I8" s="453">
        <v>0</v>
      </c>
      <c r="J8" s="453">
        <v>1</v>
      </c>
      <c r="K8" s="453">
        <v>1</v>
      </c>
      <c r="L8" s="453">
        <v>0</v>
      </c>
      <c r="M8" s="453">
        <v>1</v>
      </c>
      <c r="N8" s="453">
        <v>1</v>
      </c>
      <c r="O8" s="453">
        <v>0</v>
      </c>
      <c r="P8" s="453">
        <v>0</v>
      </c>
      <c r="Q8" s="453">
        <v>0</v>
      </c>
      <c r="R8" s="453">
        <v>0</v>
      </c>
      <c r="S8" s="463">
        <v>63118</v>
      </c>
      <c r="T8" s="493" t="s">
        <v>791</v>
      </c>
      <c r="U8" s="463" t="s">
        <v>364</v>
      </c>
      <c r="V8" s="463" t="s">
        <v>413</v>
      </c>
      <c r="W8" s="463" t="s">
        <v>826</v>
      </c>
      <c r="X8" s="565" t="s">
        <v>467</v>
      </c>
      <c r="Y8" s="364">
        <v>1</v>
      </c>
      <c r="Z8" s="454">
        <v>0</v>
      </c>
      <c r="AA8" s="454">
        <v>0</v>
      </c>
      <c r="AB8" s="454">
        <v>1</v>
      </c>
      <c r="AC8" s="454">
        <v>0</v>
      </c>
      <c r="AD8" s="454">
        <v>0</v>
      </c>
      <c r="AE8" s="454">
        <v>0</v>
      </c>
      <c r="AF8" s="454">
        <v>0</v>
      </c>
      <c r="AG8" s="454">
        <v>0</v>
      </c>
      <c r="AH8" s="454">
        <v>0</v>
      </c>
      <c r="AI8" s="454">
        <v>0</v>
      </c>
      <c r="AJ8" s="454">
        <v>0</v>
      </c>
      <c r="AK8" s="454">
        <v>1</v>
      </c>
      <c r="AL8" s="454">
        <v>0</v>
      </c>
      <c r="AM8" s="454">
        <v>0</v>
      </c>
      <c r="AN8" s="454">
        <v>1</v>
      </c>
      <c r="AP8" s="318" t="s">
        <v>139</v>
      </c>
      <c r="AQ8" s="319">
        <f>Argentinaalltestsptsagainst</f>
        <v>10267</v>
      </c>
      <c r="AS8" s="318" t="s">
        <v>139</v>
      </c>
      <c r="AT8" s="319">
        <f>ArgentinaWChistptsagainst</f>
        <v>995</v>
      </c>
    </row>
    <row r="9" spans="1:46" ht="14.95" customHeight="1" thickBot="1" x14ac:dyDescent="0.35">
      <c r="A9" s="489" t="s">
        <v>614</v>
      </c>
      <c r="B9" s="490" t="s">
        <v>198</v>
      </c>
      <c r="C9" s="490" t="s">
        <v>119</v>
      </c>
      <c r="D9" s="566" t="s">
        <v>227</v>
      </c>
      <c r="E9" s="453" t="s">
        <v>1</v>
      </c>
      <c r="F9" s="453">
        <v>19</v>
      </c>
      <c r="G9" s="453">
        <v>10</v>
      </c>
      <c r="H9" s="453">
        <v>0</v>
      </c>
      <c r="I9" s="453">
        <v>0</v>
      </c>
      <c r="J9" s="453">
        <v>1</v>
      </c>
      <c r="K9" s="453">
        <v>1</v>
      </c>
      <c r="L9" s="453">
        <v>0</v>
      </c>
      <c r="M9" s="453">
        <v>4</v>
      </c>
      <c r="N9" s="453">
        <v>0</v>
      </c>
      <c r="O9" s="453">
        <v>0</v>
      </c>
      <c r="P9" s="453">
        <v>0</v>
      </c>
      <c r="Q9" s="453">
        <v>0</v>
      </c>
      <c r="R9" s="453">
        <v>1</v>
      </c>
      <c r="S9" s="564">
        <v>38358</v>
      </c>
      <c r="T9" s="491" t="s">
        <v>901</v>
      </c>
      <c r="U9" s="463" t="s">
        <v>280</v>
      </c>
      <c r="V9" s="564" t="s">
        <v>432</v>
      </c>
      <c r="W9" s="463" t="s">
        <v>402</v>
      </c>
      <c r="X9" s="565" t="s">
        <v>281</v>
      </c>
      <c r="Y9" s="364">
        <v>1</v>
      </c>
      <c r="Z9" s="454">
        <v>1</v>
      </c>
      <c r="AA9" s="454">
        <v>0</v>
      </c>
      <c r="AB9" s="454">
        <v>0</v>
      </c>
      <c r="AC9" s="454">
        <v>0</v>
      </c>
      <c r="AD9" s="454">
        <v>0</v>
      </c>
      <c r="AE9" s="454">
        <v>0</v>
      </c>
      <c r="AF9" s="454">
        <v>0</v>
      </c>
      <c r="AG9" s="454">
        <v>0</v>
      </c>
      <c r="AH9" s="454">
        <v>0</v>
      </c>
      <c r="AI9" s="454">
        <v>0</v>
      </c>
      <c r="AJ9" s="454">
        <v>0</v>
      </c>
      <c r="AK9" s="454">
        <v>1</v>
      </c>
      <c r="AL9" s="454">
        <v>1</v>
      </c>
      <c r="AM9" s="454">
        <v>0</v>
      </c>
      <c r="AN9" s="454">
        <v>0</v>
      </c>
      <c r="AP9" s="318" t="s">
        <v>129</v>
      </c>
      <c r="AQ9" s="319">
        <f>Argentinaallteststriesscored</f>
        <v>1683</v>
      </c>
      <c r="AS9" s="318" t="s">
        <v>129</v>
      </c>
      <c r="AT9" s="319">
        <f>ArgentinaWChisttriesscored</f>
        <v>134</v>
      </c>
    </row>
    <row r="10" spans="1:46" ht="14.95" customHeight="1" thickBot="1" x14ac:dyDescent="0.35">
      <c r="A10" s="489" t="s">
        <v>361</v>
      </c>
      <c r="B10" s="490" t="s">
        <v>198</v>
      </c>
      <c r="C10" s="490" t="s">
        <v>192</v>
      </c>
      <c r="D10" s="566" t="s">
        <v>224</v>
      </c>
      <c r="E10" s="453" t="s">
        <v>1</v>
      </c>
      <c r="F10" s="453">
        <v>59</v>
      </c>
      <c r="G10" s="453">
        <v>5</v>
      </c>
      <c r="H10" s="453">
        <v>1</v>
      </c>
      <c r="I10" s="453">
        <v>0</v>
      </c>
      <c r="J10" s="453">
        <v>8</v>
      </c>
      <c r="K10" s="453">
        <v>8</v>
      </c>
      <c r="L10" s="453">
        <v>0</v>
      </c>
      <c r="M10" s="453">
        <v>1</v>
      </c>
      <c r="N10" s="453">
        <v>1</v>
      </c>
      <c r="O10" s="453">
        <v>0</v>
      </c>
      <c r="P10" s="453">
        <v>0</v>
      </c>
      <c r="Q10" s="453">
        <v>0</v>
      </c>
      <c r="R10" s="453">
        <v>1</v>
      </c>
      <c r="S10" s="463">
        <v>34000</v>
      </c>
      <c r="T10" s="491" t="s">
        <v>921</v>
      </c>
      <c r="U10" s="564" t="s">
        <v>269</v>
      </c>
      <c r="V10" s="463" t="s">
        <v>279</v>
      </c>
      <c r="W10" s="463" t="s">
        <v>346</v>
      </c>
      <c r="X10" s="565" t="s">
        <v>349</v>
      </c>
      <c r="Y10" s="364">
        <v>1</v>
      </c>
      <c r="Z10" s="454">
        <v>1</v>
      </c>
      <c r="AA10" s="454">
        <v>0</v>
      </c>
      <c r="AB10" s="454">
        <v>0</v>
      </c>
      <c r="AC10" s="454">
        <v>0</v>
      </c>
      <c r="AD10" s="454">
        <v>0</v>
      </c>
      <c r="AE10" s="454">
        <v>0</v>
      </c>
      <c r="AF10" s="454">
        <v>0</v>
      </c>
      <c r="AG10" s="454">
        <v>0</v>
      </c>
      <c r="AH10" s="454">
        <v>0</v>
      </c>
      <c r="AI10" s="454">
        <v>0</v>
      </c>
      <c r="AJ10" s="454">
        <v>0</v>
      </c>
      <c r="AK10" s="454">
        <v>1</v>
      </c>
      <c r="AL10" s="454">
        <v>1</v>
      </c>
      <c r="AM10" s="454">
        <v>0</v>
      </c>
      <c r="AN10" s="454">
        <v>0</v>
      </c>
    </row>
    <row r="11" spans="1:46" ht="14.95" customHeight="1" thickBot="1" x14ac:dyDescent="0.35">
      <c r="A11" s="489" t="s">
        <v>407</v>
      </c>
      <c r="B11" s="490" t="s">
        <v>198</v>
      </c>
      <c r="C11" s="490" t="s">
        <v>36</v>
      </c>
      <c r="D11" s="566" t="s">
        <v>224</v>
      </c>
      <c r="E11" s="453" t="s">
        <v>1</v>
      </c>
      <c r="F11" s="453">
        <v>39</v>
      </c>
      <c r="G11" s="453">
        <v>27</v>
      </c>
      <c r="H11" s="453">
        <v>1</v>
      </c>
      <c r="I11" s="453">
        <v>0</v>
      </c>
      <c r="J11" s="453">
        <v>5</v>
      </c>
      <c r="K11" s="453">
        <v>4</v>
      </c>
      <c r="L11" s="453">
        <v>0</v>
      </c>
      <c r="M11" s="453">
        <v>2</v>
      </c>
      <c r="N11" s="453">
        <v>0</v>
      </c>
      <c r="O11" s="453">
        <v>0</v>
      </c>
      <c r="P11" s="453">
        <v>0</v>
      </c>
      <c r="Q11" s="453">
        <v>0</v>
      </c>
      <c r="R11" s="453">
        <v>3</v>
      </c>
      <c r="S11" s="463">
        <v>33624</v>
      </c>
      <c r="T11" s="491" t="s">
        <v>955</v>
      </c>
      <c r="U11" s="463" t="s">
        <v>271</v>
      </c>
      <c r="V11" s="463" t="s">
        <v>270</v>
      </c>
      <c r="W11" s="463" t="s">
        <v>269</v>
      </c>
      <c r="X11" s="565" t="s">
        <v>272</v>
      </c>
      <c r="Y11" s="364">
        <v>1</v>
      </c>
      <c r="Z11" s="454">
        <v>1</v>
      </c>
      <c r="AA11" s="454">
        <v>0</v>
      </c>
      <c r="AB11" s="454">
        <v>0</v>
      </c>
      <c r="AC11" s="454">
        <v>0</v>
      </c>
      <c r="AD11" s="454">
        <v>0</v>
      </c>
      <c r="AE11" s="454">
        <v>0</v>
      </c>
      <c r="AF11" s="454">
        <v>0</v>
      </c>
      <c r="AG11" s="454">
        <v>0</v>
      </c>
      <c r="AH11" s="454">
        <v>0</v>
      </c>
      <c r="AI11" s="454">
        <v>0</v>
      </c>
      <c r="AJ11" s="454">
        <v>0</v>
      </c>
      <c r="AK11" s="454">
        <v>1</v>
      </c>
      <c r="AL11" s="454">
        <v>1</v>
      </c>
      <c r="AM11" s="454">
        <v>0</v>
      </c>
      <c r="AN11" s="454">
        <v>0</v>
      </c>
    </row>
    <row r="12" spans="1:46" ht="14.95" customHeight="1" thickBot="1" x14ac:dyDescent="0.3">
      <c r="A12" s="489" t="s">
        <v>952</v>
      </c>
      <c r="B12" s="490" t="s">
        <v>233</v>
      </c>
      <c r="C12" s="490" t="s">
        <v>32</v>
      </c>
      <c r="D12" s="566" t="s">
        <v>229</v>
      </c>
      <c r="E12" s="453" t="s">
        <v>1</v>
      </c>
      <c r="F12" s="453">
        <v>29</v>
      </c>
      <c r="G12" s="453">
        <v>17</v>
      </c>
      <c r="H12" s="453" t="s">
        <v>106</v>
      </c>
      <c r="I12" s="453" t="s">
        <v>106</v>
      </c>
      <c r="J12" s="453">
        <v>2</v>
      </c>
      <c r="K12" s="453">
        <v>2</v>
      </c>
      <c r="L12" s="453">
        <v>0</v>
      </c>
      <c r="M12" s="453">
        <v>5</v>
      </c>
      <c r="N12" s="453">
        <v>0</v>
      </c>
      <c r="O12" s="453">
        <v>0</v>
      </c>
      <c r="P12" s="453" t="s">
        <v>106</v>
      </c>
      <c r="Q12" s="453" t="s">
        <v>106</v>
      </c>
      <c r="R12" s="453">
        <v>2</v>
      </c>
      <c r="S12" s="463">
        <v>62576</v>
      </c>
      <c r="T12" s="569" t="s">
        <v>468</v>
      </c>
      <c r="U12" s="564" t="s">
        <v>973</v>
      </c>
      <c r="V12" s="463" t="s">
        <v>413</v>
      </c>
      <c r="W12" s="463" t="s">
        <v>975</v>
      </c>
      <c r="X12" s="565" t="s">
        <v>420</v>
      </c>
      <c r="Y12" s="364">
        <v>1</v>
      </c>
      <c r="Z12" s="454">
        <v>1</v>
      </c>
      <c r="AA12" s="454">
        <v>0</v>
      </c>
      <c r="AB12" s="454">
        <v>0</v>
      </c>
      <c r="AC12" s="454">
        <v>0</v>
      </c>
      <c r="AD12" s="454">
        <v>0</v>
      </c>
      <c r="AE12" s="454">
        <v>0</v>
      </c>
      <c r="AF12" s="454">
        <v>0</v>
      </c>
      <c r="AG12" s="454">
        <v>0</v>
      </c>
      <c r="AH12" s="454">
        <v>0</v>
      </c>
      <c r="AI12" s="454">
        <v>0</v>
      </c>
      <c r="AJ12" s="454">
        <v>0</v>
      </c>
      <c r="AK12" s="454">
        <v>1</v>
      </c>
      <c r="AL12" s="454">
        <v>1</v>
      </c>
      <c r="AM12" s="454">
        <v>0</v>
      </c>
      <c r="AN12" s="454">
        <v>0</v>
      </c>
    </row>
    <row r="13" spans="1:46" ht="14.95" customHeight="1" thickBot="1" x14ac:dyDescent="0.3">
      <c r="A13" s="570" t="s">
        <v>963</v>
      </c>
      <c r="B13" s="490" t="s">
        <v>234</v>
      </c>
      <c r="C13" s="490" t="s">
        <v>117</v>
      </c>
      <c r="D13" s="566" t="s">
        <v>112</v>
      </c>
      <c r="E13" s="453" t="s">
        <v>3</v>
      </c>
      <c r="F13" s="453">
        <v>6</v>
      </c>
      <c r="G13" s="453">
        <v>44</v>
      </c>
      <c r="H13" s="453" t="s">
        <v>106</v>
      </c>
      <c r="I13" s="453" t="s">
        <v>106</v>
      </c>
      <c r="J13" s="453">
        <v>0</v>
      </c>
      <c r="K13" s="453">
        <v>0</v>
      </c>
      <c r="L13" s="453">
        <v>0</v>
      </c>
      <c r="M13" s="453">
        <v>2</v>
      </c>
      <c r="N13" s="453">
        <v>0</v>
      </c>
      <c r="O13" s="453">
        <v>0</v>
      </c>
      <c r="P13" s="453" t="s">
        <v>106</v>
      </c>
      <c r="Q13" s="453" t="s">
        <v>106</v>
      </c>
      <c r="R13" s="453">
        <v>7</v>
      </c>
      <c r="S13" s="463">
        <v>77653</v>
      </c>
      <c r="T13" s="493" t="s">
        <v>984</v>
      </c>
      <c r="U13" s="463" t="s">
        <v>265</v>
      </c>
      <c r="V13" s="463" t="s">
        <v>279</v>
      </c>
      <c r="W13" s="463" t="s">
        <v>280</v>
      </c>
      <c r="X13" s="565" t="s">
        <v>263</v>
      </c>
      <c r="Y13" s="364">
        <v>1</v>
      </c>
      <c r="Z13" s="454">
        <v>0</v>
      </c>
      <c r="AA13" s="454">
        <v>0</v>
      </c>
      <c r="AB13" s="454">
        <v>1</v>
      </c>
      <c r="AC13" s="454">
        <v>0</v>
      </c>
      <c r="AD13" s="454">
        <v>0</v>
      </c>
      <c r="AE13" s="454">
        <v>0</v>
      </c>
      <c r="AF13" s="454">
        <v>0</v>
      </c>
      <c r="AG13" s="454">
        <v>0</v>
      </c>
      <c r="AH13" s="454">
        <v>0</v>
      </c>
      <c r="AI13" s="454">
        <v>0</v>
      </c>
      <c r="AJ13" s="454">
        <v>0</v>
      </c>
      <c r="AK13" s="454">
        <v>1</v>
      </c>
      <c r="AL13" s="454">
        <v>0</v>
      </c>
      <c r="AM13" s="454">
        <v>0</v>
      </c>
      <c r="AN13" s="454">
        <v>1</v>
      </c>
    </row>
    <row r="14" spans="1:46" ht="14.95" customHeight="1" thickBot="1" x14ac:dyDescent="0.3">
      <c r="A14" s="489">
        <v>45226</v>
      </c>
      <c r="B14" s="490" t="s">
        <v>983</v>
      </c>
      <c r="C14" s="490" t="s">
        <v>30</v>
      </c>
      <c r="D14" s="566" t="s">
        <v>112</v>
      </c>
      <c r="E14" s="453" t="s">
        <v>3</v>
      </c>
      <c r="F14" s="453">
        <v>23</v>
      </c>
      <c r="G14" s="453">
        <v>26</v>
      </c>
      <c r="H14" s="453" t="s">
        <v>106</v>
      </c>
      <c r="I14" s="453" t="s">
        <v>106</v>
      </c>
      <c r="J14" s="453">
        <v>2</v>
      </c>
      <c r="K14" s="453">
        <v>2</v>
      </c>
      <c r="L14" s="453">
        <v>0</v>
      </c>
      <c r="M14" s="453">
        <v>3</v>
      </c>
      <c r="N14" s="453">
        <v>0</v>
      </c>
      <c r="O14" s="453">
        <v>0</v>
      </c>
      <c r="P14" s="453" t="s">
        <v>106</v>
      </c>
      <c r="Q14" s="453" t="s">
        <v>106</v>
      </c>
      <c r="R14" s="453">
        <v>2</v>
      </c>
      <c r="S14" s="463">
        <v>77674</v>
      </c>
      <c r="T14" s="493" t="s">
        <v>987</v>
      </c>
      <c r="U14" s="463" t="s">
        <v>280</v>
      </c>
      <c r="V14" s="463" t="s">
        <v>279</v>
      </c>
      <c r="W14" s="463" t="s">
        <v>402</v>
      </c>
      <c r="X14" s="463" t="s">
        <v>346</v>
      </c>
      <c r="Y14" s="571">
        <v>1</v>
      </c>
      <c r="Z14" s="572">
        <v>0</v>
      </c>
      <c r="AA14" s="572">
        <v>0</v>
      </c>
      <c r="AB14" s="572">
        <v>1</v>
      </c>
      <c r="AC14" s="572">
        <v>0</v>
      </c>
      <c r="AD14" s="572">
        <v>0</v>
      </c>
      <c r="AE14" s="572">
        <v>0</v>
      </c>
      <c r="AF14" s="572">
        <v>0</v>
      </c>
      <c r="AG14" s="572">
        <v>0</v>
      </c>
      <c r="AH14" s="572">
        <v>0</v>
      </c>
      <c r="AI14" s="572">
        <v>0</v>
      </c>
      <c r="AJ14" s="572">
        <v>0</v>
      </c>
      <c r="AK14" s="572">
        <v>0</v>
      </c>
      <c r="AL14" s="572">
        <v>0</v>
      </c>
      <c r="AM14" s="572">
        <v>0</v>
      </c>
      <c r="AN14" s="572">
        <v>0</v>
      </c>
    </row>
    <row r="15" spans="1:46" ht="14.95" thickBot="1" x14ac:dyDescent="0.3">
      <c r="A15" s="266"/>
      <c r="B15" s="267"/>
      <c r="C15" s="929" t="s">
        <v>179</v>
      </c>
      <c r="D15" s="930"/>
      <c r="E15" s="931"/>
      <c r="F15" s="457">
        <f>SUM(F3:F5)</f>
        <v>67</v>
      </c>
      <c r="G15" s="457">
        <f t="shared" ref="G15:R15" si="0">SUM(G3:G5)</f>
        <v>94</v>
      </c>
      <c r="H15" s="457">
        <f t="shared" si="0"/>
        <v>0</v>
      </c>
      <c r="I15" s="457">
        <f t="shared" si="0"/>
        <v>1</v>
      </c>
      <c r="J15" s="457">
        <f t="shared" si="0"/>
        <v>8</v>
      </c>
      <c r="K15" s="457">
        <f t="shared" si="0"/>
        <v>6</v>
      </c>
      <c r="L15" s="457">
        <f t="shared" si="0"/>
        <v>0</v>
      </c>
      <c r="M15" s="457">
        <f t="shared" si="0"/>
        <v>5</v>
      </c>
      <c r="N15" s="457">
        <f t="shared" si="0"/>
        <v>1</v>
      </c>
      <c r="O15" s="457">
        <f t="shared" si="0"/>
        <v>0</v>
      </c>
      <c r="P15" s="457">
        <f t="shared" si="0"/>
        <v>1</v>
      </c>
      <c r="Q15" s="457">
        <f t="shared" si="0"/>
        <v>1</v>
      </c>
      <c r="R15" s="457">
        <f t="shared" si="0"/>
        <v>14</v>
      </c>
      <c r="S15" s="275"/>
      <c r="T15" s="275"/>
      <c r="U15" s="329" t="s">
        <v>974</v>
      </c>
      <c r="V15" s="275"/>
      <c r="W15" s="276"/>
      <c r="X15" s="458" t="s">
        <v>179</v>
      </c>
      <c r="Y15" s="459">
        <f t="shared" ref="Y15:AN15" si="1">SUM(Y3:Y5)</f>
        <v>3</v>
      </c>
      <c r="Z15" s="457">
        <f t="shared" si="1"/>
        <v>1</v>
      </c>
      <c r="AA15" s="457">
        <f t="shared" si="1"/>
        <v>0</v>
      </c>
      <c r="AB15" s="457">
        <f t="shared" si="1"/>
        <v>2</v>
      </c>
      <c r="AC15" s="460">
        <f t="shared" si="1"/>
        <v>1</v>
      </c>
      <c r="AD15" s="460">
        <f t="shared" si="1"/>
        <v>0</v>
      </c>
      <c r="AE15" s="460">
        <f t="shared" si="1"/>
        <v>0</v>
      </c>
      <c r="AF15" s="460">
        <f t="shared" si="1"/>
        <v>1</v>
      </c>
      <c r="AG15" s="461">
        <f t="shared" si="1"/>
        <v>2</v>
      </c>
      <c r="AH15" s="461">
        <f t="shared" si="1"/>
        <v>1</v>
      </c>
      <c r="AI15" s="461">
        <f t="shared" si="1"/>
        <v>0</v>
      </c>
      <c r="AJ15" s="461">
        <f t="shared" si="1"/>
        <v>1</v>
      </c>
      <c r="AK15" s="457">
        <f t="shared" si="1"/>
        <v>0</v>
      </c>
      <c r="AL15" s="457">
        <f t="shared" si="1"/>
        <v>0</v>
      </c>
      <c r="AM15" s="457">
        <f t="shared" si="1"/>
        <v>0</v>
      </c>
      <c r="AN15" s="457">
        <f t="shared" si="1"/>
        <v>0</v>
      </c>
    </row>
    <row r="16" spans="1:46" ht="14.95" thickBot="1" x14ac:dyDescent="0.3">
      <c r="A16" s="266"/>
      <c r="B16" s="267"/>
      <c r="C16" s="937" t="s">
        <v>166</v>
      </c>
      <c r="D16" s="938"/>
      <c r="E16" s="939"/>
      <c r="F16" s="472">
        <f>SUM(F6+F7)</f>
        <v>75</v>
      </c>
      <c r="G16" s="472">
        <f>SUM(G6+G7)</f>
        <v>27</v>
      </c>
      <c r="H16" s="472" t="s">
        <v>106</v>
      </c>
      <c r="I16" s="472" t="s">
        <v>106</v>
      </c>
      <c r="J16" s="472">
        <f t="shared" ref="J16:O16" si="2">SUM(J6+J7)</f>
        <v>10</v>
      </c>
      <c r="K16" s="472">
        <f t="shared" si="2"/>
        <v>8</v>
      </c>
      <c r="L16" s="472">
        <f t="shared" si="2"/>
        <v>0</v>
      </c>
      <c r="M16" s="472">
        <f t="shared" si="2"/>
        <v>3</v>
      </c>
      <c r="N16" s="472">
        <f t="shared" si="2"/>
        <v>0</v>
      </c>
      <c r="O16" s="472">
        <f t="shared" si="2"/>
        <v>0</v>
      </c>
      <c r="P16" s="472" t="s">
        <v>106</v>
      </c>
      <c r="Q16" s="472" t="s">
        <v>106</v>
      </c>
      <c r="R16" s="472">
        <f>SUM(R6+R7)</f>
        <v>2</v>
      </c>
      <c r="S16" s="473"/>
      <c r="T16" s="473"/>
      <c r="U16" s="329" t="s">
        <v>976</v>
      </c>
      <c r="V16" s="473"/>
      <c r="W16" s="474"/>
      <c r="X16" s="475" t="s">
        <v>166</v>
      </c>
      <c r="Y16" s="485">
        <f t="shared" ref="Y16:AN16" si="3">SUM(Y6+Y7)</f>
        <v>2</v>
      </c>
      <c r="Z16" s="472">
        <f t="shared" si="3"/>
        <v>1</v>
      </c>
      <c r="AA16" s="472">
        <f t="shared" si="3"/>
        <v>0</v>
      </c>
      <c r="AB16" s="472">
        <f t="shared" si="3"/>
        <v>1</v>
      </c>
      <c r="AC16" s="486">
        <f t="shared" si="3"/>
        <v>1</v>
      </c>
      <c r="AD16" s="486">
        <f t="shared" si="3"/>
        <v>0</v>
      </c>
      <c r="AE16" s="486">
        <f t="shared" si="3"/>
        <v>0</v>
      </c>
      <c r="AF16" s="486">
        <f t="shared" si="3"/>
        <v>1</v>
      </c>
      <c r="AG16" s="487">
        <f t="shared" si="3"/>
        <v>1</v>
      </c>
      <c r="AH16" s="487">
        <f t="shared" si="3"/>
        <v>1</v>
      </c>
      <c r="AI16" s="487">
        <f t="shared" si="3"/>
        <v>0</v>
      </c>
      <c r="AJ16" s="487">
        <f t="shared" si="3"/>
        <v>0</v>
      </c>
      <c r="AK16" s="472">
        <f t="shared" si="3"/>
        <v>0</v>
      </c>
      <c r="AL16" s="472">
        <f t="shared" si="3"/>
        <v>0</v>
      </c>
      <c r="AM16" s="472">
        <f t="shared" si="3"/>
        <v>0</v>
      </c>
      <c r="AN16" s="472">
        <f t="shared" si="3"/>
        <v>0</v>
      </c>
    </row>
    <row r="17" spans="1:40" ht="14.95" thickBot="1" x14ac:dyDescent="0.3">
      <c r="A17" s="266"/>
      <c r="B17" s="267"/>
      <c r="C17" s="940" t="s">
        <v>625</v>
      </c>
      <c r="D17" s="941"/>
      <c r="E17" s="942"/>
      <c r="F17" s="708">
        <f>SUM(F8:F11)</f>
        <v>127</v>
      </c>
      <c r="G17" s="708">
        <f t="shared" ref="G17:R17" si="4">SUM(G8:G11)</f>
        <v>69</v>
      </c>
      <c r="H17" s="708">
        <f t="shared" si="4"/>
        <v>2</v>
      </c>
      <c r="I17" s="708">
        <f t="shared" si="4"/>
        <v>0</v>
      </c>
      <c r="J17" s="708">
        <f t="shared" si="4"/>
        <v>15</v>
      </c>
      <c r="K17" s="708">
        <f t="shared" si="4"/>
        <v>14</v>
      </c>
      <c r="L17" s="708">
        <f t="shared" si="4"/>
        <v>0</v>
      </c>
      <c r="M17" s="708">
        <f t="shared" si="4"/>
        <v>8</v>
      </c>
      <c r="N17" s="708">
        <f t="shared" si="4"/>
        <v>2</v>
      </c>
      <c r="O17" s="708">
        <f t="shared" si="4"/>
        <v>0</v>
      </c>
      <c r="P17" s="708">
        <f t="shared" si="4"/>
        <v>0</v>
      </c>
      <c r="Q17" s="708">
        <f t="shared" si="4"/>
        <v>0</v>
      </c>
      <c r="R17" s="708">
        <f t="shared" si="4"/>
        <v>5</v>
      </c>
      <c r="S17" s="709"/>
      <c r="T17" s="709"/>
      <c r="U17" s="709"/>
      <c r="V17" s="709"/>
      <c r="W17" s="710"/>
      <c r="X17" s="711" t="s">
        <v>625</v>
      </c>
      <c r="Y17" s="712">
        <f t="shared" ref="Y17:AN17" si="5">SUM(Y8:Y11)</f>
        <v>4</v>
      </c>
      <c r="Z17" s="708">
        <f t="shared" si="5"/>
        <v>3</v>
      </c>
      <c r="AA17" s="708">
        <f t="shared" si="5"/>
        <v>0</v>
      </c>
      <c r="AB17" s="708">
        <f t="shared" si="5"/>
        <v>1</v>
      </c>
      <c r="AC17" s="713">
        <f t="shared" si="5"/>
        <v>0</v>
      </c>
      <c r="AD17" s="713">
        <f t="shared" si="5"/>
        <v>0</v>
      </c>
      <c r="AE17" s="713">
        <f t="shared" si="5"/>
        <v>0</v>
      </c>
      <c r="AF17" s="713">
        <f t="shared" si="5"/>
        <v>0</v>
      </c>
      <c r="AG17" s="714">
        <f t="shared" si="5"/>
        <v>0</v>
      </c>
      <c r="AH17" s="714">
        <f t="shared" si="5"/>
        <v>0</v>
      </c>
      <c r="AI17" s="714">
        <f t="shared" si="5"/>
        <v>0</v>
      </c>
      <c r="AJ17" s="714">
        <f t="shared" si="5"/>
        <v>0</v>
      </c>
      <c r="AK17" s="708">
        <f t="shared" si="5"/>
        <v>4</v>
      </c>
      <c r="AL17" s="708">
        <f t="shared" si="5"/>
        <v>3</v>
      </c>
      <c r="AM17" s="708">
        <f t="shared" si="5"/>
        <v>0</v>
      </c>
      <c r="AN17" s="708">
        <f t="shared" si="5"/>
        <v>1</v>
      </c>
    </row>
    <row r="18" spans="1:40" ht="14.95" thickBot="1" x14ac:dyDescent="0.3">
      <c r="A18" s="266"/>
      <c r="B18" s="267"/>
      <c r="C18" s="940" t="s">
        <v>626</v>
      </c>
      <c r="D18" s="943"/>
      <c r="E18" s="944"/>
      <c r="F18" s="708">
        <f>SUM(F12:F14)</f>
        <v>58</v>
      </c>
      <c r="G18" s="708">
        <f t="shared" ref="G18:R18" si="6">SUM(G12:G14)</f>
        <v>87</v>
      </c>
      <c r="H18" s="708">
        <f t="shared" si="6"/>
        <v>0</v>
      </c>
      <c r="I18" s="708">
        <f t="shared" si="6"/>
        <v>0</v>
      </c>
      <c r="J18" s="708">
        <f t="shared" si="6"/>
        <v>4</v>
      </c>
      <c r="K18" s="708">
        <f t="shared" si="6"/>
        <v>4</v>
      </c>
      <c r="L18" s="708">
        <f t="shared" si="6"/>
        <v>0</v>
      </c>
      <c r="M18" s="708">
        <f t="shared" si="6"/>
        <v>10</v>
      </c>
      <c r="N18" s="708">
        <f t="shared" si="6"/>
        <v>0</v>
      </c>
      <c r="O18" s="708">
        <f t="shared" si="6"/>
        <v>0</v>
      </c>
      <c r="P18" s="708">
        <f t="shared" si="6"/>
        <v>0</v>
      </c>
      <c r="Q18" s="708">
        <f t="shared" si="6"/>
        <v>0</v>
      </c>
      <c r="R18" s="708">
        <f t="shared" si="6"/>
        <v>11</v>
      </c>
      <c r="S18" s="709"/>
      <c r="T18" s="709"/>
      <c r="U18" s="709"/>
      <c r="V18" s="709"/>
      <c r="W18" s="710"/>
      <c r="X18" s="711" t="s">
        <v>626</v>
      </c>
      <c r="Y18" s="712">
        <f t="shared" ref="Y18:AN18" si="7">SUM(Y12:Y14)</f>
        <v>3</v>
      </c>
      <c r="Z18" s="708">
        <f t="shared" si="7"/>
        <v>1</v>
      </c>
      <c r="AA18" s="708">
        <f t="shared" si="7"/>
        <v>0</v>
      </c>
      <c r="AB18" s="708">
        <f t="shared" si="7"/>
        <v>2</v>
      </c>
      <c r="AC18" s="713">
        <f t="shared" si="7"/>
        <v>0</v>
      </c>
      <c r="AD18" s="713">
        <f t="shared" si="7"/>
        <v>0</v>
      </c>
      <c r="AE18" s="713">
        <f t="shared" si="7"/>
        <v>0</v>
      </c>
      <c r="AF18" s="713">
        <f t="shared" si="7"/>
        <v>0</v>
      </c>
      <c r="AG18" s="714">
        <f t="shared" si="7"/>
        <v>0</v>
      </c>
      <c r="AH18" s="714">
        <f t="shared" si="7"/>
        <v>0</v>
      </c>
      <c r="AI18" s="714">
        <f t="shared" si="7"/>
        <v>0</v>
      </c>
      <c r="AJ18" s="714">
        <f t="shared" si="7"/>
        <v>0</v>
      </c>
      <c r="AK18" s="708">
        <f t="shared" si="7"/>
        <v>2</v>
      </c>
      <c r="AL18" s="708">
        <f t="shared" si="7"/>
        <v>1</v>
      </c>
      <c r="AM18" s="708">
        <f t="shared" si="7"/>
        <v>0</v>
      </c>
      <c r="AN18" s="708">
        <f t="shared" si="7"/>
        <v>1</v>
      </c>
    </row>
    <row r="19" spans="1:40" ht="14.95" thickBot="1" x14ac:dyDescent="0.3">
      <c r="A19" s="266"/>
      <c r="B19" s="267"/>
      <c r="C19" s="940" t="s">
        <v>627</v>
      </c>
      <c r="D19" s="943"/>
      <c r="E19" s="944"/>
      <c r="F19" s="708">
        <f>SUM(F17+F18)</f>
        <v>185</v>
      </c>
      <c r="G19" s="708">
        <f t="shared" ref="G19:R19" si="8">SUM(G17+G18)</f>
        <v>156</v>
      </c>
      <c r="H19" s="708">
        <f t="shared" si="8"/>
        <v>2</v>
      </c>
      <c r="I19" s="708">
        <f t="shared" si="8"/>
        <v>0</v>
      </c>
      <c r="J19" s="708">
        <f t="shared" si="8"/>
        <v>19</v>
      </c>
      <c r="K19" s="708">
        <f t="shared" si="8"/>
        <v>18</v>
      </c>
      <c r="L19" s="708">
        <f t="shared" si="8"/>
        <v>0</v>
      </c>
      <c r="M19" s="708">
        <f t="shared" si="8"/>
        <v>18</v>
      </c>
      <c r="N19" s="708">
        <f t="shared" si="8"/>
        <v>2</v>
      </c>
      <c r="O19" s="708">
        <f t="shared" si="8"/>
        <v>0</v>
      </c>
      <c r="P19" s="708">
        <f t="shared" si="8"/>
        <v>0</v>
      </c>
      <c r="Q19" s="708">
        <f t="shared" si="8"/>
        <v>0</v>
      </c>
      <c r="R19" s="708">
        <f t="shared" si="8"/>
        <v>16</v>
      </c>
      <c r="S19" s="709"/>
      <c r="T19" s="709"/>
      <c r="U19" s="709"/>
      <c r="V19" s="709"/>
      <c r="W19" s="710"/>
      <c r="X19" s="711" t="s">
        <v>627</v>
      </c>
      <c r="Y19" s="712">
        <f t="shared" ref="Y19:AN19" si="9">SUM(Y17+Y18)</f>
        <v>7</v>
      </c>
      <c r="Z19" s="708">
        <f t="shared" si="9"/>
        <v>4</v>
      </c>
      <c r="AA19" s="708">
        <f t="shared" si="9"/>
        <v>0</v>
      </c>
      <c r="AB19" s="708">
        <f t="shared" si="9"/>
        <v>3</v>
      </c>
      <c r="AC19" s="713">
        <f t="shared" si="9"/>
        <v>0</v>
      </c>
      <c r="AD19" s="713">
        <f t="shared" si="9"/>
        <v>0</v>
      </c>
      <c r="AE19" s="713">
        <f t="shared" si="9"/>
        <v>0</v>
      </c>
      <c r="AF19" s="713">
        <f t="shared" si="9"/>
        <v>0</v>
      </c>
      <c r="AG19" s="714">
        <f t="shared" si="9"/>
        <v>0</v>
      </c>
      <c r="AH19" s="714">
        <f t="shared" si="9"/>
        <v>0</v>
      </c>
      <c r="AI19" s="714">
        <f t="shared" si="9"/>
        <v>0</v>
      </c>
      <c r="AJ19" s="714">
        <f t="shared" si="9"/>
        <v>0</v>
      </c>
      <c r="AK19" s="708">
        <f t="shared" si="9"/>
        <v>6</v>
      </c>
      <c r="AL19" s="708">
        <f t="shared" si="9"/>
        <v>4</v>
      </c>
      <c r="AM19" s="708">
        <f t="shared" si="9"/>
        <v>0</v>
      </c>
      <c r="AN19" s="708">
        <f t="shared" si="9"/>
        <v>2</v>
      </c>
    </row>
    <row r="20" spans="1:40" ht="14.95" thickBot="1" x14ac:dyDescent="0.3">
      <c r="A20" s="266"/>
      <c r="B20" s="267"/>
      <c r="C20" s="946" t="s">
        <v>107</v>
      </c>
      <c r="D20" s="947"/>
      <c r="E20" s="948"/>
      <c r="F20" s="343">
        <f>SUM(F3:F14)</f>
        <v>327</v>
      </c>
      <c r="G20" s="343">
        <f t="shared" ref="G20:R20" si="10">SUM(G3:G14)</f>
        <v>277</v>
      </c>
      <c r="H20" s="343">
        <f t="shared" si="10"/>
        <v>2</v>
      </c>
      <c r="I20" s="343">
        <f t="shared" si="10"/>
        <v>1</v>
      </c>
      <c r="J20" s="343">
        <f t="shared" si="10"/>
        <v>37</v>
      </c>
      <c r="K20" s="343">
        <f t="shared" si="10"/>
        <v>32</v>
      </c>
      <c r="L20" s="343">
        <f t="shared" si="10"/>
        <v>0</v>
      </c>
      <c r="M20" s="343">
        <f t="shared" si="10"/>
        <v>26</v>
      </c>
      <c r="N20" s="343">
        <f t="shared" si="10"/>
        <v>3</v>
      </c>
      <c r="O20" s="343">
        <f t="shared" si="10"/>
        <v>0</v>
      </c>
      <c r="P20" s="343">
        <f t="shared" si="10"/>
        <v>1</v>
      </c>
      <c r="Q20" s="343">
        <f t="shared" si="10"/>
        <v>1</v>
      </c>
      <c r="R20" s="343">
        <f t="shared" si="10"/>
        <v>32</v>
      </c>
      <c r="S20" s="340"/>
      <c r="T20" s="340"/>
      <c r="U20" s="340"/>
      <c r="V20" s="340"/>
      <c r="W20" s="13"/>
      <c r="X20" s="364" t="s">
        <v>107</v>
      </c>
      <c r="Y20" s="366">
        <f t="shared" ref="Y20:AN20" si="11">SUM(Y3:Y14)</f>
        <v>12</v>
      </c>
      <c r="Z20" s="343">
        <f t="shared" si="11"/>
        <v>6</v>
      </c>
      <c r="AA20" s="343">
        <f t="shared" si="11"/>
        <v>0</v>
      </c>
      <c r="AB20" s="343">
        <f t="shared" si="11"/>
        <v>6</v>
      </c>
      <c r="AC20" s="341">
        <f t="shared" si="11"/>
        <v>2</v>
      </c>
      <c r="AD20" s="341">
        <f t="shared" si="11"/>
        <v>0</v>
      </c>
      <c r="AE20" s="341">
        <f t="shared" si="11"/>
        <v>0</v>
      </c>
      <c r="AF20" s="341">
        <f t="shared" si="11"/>
        <v>2</v>
      </c>
      <c r="AG20" s="342">
        <f t="shared" si="11"/>
        <v>3</v>
      </c>
      <c r="AH20" s="342">
        <f t="shared" si="11"/>
        <v>2</v>
      </c>
      <c r="AI20" s="342">
        <f t="shared" si="11"/>
        <v>0</v>
      </c>
      <c r="AJ20" s="342">
        <f t="shared" si="11"/>
        <v>1</v>
      </c>
      <c r="AK20" s="343">
        <f t="shared" si="11"/>
        <v>6</v>
      </c>
      <c r="AL20" s="343">
        <f t="shared" si="11"/>
        <v>4</v>
      </c>
      <c r="AM20" s="343">
        <f t="shared" si="11"/>
        <v>0</v>
      </c>
      <c r="AN20" s="343">
        <f t="shared" si="11"/>
        <v>2</v>
      </c>
    </row>
    <row r="21" spans="1:40" x14ac:dyDescent="0.25">
      <c r="A21" s="266"/>
      <c r="B21" s="267"/>
      <c r="C21" s="677"/>
      <c r="D21" s="677"/>
      <c r="E21" s="677"/>
      <c r="F21" s="678"/>
      <c r="G21" s="678"/>
      <c r="H21" s="678"/>
      <c r="I21" s="678"/>
      <c r="J21" s="678"/>
      <c r="K21" s="678"/>
      <c r="L21" s="678"/>
      <c r="M21" s="678"/>
      <c r="N21" s="678"/>
      <c r="O21" s="678"/>
      <c r="P21" s="678"/>
      <c r="Q21" s="678"/>
      <c r="R21" s="678"/>
      <c r="S21" s="679"/>
      <c r="T21" s="679"/>
      <c r="U21" s="679"/>
      <c r="V21" s="679"/>
      <c r="W21" s="13"/>
      <c r="X21" s="13"/>
      <c r="Y21" s="678"/>
      <c r="Z21" s="678"/>
      <c r="AA21" s="678"/>
      <c r="AB21" s="678"/>
      <c r="AC21" s="678"/>
      <c r="AD21" s="678"/>
      <c r="AE21" s="678"/>
      <c r="AF21" s="678"/>
      <c r="AG21" s="678"/>
      <c r="AH21" s="678"/>
      <c r="AI21" s="678"/>
      <c r="AJ21" s="678"/>
      <c r="AK21" s="678"/>
      <c r="AL21" s="678"/>
      <c r="AM21" s="678"/>
      <c r="AN21" s="678"/>
    </row>
    <row r="22" spans="1:40" x14ac:dyDescent="0.25">
      <c r="A22" s="452" t="s">
        <v>629</v>
      </c>
    </row>
    <row r="23" spans="1:40" x14ac:dyDescent="0.25">
      <c r="A23" s="452" t="s">
        <v>746</v>
      </c>
      <c r="B23" s="329"/>
      <c r="C23" s="329"/>
      <c r="D23" s="329"/>
      <c r="E23" s="329"/>
      <c r="F23" s="329"/>
      <c r="G23" s="329"/>
      <c r="H23" s="329"/>
      <c r="I23" s="329"/>
      <c r="J23" s="329"/>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329"/>
      <c r="AM23" s="329"/>
      <c r="AN23" s="329"/>
    </row>
    <row r="24" spans="1:40" x14ac:dyDescent="0.25">
      <c r="A24" s="452" t="s">
        <v>633</v>
      </c>
      <c r="B24" s="329"/>
      <c r="C24" s="329"/>
      <c r="D24" s="329"/>
      <c r="E24" s="329"/>
      <c r="F24" s="329"/>
      <c r="G24" s="329"/>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c r="AH24" s="329"/>
      <c r="AI24" s="329"/>
      <c r="AJ24" s="329"/>
      <c r="AK24" s="329"/>
      <c r="AL24" s="329"/>
      <c r="AM24" s="329"/>
      <c r="AN24" s="329"/>
    </row>
    <row r="25" spans="1:40" x14ac:dyDescent="0.25">
      <c r="A25" s="452" t="s">
        <v>634</v>
      </c>
      <c r="B25" s="329"/>
      <c r="C25" s="329"/>
      <c r="D25" s="329"/>
      <c r="E25" s="329"/>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29"/>
      <c r="AM25" s="329"/>
      <c r="AN25" s="329"/>
    </row>
    <row r="26" spans="1:40" x14ac:dyDescent="0.25">
      <c r="A26" s="945" t="s">
        <v>608</v>
      </c>
      <c r="B26" s="886"/>
      <c r="C26" s="886"/>
      <c r="D26" s="886"/>
      <c r="E26" s="886"/>
      <c r="F26" s="886"/>
      <c r="G26" s="886"/>
      <c r="H26" s="886"/>
      <c r="I26" s="886"/>
      <c r="J26" s="886"/>
      <c r="K26" s="886"/>
      <c r="L26" s="886"/>
      <c r="M26" s="886"/>
      <c r="N26" s="886"/>
      <c r="O26" s="886"/>
      <c r="P26" s="886"/>
      <c r="Q26" s="886"/>
      <c r="R26" s="886"/>
      <c r="S26" s="886"/>
      <c r="T26" s="886"/>
      <c r="U26" s="886"/>
      <c r="V26" s="886"/>
      <c r="W26" s="886"/>
      <c r="X26" s="886"/>
      <c r="Y26" s="886"/>
      <c r="Z26" s="886"/>
      <c r="AA26" s="886"/>
      <c r="AB26" s="886"/>
      <c r="AC26" s="886"/>
      <c r="AD26" s="886"/>
      <c r="AE26" s="886"/>
      <c r="AF26" s="886"/>
      <c r="AG26" s="886"/>
      <c r="AH26" s="886"/>
      <c r="AI26" s="886"/>
      <c r="AJ26" s="886"/>
      <c r="AK26" s="886"/>
      <c r="AL26" s="886"/>
      <c r="AM26" s="886"/>
      <c r="AN26" s="886"/>
    </row>
    <row r="27" spans="1:40" x14ac:dyDescent="0.25">
      <c r="A27" t="s">
        <v>675</v>
      </c>
    </row>
    <row r="28" spans="1:40" x14ac:dyDescent="0.25">
      <c r="A28" t="s">
        <v>163</v>
      </c>
    </row>
    <row r="30" spans="1:40" x14ac:dyDescent="0.25">
      <c r="A30" s="575"/>
      <c r="B30" t="s">
        <v>44</v>
      </c>
    </row>
    <row r="31" spans="1:40" x14ac:dyDescent="0.25">
      <c r="A31" s="576"/>
      <c r="B31" t="s">
        <v>42</v>
      </c>
    </row>
    <row r="32" spans="1:40" x14ac:dyDescent="0.25">
      <c r="A32" s="577"/>
      <c r="B32" t="s">
        <v>43</v>
      </c>
    </row>
    <row r="33" spans="1:1" x14ac:dyDescent="0.25">
      <c r="A33" s="371" t="s">
        <v>28</v>
      </c>
    </row>
  </sheetData>
  <mergeCells count="17">
    <mergeCell ref="C16:E16"/>
    <mergeCell ref="C17:E17"/>
    <mergeCell ref="C18:E18"/>
    <mergeCell ref="C19:E19"/>
    <mergeCell ref="A26:AN26"/>
    <mergeCell ref="C20:E20"/>
    <mergeCell ref="Y1:AB1"/>
    <mergeCell ref="AC1:AF1"/>
    <mergeCell ref="AG1:AJ1"/>
    <mergeCell ref="AK1:AN1"/>
    <mergeCell ref="N1:O1"/>
    <mergeCell ref="P1:R1"/>
    <mergeCell ref="H1:I1"/>
    <mergeCell ref="E1:G1"/>
    <mergeCell ref="A1:C1"/>
    <mergeCell ref="J1:M1"/>
    <mergeCell ref="C15:E1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28"/>
  <sheetViews>
    <sheetView workbookViewId="0">
      <pane ySplit="2" topLeftCell="A3" activePane="bottomLeft" state="frozen"/>
      <selection pane="bottomLeft" activeCell="A15" sqref="A15"/>
    </sheetView>
  </sheetViews>
  <sheetFormatPr defaultRowHeight="14.95" customHeight="1" x14ac:dyDescent="0.25"/>
  <cols>
    <col min="1" max="1" width="7.5" customWidth="1"/>
    <col min="2" max="2" width="5.125" bestFit="1" customWidth="1"/>
    <col min="3" max="3" width="11.5" customWidth="1"/>
    <col min="4" max="4" width="4.875" bestFit="1" customWidth="1"/>
    <col min="5" max="5" width="3.625" customWidth="1"/>
    <col min="6" max="7" width="4" bestFit="1" customWidth="1"/>
    <col min="8" max="18" width="3.625" customWidth="1"/>
    <col min="19" max="20" width="6.375" customWidth="1"/>
    <col min="21" max="21" width="28.5" bestFit="1" customWidth="1"/>
    <col min="22" max="22" width="27.25" bestFit="1" customWidth="1"/>
    <col min="23" max="23" width="30.5" bestFit="1" customWidth="1"/>
    <col min="24" max="24" width="30.5" customWidth="1"/>
    <col min="25" max="40" width="3.625" customWidth="1"/>
    <col min="42" max="42" width="13.125" bestFit="1" customWidth="1"/>
    <col min="45" max="45" width="13.125" bestFit="1" customWidth="1"/>
  </cols>
  <sheetData>
    <row r="1" spans="1:46" ht="14.95" customHeight="1" thickBot="1" x14ac:dyDescent="0.3">
      <c r="A1" s="958" t="s">
        <v>202</v>
      </c>
      <c r="B1" s="959"/>
      <c r="C1" s="959"/>
      <c r="D1" s="140"/>
      <c r="E1" s="960" t="s">
        <v>24</v>
      </c>
      <c r="F1" s="961"/>
      <c r="G1" s="962"/>
      <c r="H1" s="960" t="s">
        <v>23</v>
      </c>
      <c r="I1" s="962"/>
      <c r="J1" s="955" t="s">
        <v>6</v>
      </c>
      <c r="K1" s="956"/>
      <c r="L1" s="956"/>
      <c r="M1" s="957"/>
      <c r="N1" s="955" t="s">
        <v>7</v>
      </c>
      <c r="O1" s="957"/>
      <c r="P1" s="955" t="s">
        <v>25</v>
      </c>
      <c r="Q1" s="956"/>
      <c r="R1" s="957"/>
      <c r="S1" s="324" t="s">
        <v>8</v>
      </c>
      <c r="T1" s="324" t="s">
        <v>9</v>
      </c>
      <c r="U1" s="17" t="s">
        <v>10</v>
      </c>
      <c r="V1" s="16" t="s">
        <v>11</v>
      </c>
      <c r="W1" s="18" t="s">
        <v>26</v>
      </c>
      <c r="X1" s="158" t="s">
        <v>27</v>
      </c>
      <c r="Y1" s="949" t="s">
        <v>20</v>
      </c>
      <c r="Z1" s="963"/>
      <c r="AA1" s="963"/>
      <c r="AB1" s="964"/>
      <c r="AC1" s="949" t="s">
        <v>61</v>
      </c>
      <c r="AD1" s="963"/>
      <c r="AE1" s="963"/>
      <c r="AF1" s="964"/>
      <c r="AG1" s="949" t="s">
        <v>62</v>
      </c>
      <c r="AH1" s="963"/>
      <c r="AI1" s="963"/>
      <c r="AJ1" s="964"/>
      <c r="AK1" s="949" t="s">
        <v>63</v>
      </c>
      <c r="AL1" s="950"/>
      <c r="AM1" s="950"/>
      <c r="AN1" s="951"/>
      <c r="AP1" s="320" t="s">
        <v>141</v>
      </c>
      <c r="AQ1" s="14"/>
      <c r="AS1" s="320" t="s">
        <v>141</v>
      </c>
    </row>
    <row r="2" spans="1:46" ht="14.95" customHeight="1" thickBot="1" x14ac:dyDescent="0.3">
      <c r="A2" s="19" t="s">
        <v>19</v>
      </c>
      <c r="B2" s="20" t="s">
        <v>18</v>
      </c>
      <c r="C2" s="21" t="s">
        <v>17</v>
      </c>
      <c r="D2" s="21" t="s">
        <v>41</v>
      </c>
      <c r="E2" s="22" t="s">
        <v>16</v>
      </c>
      <c r="F2" s="22" t="s">
        <v>4</v>
      </c>
      <c r="G2" s="22" t="s">
        <v>5</v>
      </c>
      <c r="H2" s="23" t="s">
        <v>12</v>
      </c>
      <c r="I2" s="23" t="s">
        <v>3</v>
      </c>
      <c r="J2" s="23" t="s">
        <v>12</v>
      </c>
      <c r="K2" s="23" t="s">
        <v>13</v>
      </c>
      <c r="L2" s="23" t="s">
        <v>2</v>
      </c>
      <c r="M2" s="23" t="s">
        <v>14</v>
      </c>
      <c r="N2" s="23" t="s">
        <v>15</v>
      </c>
      <c r="O2" s="23" t="s">
        <v>16</v>
      </c>
      <c r="P2" s="23" t="s">
        <v>21</v>
      </c>
      <c r="Q2" s="23" t="s">
        <v>22</v>
      </c>
      <c r="R2" s="23" t="s">
        <v>12</v>
      </c>
      <c r="S2" s="24"/>
      <c r="T2" s="25"/>
      <c r="U2" s="26"/>
      <c r="V2" s="24"/>
      <c r="W2" s="159"/>
      <c r="X2" s="27"/>
      <c r="Y2" s="289" t="s">
        <v>0</v>
      </c>
      <c r="Z2" s="289" t="s">
        <v>1</v>
      </c>
      <c r="AA2" s="289" t="s">
        <v>2</v>
      </c>
      <c r="AB2" s="289" t="s">
        <v>3</v>
      </c>
      <c r="AC2" s="289" t="s">
        <v>0</v>
      </c>
      <c r="AD2" s="289" t="s">
        <v>1</v>
      </c>
      <c r="AE2" s="289" t="s">
        <v>2</v>
      </c>
      <c r="AF2" s="289" t="s">
        <v>3</v>
      </c>
      <c r="AG2" s="289" t="s">
        <v>0</v>
      </c>
      <c r="AH2" s="289" t="s">
        <v>1</v>
      </c>
      <c r="AI2" s="289" t="s">
        <v>2</v>
      </c>
      <c r="AJ2" s="289" t="s">
        <v>3</v>
      </c>
      <c r="AK2" s="289" t="s">
        <v>0</v>
      </c>
      <c r="AL2" s="289" t="s">
        <v>1</v>
      </c>
      <c r="AM2" s="289" t="s">
        <v>2</v>
      </c>
      <c r="AN2" s="289" t="s">
        <v>3</v>
      </c>
      <c r="AP2" s="305" t="s">
        <v>107</v>
      </c>
      <c r="AQ2" s="189"/>
      <c r="AS2" s="336" t="s">
        <v>128</v>
      </c>
      <c r="AT2" s="189"/>
    </row>
    <row r="3" spans="1:46" ht="14.95" customHeight="1" thickBot="1" x14ac:dyDescent="0.3">
      <c r="A3" s="396" t="s">
        <v>631</v>
      </c>
      <c r="B3" s="398" t="s">
        <v>541</v>
      </c>
      <c r="C3" s="398" t="s">
        <v>170</v>
      </c>
      <c r="D3" s="398" t="s">
        <v>191</v>
      </c>
      <c r="E3" s="399" t="s">
        <v>3</v>
      </c>
      <c r="F3" s="399">
        <v>12</v>
      </c>
      <c r="G3" s="399">
        <v>43</v>
      </c>
      <c r="H3" s="399">
        <v>0</v>
      </c>
      <c r="I3" s="399">
        <v>0</v>
      </c>
      <c r="J3" s="399">
        <v>2</v>
      </c>
      <c r="K3" s="399">
        <v>1</v>
      </c>
      <c r="L3" s="399">
        <v>0</v>
      </c>
      <c r="M3" s="399">
        <v>0</v>
      </c>
      <c r="N3" s="399">
        <v>2</v>
      </c>
      <c r="O3" s="399">
        <v>0</v>
      </c>
      <c r="P3" s="399">
        <v>1</v>
      </c>
      <c r="Q3" s="399">
        <v>0</v>
      </c>
      <c r="R3" s="399">
        <v>6</v>
      </c>
      <c r="S3" s="406">
        <v>50089</v>
      </c>
      <c r="T3" s="410" t="s">
        <v>543</v>
      </c>
      <c r="U3" s="408" t="s">
        <v>271</v>
      </c>
      <c r="V3" s="406" t="s">
        <v>270</v>
      </c>
      <c r="W3" s="401" t="s">
        <v>269</v>
      </c>
      <c r="X3" s="409" t="s">
        <v>420</v>
      </c>
      <c r="Y3" s="404">
        <v>1</v>
      </c>
      <c r="Z3" s="404">
        <v>0</v>
      </c>
      <c r="AA3" s="404">
        <v>0</v>
      </c>
      <c r="AB3" s="405">
        <v>1</v>
      </c>
      <c r="AC3" s="404">
        <v>0</v>
      </c>
      <c r="AD3" s="404">
        <v>0</v>
      </c>
      <c r="AE3" s="404">
        <v>0</v>
      </c>
      <c r="AF3" s="405">
        <v>0</v>
      </c>
      <c r="AG3" s="404">
        <v>1</v>
      </c>
      <c r="AH3" s="404">
        <v>0</v>
      </c>
      <c r="AI3" s="404">
        <v>0</v>
      </c>
      <c r="AJ3" s="405">
        <v>1</v>
      </c>
      <c r="AK3" s="404">
        <v>0</v>
      </c>
      <c r="AL3" s="404">
        <v>0</v>
      </c>
      <c r="AM3" s="404">
        <v>0</v>
      </c>
      <c r="AN3" s="405">
        <v>0</v>
      </c>
      <c r="AP3" s="316" t="s">
        <v>130</v>
      </c>
      <c r="AQ3" s="317">
        <f>Australiaalltestshistplayed</f>
        <v>684</v>
      </c>
      <c r="AS3" s="316" t="s">
        <v>130</v>
      </c>
      <c r="AT3" s="317">
        <f>AustraliaWChistplayed</f>
        <v>57</v>
      </c>
    </row>
    <row r="4" spans="1:46" ht="14.95" customHeight="1" thickBot="1" x14ac:dyDescent="0.3">
      <c r="A4" s="423" t="s">
        <v>632</v>
      </c>
      <c r="B4" s="424" t="s">
        <v>541</v>
      </c>
      <c r="C4" s="424" t="s">
        <v>37</v>
      </c>
      <c r="D4" s="424" t="s">
        <v>628</v>
      </c>
      <c r="E4" s="425" t="s">
        <v>3</v>
      </c>
      <c r="F4" s="425">
        <v>31</v>
      </c>
      <c r="G4" s="425">
        <v>34</v>
      </c>
      <c r="H4" s="425">
        <v>0</v>
      </c>
      <c r="I4" s="425">
        <v>1</v>
      </c>
      <c r="J4" s="425">
        <v>4</v>
      </c>
      <c r="K4" s="425">
        <v>4</v>
      </c>
      <c r="L4" s="425">
        <v>0</v>
      </c>
      <c r="M4" s="425">
        <v>1</v>
      </c>
      <c r="N4" s="425">
        <v>1</v>
      </c>
      <c r="O4" s="425">
        <v>0</v>
      </c>
      <c r="P4" s="425">
        <v>0</v>
      </c>
      <c r="Q4" s="425">
        <v>0</v>
      </c>
      <c r="R4" s="425">
        <v>4</v>
      </c>
      <c r="S4" s="429">
        <v>28000</v>
      </c>
      <c r="T4" s="671" t="s">
        <v>580</v>
      </c>
      <c r="U4" s="426" t="s">
        <v>433</v>
      </c>
      <c r="V4" s="428" t="s">
        <v>413</v>
      </c>
      <c r="W4" s="429" t="s">
        <v>269</v>
      </c>
      <c r="X4" s="430" t="s">
        <v>272</v>
      </c>
      <c r="Y4" s="431">
        <v>1</v>
      </c>
      <c r="Z4" s="431">
        <v>0</v>
      </c>
      <c r="AA4" s="431">
        <v>0</v>
      </c>
      <c r="AB4" s="432">
        <v>1</v>
      </c>
      <c r="AC4" s="431">
        <v>1</v>
      </c>
      <c r="AD4" s="431">
        <v>0</v>
      </c>
      <c r="AE4" s="431">
        <v>0</v>
      </c>
      <c r="AF4" s="432">
        <v>1</v>
      </c>
      <c r="AG4" s="431">
        <v>0</v>
      </c>
      <c r="AH4" s="431">
        <v>0</v>
      </c>
      <c r="AI4" s="431">
        <v>0</v>
      </c>
      <c r="AJ4" s="432">
        <v>0</v>
      </c>
      <c r="AK4" s="431">
        <v>0</v>
      </c>
      <c r="AL4" s="431">
        <v>0</v>
      </c>
      <c r="AM4" s="431">
        <v>0</v>
      </c>
      <c r="AN4" s="432">
        <v>0</v>
      </c>
      <c r="AP4" s="318" t="s">
        <v>131</v>
      </c>
      <c r="AQ4" s="319">
        <f>Australiaalltestshistwon</f>
        <v>341</v>
      </c>
      <c r="AS4" s="318" t="s">
        <v>131</v>
      </c>
      <c r="AT4" s="319">
        <f>AustraliaWChistwon</f>
        <v>44</v>
      </c>
    </row>
    <row r="5" spans="1:46" ht="14.95" customHeight="1" thickBot="1" x14ac:dyDescent="0.3">
      <c r="A5" s="423" t="s">
        <v>332</v>
      </c>
      <c r="B5" s="436" t="s">
        <v>541</v>
      </c>
      <c r="C5" s="424" t="s">
        <v>117</v>
      </c>
      <c r="D5" s="424" t="s">
        <v>226</v>
      </c>
      <c r="E5" s="425" t="s">
        <v>3</v>
      </c>
      <c r="F5" s="425">
        <v>7</v>
      </c>
      <c r="G5" s="437">
        <v>38</v>
      </c>
      <c r="H5" s="437">
        <v>0</v>
      </c>
      <c r="I5" s="425">
        <v>0</v>
      </c>
      <c r="J5" s="425">
        <v>1</v>
      </c>
      <c r="K5" s="425">
        <v>1</v>
      </c>
      <c r="L5" s="425">
        <v>0</v>
      </c>
      <c r="M5" s="425">
        <v>0</v>
      </c>
      <c r="N5" s="425">
        <v>3</v>
      </c>
      <c r="O5" s="425">
        <v>0</v>
      </c>
      <c r="P5" s="425">
        <v>1</v>
      </c>
      <c r="Q5" s="425">
        <v>0</v>
      </c>
      <c r="R5" s="425">
        <v>6</v>
      </c>
      <c r="S5" s="429">
        <v>83944</v>
      </c>
      <c r="T5" s="433" t="s">
        <v>695</v>
      </c>
      <c r="U5" s="434" t="s">
        <v>340</v>
      </c>
      <c r="V5" s="429" t="s">
        <v>696</v>
      </c>
      <c r="W5" s="429" t="s">
        <v>263</v>
      </c>
      <c r="X5" s="428" t="s">
        <v>436</v>
      </c>
      <c r="Y5" s="431">
        <v>1</v>
      </c>
      <c r="Z5" s="431">
        <v>0</v>
      </c>
      <c r="AA5" s="431">
        <v>0</v>
      </c>
      <c r="AB5" s="432">
        <v>1</v>
      </c>
      <c r="AC5" s="431">
        <v>1</v>
      </c>
      <c r="AD5" s="431">
        <v>0</v>
      </c>
      <c r="AE5" s="431">
        <v>0</v>
      </c>
      <c r="AF5" s="432">
        <v>1</v>
      </c>
      <c r="AG5" s="431">
        <v>0</v>
      </c>
      <c r="AH5" s="431">
        <v>0</v>
      </c>
      <c r="AI5" s="431">
        <v>0</v>
      </c>
      <c r="AJ5" s="432">
        <v>0</v>
      </c>
      <c r="AK5" s="431">
        <v>0</v>
      </c>
      <c r="AL5" s="431">
        <v>0</v>
      </c>
      <c r="AM5" s="431">
        <v>0</v>
      </c>
      <c r="AN5" s="432">
        <v>0</v>
      </c>
      <c r="AP5" s="318" t="s">
        <v>137</v>
      </c>
      <c r="AQ5" s="319">
        <f>Australiaalltestshistdrawn</f>
        <v>22</v>
      </c>
      <c r="AS5" s="318" t="s">
        <v>137</v>
      </c>
      <c r="AT5" s="319">
        <f>AustraliaWChistdrawn</f>
        <v>0</v>
      </c>
    </row>
    <row r="6" spans="1:46" ht="14.95" customHeight="1" thickBot="1" x14ac:dyDescent="0.35">
      <c r="A6" s="396" t="s">
        <v>322</v>
      </c>
      <c r="B6" s="398" t="s">
        <v>221</v>
      </c>
      <c r="C6" s="398" t="s">
        <v>117</v>
      </c>
      <c r="D6" s="398" t="s">
        <v>176</v>
      </c>
      <c r="E6" s="399" t="s">
        <v>3</v>
      </c>
      <c r="F6" s="399">
        <v>20</v>
      </c>
      <c r="G6" s="400">
        <v>23</v>
      </c>
      <c r="H6" s="400" t="s">
        <v>106</v>
      </c>
      <c r="I6" s="399" t="s">
        <v>106</v>
      </c>
      <c r="J6" s="399">
        <v>2</v>
      </c>
      <c r="K6" s="399">
        <v>2</v>
      </c>
      <c r="L6" s="399">
        <v>0</v>
      </c>
      <c r="M6" s="399">
        <v>2</v>
      </c>
      <c r="N6" s="399">
        <v>0</v>
      </c>
      <c r="O6" s="399">
        <v>0</v>
      </c>
      <c r="P6" s="399" t="s">
        <v>106</v>
      </c>
      <c r="Q6" s="399" t="s">
        <v>106</v>
      </c>
      <c r="R6" s="399">
        <v>2</v>
      </c>
      <c r="S6" s="401">
        <v>28000</v>
      </c>
      <c r="T6" s="416" t="s">
        <v>738</v>
      </c>
      <c r="U6" s="402" t="s">
        <v>263</v>
      </c>
      <c r="V6" s="401" t="s">
        <v>413</v>
      </c>
      <c r="W6" s="401" t="s">
        <v>340</v>
      </c>
      <c r="X6" s="403" t="s">
        <v>436</v>
      </c>
      <c r="Y6" s="404">
        <v>1</v>
      </c>
      <c r="Z6" s="404">
        <v>0</v>
      </c>
      <c r="AA6" s="404">
        <v>0</v>
      </c>
      <c r="AB6" s="405">
        <v>1</v>
      </c>
      <c r="AC6" s="404">
        <v>0</v>
      </c>
      <c r="AD6" s="404">
        <v>0</v>
      </c>
      <c r="AE6" s="404">
        <v>0</v>
      </c>
      <c r="AF6" s="405">
        <v>0</v>
      </c>
      <c r="AG6" s="404">
        <v>1</v>
      </c>
      <c r="AH6" s="404">
        <v>0</v>
      </c>
      <c r="AI6" s="404">
        <v>0</v>
      </c>
      <c r="AJ6" s="405">
        <v>1</v>
      </c>
      <c r="AK6" s="404">
        <v>0</v>
      </c>
      <c r="AL6" s="404">
        <v>0</v>
      </c>
      <c r="AM6" s="404">
        <v>0</v>
      </c>
      <c r="AN6" s="405">
        <v>0</v>
      </c>
      <c r="AP6" s="318" t="s">
        <v>132</v>
      </c>
      <c r="AQ6" s="319">
        <f>Australiaalltestshistlost</f>
        <v>321</v>
      </c>
      <c r="AS6" s="318" t="s">
        <v>132</v>
      </c>
      <c r="AT6" s="319">
        <f>AustraliaWChistlost</f>
        <v>13</v>
      </c>
    </row>
    <row r="7" spans="1:46" ht="14.95" customHeight="1" thickBot="1" x14ac:dyDescent="0.3">
      <c r="A7" s="396" t="s">
        <v>643</v>
      </c>
      <c r="B7" s="398" t="s">
        <v>21</v>
      </c>
      <c r="C7" s="398" t="s">
        <v>34</v>
      </c>
      <c r="D7" s="398" t="s">
        <v>112</v>
      </c>
      <c r="E7" s="399" t="s">
        <v>3</v>
      </c>
      <c r="F7" s="399">
        <v>17</v>
      </c>
      <c r="G7" s="400">
        <v>41</v>
      </c>
      <c r="H7" s="455" t="s">
        <v>106</v>
      </c>
      <c r="I7" s="400" t="s">
        <v>106</v>
      </c>
      <c r="J7" s="399">
        <v>3</v>
      </c>
      <c r="K7" s="399">
        <v>1</v>
      </c>
      <c r="L7" s="399">
        <v>0</v>
      </c>
      <c r="M7" s="399">
        <v>0</v>
      </c>
      <c r="N7" s="399">
        <v>1</v>
      </c>
      <c r="O7" s="399">
        <v>0</v>
      </c>
      <c r="P7" s="399" t="s">
        <v>106</v>
      </c>
      <c r="Q7" s="399" t="s">
        <v>106</v>
      </c>
      <c r="R7" s="399">
        <v>4</v>
      </c>
      <c r="S7" s="401"/>
      <c r="T7" s="415" t="s">
        <v>807</v>
      </c>
      <c r="U7" s="402" t="s">
        <v>266</v>
      </c>
      <c r="V7" s="401" t="s">
        <v>264</v>
      </c>
      <c r="W7" s="401" t="s">
        <v>436</v>
      </c>
      <c r="X7" s="403" t="s">
        <v>414</v>
      </c>
      <c r="Y7" s="404">
        <v>1</v>
      </c>
      <c r="Z7" s="404">
        <v>0</v>
      </c>
      <c r="AA7" s="404">
        <v>0</v>
      </c>
      <c r="AB7" s="405">
        <v>1</v>
      </c>
      <c r="AC7" s="404">
        <v>0</v>
      </c>
      <c r="AD7" s="404">
        <v>0</v>
      </c>
      <c r="AE7" s="404">
        <v>0</v>
      </c>
      <c r="AF7" s="405">
        <v>0</v>
      </c>
      <c r="AG7" s="404">
        <v>1</v>
      </c>
      <c r="AH7" s="404">
        <v>0</v>
      </c>
      <c r="AI7" s="404">
        <v>0</v>
      </c>
      <c r="AJ7" s="405">
        <v>1</v>
      </c>
      <c r="AK7" s="404">
        <v>0</v>
      </c>
      <c r="AL7" s="404">
        <v>0</v>
      </c>
      <c r="AM7" s="404">
        <v>0</v>
      </c>
      <c r="AN7" s="405">
        <v>0</v>
      </c>
      <c r="AP7" s="318" t="s">
        <v>138</v>
      </c>
      <c r="AQ7" s="319">
        <f>Australiaalltestshistptsscored</f>
        <v>14482</v>
      </c>
      <c r="AS7" s="318" t="s">
        <v>138</v>
      </c>
      <c r="AT7" s="319">
        <f>AustraliaWChistptsscored</f>
        <v>1887</v>
      </c>
    </row>
    <row r="8" spans="1:46" ht="14.95" customHeight="1" thickBot="1" x14ac:dyDescent="0.35">
      <c r="A8" s="464" t="s">
        <v>326</v>
      </c>
      <c r="B8" s="566" t="s">
        <v>198</v>
      </c>
      <c r="C8" s="465" t="s">
        <v>38</v>
      </c>
      <c r="D8" s="554" t="s">
        <v>112</v>
      </c>
      <c r="E8" s="453" t="s">
        <v>1</v>
      </c>
      <c r="F8" s="453">
        <v>35</v>
      </c>
      <c r="G8" s="453">
        <v>15</v>
      </c>
      <c r="H8" s="453">
        <v>1</v>
      </c>
      <c r="I8" s="453">
        <v>0</v>
      </c>
      <c r="J8" s="453">
        <v>4</v>
      </c>
      <c r="K8" s="453">
        <v>3</v>
      </c>
      <c r="L8" s="453">
        <v>0</v>
      </c>
      <c r="M8" s="453">
        <v>3</v>
      </c>
      <c r="N8" s="453">
        <v>0</v>
      </c>
      <c r="O8" s="453">
        <v>0</v>
      </c>
      <c r="P8" s="453">
        <v>0</v>
      </c>
      <c r="Q8" s="453">
        <v>0</v>
      </c>
      <c r="R8" s="453">
        <v>2</v>
      </c>
      <c r="S8" s="463">
        <v>75770</v>
      </c>
      <c r="T8" s="491" t="s">
        <v>725</v>
      </c>
      <c r="U8" s="463" t="s">
        <v>266</v>
      </c>
      <c r="V8" s="463" t="s">
        <v>347</v>
      </c>
      <c r="W8" s="463" t="s">
        <v>272</v>
      </c>
      <c r="X8" s="565" t="s">
        <v>414</v>
      </c>
      <c r="Y8" s="364">
        <v>1</v>
      </c>
      <c r="Z8" s="364">
        <v>1</v>
      </c>
      <c r="AA8" s="364">
        <v>0</v>
      </c>
      <c r="AB8" s="454">
        <v>0</v>
      </c>
      <c r="AC8" s="364">
        <v>0</v>
      </c>
      <c r="AD8" s="364">
        <v>0</v>
      </c>
      <c r="AE8" s="364">
        <v>0</v>
      </c>
      <c r="AF8" s="454">
        <v>0</v>
      </c>
      <c r="AG8" s="364">
        <v>0</v>
      </c>
      <c r="AH8" s="364">
        <v>0</v>
      </c>
      <c r="AI8" s="364">
        <v>0</v>
      </c>
      <c r="AJ8" s="454">
        <v>0</v>
      </c>
      <c r="AK8" s="364">
        <v>1</v>
      </c>
      <c r="AL8" s="364">
        <v>1</v>
      </c>
      <c r="AM8" s="364">
        <v>0</v>
      </c>
      <c r="AN8" s="454">
        <v>0</v>
      </c>
      <c r="AP8" s="318" t="s">
        <v>139</v>
      </c>
      <c r="AQ8" s="319">
        <f>Australiaalltestshistptsagainst</f>
        <v>12512</v>
      </c>
      <c r="AS8" s="318" t="s">
        <v>139</v>
      </c>
      <c r="AT8" s="319">
        <f>AustraliaWChistptsagainst</f>
        <v>845</v>
      </c>
    </row>
    <row r="9" spans="1:46" ht="14.95" customHeight="1" thickBot="1" x14ac:dyDescent="0.3">
      <c r="A9" s="489" t="s">
        <v>327</v>
      </c>
      <c r="B9" s="566" t="s">
        <v>198</v>
      </c>
      <c r="C9" s="490" t="s">
        <v>31</v>
      </c>
      <c r="D9" s="566" t="s">
        <v>227</v>
      </c>
      <c r="E9" s="453" t="s">
        <v>3</v>
      </c>
      <c r="F9" s="453">
        <v>15</v>
      </c>
      <c r="G9" s="453">
        <v>22</v>
      </c>
      <c r="H9" s="453">
        <v>0</v>
      </c>
      <c r="I9" s="453">
        <v>1</v>
      </c>
      <c r="J9" s="453">
        <v>2</v>
      </c>
      <c r="K9" s="453">
        <v>1</v>
      </c>
      <c r="L9" s="453">
        <v>0</v>
      </c>
      <c r="M9" s="453">
        <v>1</v>
      </c>
      <c r="N9" s="453">
        <v>0</v>
      </c>
      <c r="O9" s="453">
        <v>0</v>
      </c>
      <c r="P9" s="453">
        <v>0</v>
      </c>
      <c r="Q9" s="453">
        <v>0</v>
      </c>
      <c r="R9" s="453">
        <v>1</v>
      </c>
      <c r="S9" s="463">
        <v>41294</v>
      </c>
      <c r="T9" s="493" t="s">
        <v>753</v>
      </c>
      <c r="U9" s="463" t="s">
        <v>346</v>
      </c>
      <c r="V9" s="463" t="s">
        <v>347</v>
      </c>
      <c r="W9" s="463" t="s">
        <v>433</v>
      </c>
      <c r="X9" s="565" t="s">
        <v>349</v>
      </c>
      <c r="Y9" s="364">
        <v>1</v>
      </c>
      <c r="Z9" s="454">
        <v>0</v>
      </c>
      <c r="AA9" s="454">
        <v>0</v>
      </c>
      <c r="AB9" s="454">
        <v>1</v>
      </c>
      <c r="AC9" s="454">
        <v>0</v>
      </c>
      <c r="AD9" s="454">
        <v>0</v>
      </c>
      <c r="AE9" s="454">
        <v>0</v>
      </c>
      <c r="AF9" s="454">
        <v>0</v>
      </c>
      <c r="AG9" s="454">
        <v>0</v>
      </c>
      <c r="AH9" s="454">
        <v>0</v>
      </c>
      <c r="AI9" s="454">
        <v>0</v>
      </c>
      <c r="AJ9" s="454">
        <v>0</v>
      </c>
      <c r="AK9" s="454">
        <v>1</v>
      </c>
      <c r="AL9" s="454">
        <v>0</v>
      </c>
      <c r="AM9" s="454">
        <v>0</v>
      </c>
      <c r="AN9" s="454">
        <v>1</v>
      </c>
      <c r="AP9" s="318" t="s">
        <v>129</v>
      </c>
      <c r="AQ9" s="319">
        <f>Australiaalltestshisttriesscored</f>
        <v>1796</v>
      </c>
      <c r="AS9" s="318" t="s">
        <v>129</v>
      </c>
      <c r="AT9" s="319">
        <f>AustraliaWChisttriesscored</f>
        <v>241</v>
      </c>
    </row>
    <row r="10" spans="1:46" ht="14.95" customHeight="1" thickBot="1" x14ac:dyDescent="0.3">
      <c r="A10" s="489" t="s">
        <v>360</v>
      </c>
      <c r="B10" s="566" t="s">
        <v>198</v>
      </c>
      <c r="C10" s="490" t="s">
        <v>32</v>
      </c>
      <c r="D10" s="567" t="s">
        <v>232</v>
      </c>
      <c r="E10" s="366" t="s">
        <v>3</v>
      </c>
      <c r="F10" s="453">
        <v>6</v>
      </c>
      <c r="G10" s="453">
        <v>40</v>
      </c>
      <c r="H10" s="453">
        <v>0</v>
      </c>
      <c r="I10" s="453">
        <v>0</v>
      </c>
      <c r="J10" s="453">
        <v>0</v>
      </c>
      <c r="K10" s="453">
        <v>0</v>
      </c>
      <c r="L10" s="453">
        <v>0</v>
      </c>
      <c r="M10" s="453">
        <v>2</v>
      </c>
      <c r="N10" s="453">
        <v>0</v>
      </c>
      <c r="O10" s="453">
        <v>0</v>
      </c>
      <c r="P10" s="453">
        <v>0</v>
      </c>
      <c r="Q10" s="453">
        <v>0</v>
      </c>
      <c r="R10" s="453">
        <v>3</v>
      </c>
      <c r="S10" s="463">
        <v>55296</v>
      </c>
      <c r="T10" s="493" t="s">
        <v>911</v>
      </c>
      <c r="U10" s="463" t="s">
        <v>340</v>
      </c>
      <c r="V10" s="463" t="s">
        <v>264</v>
      </c>
      <c r="W10" s="463" t="s">
        <v>266</v>
      </c>
      <c r="X10" s="463" t="s">
        <v>436</v>
      </c>
      <c r="Y10" s="364">
        <v>1</v>
      </c>
      <c r="Z10" s="454">
        <v>0</v>
      </c>
      <c r="AA10" s="454">
        <v>0</v>
      </c>
      <c r="AB10" s="454">
        <v>1</v>
      </c>
      <c r="AC10" s="454">
        <v>0</v>
      </c>
      <c r="AD10" s="454">
        <v>0</v>
      </c>
      <c r="AE10" s="454">
        <v>0</v>
      </c>
      <c r="AF10" s="454">
        <v>0</v>
      </c>
      <c r="AG10" s="454">
        <v>0</v>
      </c>
      <c r="AH10" s="454">
        <v>0</v>
      </c>
      <c r="AI10" s="454">
        <v>0</v>
      </c>
      <c r="AJ10" s="454">
        <v>0</v>
      </c>
      <c r="AK10" s="454">
        <v>1</v>
      </c>
      <c r="AL10" s="454">
        <v>0</v>
      </c>
      <c r="AM10" s="454">
        <v>0</v>
      </c>
      <c r="AN10" s="454">
        <v>1</v>
      </c>
    </row>
    <row r="11" spans="1:46" ht="14.95" customHeight="1" thickBot="1" x14ac:dyDescent="0.35">
      <c r="A11" s="489" t="s">
        <v>406</v>
      </c>
      <c r="B11" s="566" t="s">
        <v>198</v>
      </c>
      <c r="C11" s="490" t="s">
        <v>124</v>
      </c>
      <c r="D11" s="566" t="s">
        <v>227</v>
      </c>
      <c r="E11" s="366" t="s">
        <v>1</v>
      </c>
      <c r="F11" s="453">
        <v>34</v>
      </c>
      <c r="G11" s="453">
        <v>14</v>
      </c>
      <c r="H11" s="453">
        <v>1</v>
      </c>
      <c r="I11" s="453">
        <v>0</v>
      </c>
      <c r="J11" s="453">
        <v>5</v>
      </c>
      <c r="K11" s="453">
        <v>3</v>
      </c>
      <c r="L11" s="453">
        <v>0</v>
      </c>
      <c r="M11" s="453">
        <v>1</v>
      </c>
      <c r="N11" s="453">
        <v>2</v>
      </c>
      <c r="O11" s="453">
        <v>0</v>
      </c>
      <c r="P11" s="453">
        <v>0</v>
      </c>
      <c r="Q11" s="453">
        <v>0</v>
      </c>
      <c r="R11" s="453">
        <v>2</v>
      </c>
      <c r="S11" s="463">
        <v>41342</v>
      </c>
      <c r="T11" s="491" t="s">
        <v>929</v>
      </c>
      <c r="U11" s="463" t="s">
        <v>402</v>
      </c>
      <c r="V11" s="463" t="s">
        <v>431</v>
      </c>
      <c r="W11" s="564" t="s">
        <v>364</v>
      </c>
      <c r="X11" s="463" t="s">
        <v>420</v>
      </c>
      <c r="Y11" s="364">
        <v>1</v>
      </c>
      <c r="Z11" s="454">
        <v>1</v>
      </c>
      <c r="AA11" s="454">
        <v>0</v>
      </c>
      <c r="AB11" s="454">
        <v>0</v>
      </c>
      <c r="AC11" s="454">
        <v>0</v>
      </c>
      <c r="AD11" s="454">
        <v>0</v>
      </c>
      <c r="AE11" s="454">
        <v>0</v>
      </c>
      <c r="AF11" s="454">
        <v>0</v>
      </c>
      <c r="AG11" s="454">
        <v>0</v>
      </c>
      <c r="AH11" s="454">
        <v>0</v>
      </c>
      <c r="AI11" s="454">
        <v>0</v>
      </c>
      <c r="AJ11" s="454">
        <v>0</v>
      </c>
      <c r="AK11" s="454">
        <v>1</v>
      </c>
      <c r="AL11" s="454">
        <v>1</v>
      </c>
      <c r="AM11" s="454">
        <v>0</v>
      </c>
      <c r="AN11" s="454">
        <v>0</v>
      </c>
    </row>
    <row r="12" spans="1:46" ht="14.95" customHeight="1" thickBot="1" x14ac:dyDescent="0.3">
      <c r="A12" s="266"/>
      <c r="B12" s="267"/>
      <c r="C12" s="952" t="s">
        <v>179</v>
      </c>
      <c r="D12" s="953"/>
      <c r="E12" s="954"/>
      <c r="F12" s="279">
        <f t="shared" ref="F12:R12" si="0">SUM(F3:F5)</f>
        <v>50</v>
      </c>
      <c r="G12" s="279">
        <f t="shared" si="0"/>
        <v>115</v>
      </c>
      <c r="H12" s="279">
        <f t="shared" si="0"/>
        <v>0</v>
      </c>
      <c r="I12" s="279">
        <f t="shared" si="0"/>
        <v>1</v>
      </c>
      <c r="J12" s="279">
        <f t="shared" si="0"/>
        <v>7</v>
      </c>
      <c r="K12" s="279">
        <f t="shared" si="0"/>
        <v>6</v>
      </c>
      <c r="L12" s="279">
        <f t="shared" si="0"/>
        <v>0</v>
      </c>
      <c r="M12" s="279">
        <f t="shared" si="0"/>
        <v>1</v>
      </c>
      <c r="N12" s="279">
        <f t="shared" si="0"/>
        <v>6</v>
      </c>
      <c r="O12" s="279">
        <f t="shared" si="0"/>
        <v>0</v>
      </c>
      <c r="P12" s="279">
        <f t="shared" si="0"/>
        <v>2</v>
      </c>
      <c r="Q12" s="279">
        <f t="shared" si="0"/>
        <v>0</v>
      </c>
      <c r="R12" s="279">
        <f t="shared" si="0"/>
        <v>16</v>
      </c>
      <c r="S12" s="275"/>
      <c r="T12" s="275"/>
      <c r="U12" s="275"/>
      <c r="V12" s="275"/>
      <c r="W12" s="276"/>
      <c r="X12" s="363" t="s">
        <v>179</v>
      </c>
      <c r="Y12" s="365">
        <f t="shared" ref="Y12:AN12" si="1">SUM(Y3:Y5)</f>
        <v>3</v>
      </c>
      <c r="Z12" s="279">
        <f t="shared" si="1"/>
        <v>0</v>
      </c>
      <c r="AA12" s="279">
        <f t="shared" si="1"/>
        <v>0</v>
      </c>
      <c r="AB12" s="279">
        <f t="shared" si="1"/>
        <v>3</v>
      </c>
      <c r="AC12" s="277">
        <f t="shared" si="1"/>
        <v>2</v>
      </c>
      <c r="AD12" s="277">
        <f t="shared" si="1"/>
        <v>0</v>
      </c>
      <c r="AE12" s="277">
        <f t="shared" si="1"/>
        <v>0</v>
      </c>
      <c r="AF12" s="277">
        <f t="shared" si="1"/>
        <v>2</v>
      </c>
      <c r="AG12" s="278">
        <f t="shared" si="1"/>
        <v>1</v>
      </c>
      <c r="AH12" s="278">
        <f t="shared" si="1"/>
        <v>0</v>
      </c>
      <c r="AI12" s="278">
        <f t="shared" si="1"/>
        <v>0</v>
      </c>
      <c r="AJ12" s="278">
        <f t="shared" si="1"/>
        <v>1</v>
      </c>
      <c r="AK12" s="279">
        <f t="shared" si="1"/>
        <v>0</v>
      </c>
      <c r="AL12" s="279">
        <f t="shared" si="1"/>
        <v>0</v>
      </c>
      <c r="AM12" s="279">
        <f t="shared" si="1"/>
        <v>0</v>
      </c>
      <c r="AN12" s="279">
        <f t="shared" si="1"/>
        <v>0</v>
      </c>
    </row>
    <row r="13" spans="1:46" ht="14.95" customHeight="1" thickBot="1" x14ac:dyDescent="0.3">
      <c r="A13" s="266"/>
      <c r="B13" s="267"/>
      <c r="C13" s="937" t="s">
        <v>166</v>
      </c>
      <c r="D13" s="938"/>
      <c r="E13" s="939"/>
      <c r="F13" s="472">
        <f>SUM(F6+F7)</f>
        <v>37</v>
      </c>
      <c r="G13" s="472">
        <f>SUM(G6+G7)</f>
        <v>64</v>
      </c>
      <c r="H13" s="472" t="s">
        <v>106</v>
      </c>
      <c r="I13" s="472" t="s">
        <v>106</v>
      </c>
      <c r="J13" s="472">
        <f t="shared" ref="J13:O13" si="2">SUM(J6+J7)</f>
        <v>5</v>
      </c>
      <c r="K13" s="472">
        <f t="shared" si="2"/>
        <v>3</v>
      </c>
      <c r="L13" s="472">
        <f t="shared" si="2"/>
        <v>0</v>
      </c>
      <c r="M13" s="472">
        <f t="shared" si="2"/>
        <v>2</v>
      </c>
      <c r="N13" s="472">
        <f t="shared" si="2"/>
        <v>1</v>
      </c>
      <c r="O13" s="472">
        <f t="shared" si="2"/>
        <v>0</v>
      </c>
      <c r="P13" s="472" t="s">
        <v>106</v>
      </c>
      <c r="Q13" s="472" t="s">
        <v>106</v>
      </c>
      <c r="R13" s="472">
        <f>SUM(R6+R7)</f>
        <v>6</v>
      </c>
      <c r="S13" s="473"/>
      <c r="T13" s="473"/>
      <c r="U13" s="473"/>
      <c r="V13" s="473"/>
      <c r="W13" s="474"/>
      <c r="X13" s="475" t="s">
        <v>166</v>
      </c>
      <c r="Y13" s="485">
        <f t="shared" ref="Y13:AL13" si="3">SUM(Y6+Y7)</f>
        <v>2</v>
      </c>
      <c r="Z13" s="472">
        <f t="shared" si="3"/>
        <v>0</v>
      </c>
      <c r="AA13" s="472">
        <f t="shared" si="3"/>
        <v>0</v>
      </c>
      <c r="AB13" s="472">
        <f t="shared" si="3"/>
        <v>2</v>
      </c>
      <c r="AC13" s="486">
        <f t="shared" si="3"/>
        <v>0</v>
      </c>
      <c r="AD13" s="486">
        <f t="shared" si="3"/>
        <v>0</v>
      </c>
      <c r="AE13" s="486">
        <f t="shared" si="3"/>
        <v>0</v>
      </c>
      <c r="AF13" s="486">
        <f t="shared" si="3"/>
        <v>0</v>
      </c>
      <c r="AG13" s="487">
        <f t="shared" si="3"/>
        <v>2</v>
      </c>
      <c r="AH13" s="487">
        <f t="shared" si="3"/>
        <v>0</v>
      </c>
      <c r="AI13" s="487">
        <f t="shared" si="3"/>
        <v>0</v>
      </c>
      <c r="AJ13" s="487">
        <f t="shared" si="3"/>
        <v>2</v>
      </c>
      <c r="AK13" s="472">
        <f t="shared" si="3"/>
        <v>0</v>
      </c>
      <c r="AL13" s="472">
        <f t="shared" si="3"/>
        <v>0</v>
      </c>
      <c r="AM13" s="472">
        <v>0</v>
      </c>
      <c r="AN13" s="472">
        <v>0</v>
      </c>
    </row>
    <row r="14" spans="1:46" ht="14.95" customHeight="1" thickBot="1" x14ac:dyDescent="0.3">
      <c r="A14" s="266"/>
      <c r="B14" s="267"/>
      <c r="C14" s="940" t="s">
        <v>625</v>
      </c>
      <c r="D14" s="941"/>
      <c r="E14" s="942"/>
      <c r="F14" s="708">
        <f t="shared" ref="F14:R14" si="4">SUM(F8:F11)</f>
        <v>90</v>
      </c>
      <c r="G14" s="708">
        <f t="shared" si="4"/>
        <v>91</v>
      </c>
      <c r="H14" s="708">
        <f t="shared" si="4"/>
        <v>2</v>
      </c>
      <c r="I14" s="708">
        <f t="shared" si="4"/>
        <v>1</v>
      </c>
      <c r="J14" s="708">
        <f t="shared" si="4"/>
        <v>11</v>
      </c>
      <c r="K14" s="708">
        <f t="shared" si="4"/>
        <v>7</v>
      </c>
      <c r="L14" s="708">
        <f t="shared" si="4"/>
        <v>0</v>
      </c>
      <c r="M14" s="708">
        <f t="shared" si="4"/>
        <v>7</v>
      </c>
      <c r="N14" s="708">
        <f t="shared" si="4"/>
        <v>2</v>
      </c>
      <c r="O14" s="708">
        <f t="shared" si="4"/>
        <v>0</v>
      </c>
      <c r="P14" s="708">
        <f t="shared" si="4"/>
        <v>0</v>
      </c>
      <c r="Q14" s="708">
        <f t="shared" si="4"/>
        <v>0</v>
      </c>
      <c r="R14" s="708">
        <f t="shared" si="4"/>
        <v>8</v>
      </c>
      <c r="S14" s="709"/>
      <c r="T14" s="709"/>
      <c r="U14" s="709"/>
      <c r="V14" s="709"/>
      <c r="W14" s="710"/>
      <c r="X14" s="711" t="s">
        <v>625</v>
      </c>
      <c r="Y14" s="712">
        <f t="shared" ref="Y14:AN14" si="5">SUM(Y8:Y11)</f>
        <v>4</v>
      </c>
      <c r="Z14" s="708">
        <f t="shared" si="5"/>
        <v>2</v>
      </c>
      <c r="AA14" s="708">
        <f t="shared" si="5"/>
        <v>0</v>
      </c>
      <c r="AB14" s="708">
        <f t="shared" si="5"/>
        <v>2</v>
      </c>
      <c r="AC14" s="713">
        <f t="shared" si="5"/>
        <v>0</v>
      </c>
      <c r="AD14" s="713">
        <f t="shared" si="5"/>
        <v>0</v>
      </c>
      <c r="AE14" s="713">
        <f t="shared" si="5"/>
        <v>0</v>
      </c>
      <c r="AF14" s="713">
        <f t="shared" si="5"/>
        <v>0</v>
      </c>
      <c r="AG14" s="714">
        <f t="shared" si="5"/>
        <v>0</v>
      </c>
      <c r="AH14" s="714">
        <f t="shared" si="5"/>
        <v>0</v>
      </c>
      <c r="AI14" s="714">
        <f t="shared" si="5"/>
        <v>0</v>
      </c>
      <c r="AJ14" s="714">
        <f t="shared" si="5"/>
        <v>0</v>
      </c>
      <c r="AK14" s="708">
        <f t="shared" si="5"/>
        <v>4</v>
      </c>
      <c r="AL14" s="708">
        <f t="shared" si="5"/>
        <v>2</v>
      </c>
      <c r="AM14" s="708">
        <f t="shared" si="5"/>
        <v>0</v>
      </c>
      <c r="AN14" s="708">
        <f t="shared" si="5"/>
        <v>2</v>
      </c>
    </row>
    <row r="15" spans="1:46" ht="14.95" customHeight="1" thickBot="1" x14ac:dyDescent="0.3">
      <c r="A15" s="266"/>
      <c r="B15" s="267"/>
      <c r="C15" s="940" t="s">
        <v>626</v>
      </c>
      <c r="D15" s="943"/>
      <c r="E15" s="944"/>
      <c r="F15" s="708">
        <v>0</v>
      </c>
      <c r="G15" s="708">
        <v>0</v>
      </c>
      <c r="H15" s="708">
        <v>0</v>
      </c>
      <c r="I15" s="708">
        <v>0</v>
      </c>
      <c r="J15" s="708">
        <v>0</v>
      </c>
      <c r="K15" s="708">
        <v>0</v>
      </c>
      <c r="L15" s="708">
        <v>0</v>
      </c>
      <c r="M15" s="708">
        <v>0</v>
      </c>
      <c r="N15" s="708">
        <v>0</v>
      </c>
      <c r="O15" s="708">
        <v>0</v>
      </c>
      <c r="P15" s="708">
        <v>0</v>
      </c>
      <c r="Q15" s="708">
        <v>0</v>
      </c>
      <c r="R15" s="708">
        <v>0</v>
      </c>
      <c r="S15" s="709"/>
      <c r="T15" s="709"/>
      <c r="U15" s="709"/>
      <c r="V15" s="709"/>
      <c r="W15" s="710"/>
      <c r="X15" s="711" t="s">
        <v>626</v>
      </c>
      <c r="Y15" s="712">
        <v>0</v>
      </c>
      <c r="Z15" s="708">
        <v>0</v>
      </c>
      <c r="AA15" s="708">
        <v>0</v>
      </c>
      <c r="AB15" s="708">
        <v>0</v>
      </c>
      <c r="AC15" s="713">
        <v>0</v>
      </c>
      <c r="AD15" s="713">
        <v>0</v>
      </c>
      <c r="AE15" s="713">
        <v>0</v>
      </c>
      <c r="AF15" s="713">
        <v>0</v>
      </c>
      <c r="AG15" s="714">
        <v>0</v>
      </c>
      <c r="AH15" s="714">
        <v>0</v>
      </c>
      <c r="AI15" s="714">
        <v>0</v>
      </c>
      <c r="AJ15" s="714">
        <v>0</v>
      </c>
      <c r="AK15" s="708">
        <v>0</v>
      </c>
      <c r="AL15" s="708">
        <v>0</v>
      </c>
      <c r="AM15" s="708">
        <v>0</v>
      </c>
      <c r="AN15" s="708">
        <v>0</v>
      </c>
    </row>
    <row r="16" spans="1:46" ht="14.95" customHeight="1" thickBot="1" x14ac:dyDescent="0.3">
      <c r="A16" s="266"/>
      <c r="B16" s="267"/>
      <c r="C16" s="940" t="s">
        <v>627</v>
      </c>
      <c r="D16" s="943"/>
      <c r="E16" s="944"/>
      <c r="F16" s="708">
        <f>SUM(F14+F15)</f>
        <v>90</v>
      </c>
      <c r="G16" s="708">
        <f t="shared" ref="G16:R16" si="6">SUM(G14+G15)</f>
        <v>91</v>
      </c>
      <c r="H16" s="708">
        <f t="shared" si="6"/>
        <v>2</v>
      </c>
      <c r="I16" s="708">
        <f t="shared" si="6"/>
        <v>1</v>
      </c>
      <c r="J16" s="708">
        <f t="shared" si="6"/>
        <v>11</v>
      </c>
      <c r="K16" s="708">
        <f t="shared" si="6"/>
        <v>7</v>
      </c>
      <c r="L16" s="708">
        <f t="shared" si="6"/>
        <v>0</v>
      </c>
      <c r="M16" s="708">
        <f t="shared" si="6"/>
        <v>7</v>
      </c>
      <c r="N16" s="708">
        <f t="shared" si="6"/>
        <v>2</v>
      </c>
      <c r="O16" s="708">
        <f t="shared" si="6"/>
        <v>0</v>
      </c>
      <c r="P16" s="708">
        <f t="shared" si="6"/>
        <v>0</v>
      </c>
      <c r="Q16" s="708">
        <f t="shared" si="6"/>
        <v>0</v>
      </c>
      <c r="R16" s="708">
        <f t="shared" si="6"/>
        <v>8</v>
      </c>
      <c r="S16" s="709"/>
      <c r="T16" s="709"/>
      <c r="U16" s="709"/>
      <c r="V16" s="709"/>
      <c r="W16" s="710"/>
      <c r="X16" s="711" t="s">
        <v>627</v>
      </c>
      <c r="Y16" s="712">
        <f t="shared" ref="Y16:AN16" si="7">SUM(Y14+Y15)</f>
        <v>4</v>
      </c>
      <c r="Z16" s="708">
        <f t="shared" si="7"/>
        <v>2</v>
      </c>
      <c r="AA16" s="708">
        <f t="shared" si="7"/>
        <v>0</v>
      </c>
      <c r="AB16" s="708">
        <f t="shared" si="7"/>
        <v>2</v>
      </c>
      <c r="AC16" s="713">
        <f t="shared" si="7"/>
        <v>0</v>
      </c>
      <c r="AD16" s="713">
        <f t="shared" si="7"/>
        <v>0</v>
      </c>
      <c r="AE16" s="713">
        <f t="shared" si="7"/>
        <v>0</v>
      </c>
      <c r="AF16" s="713">
        <f t="shared" si="7"/>
        <v>0</v>
      </c>
      <c r="AG16" s="714">
        <f t="shared" si="7"/>
        <v>0</v>
      </c>
      <c r="AH16" s="714">
        <f t="shared" si="7"/>
        <v>0</v>
      </c>
      <c r="AI16" s="714">
        <f t="shared" si="7"/>
        <v>0</v>
      </c>
      <c r="AJ16" s="714">
        <f t="shared" si="7"/>
        <v>0</v>
      </c>
      <c r="AK16" s="708">
        <f t="shared" si="7"/>
        <v>4</v>
      </c>
      <c r="AL16" s="708">
        <f t="shared" si="7"/>
        <v>2</v>
      </c>
      <c r="AM16" s="708">
        <f t="shared" si="7"/>
        <v>0</v>
      </c>
      <c r="AN16" s="708">
        <f t="shared" si="7"/>
        <v>2</v>
      </c>
    </row>
    <row r="17" spans="1:40" ht="14.95" customHeight="1" thickBot="1" x14ac:dyDescent="0.3">
      <c r="A17" s="266"/>
      <c r="B17" s="267"/>
      <c r="C17" s="946" t="s">
        <v>107</v>
      </c>
      <c r="D17" s="947"/>
      <c r="E17" s="948"/>
      <c r="F17" s="343">
        <f t="shared" ref="F17:R17" si="8">SUM(F3:F11)</f>
        <v>177</v>
      </c>
      <c r="G17" s="343">
        <f t="shared" si="8"/>
        <v>270</v>
      </c>
      <c r="H17" s="343">
        <f t="shared" si="8"/>
        <v>2</v>
      </c>
      <c r="I17" s="343">
        <f t="shared" si="8"/>
        <v>2</v>
      </c>
      <c r="J17" s="343">
        <f t="shared" si="8"/>
        <v>23</v>
      </c>
      <c r="K17" s="343">
        <f t="shared" si="8"/>
        <v>16</v>
      </c>
      <c r="L17" s="343">
        <f t="shared" si="8"/>
        <v>0</v>
      </c>
      <c r="M17" s="343">
        <f t="shared" si="8"/>
        <v>10</v>
      </c>
      <c r="N17" s="343">
        <f t="shared" si="8"/>
        <v>9</v>
      </c>
      <c r="O17" s="343">
        <f t="shared" si="8"/>
        <v>0</v>
      </c>
      <c r="P17" s="343">
        <f t="shared" si="8"/>
        <v>2</v>
      </c>
      <c r="Q17" s="343">
        <f t="shared" si="8"/>
        <v>0</v>
      </c>
      <c r="R17" s="343">
        <f t="shared" si="8"/>
        <v>30</v>
      </c>
      <c r="S17" s="340"/>
      <c r="T17" s="340"/>
      <c r="U17" s="340"/>
      <c r="V17" s="340"/>
      <c r="W17" s="13"/>
      <c r="X17" s="364" t="s">
        <v>107</v>
      </c>
      <c r="Y17" s="366">
        <f t="shared" ref="Y17:AN17" si="9">SUM(Y3:Y11)</f>
        <v>9</v>
      </c>
      <c r="Z17" s="343">
        <f t="shared" si="9"/>
        <v>2</v>
      </c>
      <c r="AA17" s="343">
        <f t="shared" si="9"/>
        <v>0</v>
      </c>
      <c r="AB17" s="343">
        <f t="shared" si="9"/>
        <v>7</v>
      </c>
      <c r="AC17" s="341">
        <f t="shared" si="9"/>
        <v>2</v>
      </c>
      <c r="AD17" s="341">
        <f t="shared" si="9"/>
        <v>0</v>
      </c>
      <c r="AE17" s="341">
        <f t="shared" si="9"/>
        <v>0</v>
      </c>
      <c r="AF17" s="341">
        <f t="shared" si="9"/>
        <v>2</v>
      </c>
      <c r="AG17" s="342">
        <f t="shared" si="9"/>
        <v>3</v>
      </c>
      <c r="AH17" s="342">
        <f t="shared" si="9"/>
        <v>0</v>
      </c>
      <c r="AI17" s="342">
        <f t="shared" si="9"/>
        <v>0</v>
      </c>
      <c r="AJ17" s="342">
        <f t="shared" si="9"/>
        <v>3</v>
      </c>
      <c r="AK17" s="343">
        <f t="shared" si="9"/>
        <v>4</v>
      </c>
      <c r="AL17" s="343">
        <f t="shared" si="9"/>
        <v>2</v>
      </c>
      <c r="AM17" s="343">
        <f t="shared" si="9"/>
        <v>0</v>
      </c>
      <c r="AN17" s="343">
        <f t="shared" si="9"/>
        <v>2</v>
      </c>
    </row>
    <row r="19" spans="1:40" ht="14.95" customHeight="1" x14ac:dyDescent="0.25">
      <c r="A19" t="s">
        <v>638</v>
      </c>
    </row>
    <row r="20" spans="1:40" ht="14.95" customHeight="1" x14ac:dyDescent="0.25">
      <c r="A20" t="s">
        <v>639</v>
      </c>
    </row>
    <row r="21" spans="1:40" ht="14.95" customHeight="1" x14ac:dyDescent="0.25">
      <c r="A21" t="s">
        <v>247</v>
      </c>
    </row>
    <row r="22" spans="1:40" ht="14.95" customHeight="1" x14ac:dyDescent="0.25">
      <c r="A22" t="s">
        <v>641</v>
      </c>
    </row>
    <row r="23" spans="1:40" ht="14.95" customHeight="1" x14ac:dyDescent="0.25">
      <c r="A23" t="s">
        <v>676</v>
      </c>
    </row>
    <row r="24" spans="1:40" ht="14.95" customHeight="1" x14ac:dyDescent="0.25">
      <c r="A24" t="s">
        <v>680</v>
      </c>
    </row>
    <row r="25" spans="1:40" ht="14.95" customHeight="1" x14ac:dyDescent="0.25">
      <c r="A25" s="575"/>
      <c r="B25" t="s">
        <v>44</v>
      </c>
    </row>
    <row r="26" spans="1:40" ht="14.95" customHeight="1" x14ac:dyDescent="0.25">
      <c r="A26" s="576"/>
      <c r="B26" t="s">
        <v>42</v>
      </c>
    </row>
    <row r="27" spans="1:40" ht="14.95" customHeight="1" x14ac:dyDescent="0.25">
      <c r="A27" s="577"/>
      <c r="B27" t="s">
        <v>43</v>
      </c>
    </row>
    <row r="28" spans="1:40" ht="14.95" customHeight="1" x14ac:dyDescent="0.25">
      <c r="A28" s="15" t="s">
        <v>28</v>
      </c>
    </row>
  </sheetData>
  <mergeCells count="16">
    <mergeCell ref="C17:E17"/>
    <mergeCell ref="Y1:AB1"/>
    <mergeCell ref="AC1:AF1"/>
    <mergeCell ref="AG1:AJ1"/>
    <mergeCell ref="C13:E13"/>
    <mergeCell ref="C14:E14"/>
    <mergeCell ref="C15:E15"/>
    <mergeCell ref="C16:E16"/>
    <mergeCell ref="AK1:AN1"/>
    <mergeCell ref="C12:E12"/>
    <mergeCell ref="J1:M1"/>
    <mergeCell ref="N1:O1"/>
    <mergeCell ref="P1:R1"/>
    <mergeCell ref="A1:C1"/>
    <mergeCell ref="E1:G1"/>
    <mergeCell ref="H1:I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T18"/>
  <sheetViews>
    <sheetView zoomScaleNormal="100" workbookViewId="0">
      <pane ySplit="2" topLeftCell="A3" activePane="bottomLeft" state="frozen"/>
      <selection pane="bottomLeft" activeCell="U4" sqref="U4"/>
    </sheetView>
  </sheetViews>
  <sheetFormatPr defaultRowHeight="14.3" x14ac:dyDescent="0.25"/>
  <cols>
    <col min="1" max="1" width="7.5" customWidth="1"/>
    <col min="2" max="2" width="4.5" bestFit="1" customWidth="1"/>
    <col min="3" max="3" width="12.5" customWidth="1"/>
    <col min="4" max="4" width="4.875" customWidth="1"/>
    <col min="5" max="5" width="3.625" customWidth="1"/>
    <col min="6" max="6" width="4" bestFit="1" customWidth="1"/>
    <col min="7" max="18" width="3.625" customWidth="1"/>
    <col min="19" max="20" width="6.375" customWidth="1"/>
    <col min="21" max="21" width="25.625" customWidth="1"/>
    <col min="22" max="22" width="24.375" bestFit="1" customWidth="1"/>
    <col min="23" max="23" width="25.5" customWidth="1"/>
    <col min="24" max="24" width="25.875" bestFit="1" customWidth="1"/>
    <col min="25" max="40" width="3.625" customWidth="1"/>
    <col min="42" max="42" width="13.125" bestFit="1" customWidth="1"/>
    <col min="45" max="45" width="13.125" bestFit="1" customWidth="1"/>
  </cols>
  <sheetData>
    <row r="1" spans="1:46" ht="14.95" customHeight="1" thickBot="1" x14ac:dyDescent="0.3">
      <c r="A1" s="973" t="s">
        <v>203</v>
      </c>
      <c r="B1" s="974"/>
      <c r="C1" s="974"/>
      <c r="D1" s="141"/>
      <c r="E1" s="975" t="s">
        <v>24</v>
      </c>
      <c r="F1" s="976"/>
      <c r="G1" s="977"/>
      <c r="H1" s="975" t="s">
        <v>23</v>
      </c>
      <c r="I1" s="977"/>
      <c r="J1" s="970" t="s">
        <v>6</v>
      </c>
      <c r="K1" s="971"/>
      <c r="L1" s="971"/>
      <c r="M1" s="972"/>
      <c r="N1" s="970" t="s">
        <v>7</v>
      </c>
      <c r="O1" s="972"/>
      <c r="P1" s="970" t="s">
        <v>25</v>
      </c>
      <c r="Q1" s="971"/>
      <c r="R1" s="972"/>
      <c r="S1" s="323" t="s">
        <v>8</v>
      </c>
      <c r="T1" s="323" t="s">
        <v>9</v>
      </c>
      <c r="U1" s="29" t="s">
        <v>10</v>
      </c>
      <c r="V1" s="28" t="s">
        <v>11</v>
      </c>
      <c r="W1" s="30" t="s">
        <v>26</v>
      </c>
      <c r="X1" s="157" t="s">
        <v>27</v>
      </c>
      <c r="Y1" s="969" t="s">
        <v>20</v>
      </c>
      <c r="Z1" s="963"/>
      <c r="AA1" s="963"/>
      <c r="AB1" s="964"/>
      <c r="AC1" s="969" t="s">
        <v>61</v>
      </c>
      <c r="AD1" s="963"/>
      <c r="AE1" s="963"/>
      <c r="AF1" s="964"/>
      <c r="AG1" s="969" t="s">
        <v>62</v>
      </c>
      <c r="AH1" s="963"/>
      <c r="AI1" s="963"/>
      <c r="AJ1" s="964"/>
      <c r="AK1" s="969" t="s">
        <v>63</v>
      </c>
      <c r="AL1" s="963"/>
      <c r="AM1" s="963"/>
      <c r="AN1" s="964"/>
      <c r="AP1" s="321" t="s">
        <v>142</v>
      </c>
      <c r="AQ1" s="14"/>
      <c r="AS1" s="321" t="s">
        <v>142</v>
      </c>
    </row>
    <row r="2" spans="1:46" ht="14.95" customHeight="1" thickBot="1" x14ac:dyDescent="0.3">
      <c r="A2" s="31" t="s">
        <v>19</v>
      </c>
      <c r="B2" s="32" t="s">
        <v>18</v>
      </c>
      <c r="C2" s="33" t="s">
        <v>17</v>
      </c>
      <c r="D2" s="33" t="s">
        <v>41</v>
      </c>
      <c r="E2" s="34" t="s">
        <v>16</v>
      </c>
      <c r="F2" s="34" t="s">
        <v>4</v>
      </c>
      <c r="G2" s="34" t="s">
        <v>5</v>
      </c>
      <c r="H2" s="35" t="s">
        <v>12</v>
      </c>
      <c r="I2" s="35" t="s">
        <v>3</v>
      </c>
      <c r="J2" s="35" t="s">
        <v>12</v>
      </c>
      <c r="K2" s="35" t="s">
        <v>13</v>
      </c>
      <c r="L2" s="35" t="s">
        <v>2</v>
      </c>
      <c r="M2" s="35" t="s">
        <v>14</v>
      </c>
      <c r="N2" s="35" t="s">
        <v>15</v>
      </c>
      <c r="O2" s="35" t="s">
        <v>16</v>
      </c>
      <c r="P2" s="35" t="s">
        <v>21</v>
      </c>
      <c r="Q2" s="35" t="s">
        <v>22</v>
      </c>
      <c r="R2" s="35" t="s">
        <v>12</v>
      </c>
      <c r="S2" s="36"/>
      <c r="T2" s="37"/>
      <c r="U2" s="38"/>
      <c r="V2" s="36"/>
      <c r="W2" s="39"/>
      <c r="X2" s="40"/>
      <c r="Y2" s="28" t="s">
        <v>0</v>
      </c>
      <c r="Z2" s="28" t="s">
        <v>1</v>
      </c>
      <c r="AA2" s="28" t="s">
        <v>2</v>
      </c>
      <c r="AB2" s="28" t="s">
        <v>3</v>
      </c>
      <c r="AC2" s="28" t="s">
        <v>0</v>
      </c>
      <c r="AD2" s="28" t="s">
        <v>1</v>
      </c>
      <c r="AE2" s="28" t="s">
        <v>2</v>
      </c>
      <c r="AF2" s="28" t="s">
        <v>3</v>
      </c>
      <c r="AG2" s="28" t="s">
        <v>0</v>
      </c>
      <c r="AH2" s="28" t="s">
        <v>1</v>
      </c>
      <c r="AI2" s="28" t="s">
        <v>2</v>
      </c>
      <c r="AJ2" s="28" t="s">
        <v>3</v>
      </c>
      <c r="AK2" s="28" t="s">
        <v>0</v>
      </c>
      <c r="AL2" s="28" t="s">
        <v>1</v>
      </c>
      <c r="AM2" s="28" t="s">
        <v>2</v>
      </c>
      <c r="AN2" s="28" t="s">
        <v>3</v>
      </c>
      <c r="AP2" s="305" t="s">
        <v>107</v>
      </c>
      <c r="AQ2" s="189"/>
      <c r="AS2" s="306" t="s">
        <v>128</v>
      </c>
      <c r="AT2" s="189" t="s">
        <v>58</v>
      </c>
    </row>
    <row r="3" spans="1:46" ht="14.95" customHeight="1" thickBot="1" x14ac:dyDescent="0.3">
      <c r="A3" s="592" t="s">
        <v>622</v>
      </c>
      <c r="B3" s="411" t="s">
        <v>45</v>
      </c>
      <c r="C3" s="398" t="s">
        <v>118</v>
      </c>
      <c r="D3" s="398" t="s">
        <v>623</v>
      </c>
      <c r="E3" s="399" t="s">
        <v>3</v>
      </c>
      <c r="F3" s="399">
        <v>3</v>
      </c>
      <c r="G3" s="399">
        <v>28</v>
      </c>
      <c r="H3" s="399" t="s">
        <v>106</v>
      </c>
      <c r="I3" s="399" t="s">
        <v>106</v>
      </c>
      <c r="J3" s="399">
        <v>0</v>
      </c>
      <c r="K3" s="399">
        <v>0</v>
      </c>
      <c r="L3" s="399">
        <v>0</v>
      </c>
      <c r="M3" s="399">
        <v>1</v>
      </c>
      <c r="N3" s="399">
        <v>0</v>
      </c>
      <c r="O3" s="399">
        <v>0</v>
      </c>
      <c r="P3" s="399" t="s">
        <v>106</v>
      </c>
      <c r="Q3" s="399" t="s">
        <v>106</v>
      </c>
      <c r="R3" s="399">
        <v>4</v>
      </c>
      <c r="S3" s="406">
        <v>6000</v>
      </c>
      <c r="T3" s="410" t="s">
        <v>770</v>
      </c>
      <c r="U3" s="408" t="s">
        <v>281</v>
      </c>
      <c r="V3" s="406" t="s">
        <v>258</v>
      </c>
      <c r="W3" s="401" t="s">
        <v>272</v>
      </c>
      <c r="X3" s="409" t="s">
        <v>769</v>
      </c>
      <c r="Y3" s="404">
        <v>1</v>
      </c>
      <c r="Z3" s="404">
        <v>0</v>
      </c>
      <c r="AA3" s="404">
        <v>0</v>
      </c>
      <c r="AB3" s="405">
        <v>1</v>
      </c>
      <c r="AC3" s="404">
        <v>0</v>
      </c>
      <c r="AD3" s="404">
        <v>0</v>
      </c>
      <c r="AE3" s="404">
        <v>0</v>
      </c>
      <c r="AF3" s="405">
        <v>0</v>
      </c>
      <c r="AG3" s="404">
        <v>1</v>
      </c>
      <c r="AH3" s="404">
        <v>0</v>
      </c>
      <c r="AI3" s="404">
        <v>0</v>
      </c>
      <c r="AJ3" s="405">
        <v>1</v>
      </c>
      <c r="AK3" s="404">
        <v>0</v>
      </c>
      <c r="AL3" s="404">
        <v>0</v>
      </c>
      <c r="AM3" s="404">
        <v>0</v>
      </c>
      <c r="AN3" s="405">
        <v>0</v>
      </c>
      <c r="AP3" s="316" t="s">
        <v>130</v>
      </c>
      <c r="AQ3" s="317">
        <f>Canadaalltestshistplayed</f>
        <v>293</v>
      </c>
      <c r="AS3" s="316" t="s">
        <v>130</v>
      </c>
      <c r="AT3" s="317">
        <f>CanadaRWChistplayed</f>
        <v>32</v>
      </c>
    </row>
    <row r="4" spans="1:46" ht="14.95" customHeight="1" thickBot="1" x14ac:dyDescent="0.3">
      <c r="A4" s="592" t="s">
        <v>624</v>
      </c>
      <c r="B4" s="412" t="s">
        <v>45</v>
      </c>
      <c r="C4" s="398" t="s">
        <v>118</v>
      </c>
      <c r="D4" s="398" t="s">
        <v>623</v>
      </c>
      <c r="E4" s="399" t="s">
        <v>3</v>
      </c>
      <c r="F4" s="399">
        <v>12</v>
      </c>
      <c r="G4" s="399">
        <v>36</v>
      </c>
      <c r="H4" s="399" t="s">
        <v>106</v>
      </c>
      <c r="I4" s="399" t="s">
        <v>106</v>
      </c>
      <c r="J4" s="399">
        <v>2</v>
      </c>
      <c r="K4" s="399">
        <v>1</v>
      </c>
      <c r="L4" s="399">
        <v>0</v>
      </c>
      <c r="M4" s="399">
        <v>0</v>
      </c>
      <c r="N4" s="399">
        <v>0</v>
      </c>
      <c r="O4" s="399">
        <v>0</v>
      </c>
      <c r="P4" s="399" t="s">
        <v>106</v>
      </c>
      <c r="Q4" s="399" t="s">
        <v>106</v>
      </c>
      <c r="R4" s="399">
        <v>6</v>
      </c>
      <c r="S4" s="401">
        <v>4000</v>
      </c>
      <c r="T4" s="415" t="s">
        <v>784</v>
      </c>
      <c r="U4" s="401" t="s">
        <v>272</v>
      </c>
      <c r="V4" s="401" t="s">
        <v>258</v>
      </c>
      <c r="W4" s="401" t="s">
        <v>281</v>
      </c>
      <c r="X4" s="409" t="s">
        <v>769</v>
      </c>
      <c r="Y4" s="404">
        <v>1</v>
      </c>
      <c r="Z4" s="404">
        <v>0</v>
      </c>
      <c r="AA4" s="404">
        <v>0</v>
      </c>
      <c r="AB4" s="405">
        <v>1</v>
      </c>
      <c r="AC4" s="404">
        <v>0</v>
      </c>
      <c r="AD4" s="404">
        <v>0</v>
      </c>
      <c r="AE4" s="404">
        <v>0</v>
      </c>
      <c r="AF4" s="405">
        <v>0</v>
      </c>
      <c r="AG4" s="404">
        <v>1</v>
      </c>
      <c r="AH4" s="404">
        <v>0</v>
      </c>
      <c r="AI4" s="404">
        <v>0</v>
      </c>
      <c r="AJ4" s="405">
        <v>1</v>
      </c>
      <c r="AK4" s="404">
        <v>0</v>
      </c>
      <c r="AL4" s="404">
        <v>0</v>
      </c>
      <c r="AM4" s="404">
        <v>0</v>
      </c>
      <c r="AN4" s="405">
        <v>0</v>
      </c>
      <c r="AP4" s="318" t="s">
        <v>131</v>
      </c>
      <c r="AQ4" s="319">
        <f>Canadaalltestshistwon</f>
        <v>113</v>
      </c>
      <c r="AS4" s="318" t="s">
        <v>131</v>
      </c>
      <c r="AT4" s="319">
        <f>CanadaRWChistwon</f>
        <v>7</v>
      </c>
    </row>
    <row r="5" spans="1:46" ht="14.95" customHeight="1" thickBot="1" x14ac:dyDescent="0.3">
      <c r="A5" s="413" t="s">
        <v>1035</v>
      </c>
      <c r="B5" s="412" t="s">
        <v>1034</v>
      </c>
      <c r="C5" s="451" t="s">
        <v>123</v>
      </c>
      <c r="D5" s="412" t="s">
        <v>1040</v>
      </c>
      <c r="E5" s="399" t="s">
        <v>3</v>
      </c>
      <c r="F5" s="399">
        <v>20</v>
      </c>
      <c r="G5" s="399">
        <v>42</v>
      </c>
      <c r="H5" s="399" t="s">
        <v>106</v>
      </c>
      <c r="I5" s="399" t="s">
        <v>106</v>
      </c>
      <c r="J5" s="399">
        <v>2</v>
      </c>
      <c r="K5" s="399">
        <v>2</v>
      </c>
      <c r="L5" s="399">
        <v>0</v>
      </c>
      <c r="M5" s="399">
        <v>2</v>
      </c>
      <c r="N5" s="399">
        <v>2</v>
      </c>
      <c r="O5" s="399">
        <v>0</v>
      </c>
      <c r="P5" s="399" t="s">
        <v>106</v>
      </c>
      <c r="Q5" s="399" t="s">
        <v>106</v>
      </c>
      <c r="R5" s="399">
        <v>6</v>
      </c>
      <c r="S5" s="401"/>
      <c r="T5" s="881" t="s">
        <v>1048</v>
      </c>
      <c r="U5" s="401" t="s">
        <v>1049</v>
      </c>
      <c r="V5" s="401"/>
      <c r="W5" s="401"/>
      <c r="X5" s="401"/>
      <c r="Y5" s="404">
        <v>1</v>
      </c>
      <c r="Z5" s="405">
        <v>0</v>
      </c>
      <c r="AA5" s="405">
        <v>0</v>
      </c>
      <c r="AB5" s="405">
        <v>1</v>
      </c>
      <c r="AC5" s="405">
        <v>0</v>
      </c>
      <c r="AD5" s="405">
        <v>0</v>
      </c>
      <c r="AE5" s="405">
        <v>0</v>
      </c>
      <c r="AF5" s="405">
        <v>0</v>
      </c>
      <c r="AG5" s="405">
        <v>1</v>
      </c>
      <c r="AH5" s="405">
        <v>0</v>
      </c>
      <c r="AI5" s="405">
        <v>0</v>
      </c>
      <c r="AJ5" s="405">
        <v>1</v>
      </c>
      <c r="AK5" s="405">
        <v>0</v>
      </c>
      <c r="AL5" s="405">
        <v>0</v>
      </c>
      <c r="AM5" s="405">
        <v>0</v>
      </c>
      <c r="AN5" s="405">
        <v>0</v>
      </c>
      <c r="AP5" s="318" t="s">
        <v>137</v>
      </c>
      <c r="AQ5" s="319">
        <f>Canadaalltestshistdrawn</f>
        <v>6</v>
      </c>
      <c r="AS5" s="318" t="s">
        <v>137</v>
      </c>
      <c r="AT5" s="319">
        <f>CanadaRWChistdrawn</f>
        <v>2</v>
      </c>
    </row>
    <row r="6" spans="1:46" ht="14.95" customHeight="1" thickBot="1" x14ac:dyDescent="0.35">
      <c r="A6" s="489" t="s">
        <v>1036</v>
      </c>
      <c r="B6" s="490" t="s">
        <v>1034</v>
      </c>
      <c r="C6" s="490" t="s">
        <v>1038</v>
      </c>
      <c r="D6" s="490" t="s">
        <v>1040</v>
      </c>
      <c r="E6" s="453" t="s">
        <v>1</v>
      </c>
      <c r="F6" s="453">
        <v>40</v>
      </c>
      <c r="G6" s="453">
        <v>15</v>
      </c>
      <c r="H6" s="453" t="s">
        <v>106</v>
      </c>
      <c r="I6" s="453" t="s">
        <v>106</v>
      </c>
      <c r="J6" s="453">
        <v>6</v>
      </c>
      <c r="K6" s="453">
        <v>5</v>
      </c>
      <c r="L6" s="453">
        <v>0</v>
      </c>
      <c r="M6" s="453">
        <v>0</v>
      </c>
      <c r="N6" s="453">
        <v>0</v>
      </c>
      <c r="O6" s="453">
        <v>0</v>
      </c>
      <c r="P6" s="453" t="s">
        <v>106</v>
      </c>
      <c r="Q6" s="453" t="s">
        <v>106</v>
      </c>
      <c r="R6" s="453">
        <v>2</v>
      </c>
      <c r="S6" s="463"/>
      <c r="T6" s="491" t="s">
        <v>404</v>
      </c>
      <c r="U6" s="463" t="s">
        <v>1049</v>
      </c>
      <c r="V6" s="463"/>
      <c r="W6" s="463"/>
      <c r="X6" s="463"/>
      <c r="Y6" s="454">
        <v>1</v>
      </c>
      <c r="Z6" s="454">
        <v>1</v>
      </c>
      <c r="AA6" s="454">
        <v>0</v>
      </c>
      <c r="AB6" s="454">
        <v>0</v>
      </c>
      <c r="AC6" s="454">
        <v>0</v>
      </c>
      <c r="AD6" s="454">
        <v>0</v>
      </c>
      <c r="AE6" s="454">
        <v>0</v>
      </c>
      <c r="AF6" s="454">
        <v>0</v>
      </c>
      <c r="AG6" s="454">
        <v>0</v>
      </c>
      <c r="AH6" s="454">
        <v>0</v>
      </c>
      <c r="AI6" s="454">
        <v>0</v>
      </c>
      <c r="AJ6" s="454">
        <v>0</v>
      </c>
      <c r="AK6" s="454">
        <v>1</v>
      </c>
      <c r="AL6" s="454">
        <v>1</v>
      </c>
      <c r="AM6" s="454">
        <v>0</v>
      </c>
      <c r="AN6" s="454">
        <v>0</v>
      </c>
      <c r="AP6" s="318" t="s">
        <v>132</v>
      </c>
      <c r="AQ6" s="319">
        <f>Canadaalltestshistlost</f>
        <v>174</v>
      </c>
      <c r="AS6" s="318" t="s">
        <v>132</v>
      </c>
      <c r="AT6" s="319">
        <f>CanadaRWChistlost</f>
        <v>23</v>
      </c>
    </row>
    <row r="7" spans="1:46" ht="14.95" customHeight="1" thickBot="1" x14ac:dyDescent="0.3">
      <c r="A7" s="482"/>
      <c r="B7" s="176"/>
      <c r="C7" s="937" t="s">
        <v>166</v>
      </c>
      <c r="D7" s="978"/>
      <c r="E7" s="979"/>
      <c r="F7" s="476">
        <f>SUM(F3:F6)</f>
        <v>75</v>
      </c>
      <c r="G7" s="476">
        <f>SUM(G3:G6)</f>
        <v>121</v>
      </c>
      <c r="H7" s="476" t="s">
        <v>106</v>
      </c>
      <c r="I7" s="476" t="s">
        <v>106</v>
      </c>
      <c r="J7" s="476">
        <f t="shared" ref="J7:O7" si="0">SUM(J3:J6)</f>
        <v>10</v>
      </c>
      <c r="K7" s="476">
        <f t="shared" si="0"/>
        <v>8</v>
      </c>
      <c r="L7" s="476">
        <f t="shared" si="0"/>
        <v>0</v>
      </c>
      <c r="M7" s="476">
        <f t="shared" si="0"/>
        <v>3</v>
      </c>
      <c r="N7" s="476">
        <f t="shared" si="0"/>
        <v>2</v>
      </c>
      <c r="O7" s="476">
        <f t="shared" si="0"/>
        <v>0</v>
      </c>
      <c r="P7" s="476" t="s">
        <v>106</v>
      </c>
      <c r="Q7" s="476" t="s">
        <v>106</v>
      </c>
      <c r="R7" s="476">
        <f>SUM(R3:R6)</f>
        <v>18</v>
      </c>
      <c r="S7" s="473"/>
      <c r="T7" s="473"/>
      <c r="U7" s="473"/>
      <c r="V7" s="473"/>
      <c r="W7" s="474"/>
      <c r="X7" s="481" t="s">
        <v>166</v>
      </c>
      <c r="Y7" s="476">
        <f t="shared" ref="Y7:AN7" si="1">SUM(Y3:Y6)</f>
        <v>4</v>
      </c>
      <c r="Z7" s="476">
        <f t="shared" si="1"/>
        <v>1</v>
      </c>
      <c r="AA7" s="476">
        <f t="shared" si="1"/>
        <v>0</v>
      </c>
      <c r="AB7" s="476">
        <f t="shared" si="1"/>
        <v>3</v>
      </c>
      <c r="AC7" s="477">
        <f t="shared" si="1"/>
        <v>0</v>
      </c>
      <c r="AD7" s="477">
        <f t="shared" si="1"/>
        <v>0</v>
      </c>
      <c r="AE7" s="477">
        <f t="shared" si="1"/>
        <v>0</v>
      </c>
      <c r="AF7" s="477">
        <f t="shared" si="1"/>
        <v>0</v>
      </c>
      <c r="AG7" s="478">
        <f t="shared" si="1"/>
        <v>3</v>
      </c>
      <c r="AH7" s="478">
        <f t="shared" si="1"/>
        <v>0</v>
      </c>
      <c r="AI7" s="478">
        <f t="shared" si="1"/>
        <v>0</v>
      </c>
      <c r="AJ7" s="478">
        <f t="shared" si="1"/>
        <v>3</v>
      </c>
      <c r="AK7" s="476">
        <f t="shared" si="1"/>
        <v>1</v>
      </c>
      <c r="AL7" s="476">
        <f t="shared" si="1"/>
        <v>1</v>
      </c>
      <c r="AM7" s="476">
        <f t="shared" si="1"/>
        <v>0</v>
      </c>
      <c r="AN7" s="476">
        <f t="shared" si="1"/>
        <v>0</v>
      </c>
      <c r="AP7" s="318" t="s">
        <v>138</v>
      </c>
      <c r="AQ7" s="319">
        <f>Canadaalltestshistptsscored</f>
        <v>6160</v>
      </c>
      <c r="AS7" s="318" t="s">
        <v>138</v>
      </c>
      <c r="AT7" s="319">
        <f>CanadaRWChistptsscored</f>
        <v>541</v>
      </c>
    </row>
    <row r="8" spans="1:46" ht="14.95" customHeight="1" thickBot="1" x14ac:dyDescent="0.3">
      <c r="A8" s="266"/>
      <c r="B8" s="267"/>
      <c r="C8" s="946" t="s">
        <v>107</v>
      </c>
      <c r="D8" s="947"/>
      <c r="E8" s="948"/>
      <c r="F8" s="343">
        <f t="shared" ref="F8:R8" si="2">SUM(F3:F6)</f>
        <v>75</v>
      </c>
      <c r="G8" s="343">
        <f t="shared" si="2"/>
        <v>121</v>
      </c>
      <c r="H8" s="343">
        <f t="shared" si="2"/>
        <v>0</v>
      </c>
      <c r="I8" s="343">
        <f t="shared" si="2"/>
        <v>0</v>
      </c>
      <c r="J8" s="343">
        <f t="shared" si="2"/>
        <v>10</v>
      </c>
      <c r="K8" s="343">
        <f t="shared" si="2"/>
        <v>8</v>
      </c>
      <c r="L8" s="343">
        <f t="shared" si="2"/>
        <v>0</v>
      </c>
      <c r="M8" s="343">
        <f t="shared" si="2"/>
        <v>3</v>
      </c>
      <c r="N8" s="343">
        <f t="shared" si="2"/>
        <v>2</v>
      </c>
      <c r="O8" s="343">
        <f t="shared" si="2"/>
        <v>0</v>
      </c>
      <c r="P8" s="343">
        <f t="shared" si="2"/>
        <v>0</v>
      </c>
      <c r="Q8" s="343">
        <f t="shared" si="2"/>
        <v>0</v>
      </c>
      <c r="R8" s="343">
        <f t="shared" si="2"/>
        <v>18</v>
      </c>
      <c r="S8" s="340"/>
      <c r="T8" s="340"/>
      <c r="U8" s="340"/>
      <c r="V8" s="340"/>
      <c r="W8" s="13"/>
      <c r="X8" s="364" t="s">
        <v>107</v>
      </c>
      <c r="Y8" s="343">
        <f t="shared" ref="Y8:AN8" si="3">SUM(Y3:Y6)</f>
        <v>4</v>
      </c>
      <c r="Z8" s="343">
        <f t="shared" si="3"/>
        <v>1</v>
      </c>
      <c r="AA8" s="343">
        <f t="shared" si="3"/>
        <v>0</v>
      </c>
      <c r="AB8" s="343">
        <f t="shared" si="3"/>
        <v>3</v>
      </c>
      <c r="AC8" s="341">
        <f t="shared" si="3"/>
        <v>0</v>
      </c>
      <c r="AD8" s="341">
        <f t="shared" si="3"/>
        <v>0</v>
      </c>
      <c r="AE8" s="341">
        <f t="shared" si="3"/>
        <v>0</v>
      </c>
      <c r="AF8" s="341">
        <f t="shared" si="3"/>
        <v>0</v>
      </c>
      <c r="AG8" s="342">
        <f t="shared" si="3"/>
        <v>3</v>
      </c>
      <c r="AH8" s="342">
        <f t="shared" si="3"/>
        <v>0</v>
      </c>
      <c r="AI8" s="342">
        <f t="shared" si="3"/>
        <v>0</v>
      </c>
      <c r="AJ8" s="342">
        <f t="shared" si="3"/>
        <v>3</v>
      </c>
      <c r="AK8" s="343">
        <f t="shared" si="3"/>
        <v>1</v>
      </c>
      <c r="AL8" s="343">
        <f t="shared" si="3"/>
        <v>1</v>
      </c>
      <c r="AM8" s="343">
        <f t="shared" si="3"/>
        <v>0</v>
      </c>
      <c r="AN8" s="343">
        <f t="shared" si="3"/>
        <v>0</v>
      </c>
      <c r="AP8" s="318" t="s">
        <v>139</v>
      </c>
      <c r="AQ8" s="319">
        <f>Canadaalltestshistptsagainst</f>
        <v>7746</v>
      </c>
      <c r="AS8" s="318" t="s">
        <v>139</v>
      </c>
      <c r="AT8" s="319">
        <f>CanadaRWChistptsagainst</f>
        <v>1015</v>
      </c>
    </row>
    <row r="9" spans="1:46" ht="14.95" customHeight="1" thickBot="1" x14ac:dyDescent="0.3">
      <c r="A9" s="965" t="s">
        <v>193</v>
      </c>
      <c r="B9" s="886"/>
      <c r="C9" s="886"/>
      <c r="D9" s="886"/>
      <c r="E9" s="886"/>
      <c r="F9" s="886"/>
      <c r="G9" s="886"/>
      <c r="H9" s="886"/>
      <c r="I9" s="886"/>
      <c r="J9" s="886"/>
      <c r="K9" s="886"/>
      <c r="L9" s="886"/>
      <c r="M9" s="886"/>
      <c r="N9" s="886"/>
      <c r="O9" s="886"/>
      <c r="P9" s="886"/>
      <c r="Q9" s="886"/>
      <c r="R9" s="886"/>
      <c r="S9" s="886"/>
      <c r="T9" s="886"/>
      <c r="U9" s="886"/>
      <c r="V9" s="886"/>
      <c r="W9" s="886"/>
      <c r="X9" s="886"/>
      <c r="Y9" s="886"/>
      <c r="Z9" s="886"/>
      <c r="AA9" s="886"/>
      <c r="AB9" s="886"/>
      <c r="AC9" s="886"/>
      <c r="AD9" s="886"/>
      <c r="AE9" s="886"/>
      <c r="AF9" s="886"/>
      <c r="AG9" s="886"/>
      <c r="AH9" s="886"/>
      <c r="AI9" s="886"/>
      <c r="AJ9" s="886"/>
      <c r="AK9" s="886"/>
      <c r="AL9" s="886"/>
      <c r="AM9" s="886"/>
      <c r="AN9" s="886"/>
      <c r="AP9" s="318" t="s">
        <v>129</v>
      </c>
      <c r="AQ9" s="319">
        <f>Canadaalltestshisttriesscored</f>
        <v>660</v>
      </c>
      <c r="AS9" s="318" t="s">
        <v>129</v>
      </c>
      <c r="AT9" s="319">
        <f>CanadaRWChisttriesscored</f>
        <v>58</v>
      </c>
    </row>
    <row r="10" spans="1:46" ht="14.95" customHeight="1" x14ac:dyDescent="0.25">
      <c r="A10" t="s">
        <v>181</v>
      </c>
      <c r="AP10" s="967" t="s">
        <v>177</v>
      </c>
      <c r="AQ10" s="968"/>
      <c r="AR10" s="968"/>
      <c r="AS10" s="968"/>
      <c r="AT10" s="968"/>
    </row>
    <row r="11" spans="1:46" x14ac:dyDescent="0.25">
      <c r="A11" s="965" t="s">
        <v>1047</v>
      </c>
      <c r="B11" s="966"/>
      <c r="C11" s="966"/>
      <c r="D11" s="966"/>
      <c r="E11" s="966"/>
      <c r="F11" s="966"/>
      <c r="G11" s="966"/>
      <c r="H11" s="966"/>
      <c r="I11" s="966"/>
      <c r="J11" s="966"/>
      <c r="K11" s="966"/>
      <c r="L11" s="966"/>
      <c r="M11" s="966"/>
      <c r="N11" s="966"/>
      <c r="O11" s="966"/>
      <c r="P11" s="966"/>
      <c r="Q11" s="966"/>
      <c r="R11" s="966"/>
    </row>
    <row r="12" spans="1:46" x14ac:dyDescent="0.25">
      <c r="A12" s="522"/>
    </row>
    <row r="13" spans="1:46" x14ac:dyDescent="0.25">
      <c r="A13" s="965" t="s">
        <v>1037</v>
      </c>
      <c r="B13" s="886"/>
      <c r="C13" s="886"/>
      <c r="D13" s="886"/>
      <c r="E13" s="886"/>
      <c r="F13" s="886"/>
      <c r="G13" s="886"/>
      <c r="H13" s="886"/>
      <c r="I13" s="886"/>
      <c r="J13" s="886"/>
      <c r="K13" s="886"/>
      <c r="L13" s="886"/>
      <c r="M13" s="886"/>
      <c r="N13" s="886"/>
      <c r="O13" s="886"/>
      <c r="P13" s="886"/>
      <c r="Q13" s="886"/>
      <c r="R13" s="886"/>
    </row>
    <row r="14" spans="1:46" x14ac:dyDescent="0.25">
      <c r="A14" s="492" t="s">
        <v>163</v>
      </c>
    </row>
    <row r="15" spans="1:46" ht="14.95" customHeight="1" x14ac:dyDescent="0.25">
      <c r="A15" s="575"/>
      <c r="B15" t="s">
        <v>44</v>
      </c>
    </row>
    <row r="16" spans="1:46" ht="14.95" customHeight="1" x14ac:dyDescent="0.25">
      <c r="A16" s="576"/>
      <c r="B16" t="s">
        <v>42</v>
      </c>
    </row>
    <row r="17" spans="1:2" ht="14.95" customHeight="1" x14ac:dyDescent="0.25">
      <c r="A17" s="577"/>
      <c r="B17" t="s">
        <v>43</v>
      </c>
    </row>
    <row r="18" spans="1:2" x14ac:dyDescent="0.25">
      <c r="A18" s="15" t="s">
        <v>28</v>
      </c>
    </row>
  </sheetData>
  <mergeCells count="16">
    <mergeCell ref="A13:R13"/>
    <mergeCell ref="A11:R11"/>
    <mergeCell ref="AP10:AT10"/>
    <mergeCell ref="A9:AN9"/>
    <mergeCell ref="Y1:AB1"/>
    <mergeCell ref="AC1:AF1"/>
    <mergeCell ref="AG1:AJ1"/>
    <mergeCell ref="AK1:AN1"/>
    <mergeCell ref="C8:E8"/>
    <mergeCell ref="P1:R1"/>
    <mergeCell ref="A1:C1"/>
    <mergeCell ref="E1:G1"/>
    <mergeCell ref="H1:I1"/>
    <mergeCell ref="J1:M1"/>
    <mergeCell ref="N1:O1"/>
    <mergeCell ref="C7:E7"/>
  </mergeCells>
  <pageMargins left="0.7" right="0.7" top="0.75" bottom="0.75" header="0.3" footer="0.3"/>
  <pageSetup paperSize="9" orientation="portrait" r:id="rId1"/>
  <ignoredErrors>
    <ignoredError sqref="T5" twoDigitTextYear="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2507B-80A2-4BD3-A441-FA3199D9253D}">
  <dimension ref="A1:AT23"/>
  <sheetViews>
    <sheetView workbookViewId="0">
      <selection activeCell="X6" sqref="X6"/>
    </sheetView>
  </sheetViews>
  <sheetFormatPr defaultRowHeight="14.3" x14ac:dyDescent="0.25"/>
  <cols>
    <col min="1" max="1" width="7.5" customWidth="1"/>
    <col min="2" max="2" width="5.125" customWidth="1"/>
    <col min="3" max="3" width="10.375" bestFit="1" customWidth="1"/>
    <col min="4" max="4" width="4.125" customWidth="1"/>
    <col min="5" max="18" width="3.625" customWidth="1"/>
    <col min="19" max="20" width="6.375" customWidth="1"/>
    <col min="21" max="24" width="30.5" customWidth="1"/>
    <col min="25" max="40" width="3.625" customWidth="1"/>
    <col min="42" max="42" width="12.375" bestFit="1" customWidth="1"/>
    <col min="45" max="45" width="12.375" bestFit="1" customWidth="1"/>
  </cols>
  <sheetData>
    <row r="1" spans="1:46" ht="14.95" customHeight="1" thickBot="1" x14ac:dyDescent="0.3">
      <c r="A1" s="983" t="s">
        <v>686</v>
      </c>
      <c r="B1" s="984"/>
      <c r="C1" s="984"/>
      <c r="D1" s="749"/>
      <c r="E1" s="985" t="s">
        <v>24</v>
      </c>
      <c r="F1" s="986"/>
      <c r="G1" s="987"/>
      <c r="H1" s="985" t="s">
        <v>23</v>
      </c>
      <c r="I1" s="987"/>
      <c r="J1" s="988" t="s">
        <v>6</v>
      </c>
      <c r="K1" s="989"/>
      <c r="L1" s="989"/>
      <c r="M1" s="990"/>
      <c r="N1" s="988" t="s">
        <v>7</v>
      </c>
      <c r="O1" s="990"/>
      <c r="P1" s="988" t="s">
        <v>25</v>
      </c>
      <c r="Q1" s="989"/>
      <c r="R1" s="990"/>
      <c r="S1" s="750" t="s">
        <v>8</v>
      </c>
      <c r="T1" s="750" t="s">
        <v>9</v>
      </c>
      <c r="U1" s="751" t="s">
        <v>10</v>
      </c>
      <c r="V1" s="750" t="s">
        <v>11</v>
      </c>
      <c r="W1" s="752" t="s">
        <v>26</v>
      </c>
      <c r="X1" s="753" t="s">
        <v>27</v>
      </c>
      <c r="Y1" s="980" t="s">
        <v>20</v>
      </c>
      <c r="Z1" s="981"/>
      <c r="AA1" s="981"/>
      <c r="AB1" s="982"/>
      <c r="AC1" s="980" t="s">
        <v>61</v>
      </c>
      <c r="AD1" s="981"/>
      <c r="AE1" s="981"/>
      <c r="AF1" s="982"/>
      <c r="AG1" s="980" t="s">
        <v>62</v>
      </c>
      <c r="AH1" s="981"/>
      <c r="AI1" s="981"/>
      <c r="AJ1" s="982"/>
      <c r="AK1" s="980" t="s">
        <v>63</v>
      </c>
      <c r="AL1" s="981"/>
      <c r="AM1" s="981"/>
      <c r="AN1" s="982"/>
      <c r="AP1" s="330" t="s">
        <v>687</v>
      </c>
      <c r="AQ1" s="322"/>
      <c r="AR1" s="322"/>
      <c r="AS1" s="330" t="s">
        <v>687</v>
      </c>
    </row>
    <row r="2" spans="1:46" ht="14.95" customHeight="1" thickBot="1" x14ac:dyDescent="0.3">
      <c r="A2" s="754" t="s">
        <v>19</v>
      </c>
      <c r="B2" s="755" t="s">
        <v>18</v>
      </c>
      <c r="C2" s="756" t="s">
        <v>17</v>
      </c>
      <c r="D2" s="757" t="s">
        <v>41</v>
      </c>
      <c r="E2" s="757" t="s">
        <v>16</v>
      </c>
      <c r="F2" s="757" t="s">
        <v>4</v>
      </c>
      <c r="G2" s="757" t="s">
        <v>5</v>
      </c>
      <c r="H2" s="758" t="s">
        <v>12</v>
      </c>
      <c r="I2" s="758" t="s">
        <v>3</v>
      </c>
      <c r="J2" s="758" t="s">
        <v>12</v>
      </c>
      <c r="K2" s="758" t="s">
        <v>13</v>
      </c>
      <c r="L2" s="758" t="s">
        <v>2</v>
      </c>
      <c r="M2" s="758" t="s">
        <v>14</v>
      </c>
      <c r="N2" s="758" t="s">
        <v>15</v>
      </c>
      <c r="O2" s="758" t="s">
        <v>16</v>
      </c>
      <c r="P2" s="758" t="s">
        <v>21</v>
      </c>
      <c r="Q2" s="758" t="s">
        <v>22</v>
      </c>
      <c r="R2" s="758" t="s">
        <v>12</v>
      </c>
      <c r="S2" s="759"/>
      <c r="T2" s="760"/>
      <c r="U2" s="761"/>
      <c r="V2" s="759"/>
      <c r="W2" s="762"/>
      <c r="X2" s="763"/>
      <c r="Y2" s="764" t="s">
        <v>0</v>
      </c>
      <c r="Z2" s="764" t="s">
        <v>1</v>
      </c>
      <c r="AA2" s="764" t="s">
        <v>2</v>
      </c>
      <c r="AB2" s="764" t="s">
        <v>3</v>
      </c>
      <c r="AC2" s="764" t="s">
        <v>0</v>
      </c>
      <c r="AD2" s="764" t="s">
        <v>1</v>
      </c>
      <c r="AE2" s="764" t="s">
        <v>2</v>
      </c>
      <c r="AF2" s="764" t="s">
        <v>3</v>
      </c>
      <c r="AG2" s="764" t="s">
        <v>0</v>
      </c>
      <c r="AH2" s="764" t="s">
        <v>1</v>
      </c>
      <c r="AI2" s="764" t="s">
        <v>2</v>
      </c>
      <c r="AJ2" s="764" t="s">
        <v>3</v>
      </c>
      <c r="AK2" s="764" t="s">
        <v>0</v>
      </c>
      <c r="AL2" s="764" t="s">
        <v>1</v>
      </c>
      <c r="AM2" s="764" t="s">
        <v>2</v>
      </c>
      <c r="AN2" s="764" t="s">
        <v>3</v>
      </c>
      <c r="AP2" s="305" t="s">
        <v>107</v>
      </c>
      <c r="AQ2" s="189"/>
      <c r="AS2" s="336" t="s">
        <v>128</v>
      </c>
      <c r="AT2" s="336"/>
    </row>
    <row r="3" spans="1:46" ht="14.95" customHeight="1" thickBot="1" x14ac:dyDescent="0.3">
      <c r="A3" s="747" t="s">
        <v>332</v>
      </c>
      <c r="B3" s="398" t="s">
        <v>45</v>
      </c>
      <c r="C3" s="398" t="s">
        <v>105</v>
      </c>
      <c r="D3" s="397" t="s">
        <v>655</v>
      </c>
      <c r="E3" s="399" t="s">
        <v>3</v>
      </c>
      <c r="F3" s="399">
        <v>25</v>
      </c>
      <c r="G3" s="399">
        <v>26</v>
      </c>
      <c r="H3" s="399" t="s">
        <v>106</v>
      </c>
      <c r="I3" s="399" t="s">
        <v>106</v>
      </c>
      <c r="J3" s="399">
        <v>3</v>
      </c>
      <c r="K3" s="399">
        <v>2</v>
      </c>
      <c r="L3" s="399">
        <v>0</v>
      </c>
      <c r="M3" s="399">
        <v>2</v>
      </c>
      <c r="N3" s="399">
        <v>2</v>
      </c>
      <c r="O3" s="399">
        <v>0</v>
      </c>
      <c r="P3" s="399" t="s">
        <v>106</v>
      </c>
      <c r="Q3" s="399" t="s">
        <v>106</v>
      </c>
      <c r="R3" s="399">
        <v>4</v>
      </c>
      <c r="S3" s="406"/>
      <c r="T3" s="410" t="s">
        <v>720</v>
      </c>
      <c r="U3" s="408" t="s">
        <v>266</v>
      </c>
      <c r="V3" s="406" t="s">
        <v>258</v>
      </c>
      <c r="W3" s="401" t="s">
        <v>718</v>
      </c>
      <c r="X3" s="409" t="s">
        <v>719</v>
      </c>
      <c r="Y3" s="422">
        <v>1</v>
      </c>
      <c r="Z3" s="422">
        <v>0</v>
      </c>
      <c r="AA3" s="422">
        <v>0</v>
      </c>
      <c r="AB3" s="593">
        <v>1</v>
      </c>
      <c r="AC3" s="422">
        <v>0</v>
      </c>
      <c r="AD3" s="422">
        <v>0</v>
      </c>
      <c r="AE3" s="422">
        <v>0</v>
      </c>
      <c r="AF3" s="593">
        <v>0</v>
      </c>
      <c r="AG3" s="422">
        <v>1</v>
      </c>
      <c r="AH3" s="422">
        <v>0</v>
      </c>
      <c r="AI3" s="422">
        <v>0</v>
      </c>
      <c r="AJ3" s="593">
        <v>1</v>
      </c>
      <c r="AK3" s="422">
        <v>0</v>
      </c>
      <c r="AL3" s="422">
        <v>0</v>
      </c>
      <c r="AM3" s="422">
        <v>0</v>
      </c>
      <c r="AN3" s="593">
        <v>0</v>
      </c>
      <c r="AP3" s="316" t="s">
        <v>130</v>
      </c>
      <c r="AQ3" s="317">
        <f>Chilealltesthistplayed</f>
        <v>198</v>
      </c>
      <c r="AS3" s="316" t="s">
        <v>130</v>
      </c>
      <c r="AT3" s="317">
        <f>ChileRWChistplayed</f>
        <v>4</v>
      </c>
    </row>
    <row r="4" spans="1:46" ht="14.95" customHeight="1" thickBot="1" x14ac:dyDescent="0.35">
      <c r="A4" s="748" t="s">
        <v>323</v>
      </c>
      <c r="B4" s="424" t="s">
        <v>45</v>
      </c>
      <c r="C4" s="424" t="s">
        <v>121</v>
      </c>
      <c r="D4" s="436" t="s">
        <v>779</v>
      </c>
      <c r="E4" s="425" t="s">
        <v>3</v>
      </c>
      <c r="F4" s="425">
        <v>26</v>
      </c>
      <c r="G4" s="425">
        <v>28</v>
      </c>
      <c r="H4" s="425" t="s">
        <v>106</v>
      </c>
      <c r="I4" s="425" t="s">
        <v>106</v>
      </c>
      <c r="J4" s="425">
        <v>4</v>
      </c>
      <c r="K4" s="425">
        <v>3</v>
      </c>
      <c r="L4" s="425">
        <v>0</v>
      </c>
      <c r="M4" s="425">
        <v>0</v>
      </c>
      <c r="N4" s="425">
        <v>1</v>
      </c>
      <c r="O4" s="425">
        <v>0</v>
      </c>
      <c r="P4" s="425" t="s">
        <v>106</v>
      </c>
      <c r="Q4" s="425" t="s">
        <v>106</v>
      </c>
      <c r="R4" s="425">
        <v>4</v>
      </c>
      <c r="S4" s="426"/>
      <c r="T4" s="449" t="s">
        <v>697</v>
      </c>
      <c r="U4" s="428" t="s">
        <v>414</v>
      </c>
      <c r="V4" s="426" t="s">
        <v>258</v>
      </c>
      <c r="W4" s="429" t="s">
        <v>781</v>
      </c>
      <c r="X4" s="430" t="s">
        <v>782</v>
      </c>
      <c r="Y4" s="590">
        <v>1</v>
      </c>
      <c r="Z4" s="590">
        <v>0</v>
      </c>
      <c r="AA4" s="590">
        <v>0</v>
      </c>
      <c r="AB4" s="591">
        <v>1</v>
      </c>
      <c r="AC4" s="590">
        <v>1</v>
      </c>
      <c r="AD4" s="590">
        <v>0</v>
      </c>
      <c r="AE4" s="590">
        <v>0</v>
      </c>
      <c r="AF4" s="591">
        <v>1</v>
      </c>
      <c r="AG4" s="590">
        <v>0</v>
      </c>
      <c r="AH4" s="590">
        <v>0</v>
      </c>
      <c r="AI4" s="590">
        <v>0</v>
      </c>
      <c r="AJ4" s="591">
        <v>0</v>
      </c>
      <c r="AK4" s="590">
        <v>0</v>
      </c>
      <c r="AL4" s="590">
        <v>0</v>
      </c>
      <c r="AM4" s="590">
        <v>0</v>
      </c>
      <c r="AN4" s="591">
        <v>0</v>
      </c>
      <c r="AP4" s="318" t="s">
        <v>131</v>
      </c>
      <c r="AQ4" s="319">
        <f>Chilealltesthistwon</f>
        <v>76</v>
      </c>
      <c r="AS4" s="318" t="s">
        <v>131</v>
      </c>
      <c r="AT4" s="319">
        <f>ChileRWChistwon</f>
        <v>0</v>
      </c>
    </row>
    <row r="5" spans="1:46" ht="14.95" customHeight="1" thickBot="1" x14ac:dyDescent="0.3">
      <c r="A5" s="464" t="s">
        <v>359</v>
      </c>
      <c r="B5" s="465" t="s">
        <v>198</v>
      </c>
      <c r="C5" s="465" t="s">
        <v>36</v>
      </c>
      <c r="D5" s="554" t="s">
        <v>197</v>
      </c>
      <c r="E5" s="453" t="s">
        <v>3</v>
      </c>
      <c r="F5" s="453">
        <v>12</v>
      </c>
      <c r="G5" s="453">
        <v>42</v>
      </c>
      <c r="H5" s="453">
        <v>0</v>
      </c>
      <c r="I5" s="453">
        <v>0</v>
      </c>
      <c r="J5" s="453">
        <v>2</v>
      </c>
      <c r="K5" s="453">
        <v>1</v>
      </c>
      <c r="L5" s="453">
        <v>0</v>
      </c>
      <c r="M5" s="453">
        <v>0</v>
      </c>
      <c r="N5" s="453">
        <v>2</v>
      </c>
      <c r="O5" s="453">
        <v>0</v>
      </c>
      <c r="P5" s="453">
        <v>1</v>
      </c>
      <c r="Q5" s="453">
        <v>0</v>
      </c>
      <c r="R5" s="453">
        <v>6</v>
      </c>
      <c r="S5" s="466">
        <v>30187</v>
      </c>
      <c r="T5" s="558" t="s">
        <v>830</v>
      </c>
      <c r="U5" s="463" t="s">
        <v>280</v>
      </c>
      <c r="V5" s="466" t="s">
        <v>264</v>
      </c>
      <c r="W5" s="463" t="s">
        <v>263</v>
      </c>
      <c r="X5" s="468" t="s">
        <v>420</v>
      </c>
      <c r="Y5" s="364">
        <v>1</v>
      </c>
      <c r="Z5" s="364">
        <v>0</v>
      </c>
      <c r="AA5" s="364">
        <v>0</v>
      </c>
      <c r="AB5" s="454">
        <v>1</v>
      </c>
      <c r="AC5" s="364">
        <v>0</v>
      </c>
      <c r="AD5" s="364">
        <v>0</v>
      </c>
      <c r="AE5" s="364">
        <v>0</v>
      </c>
      <c r="AF5" s="454">
        <v>0</v>
      </c>
      <c r="AG5" s="364">
        <v>0</v>
      </c>
      <c r="AH5" s="364">
        <v>0</v>
      </c>
      <c r="AI5" s="364">
        <v>0</v>
      </c>
      <c r="AJ5" s="454">
        <v>0</v>
      </c>
      <c r="AK5" s="364">
        <v>1</v>
      </c>
      <c r="AL5" s="364">
        <v>0</v>
      </c>
      <c r="AM5" s="364">
        <v>0</v>
      </c>
      <c r="AN5" s="454">
        <v>1</v>
      </c>
      <c r="AP5" s="318" t="s">
        <v>137</v>
      </c>
      <c r="AQ5" s="319">
        <f>Chilealltesthistdrawn</f>
        <v>3</v>
      </c>
      <c r="AS5" s="318" t="s">
        <v>137</v>
      </c>
      <c r="AT5" s="319">
        <f>ChileRWChistdrawn</f>
        <v>0</v>
      </c>
    </row>
    <row r="6" spans="1:46" ht="14.95" customHeight="1" thickBot="1" x14ac:dyDescent="0.3">
      <c r="A6" s="464" t="s">
        <v>358</v>
      </c>
      <c r="B6" s="465" t="s">
        <v>198</v>
      </c>
      <c r="C6" s="465" t="s">
        <v>119</v>
      </c>
      <c r="D6" s="554" t="s">
        <v>228</v>
      </c>
      <c r="E6" s="453" t="s">
        <v>3</v>
      </c>
      <c r="F6" s="453">
        <v>10</v>
      </c>
      <c r="G6" s="453">
        <v>43</v>
      </c>
      <c r="H6" s="453">
        <v>0</v>
      </c>
      <c r="I6" s="453">
        <v>0</v>
      </c>
      <c r="J6" s="453">
        <v>1</v>
      </c>
      <c r="K6" s="453">
        <v>1</v>
      </c>
      <c r="L6" s="453">
        <v>0</v>
      </c>
      <c r="M6" s="453">
        <v>1</v>
      </c>
      <c r="N6" s="453">
        <v>2</v>
      </c>
      <c r="O6" s="453">
        <v>0</v>
      </c>
      <c r="P6" s="453">
        <v>1</v>
      </c>
      <c r="Q6" s="453">
        <v>0</v>
      </c>
      <c r="R6" s="453">
        <v>5</v>
      </c>
      <c r="S6" s="466">
        <v>39291</v>
      </c>
      <c r="T6" s="558" t="s">
        <v>877</v>
      </c>
      <c r="U6" s="467" t="s">
        <v>269</v>
      </c>
      <c r="V6" s="466" t="s">
        <v>432</v>
      </c>
      <c r="W6" s="463" t="s">
        <v>265</v>
      </c>
      <c r="X6" s="468" t="s">
        <v>272</v>
      </c>
      <c r="Y6" s="364">
        <v>1</v>
      </c>
      <c r="Z6" s="364">
        <v>0</v>
      </c>
      <c r="AA6" s="364">
        <v>0</v>
      </c>
      <c r="AB6" s="454">
        <v>1</v>
      </c>
      <c r="AC6" s="364">
        <v>0</v>
      </c>
      <c r="AD6" s="364">
        <v>0</v>
      </c>
      <c r="AE6" s="364">
        <v>0</v>
      </c>
      <c r="AF6" s="454">
        <v>0</v>
      </c>
      <c r="AG6" s="364">
        <v>0</v>
      </c>
      <c r="AH6" s="364">
        <v>0</v>
      </c>
      <c r="AI6" s="364">
        <v>0</v>
      </c>
      <c r="AJ6" s="454">
        <v>0</v>
      </c>
      <c r="AK6" s="364">
        <v>1</v>
      </c>
      <c r="AL6" s="364">
        <v>0</v>
      </c>
      <c r="AM6" s="364">
        <v>0</v>
      </c>
      <c r="AN6" s="454">
        <v>1</v>
      </c>
      <c r="AP6" s="318" t="s">
        <v>132</v>
      </c>
      <c r="AQ6" s="319">
        <f>Chilealltesthistlost</f>
        <v>119</v>
      </c>
      <c r="AS6" s="318" t="s">
        <v>132</v>
      </c>
      <c r="AT6" s="319">
        <f>ChileRWChistlost</f>
        <v>4</v>
      </c>
    </row>
    <row r="7" spans="1:46" ht="14.95" customHeight="1" thickBot="1" x14ac:dyDescent="0.3">
      <c r="A7" s="464" t="s">
        <v>328</v>
      </c>
      <c r="B7" s="465" t="s">
        <v>198</v>
      </c>
      <c r="C7" s="465" t="s">
        <v>30</v>
      </c>
      <c r="D7" s="554" t="s">
        <v>230</v>
      </c>
      <c r="E7" s="453" t="s">
        <v>3</v>
      </c>
      <c r="F7" s="453">
        <v>0</v>
      </c>
      <c r="G7" s="453">
        <v>71</v>
      </c>
      <c r="H7" s="453">
        <v>0</v>
      </c>
      <c r="I7" s="453">
        <v>0</v>
      </c>
      <c r="J7" s="453">
        <v>0</v>
      </c>
      <c r="K7" s="453">
        <v>0</v>
      </c>
      <c r="L7" s="453">
        <v>0</v>
      </c>
      <c r="M7" s="453">
        <v>0</v>
      </c>
      <c r="N7" s="453">
        <v>1</v>
      </c>
      <c r="O7" s="453">
        <v>0</v>
      </c>
      <c r="P7" s="453">
        <v>1</v>
      </c>
      <c r="Q7" s="453">
        <v>0</v>
      </c>
      <c r="R7" s="453">
        <v>11</v>
      </c>
      <c r="S7" s="466">
        <v>44315</v>
      </c>
      <c r="T7" s="558" t="s">
        <v>545</v>
      </c>
      <c r="U7" s="467" t="s">
        <v>433</v>
      </c>
      <c r="V7" s="466" t="s">
        <v>413</v>
      </c>
      <c r="W7" s="467" t="s">
        <v>467</v>
      </c>
      <c r="X7" s="463" t="s">
        <v>420</v>
      </c>
      <c r="Y7" s="364">
        <v>1</v>
      </c>
      <c r="Z7" s="364">
        <v>0</v>
      </c>
      <c r="AA7" s="364">
        <v>0</v>
      </c>
      <c r="AB7" s="454">
        <v>1</v>
      </c>
      <c r="AC7" s="364">
        <v>0</v>
      </c>
      <c r="AD7" s="364">
        <v>0</v>
      </c>
      <c r="AE7" s="364">
        <v>0</v>
      </c>
      <c r="AF7" s="454">
        <v>0</v>
      </c>
      <c r="AG7" s="364">
        <v>0</v>
      </c>
      <c r="AH7" s="364">
        <v>0</v>
      </c>
      <c r="AI7" s="364">
        <v>0</v>
      </c>
      <c r="AJ7" s="454">
        <v>0</v>
      </c>
      <c r="AK7" s="364">
        <v>1</v>
      </c>
      <c r="AL7" s="364">
        <v>0</v>
      </c>
      <c r="AM7" s="364">
        <v>0</v>
      </c>
      <c r="AN7" s="454">
        <v>1</v>
      </c>
      <c r="AP7" s="318" t="s">
        <v>138</v>
      </c>
      <c r="AQ7" s="319">
        <f>Chilealltesthistptsscored</f>
        <v>4128</v>
      </c>
      <c r="AS7" s="318" t="s">
        <v>138</v>
      </c>
      <c r="AT7" s="319">
        <f>ChileRWChistptsscored</f>
        <v>27</v>
      </c>
    </row>
    <row r="8" spans="1:46" ht="14.95" customHeight="1" thickBot="1" x14ac:dyDescent="0.3">
      <c r="A8" s="489" t="s">
        <v>361</v>
      </c>
      <c r="B8" s="490" t="s">
        <v>198</v>
      </c>
      <c r="C8" s="490" t="s">
        <v>37</v>
      </c>
      <c r="D8" s="566" t="s">
        <v>224</v>
      </c>
      <c r="E8" s="453" t="s">
        <v>3</v>
      </c>
      <c r="F8" s="453">
        <v>5</v>
      </c>
      <c r="G8" s="453">
        <v>59</v>
      </c>
      <c r="H8" s="453">
        <v>0</v>
      </c>
      <c r="I8" s="453">
        <v>0</v>
      </c>
      <c r="J8" s="453">
        <v>1</v>
      </c>
      <c r="K8" s="453">
        <v>0</v>
      </c>
      <c r="L8" s="453">
        <v>0</v>
      </c>
      <c r="M8" s="453">
        <v>0</v>
      </c>
      <c r="N8" s="453">
        <v>0</v>
      </c>
      <c r="O8" s="453">
        <v>0</v>
      </c>
      <c r="P8" s="453">
        <v>1</v>
      </c>
      <c r="Q8" s="453">
        <v>0</v>
      </c>
      <c r="R8" s="453">
        <v>8</v>
      </c>
      <c r="S8" s="463">
        <v>34000</v>
      </c>
      <c r="T8" s="493" t="s">
        <v>922</v>
      </c>
      <c r="U8" s="564" t="s">
        <v>269</v>
      </c>
      <c r="V8" s="463" t="s">
        <v>279</v>
      </c>
      <c r="W8" s="463" t="s">
        <v>346</v>
      </c>
      <c r="X8" s="565" t="s">
        <v>349</v>
      </c>
      <c r="Y8" s="364">
        <v>1</v>
      </c>
      <c r="Z8" s="364">
        <v>0</v>
      </c>
      <c r="AA8" s="364">
        <v>0</v>
      </c>
      <c r="AB8" s="454">
        <v>1</v>
      </c>
      <c r="AC8" s="364">
        <v>0</v>
      </c>
      <c r="AD8" s="364">
        <v>0</v>
      </c>
      <c r="AE8" s="364">
        <v>0</v>
      </c>
      <c r="AF8" s="454">
        <v>0</v>
      </c>
      <c r="AG8" s="364">
        <v>0</v>
      </c>
      <c r="AH8" s="364">
        <v>0</v>
      </c>
      <c r="AI8" s="364">
        <v>0</v>
      </c>
      <c r="AJ8" s="454">
        <v>0</v>
      </c>
      <c r="AK8" s="364">
        <v>1</v>
      </c>
      <c r="AL8" s="364">
        <v>0</v>
      </c>
      <c r="AM8" s="364">
        <v>0</v>
      </c>
      <c r="AN8" s="454">
        <v>1</v>
      </c>
      <c r="AP8" s="318" t="s">
        <v>139</v>
      </c>
      <c r="AQ8" s="319">
        <f>Chilealltesthistptsconc</f>
        <v>5276</v>
      </c>
      <c r="AS8" s="318" t="s">
        <v>139</v>
      </c>
      <c r="AT8" s="319">
        <f>ChileRWChistptsconc</f>
        <v>215</v>
      </c>
    </row>
    <row r="9" spans="1:46" ht="14.95" customHeight="1" thickBot="1" x14ac:dyDescent="0.3">
      <c r="A9" s="482"/>
      <c r="B9" s="176"/>
      <c r="C9" s="991" t="s">
        <v>166</v>
      </c>
      <c r="D9" s="992"/>
      <c r="E9" s="993"/>
      <c r="F9" s="472">
        <f>F3+F4</f>
        <v>51</v>
      </c>
      <c r="G9" s="472">
        <f>G3+G4</f>
        <v>54</v>
      </c>
      <c r="H9" s="472" t="s">
        <v>106</v>
      </c>
      <c r="I9" s="472" t="s">
        <v>106</v>
      </c>
      <c r="J9" s="472">
        <f t="shared" ref="J9:O9" si="0">J3+J4</f>
        <v>7</v>
      </c>
      <c r="K9" s="472">
        <f t="shared" si="0"/>
        <v>5</v>
      </c>
      <c r="L9" s="472">
        <f t="shared" si="0"/>
        <v>0</v>
      </c>
      <c r="M9" s="472">
        <f t="shared" si="0"/>
        <v>2</v>
      </c>
      <c r="N9" s="472">
        <f t="shared" si="0"/>
        <v>3</v>
      </c>
      <c r="O9" s="472">
        <f t="shared" si="0"/>
        <v>0</v>
      </c>
      <c r="P9" s="472" t="s">
        <v>106</v>
      </c>
      <c r="Q9" s="472" t="s">
        <v>106</v>
      </c>
      <c r="R9" s="472">
        <f>R3+R4</f>
        <v>8</v>
      </c>
      <c r="S9" s="679"/>
      <c r="T9" s="765"/>
      <c r="U9" s="679"/>
      <c r="V9" s="679"/>
      <c r="W9" s="679"/>
      <c r="X9" s="475" t="s">
        <v>166</v>
      </c>
      <c r="Y9" s="766">
        <f t="shared" ref="Y9:AN9" si="1">Y3+Y4</f>
        <v>2</v>
      </c>
      <c r="Z9" s="766">
        <f t="shared" si="1"/>
        <v>0</v>
      </c>
      <c r="AA9" s="766">
        <f t="shared" si="1"/>
        <v>0</v>
      </c>
      <c r="AB9" s="766">
        <f t="shared" si="1"/>
        <v>2</v>
      </c>
      <c r="AC9" s="767">
        <f t="shared" si="1"/>
        <v>1</v>
      </c>
      <c r="AD9" s="767">
        <f t="shared" si="1"/>
        <v>0</v>
      </c>
      <c r="AE9" s="767">
        <f t="shared" si="1"/>
        <v>0</v>
      </c>
      <c r="AF9" s="767">
        <f t="shared" si="1"/>
        <v>1</v>
      </c>
      <c r="AG9" s="768">
        <f t="shared" si="1"/>
        <v>1</v>
      </c>
      <c r="AH9" s="768">
        <f t="shared" si="1"/>
        <v>0</v>
      </c>
      <c r="AI9" s="768">
        <f t="shared" si="1"/>
        <v>0</v>
      </c>
      <c r="AJ9" s="768">
        <f t="shared" si="1"/>
        <v>1</v>
      </c>
      <c r="AK9" s="766">
        <f t="shared" si="1"/>
        <v>0</v>
      </c>
      <c r="AL9" s="766">
        <f t="shared" si="1"/>
        <v>0</v>
      </c>
      <c r="AM9" s="766">
        <f t="shared" si="1"/>
        <v>0</v>
      </c>
      <c r="AN9" s="766">
        <f t="shared" si="1"/>
        <v>0</v>
      </c>
      <c r="AS9" s="318" t="s">
        <v>129</v>
      </c>
      <c r="AT9" s="319">
        <f>ChileRWChisttriesscored</f>
        <v>4</v>
      </c>
    </row>
    <row r="10" spans="1:46" ht="14.95" customHeight="1" thickBot="1" x14ac:dyDescent="0.3">
      <c r="A10" s="266"/>
      <c r="B10" s="267"/>
      <c r="C10" s="940" t="s">
        <v>625</v>
      </c>
      <c r="D10" s="941"/>
      <c r="E10" s="942"/>
      <c r="F10" s="708">
        <f t="shared" ref="F10:R10" si="2">SUM(F5:F8)</f>
        <v>27</v>
      </c>
      <c r="G10" s="708">
        <f t="shared" si="2"/>
        <v>215</v>
      </c>
      <c r="H10" s="708">
        <f t="shared" si="2"/>
        <v>0</v>
      </c>
      <c r="I10" s="708">
        <f t="shared" si="2"/>
        <v>0</v>
      </c>
      <c r="J10" s="708">
        <f t="shared" si="2"/>
        <v>4</v>
      </c>
      <c r="K10" s="708">
        <f t="shared" si="2"/>
        <v>2</v>
      </c>
      <c r="L10" s="708">
        <f t="shared" si="2"/>
        <v>0</v>
      </c>
      <c r="M10" s="708">
        <f t="shared" si="2"/>
        <v>1</v>
      </c>
      <c r="N10" s="708">
        <f t="shared" si="2"/>
        <v>5</v>
      </c>
      <c r="O10" s="708">
        <f t="shared" si="2"/>
        <v>0</v>
      </c>
      <c r="P10" s="708">
        <f t="shared" si="2"/>
        <v>4</v>
      </c>
      <c r="Q10" s="708">
        <f t="shared" si="2"/>
        <v>0</v>
      </c>
      <c r="R10" s="708">
        <f t="shared" si="2"/>
        <v>30</v>
      </c>
      <c r="S10" s="709"/>
      <c r="T10" s="709"/>
      <c r="U10" s="709"/>
      <c r="V10" s="709"/>
      <c r="W10" s="710"/>
      <c r="X10" s="711" t="s">
        <v>625</v>
      </c>
      <c r="Y10" s="712">
        <f t="shared" ref="Y10:AN10" si="3">SUM(Y5:Y8)</f>
        <v>4</v>
      </c>
      <c r="Z10" s="708">
        <f t="shared" si="3"/>
        <v>0</v>
      </c>
      <c r="AA10" s="708">
        <f t="shared" si="3"/>
        <v>0</v>
      </c>
      <c r="AB10" s="708">
        <f t="shared" si="3"/>
        <v>4</v>
      </c>
      <c r="AC10" s="713">
        <f t="shared" si="3"/>
        <v>0</v>
      </c>
      <c r="AD10" s="713">
        <f t="shared" si="3"/>
        <v>0</v>
      </c>
      <c r="AE10" s="713">
        <f t="shared" si="3"/>
        <v>0</v>
      </c>
      <c r="AF10" s="713">
        <f t="shared" si="3"/>
        <v>0</v>
      </c>
      <c r="AG10" s="714">
        <f t="shared" si="3"/>
        <v>0</v>
      </c>
      <c r="AH10" s="714">
        <f t="shared" si="3"/>
        <v>0</v>
      </c>
      <c r="AI10" s="714">
        <f t="shared" si="3"/>
        <v>0</v>
      </c>
      <c r="AJ10" s="714">
        <f t="shared" si="3"/>
        <v>0</v>
      </c>
      <c r="AK10" s="708">
        <f t="shared" si="3"/>
        <v>4</v>
      </c>
      <c r="AL10" s="708">
        <f t="shared" si="3"/>
        <v>0</v>
      </c>
      <c r="AM10" s="708">
        <f t="shared" si="3"/>
        <v>0</v>
      </c>
      <c r="AN10" s="708">
        <f t="shared" si="3"/>
        <v>4</v>
      </c>
    </row>
    <row r="11" spans="1:46" ht="14.95" customHeight="1" thickBot="1" x14ac:dyDescent="0.3">
      <c r="A11" s="266"/>
      <c r="B11" s="267"/>
      <c r="C11" s="940" t="s">
        <v>626</v>
      </c>
      <c r="D11" s="943"/>
      <c r="E11" s="944"/>
      <c r="F11" s="708">
        <v>0</v>
      </c>
      <c r="G11" s="708">
        <v>0</v>
      </c>
      <c r="H11" s="708">
        <v>0</v>
      </c>
      <c r="I11" s="708">
        <v>0</v>
      </c>
      <c r="J11" s="708">
        <v>0</v>
      </c>
      <c r="K11" s="708">
        <v>0</v>
      </c>
      <c r="L11" s="708">
        <v>0</v>
      </c>
      <c r="M11" s="708">
        <v>0</v>
      </c>
      <c r="N11" s="708">
        <v>0</v>
      </c>
      <c r="O11" s="708">
        <v>0</v>
      </c>
      <c r="P11" s="708">
        <v>0</v>
      </c>
      <c r="Q11" s="708">
        <v>0</v>
      </c>
      <c r="R11" s="708">
        <v>0</v>
      </c>
      <c r="S11" s="709"/>
      <c r="T11" s="709"/>
      <c r="U11" s="709"/>
      <c r="V11" s="709"/>
      <c r="W11" s="710"/>
      <c r="X11" s="711" t="s">
        <v>626</v>
      </c>
      <c r="Y11" s="712">
        <v>0</v>
      </c>
      <c r="Z11" s="708">
        <v>0</v>
      </c>
      <c r="AA11" s="708">
        <v>0</v>
      </c>
      <c r="AB11" s="708">
        <v>0</v>
      </c>
      <c r="AC11" s="713">
        <v>0</v>
      </c>
      <c r="AD11" s="713">
        <v>0</v>
      </c>
      <c r="AE11" s="713">
        <v>0</v>
      </c>
      <c r="AF11" s="713">
        <v>0</v>
      </c>
      <c r="AG11" s="714">
        <v>0</v>
      </c>
      <c r="AH11" s="714">
        <v>0</v>
      </c>
      <c r="AI11" s="714">
        <v>0</v>
      </c>
      <c r="AJ11" s="714">
        <v>0</v>
      </c>
      <c r="AK11" s="708">
        <v>0</v>
      </c>
      <c r="AL11" s="708">
        <v>0</v>
      </c>
      <c r="AM11" s="708">
        <v>0</v>
      </c>
      <c r="AN11" s="708">
        <v>0</v>
      </c>
    </row>
    <row r="12" spans="1:46" ht="14.95" customHeight="1" thickBot="1" x14ac:dyDescent="0.3">
      <c r="A12" s="266"/>
      <c r="B12" s="267"/>
      <c r="C12" s="940" t="s">
        <v>627</v>
      </c>
      <c r="D12" s="943"/>
      <c r="E12" s="944"/>
      <c r="F12" s="708">
        <f>SUM(F10+F11)</f>
        <v>27</v>
      </c>
      <c r="G12" s="708">
        <f t="shared" ref="G12:R12" si="4">SUM(G10+G11)</f>
        <v>215</v>
      </c>
      <c r="H12" s="708">
        <f t="shared" si="4"/>
        <v>0</v>
      </c>
      <c r="I12" s="708">
        <f t="shared" si="4"/>
        <v>0</v>
      </c>
      <c r="J12" s="708">
        <f t="shared" si="4"/>
        <v>4</v>
      </c>
      <c r="K12" s="708">
        <f t="shared" si="4"/>
        <v>2</v>
      </c>
      <c r="L12" s="708">
        <f t="shared" si="4"/>
        <v>0</v>
      </c>
      <c r="M12" s="708">
        <f t="shared" si="4"/>
        <v>1</v>
      </c>
      <c r="N12" s="708">
        <f t="shared" si="4"/>
        <v>5</v>
      </c>
      <c r="O12" s="708">
        <f t="shared" si="4"/>
        <v>0</v>
      </c>
      <c r="P12" s="708">
        <f t="shared" si="4"/>
        <v>4</v>
      </c>
      <c r="Q12" s="708">
        <f t="shared" si="4"/>
        <v>0</v>
      </c>
      <c r="R12" s="708">
        <f t="shared" si="4"/>
        <v>30</v>
      </c>
      <c r="S12" s="709"/>
      <c r="T12" s="709"/>
      <c r="U12" s="709"/>
      <c r="V12" s="709"/>
      <c r="W12" s="710"/>
      <c r="X12" s="711" t="s">
        <v>627</v>
      </c>
      <c r="Y12" s="712">
        <f t="shared" ref="Y12:AN12" si="5">SUM(Y10+Y11)</f>
        <v>4</v>
      </c>
      <c r="Z12" s="708">
        <f t="shared" si="5"/>
        <v>0</v>
      </c>
      <c r="AA12" s="708">
        <f t="shared" si="5"/>
        <v>0</v>
      </c>
      <c r="AB12" s="708">
        <f t="shared" si="5"/>
        <v>4</v>
      </c>
      <c r="AC12" s="713">
        <f t="shared" si="5"/>
        <v>0</v>
      </c>
      <c r="AD12" s="713">
        <f t="shared" si="5"/>
        <v>0</v>
      </c>
      <c r="AE12" s="713">
        <f t="shared" si="5"/>
        <v>0</v>
      </c>
      <c r="AF12" s="713">
        <f t="shared" si="5"/>
        <v>0</v>
      </c>
      <c r="AG12" s="714">
        <f t="shared" si="5"/>
        <v>0</v>
      </c>
      <c r="AH12" s="714">
        <f t="shared" si="5"/>
        <v>0</v>
      </c>
      <c r="AI12" s="714">
        <f t="shared" si="5"/>
        <v>0</v>
      </c>
      <c r="AJ12" s="714">
        <f t="shared" si="5"/>
        <v>0</v>
      </c>
      <c r="AK12" s="708">
        <f t="shared" si="5"/>
        <v>4</v>
      </c>
      <c r="AL12" s="708">
        <f t="shared" si="5"/>
        <v>0</v>
      </c>
      <c r="AM12" s="708">
        <f t="shared" si="5"/>
        <v>0</v>
      </c>
      <c r="AN12" s="708">
        <f t="shared" si="5"/>
        <v>4</v>
      </c>
    </row>
    <row r="13" spans="1:46" ht="14.95" thickBot="1" x14ac:dyDescent="0.3">
      <c r="A13" s="266"/>
      <c r="B13" s="267"/>
      <c r="C13" s="946" t="s">
        <v>107</v>
      </c>
      <c r="D13" s="947"/>
      <c r="E13" s="948"/>
      <c r="F13" s="343">
        <f t="shared" ref="F13:R13" si="6">SUM(F3:F8)</f>
        <v>78</v>
      </c>
      <c r="G13" s="343">
        <f t="shared" si="6"/>
        <v>269</v>
      </c>
      <c r="H13" s="343">
        <f t="shared" si="6"/>
        <v>0</v>
      </c>
      <c r="I13" s="343">
        <f t="shared" si="6"/>
        <v>0</v>
      </c>
      <c r="J13" s="343">
        <f t="shared" si="6"/>
        <v>11</v>
      </c>
      <c r="K13" s="343">
        <f t="shared" si="6"/>
        <v>7</v>
      </c>
      <c r="L13" s="343">
        <f t="shared" si="6"/>
        <v>0</v>
      </c>
      <c r="M13" s="343">
        <f t="shared" si="6"/>
        <v>3</v>
      </c>
      <c r="N13" s="343">
        <f t="shared" si="6"/>
        <v>8</v>
      </c>
      <c r="O13" s="343">
        <f t="shared" si="6"/>
        <v>0</v>
      </c>
      <c r="P13" s="343">
        <f t="shared" si="6"/>
        <v>4</v>
      </c>
      <c r="Q13" s="343">
        <f t="shared" si="6"/>
        <v>0</v>
      </c>
      <c r="R13" s="343">
        <f t="shared" si="6"/>
        <v>38</v>
      </c>
      <c r="S13" s="340"/>
      <c r="T13" s="340"/>
      <c r="U13" s="340"/>
      <c r="V13" s="340"/>
      <c r="W13" s="13"/>
      <c r="X13" s="364" t="s">
        <v>107</v>
      </c>
      <c r="Y13" s="343">
        <f t="shared" ref="Y13:AN13" si="7">SUM(Y3:Y8)</f>
        <v>6</v>
      </c>
      <c r="Z13" s="343">
        <f t="shared" si="7"/>
        <v>0</v>
      </c>
      <c r="AA13" s="343">
        <f t="shared" si="7"/>
        <v>0</v>
      </c>
      <c r="AB13" s="343">
        <f t="shared" si="7"/>
        <v>6</v>
      </c>
      <c r="AC13" s="341">
        <f t="shared" si="7"/>
        <v>1</v>
      </c>
      <c r="AD13" s="341">
        <f t="shared" si="7"/>
        <v>0</v>
      </c>
      <c r="AE13" s="341">
        <f t="shared" si="7"/>
        <v>0</v>
      </c>
      <c r="AF13" s="341">
        <f t="shared" si="7"/>
        <v>1</v>
      </c>
      <c r="AG13" s="342">
        <f t="shared" si="7"/>
        <v>1</v>
      </c>
      <c r="AH13" s="342">
        <f t="shared" si="7"/>
        <v>0</v>
      </c>
      <c r="AI13" s="342">
        <f t="shared" si="7"/>
        <v>0</v>
      </c>
      <c r="AJ13" s="342">
        <f t="shared" si="7"/>
        <v>1</v>
      </c>
      <c r="AK13" s="343">
        <f t="shared" si="7"/>
        <v>4</v>
      </c>
      <c r="AL13" s="343">
        <f t="shared" si="7"/>
        <v>0</v>
      </c>
      <c r="AM13" s="343">
        <f t="shared" si="7"/>
        <v>0</v>
      </c>
      <c r="AN13" s="343">
        <f t="shared" si="7"/>
        <v>4</v>
      </c>
    </row>
    <row r="14" spans="1:46" x14ac:dyDescent="0.25">
      <c r="A14" s="965"/>
      <c r="B14" s="886"/>
      <c r="C14" s="886"/>
      <c r="D14" s="886"/>
      <c r="E14" s="886"/>
      <c r="F14" s="886"/>
      <c r="G14" s="886"/>
      <c r="H14" s="886"/>
      <c r="I14" s="886"/>
      <c r="J14" s="886"/>
      <c r="K14" s="886"/>
      <c r="L14" s="886"/>
      <c r="M14" s="886"/>
      <c r="N14" s="886"/>
      <c r="O14" s="886"/>
      <c r="P14" s="886"/>
      <c r="Q14" s="886"/>
      <c r="R14" s="886"/>
      <c r="S14" s="886"/>
      <c r="T14" s="886"/>
      <c r="U14" s="886"/>
      <c r="V14" s="886"/>
      <c r="W14" s="886"/>
      <c r="X14" s="886"/>
      <c r="Y14" s="886"/>
      <c r="Z14" s="886"/>
      <c r="AA14" s="886"/>
      <c r="AB14" s="886"/>
      <c r="AC14" s="886"/>
      <c r="AD14" s="886"/>
      <c r="AE14" s="886"/>
      <c r="AF14" s="886"/>
      <c r="AG14" s="886"/>
      <c r="AH14" s="886"/>
      <c r="AI14" s="886"/>
      <c r="AJ14" s="886"/>
      <c r="AK14" s="886"/>
      <c r="AL14" s="886"/>
      <c r="AM14" s="886"/>
      <c r="AN14" s="886"/>
    </row>
    <row r="15" spans="1:46" x14ac:dyDescent="0.25">
      <c r="A15" s="965" t="s">
        <v>780</v>
      </c>
      <c r="B15" s="886"/>
      <c r="C15" s="886"/>
      <c r="D15" s="886"/>
      <c r="E15" s="886"/>
      <c r="F15" s="886"/>
      <c r="G15" s="886"/>
      <c r="H15" s="886"/>
      <c r="I15" s="886"/>
      <c r="J15" s="886"/>
      <c r="K15" s="886"/>
      <c r="L15" s="886"/>
      <c r="M15" s="886"/>
      <c r="N15" s="886"/>
      <c r="O15" s="886"/>
      <c r="P15" s="886"/>
      <c r="Q15" s="886"/>
      <c r="R15" s="886"/>
      <c r="S15" s="886"/>
      <c r="T15" s="886"/>
      <c r="U15" s="886"/>
      <c r="V15" s="886"/>
      <c r="W15" s="886"/>
      <c r="X15" s="886"/>
      <c r="Y15" s="886"/>
      <c r="Z15" s="886"/>
      <c r="AA15" s="886"/>
      <c r="AB15" s="886"/>
      <c r="AC15" s="886"/>
      <c r="AD15" s="886"/>
      <c r="AE15" s="886"/>
      <c r="AF15" s="886"/>
      <c r="AG15" s="886"/>
      <c r="AH15" s="886"/>
      <c r="AI15" s="886"/>
      <c r="AJ15" s="886"/>
      <c r="AK15" s="886"/>
      <c r="AL15" s="886"/>
      <c r="AM15" s="886"/>
      <c r="AN15" s="886"/>
    </row>
    <row r="16" spans="1:46" x14ac:dyDescent="0.25">
      <c r="A16" s="965" t="s">
        <v>648</v>
      </c>
      <c r="B16" s="886"/>
      <c r="C16" s="886"/>
      <c r="D16" s="886"/>
      <c r="E16" s="886"/>
      <c r="F16" s="886"/>
      <c r="G16" s="886"/>
      <c r="H16" s="886"/>
      <c r="I16" s="886"/>
      <c r="J16" s="886"/>
      <c r="K16" s="886"/>
      <c r="L16" s="886"/>
      <c r="M16" s="886"/>
      <c r="N16" s="886"/>
      <c r="O16" s="886"/>
      <c r="P16" s="886"/>
      <c r="Q16" s="886"/>
      <c r="R16" s="886"/>
    </row>
    <row r="17" spans="1:40" x14ac:dyDescent="0.25">
      <c r="A17" s="965" t="s">
        <v>688</v>
      </c>
      <c r="B17" s="886"/>
      <c r="C17" s="886"/>
      <c r="D17" s="886"/>
      <c r="E17" s="886"/>
      <c r="F17" s="886"/>
      <c r="G17" s="886"/>
      <c r="H17" s="886"/>
      <c r="I17" s="886"/>
      <c r="J17" s="886"/>
      <c r="K17" s="886"/>
      <c r="L17" s="886"/>
      <c r="M17" s="886"/>
      <c r="N17" s="886"/>
      <c r="O17" s="886"/>
      <c r="P17" s="886"/>
      <c r="Q17" s="886"/>
      <c r="R17" s="886"/>
    </row>
    <row r="18" spans="1:40" x14ac:dyDescent="0.25">
      <c r="A18" s="965" t="s">
        <v>608</v>
      </c>
      <c r="B18" s="886"/>
      <c r="C18" s="886"/>
      <c r="D18" s="886"/>
      <c r="E18" s="886"/>
      <c r="F18" s="886"/>
      <c r="G18" s="886"/>
      <c r="H18" s="886"/>
      <c r="I18" s="886"/>
      <c r="J18" s="886"/>
      <c r="K18" s="886"/>
      <c r="L18" s="886"/>
      <c r="M18" s="886"/>
      <c r="N18" s="886"/>
      <c r="O18" s="886"/>
      <c r="P18" s="886"/>
      <c r="Q18" s="886"/>
      <c r="R18" s="886"/>
    </row>
    <row r="19" spans="1:40" ht="13.95" customHeight="1" x14ac:dyDescent="0.25">
      <c r="A19" s="965" t="s">
        <v>657</v>
      </c>
      <c r="B19" s="886"/>
      <c r="C19" s="886"/>
      <c r="D19" s="886"/>
      <c r="E19" s="886"/>
      <c r="F19" s="886"/>
      <c r="G19" s="886"/>
      <c r="H19" s="886"/>
      <c r="I19" s="886"/>
      <c r="J19" s="886"/>
      <c r="K19" s="886"/>
      <c r="L19" s="886"/>
      <c r="M19" s="886"/>
      <c r="N19" s="886"/>
      <c r="O19" s="886"/>
      <c r="P19" s="886"/>
      <c r="Q19" s="886"/>
      <c r="R19" s="886"/>
      <c r="S19" s="329"/>
      <c r="T19" s="329"/>
    </row>
    <row r="20" spans="1:40" x14ac:dyDescent="0.25">
      <c r="A20" s="965" t="s">
        <v>163</v>
      </c>
      <c r="B20" s="886"/>
      <c r="C20" s="886"/>
      <c r="D20" s="886"/>
      <c r="E20" s="886"/>
      <c r="F20" s="886"/>
      <c r="G20" s="886"/>
      <c r="H20" s="886"/>
      <c r="I20" s="886"/>
      <c r="J20" s="886"/>
      <c r="K20" s="886"/>
      <c r="L20" s="886"/>
      <c r="M20" s="886"/>
      <c r="N20" s="886"/>
      <c r="O20" s="886"/>
      <c r="P20" s="886"/>
      <c r="Q20" s="886"/>
      <c r="R20" s="886"/>
      <c r="S20" s="886"/>
      <c r="T20" s="886"/>
      <c r="U20" s="886"/>
      <c r="V20" s="886"/>
      <c r="W20" s="886"/>
      <c r="X20" s="886"/>
      <c r="Y20" s="886"/>
      <c r="Z20" s="886"/>
      <c r="AA20" s="886"/>
      <c r="AB20" s="886"/>
      <c r="AC20" s="886"/>
      <c r="AD20" s="886"/>
      <c r="AE20" s="886"/>
      <c r="AF20" s="886"/>
      <c r="AG20" s="886"/>
      <c r="AH20" s="886"/>
      <c r="AI20" s="886"/>
      <c r="AJ20" s="886"/>
      <c r="AK20" s="886"/>
      <c r="AL20" s="886"/>
      <c r="AM20" s="886"/>
      <c r="AN20" s="886"/>
    </row>
    <row r="21" spans="1:40" x14ac:dyDescent="0.25">
      <c r="A21" s="575"/>
      <c r="B21" t="s">
        <v>44</v>
      </c>
    </row>
    <row r="22" spans="1:40" x14ac:dyDescent="0.25">
      <c r="A22" s="576"/>
      <c r="B22" t="s">
        <v>42</v>
      </c>
    </row>
    <row r="23" spans="1:40" x14ac:dyDescent="0.25">
      <c r="A23" s="577"/>
      <c r="B23" t="s">
        <v>43</v>
      </c>
    </row>
  </sheetData>
  <mergeCells count="22">
    <mergeCell ref="A19:R19"/>
    <mergeCell ref="A20:AN20"/>
    <mergeCell ref="A18:R18"/>
    <mergeCell ref="C9:E9"/>
    <mergeCell ref="C12:E12"/>
    <mergeCell ref="C13:E13"/>
    <mergeCell ref="A14:AN14"/>
    <mergeCell ref="A15:AN15"/>
    <mergeCell ref="A16:R16"/>
    <mergeCell ref="A17:R17"/>
    <mergeCell ref="C11:E11"/>
    <mergeCell ref="Y1:AB1"/>
    <mergeCell ref="AC1:AF1"/>
    <mergeCell ref="AG1:AJ1"/>
    <mergeCell ref="AK1:AN1"/>
    <mergeCell ref="C10:E10"/>
    <mergeCell ref="A1:C1"/>
    <mergeCell ref="E1:G1"/>
    <mergeCell ref="H1:I1"/>
    <mergeCell ref="J1:M1"/>
    <mergeCell ref="N1:O1"/>
    <mergeCell ref="P1:R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A35"/>
  <sheetViews>
    <sheetView zoomScaleNormal="100" workbookViewId="0">
      <pane ySplit="2" topLeftCell="A3" activePane="bottomLeft" state="frozen"/>
      <selection pane="bottomLeft" activeCell="U28" sqref="U28"/>
    </sheetView>
  </sheetViews>
  <sheetFormatPr defaultRowHeight="14.95" customHeight="1" x14ac:dyDescent="0.25"/>
  <cols>
    <col min="1" max="1" width="7.5" style="189" customWidth="1"/>
    <col min="2" max="2" width="5.125" style="189" bestFit="1" customWidth="1"/>
    <col min="3" max="3" width="11.5" style="189" customWidth="1"/>
    <col min="4" max="4" width="4.125" style="189" bestFit="1" customWidth="1"/>
    <col min="5" max="5" width="3.625" style="189" customWidth="1"/>
    <col min="6" max="7" width="4" style="189" bestFit="1" customWidth="1"/>
    <col min="8" max="18" width="3.625" style="189" customWidth="1"/>
    <col min="19" max="20" width="6.375" style="189" customWidth="1"/>
    <col min="21" max="21" width="30.5" style="189" bestFit="1" customWidth="1"/>
    <col min="22" max="22" width="22.5" style="189" bestFit="1" customWidth="1"/>
    <col min="23" max="23" width="27.5" style="189" bestFit="1" customWidth="1"/>
    <col min="24" max="24" width="30.5" style="189" customWidth="1"/>
    <col min="25" max="40" width="3.625" style="189" customWidth="1"/>
    <col min="42" max="42" width="13.125" bestFit="1" customWidth="1"/>
    <col min="45" max="45" width="13.125" bestFit="1" customWidth="1"/>
    <col min="48" max="48" width="12.375" bestFit="1" customWidth="1"/>
    <col min="51" max="51" width="12.375" bestFit="1" customWidth="1"/>
  </cols>
  <sheetData>
    <row r="1" spans="1:53" ht="14.95" customHeight="1" thickBot="1" x14ac:dyDescent="0.3">
      <c r="A1" s="1003" t="s">
        <v>204</v>
      </c>
      <c r="B1" s="1004"/>
      <c r="C1" s="1004"/>
      <c r="D1" s="868"/>
      <c r="E1" s="1005" t="s">
        <v>24</v>
      </c>
      <c r="F1" s="1006"/>
      <c r="G1" s="1007"/>
      <c r="H1" s="1005" t="s">
        <v>162</v>
      </c>
      <c r="I1" s="1007"/>
      <c r="J1" s="1000" t="s">
        <v>6</v>
      </c>
      <c r="K1" s="1001"/>
      <c r="L1" s="1001"/>
      <c r="M1" s="1002"/>
      <c r="N1" s="1000" t="s">
        <v>7</v>
      </c>
      <c r="O1" s="1002"/>
      <c r="P1" s="1000" t="s">
        <v>25</v>
      </c>
      <c r="Q1" s="1001"/>
      <c r="R1" s="1002"/>
      <c r="S1" s="869" t="s">
        <v>8</v>
      </c>
      <c r="T1" s="869" t="s">
        <v>9</v>
      </c>
      <c r="U1" s="870" t="s">
        <v>10</v>
      </c>
      <c r="V1" s="870" t="s">
        <v>11</v>
      </c>
      <c r="W1" s="870" t="s">
        <v>26</v>
      </c>
      <c r="X1" s="870" t="s">
        <v>27</v>
      </c>
      <c r="Y1" s="994" t="s">
        <v>20</v>
      </c>
      <c r="Z1" s="995"/>
      <c r="AA1" s="995"/>
      <c r="AB1" s="996"/>
      <c r="AC1" s="994" t="s">
        <v>61</v>
      </c>
      <c r="AD1" s="995"/>
      <c r="AE1" s="995"/>
      <c r="AF1" s="996"/>
      <c r="AG1" s="994" t="s">
        <v>62</v>
      </c>
      <c r="AH1" s="995"/>
      <c r="AI1" s="995"/>
      <c r="AJ1" s="996"/>
      <c r="AK1" s="994" t="s">
        <v>63</v>
      </c>
      <c r="AL1" s="995"/>
      <c r="AM1" s="995"/>
      <c r="AN1" s="996"/>
      <c r="AP1" s="879" t="s">
        <v>143</v>
      </c>
      <c r="AQ1" s="322"/>
      <c r="AR1" s="322"/>
      <c r="AS1" s="879" t="s">
        <v>143</v>
      </c>
      <c r="AV1" s="879" t="s">
        <v>143</v>
      </c>
      <c r="AY1" s="879" t="s">
        <v>143</v>
      </c>
    </row>
    <row r="2" spans="1:53" ht="14.95" customHeight="1" thickBot="1" x14ac:dyDescent="0.3">
      <c r="A2" s="871" t="s">
        <v>19</v>
      </c>
      <c r="B2" s="238" t="s">
        <v>18</v>
      </c>
      <c r="C2" s="242" t="s">
        <v>850</v>
      </c>
      <c r="D2" s="242" t="s">
        <v>41</v>
      </c>
      <c r="E2" s="872" t="s">
        <v>16</v>
      </c>
      <c r="F2" s="872" t="s">
        <v>4</v>
      </c>
      <c r="G2" s="872" t="s">
        <v>5</v>
      </c>
      <c r="H2" s="873" t="s">
        <v>12</v>
      </c>
      <c r="I2" s="873" t="s">
        <v>3</v>
      </c>
      <c r="J2" s="873" t="s">
        <v>12</v>
      </c>
      <c r="K2" s="873" t="s">
        <v>13</v>
      </c>
      <c r="L2" s="873" t="s">
        <v>2</v>
      </c>
      <c r="M2" s="873" t="s">
        <v>14</v>
      </c>
      <c r="N2" s="873" t="s">
        <v>15</v>
      </c>
      <c r="O2" s="873" t="s">
        <v>16</v>
      </c>
      <c r="P2" s="873" t="s">
        <v>21</v>
      </c>
      <c r="Q2" s="873" t="s">
        <v>22</v>
      </c>
      <c r="R2" s="873" t="s">
        <v>12</v>
      </c>
      <c r="S2" s="874"/>
      <c r="T2" s="875"/>
      <c r="U2" s="876"/>
      <c r="V2" s="874"/>
      <c r="W2" s="870"/>
      <c r="X2" s="877"/>
      <c r="Y2" s="878" t="s">
        <v>0</v>
      </c>
      <c r="Z2" s="878" t="s">
        <v>1</v>
      </c>
      <c r="AA2" s="878" t="s">
        <v>2</v>
      </c>
      <c r="AB2" s="878" t="s">
        <v>3</v>
      </c>
      <c r="AC2" s="878" t="s">
        <v>0</v>
      </c>
      <c r="AD2" s="878" t="s">
        <v>1</v>
      </c>
      <c r="AE2" s="878" t="s">
        <v>2</v>
      </c>
      <c r="AF2" s="878" t="s">
        <v>3</v>
      </c>
      <c r="AG2" s="878" t="s">
        <v>0</v>
      </c>
      <c r="AH2" s="878" t="s">
        <v>1</v>
      </c>
      <c r="AI2" s="878" t="s">
        <v>2</v>
      </c>
      <c r="AJ2" s="878" t="s">
        <v>3</v>
      </c>
      <c r="AK2" s="878" t="s">
        <v>0</v>
      </c>
      <c r="AL2" s="878" t="s">
        <v>1</v>
      </c>
      <c r="AM2" s="878" t="s">
        <v>2</v>
      </c>
      <c r="AN2" s="878" t="s">
        <v>3</v>
      </c>
      <c r="AP2" s="305" t="s">
        <v>107</v>
      </c>
      <c r="AQ2" s="189"/>
      <c r="AS2" s="336" t="s">
        <v>128</v>
      </c>
      <c r="AT2" s="189"/>
      <c r="AV2" s="356" t="s">
        <v>996</v>
      </c>
      <c r="AW2" s="880"/>
      <c r="AY2" s="356" t="s">
        <v>997</v>
      </c>
      <c r="AZ2" s="880"/>
      <c r="BA2" s="14"/>
    </row>
    <row r="3" spans="1:53" ht="14.95" customHeight="1" thickBot="1" x14ac:dyDescent="0.35">
      <c r="A3" s="423" t="s">
        <v>317</v>
      </c>
      <c r="B3" s="424" t="s">
        <v>46</v>
      </c>
      <c r="C3" s="424" t="s">
        <v>35</v>
      </c>
      <c r="D3" s="424" t="s">
        <v>115</v>
      </c>
      <c r="E3" s="425" t="s">
        <v>3</v>
      </c>
      <c r="F3" s="425">
        <v>23</v>
      </c>
      <c r="G3" s="425">
        <v>29</v>
      </c>
      <c r="H3" s="425">
        <v>0</v>
      </c>
      <c r="I3" s="425">
        <v>1</v>
      </c>
      <c r="J3" s="425">
        <v>3</v>
      </c>
      <c r="K3" s="425">
        <v>1</v>
      </c>
      <c r="L3" s="425">
        <v>0</v>
      </c>
      <c r="M3" s="425">
        <v>2</v>
      </c>
      <c r="N3" s="425">
        <v>0</v>
      </c>
      <c r="O3" s="425">
        <v>0</v>
      </c>
      <c r="P3" s="425">
        <v>1</v>
      </c>
      <c r="Q3" s="425">
        <v>0</v>
      </c>
      <c r="R3" s="425">
        <v>4</v>
      </c>
      <c r="S3" s="426">
        <v>81545</v>
      </c>
      <c r="T3" s="449" t="s">
        <v>268</v>
      </c>
      <c r="U3" s="428" t="s">
        <v>269</v>
      </c>
      <c r="V3" s="426" t="s">
        <v>270</v>
      </c>
      <c r="W3" s="429" t="s">
        <v>271</v>
      </c>
      <c r="X3" s="430" t="s">
        <v>272</v>
      </c>
      <c r="Y3" s="431">
        <v>1</v>
      </c>
      <c r="Z3" s="431">
        <v>0</v>
      </c>
      <c r="AA3" s="431">
        <v>0</v>
      </c>
      <c r="AB3" s="432">
        <v>1</v>
      </c>
      <c r="AC3" s="431">
        <v>1</v>
      </c>
      <c r="AD3" s="431">
        <v>0</v>
      </c>
      <c r="AE3" s="431">
        <v>0</v>
      </c>
      <c r="AF3" s="432">
        <v>1</v>
      </c>
      <c r="AG3" s="431">
        <v>0</v>
      </c>
      <c r="AH3" s="431">
        <v>0</v>
      </c>
      <c r="AI3" s="431">
        <v>0</v>
      </c>
      <c r="AJ3" s="432">
        <v>0</v>
      </c>
      <c r="AK3" s="431">
        <v>0</v>
      </c>
      <c r="AL3" s="431">
        <v>0</v>
      </c>
      <c r="AM3" s="431">
        <v>0</v>
      </c>
      <c r="AN3" s="432">
        <v>0</v>
      </c>
      <c r="AP3" s="316" t="s">
        <v>130</v>
      </c>
      <c r="AQ3" s="317">
        <f>Englandalltestshistplayed</f>
        <v>789</v>
      </c>
      <c r="AS3" s="316" t="s">
        <v>130</v>
      </c>
      <c r="AT3" s="317">
        <f>EnglandRWChistplayed</f>
        <v>57</v>
      </c>
      <c r="AV3" s="316" t="s">
        <v>130</v>
      </c>
      <c r="AW3" s="317">
        <f>Englandsixnationsplayed</f>
        <v>120</v>
      </c>
      <c r="AY3" s="316" t="s">
        <v>130</v>
      </c>
      <c r="AZ3" s="317">
        <f>EnglandChampionshipplayed</f>
        <v>498</v>
      </c>
    </row>
    <row r="4" spans="1:53" ht="14.95" customHeight="1" thickBot="1" x14ac:dyDescent="0.35">
      <c r="A4" s="423" t="s">
        <v>318</v>
      </c>
      <c r="B4" s="424" t="s">
        <v>46</v>
      </c>
      <c r="C4" s="424" t="s">
        <v>33</v>
      </c>
      <c r="D4" s="424" t="s">
        <v>115</v>
      </c>
      <c r="E4" s="425" t="s">
        <v>1</v>
      </c>
      <c r="F4" s="425">
        <v>31</v>
      </c>
      <c r="G4" s="425">
        <v>14</v>
      </c>
      <c r="H4" s="425">
        <v>1</v>
      </c>
      <c r="I4" s="425">
        <v>0</v>
      </c>
      <c r="J4" s="425">
        <v>5</v>
      </c>
      <c r="K4" s="425">
        <v>2</v>
      </c>
      <c r="L4" s="425">
        <v>0</v>
      </c>
      <c r="M4" s="425">
        <v>0</v>
      </c>
      <c r="N4" s="425">
        <v>0</v>
      </c>
      <c r="O4" s="425">
        <v>0</v>
      </c>
      <c r="P4" s="425">
        <v>0</v>
      </c>
      <c r="Q4" s="425">
        <v>0</v>
      </c>
      <c r="R4" s="425">
        <v>2</v>
      </c>
      <c r="S4" s="426">
        <v>81609</v>
      </c>
      <c r="T4" s="438" t="s">
        <v>362</v>
      </c>
      <c r="U4" s="428" t="s">
        <v>272</v>
      </c>
      <c r="V4" s="426" t="s">
        <v>363</v>
      </c>
      <c r="W4" s="429" t="s">
        <v>364</v>
      </c>
      <c r="X4" s="430" t="s">
        <v>365</v>
      </c>
      <c r="Y4" s="431">
        <v>1</v>
      </c>
      <c r="Z4" s="431">
        <v>1</v>
      </c>
      <c r="AA4" s="431">
        <v>0</v>
      </c>
      <c r="AB4" s="432">
        <v>0</v>
      </c>
      <c r="AC4" s="431">
        <v>1</v>
      </c>
      <c r="AD4" s="431">
        <v>1</v>
      </c>
      <c r="AE4" s="431">
        <v>0</v>
      </c>
      <c r="AF4" s="432">
        <v>0</v>
      </c>
      <c r="AG4" s="431">
        <v>0</v>
      </c>
      <c r="AH4" s="431">
        <v>0</v>
      </c>
      <c r="AI4" s="431">
        <v>0</v>
      </c>
      <c r="AJ4" s="432">
        <v>0</v>
      </c>
      <c r="AK4" s="431">
        <v>0</v>
      </c>
      <c r="AL4" s="431">
        <v>0</v>
      </c>
      <c r="AM4" s="431">
        <v>0</v>
      </c>
      <c r="AN4" s="432">
        <v>0</v>
      </c>
      <c r="AP4" s="318" t="s">
        <v>131</v>
      </c>
      <c r="AQ4" s="319">
        <f>Englandalltestshistwon</f>
        <v>440</v>
      </c>
      <c r="AS4" s="318" t="s">
        <v>131</v>
      </c>
      <c r="AT4" s="319">
        <f>EnglandRWChistwon</f>
        <v>42</v>
      </c>
      <c r="AV4" s="318" t="s">
        <v>131</v>
      </c>
      <c r="AW4" s="319">
        <f>Englandsixnationswon</f>
        <v>79</v>
      </c>
      <c r="AY4" s="318" t="s">
        <v>131</v>
      </c>
      <c r="AZ4" s="319">
        <f>EnglandChampionshipwon</f>
        <v>271</v>
      </c>
    </row>
    <row r="5" spans="1:53" ht="14.95" customHeight="1" thickBot="1" x14ac:dyDescent="0.35">
      <c r="A5" s="396" t="s">
        <v>319</v>
      </c>
      <c r="B5" s="398" t="s">
        <v>46</v>
      </c>
      <c r="C5" s="398" t="s">
        <v>32</v>
      </c>
      <c r="D5" s="398" t="s">
        <v>111</v>
      </c>
      <c r="E5" s="399" t="s">
        <v>1</v>
      </c>
      <c r="F5" s="399">
        <v>20</v>
      </c>
      <c r="G5" s="399">
        <v>10</v>
      </c>
      <c r="H5" s="399">
        <v>0</v>
      </c>
      <c r="I5" s="399">
        <v>0</v>
      </c>
      <c r="J5" s="399">
        <v>3</v>
      </c>
      <c r="K5" s="399">
        <v>1</v>
      </c>
      <c r="L5" s="399">
        <v>0</v>
      </c>
      <c r="M5" s="399">
        <v>1</v>
      </c>
      <c r="N5" s="399">
        <v>0</v>
      </c>
      <c r="O5" s="399">
        <v>0</v>
      </c>
      <c r="P5" s="399">
        <v>0</v>
      </c>
      <c r="Q5" s="399">
        <v>0</v>
      </c>
      <c r="R5" s="399">
        <v>1</v>
      </c>
      <c r="S5" s="406">
        <v>74007</v>
      </c>
      <c r="T5" s="407" t="s">
        <v>417</v>
      </c>
      <c r="U5" s="408" t="s">
        <v>364</v>
      </c>
      <c r="V5" s="406" t="s">
        <v>347</v>
      </c>
      <c r="W5" s="408" t="s">
        <v>346</v>
      </c>
      <c r="X5" s="401" t="s">
        <v>349</v>
      </c>
      <c r="Y5" s="404">
        <v>1</v>
      </c>
      <c r="Z5" s="404">
        <v>1</v>
      </c>
      <c r="AA5" s="404">
        <v>0</v>
      </c>
      <c r="AB5" s="405">
        <v>0</v>
      </c>
      <c r="AC5" s="404">
        <v>1</v>
      </c>
      <c r="AD5" s="404">
        <v>1</v>
      </c>
      <c r="AE5" s="404">
        <v>0</v>
      </c>
      <c r="AF5" s="405">
        <v>0</v>
      </c>
      <c r="AG5" s="404">
        <v>0</v>
      </c>
      <c r="AH5" s="404">
        <v>0</v>
      </c>
      <c r="AI5" s="404">
        <v>0</v>
      </c>
      <c r="AJ5" s="405">
        <v>0</v>
      </c>
      <c r="AK5" s="404">
        <v>0</v>
      </c>
      <c r="AL5" s="404">
        <v>0</v>
      </c>
      <c r="AM5" s="404">
        <v>0</v>
      </c>
      <c r="AN5" s="405">
        <v>0</v>
      </c>
      <c r="AP5" s="318" t="s">
        <v>137</v>
      </c>
      <c r="AQ5" s="319">
        <f>Englandalltestshistdrawn</f>
        <v>52</v>
      </c>
      <c r="AS5" s="318" t="s">
        <v>137</v>
      </c>
      <c r="AT5" s="319">
        <f>EnglandRWChistdrawn</f>
        <v>0</v>
      </c>
      <c r="AV5" s="318" t="s">
        <v>137</v>
      </c>
      <c r="AW5" s="319">
        <f>Englandsixnationsdrawn</f>
        <v>2</v>
      </c>
      <c r="AY5" s="318" t="s">
        <v>137</v>
      </c>
      <c r="AZ5" s="319">
        <f>EnglandChampionshipdrawn</f>
        <v>40</v>
      </c>
    </row>
    <row r="6" spans="1:53" ht="14.95" customHeight="1" thickBot="1" x14ac:dyDescent="0.3">
      <c r="A6" s="423" t="s">
        <v>320</v>
      </c>
      <c r="B6" s="424" t="s">
        <v>46</v>
      </c>
      <c r="C6" s="424" t="s">
        <v>34</v>
      </c>
      <c r="D6" s="424" t="s">
        <v>115</v>
      </c>
      <c r="E6" s="425" t="s">
        <v>3</v>
      </c>
      <c r="F6" s="425">
        <v>10</v>
      </c>
      <c r="G6" s="425">
        <v>53</v>
      </c>
      <c r="H6" s="425">
        <v>0</v>
      </c>
      <c r="I6" s="425">
        <v>0</v>
      </c>
      <c r="J6" s="425">
        <v>1</v>
      </c>
      <c r="K6" s="425">
        <v>1</v>
      </c>
      <c r="L6" s="425">
        <v>0</v>
      </c>
      <c r="M6" s="425">
        <v>1</v>
      </c>
      <c r="N6" s="425">
        <v>0</v>
      </c>
      <c r="O6" s="425">
        <v>0</v>
      </c>
      <c r="P6" s="425">
        <v>0</v>
      </c>
      <c r="Q6" s="425">
        <v>0</v>
      </c>
      <c r="R6" s="425">
        <v>7</v>
      </c>
      <c r="S6" s="426">
        <v>82000</v>
      </c>
      <c r="T6" s="439" t="s">
        <v>262</v>
      </c>
      <c r="U6" s="428" t="s">
        <v>271</v>
      </c>
      <c r="V6" s="426" t="s">
        <v>432</v>
      </c>
      <c r="W6" s="429" t="s">
        <v>433</v>
      </c>
      <c r="X6" s="430" t="s">
        <v>420</v>
      </c>
      <c r="Y6" s="431">
        <v>1</v>
      </c>
      <c r="Z6" s="431">
        <v>0</v>
      </c>
      <c r="AA6" s="431">
        <v>0</v>
      </c>
      <c r="AB6" s="432">
        <v>1</v>
      </c>
      <c r="AC6" s="431">
        <v>1</v>
      </c>
      <c r="AD6" s="431">
        <v>0</v>
      </c>
      <c r="AE6" s="431">
        <v>0</v>
      </c>
      <c r="AF6" s="432">
        <v>1</v>
      </c>
      <c r="AG6" s="431">
        <v>0</v>
      </c>
      <c r="AH6" s="431">
        <v>0</v>
      </c>
      <c r="AI6" s="431">
        <v>0</v>
      </c>
      <c r="AJ6" s="432">
        <v>0</v>
      </c>
      <c r="AK6" s="431">
        <v>0</v>
      </c>
      <c r="AL6" s="431">
        <v>0</v>
      </c>
      <c r="AM6" s="431">
        <v>0</v>
      </c>
      <c r="AN6" s="432">
        <v>0</v>
      </c>
      <c r="AP6" s="318" t="s">
        <v>132</v>
      </c>
      <c r="AQ6" s="319">
        <f>Englandalltestshistlost</f>
        <v>297</v>
      </c>
      <c r="AS6" s="318" t="s">
        <v>132</v>
      </c>
      <c r="AT6" s="319">
        <f>EnglandRWChistlost</f>
        <v>15</v>
      </c>
      <c r="AV6" s="318" t="s">
        <v>132</v>
      </c>
      <c r="AW6" s="319">
        <f>Englandsixnationslost</f>
        <v>39</v>
      </c>
      <c r="AY6" s="318" t="s">
        <v>132</v>
      </c>
      <c r="AZ6" s="319">
        <f>EnglandChampionshiplost</f>
        <v>187</v>
      </c>
    </row>
    <row r="7" spans="1:53" ht="14.95" customHeight="1" thickBot="1" x14ac:dyDescent="0.3">
      <c r="A7" s="396" t="s">
        <v>321</v>
      </c>
      <c r="B7" s="398" t="s">
        <v>46</v>
      </c>
      <c r="C7" s="398" t="s">
        <v>39</v>
      </c>
      <c r="D7" s="398" t="s">
        <v>114</v>
      </c>
      <c r="E7" s="399" t="s">
        <v>3</v>
      </c>
      <c r="F7" s="399">
        <v>16</v>
      </c>
      <c r="G7" s="399">
        <v>29</v>
      </c>
      <c r="H7" s="399">
        <v>0</v>
      </c>
      <c r="I7" s="399">
        <v>0</v>
      </c>
      <c r="J7" s="399">
        <v>1</v>
      </c>
      <c r="K7" s="399">
        <v>1</v>
      </c>
      <c r="L7" s="399">
        <v>0</v>
      </c>
      <c r="M7" s="399">
        <v>3</v>
      </c>
      <c r="N7" s="399">
        <v>1</v>
      </c>
      <c r="O7" s="399">
        <v>1</v>
      </c>
      <c r="P7" s="399">
        <v>1</v>
      </c>
      <c r="Q7" s="399">
        <v>0</v>
      </c>
      <c r="R7" s="399">
        <v>4</v>
      </c>
      <c r="S7" s="406">
        <v>51700</v>
      </c>
      <c r="T7" s="410" t="s">
        <v>468</v>
      </c>
      <c r="U7" s="408" t="s">
        <v>433</v>
      </c>
      <c r="V7" s="406" t="s">
        <v>413</v>
      </c>
      <c r="W7" s="401" t="s">
        <v>271</v>
      </c>
      <c r="X7" s="409" t="s">
        <v>467</v>
      </c>
      <c r="Y7" s="404">
        <v>1</v>
      </c>
      <c r="Z7" s="404">
        <v>0</v>
      </c>
      <c r="AA7" s="404">
        <v>0</v>
      </c>
      <c r="AB7" s="405">
        <v>1</v>
      </c>
      <c r="AC7" s="404">
        <v>0</v>
      </c>
      <c r="AD7" s="404">
        <v>0</v>
      </c>
      <c r="AE7" s="404">
        <v>0</v>
      </c>
      <c r="AF7" s="405">
        <v>0</v>
      </c>
      <c r="AG7" s="404">
        <v>1</v>
      </c>
      <c r="AH7" s="404">
        <v>0</v>
      </c>
      <c r="AI7" s="404">
        <v>0</v>
      </c>
      <c r="AJ7" s="405">
        <v>1</v>
      </c>
      <c r="AK7" s="404">
        <v>0</v>
      </c>
      <c r="AL7" s="404">
        <v>0</v>
      </c>
      <c r="AM7" s="404">
        <v>0</v>
      </c>
      <c r="AN7" s="405">
        <v>0</v>
      </c>
      <c r="AP7" s="318" t="s">
        <v>138</v>
      </c>
      <c r="AQ7" s="319">
        <f>Englandalltestshistptsscored</f>
        <v>14210</v>
      </c>
      <c r="AS7" s="318" t="s">
        <v>138</v>
      </c>
      <c r="AT7" s="319">
        <f>EnglandRWChistptsscored</f>
        <v>1790</v>
      </c>
      <c r="AV7" s="318" t="s">
        <v>138</v>
      </c>
      <c r="AW7" s="319">
        <f>Englandsixnationsptsscored</f>
        <v>3216</v>
      </c>
      <c r="AY7" s="318" t="s">
        <v>138</v>
      </c>
      <c r="AZ7" s="319">
        <f>EnglandChampionshipptsscored</f>
        <v>7293</v>
      </c>
    </row>
    <row r="8" spans="1:53" ht="14.95" customHeight="1" thickBot="1" x14ac:dyDescent="0.35">
      <c r="A8" s="396" t="s">
        <v>322</v>
      </c>
      <c r="B8" s="398" t="s">
        <v>615</v>
      </c>
      <c r="C8" s="398" t="s">
        <v>32</v>
      </c>
      <c r="D8" s="398" t="s">
        <v>111</v>
      </c>
      <c r="E8" s="399" t="s">
        <v>3</v>
      </c>
      <c r="F8" s="399">
        <v>9</v>
      </c>
      <c r="G8" s="399">
        <v>20</v>
      </c>
      <c r="H8" s="399" t="s">
        <v>106</v>
      </c>
      <c r="I8" s="399" t="s">
        <v>106</v>
      </c>
      <c r="J8" s="399">
        <v>0</v>
      </c>
      <c r="K8" s="399">
        <v>0</v>
      </c>
      <c r="L8" s="399">
        <v>0</v>
      </c>
      <c r="M8" s="399">
        <v>3</v>
      </c>
      <c r="N8" s="399">
        <v>0</v>
      </c>
      <c r="O8" s="399">
        <v>0</v>
      </c>
      <c r="P8" s="399" t="s">
        <v>106</v>
      </c>
      <c r="Q8" s="399" t="s">
        <v>106</v>
      </c>
      <c r="R8" s="399">
        <v>2</v>
      </c>
      <c r="S8" s="406">
        <v>65802</v>
      </c>
      <c r="T8" s="527" t="s">
        <v>729</v>
      </c>
      <c r="U8" s="408" t="s">
        <v>280</v>
      </c>
      <c r="V8" s="406" t="s">
        <v>431</v>
      </c>
      <c r="W8" s="406" t="s">
        <v>412</v>
      </c>
      <c r="X8" s="409" t="s">
        <v>728</v>
      </c>
      <c r="Y8" s="404">
        <v>1</v>
      </c>
      <c r="Z8" s="404">
        <v>0</v>
      </c>
      <c r="AA8" s="404">
        <v>0</v>
      </c>
      <c r="AB8" s="405">
        <v>1</v>
      </c>
      <c r="AC8" s="404">
        <v>0</v>
      </c>
      <c r="AD8" s="404">
        <v>0</v>
      </c>
      <c r="AE8" s="404">
        <v>0</v>
      </c>
      <c r="AF8" s="405">
        <v>0</v>
      </c>
      <c r="AG8" s="404">
        <v>1</v>
      </c>
      <c r="AH8" s="404">
        <v>0</v>
      </c>
      <c r="AI8" s="404">
        <v>0</v>
      </c>
      <c r="AJ8" s="405">
        <v>1</v>
      </c>
      <c r="AK8" s="404">
        <v>0</v>
      </c>
      <c r="AL8" s="404">
        <v>0</v>
      </c>
      <c r="AM8" s="404">
        <v>0</v>
      </c>
      <c r="AN8" s="405">
        <v>0</v>
      </c>
      <c r="AP8" s="318" t="s">
        <v>139</v>
      </c>
      <c r="AQ8" s="319">
        <f>Englandalltestshistptsagainst</f>
        <v>10393</v>
      </c>
      <c r="AS8" s="318" t="s">
        <v>139</v>
      </c>
      <c r="AT8" s="319">
        <f>EnglandRWChistptsagainst</f>
        <v>885</v>
      </c>
      <c r="AV8" s="318" t="s">
        <v>139</v>
      </c>
      <c r="AW8" s="319">
        <f>Englandsixnationsptsconceded</f>
        <v>2030</v>
      </c>
      <c r="AY8" s="318" t="s">
        <v>139</v>
      </c>
      <c r="AZ8" s="319">
        <f>EnglandChampionshipptsconceded</f>
        <v>5537</v>
      </c>
    </row>
    <row r="9" spans="1:53" ht="14.95" customHeight="1" thickBot="1" x14ac:dyDescent="0.35">
      <c r="A9" s="423" t="s">
        <v>323</v>
      </c>
      <c r="B9" s="424" t="s">
        <v>615</v>
      </c>
      <c r="C9" s="424" t="s">
        <v>32</v>
      </c>
      <c r="D9" s="424" t="s">
        <v>115</v>
      </c>
      <c r="E9" s="425" t="s">
        <v>1</v>
      </c>
      <c r="F9" s="425">
        <v>19</v>
      </c>
      <c r="G9" s="425">
        <v>17</v>
      </c>
      <c r="H9" s="425" t="s">
        <v>106</v>
      </c>
      <c r="I9" s="425" t="s">
        <v>106</v>
      </c>
      <c r="J9" s="425">
        <v>1</v>
      </c>
      <c r="K9" s="425">
        <v>1</v>
      </c>
      <c r="L9" s="425">
        <v>0</v>
      </c>
      <c r="M9" s="425">
        <v>4</v>
      </c>
      <c r="N9" s="425">
        <v>3</v>
      </c>
      <c r="O9" s="425">
        <v>1</v>
      </c>
      <c r="P9" s="425" t="s">
        <v>106</v>
      </c>
      <c r="Q9" s="425" t="s">
        <v>106</v>
      </c>
      <c r="R9" s="425">
        <v>1</v>
      </c>
      <c r="S9" s="426">
        <v>74256</v>
      </c>
      <c r="T9" s="438" t="s">
        <v>756</v>
      </c>
      <c r="U9" s="428" t="s">
        <v>402</v>
      </c>
      <c r="V9" s="426" t="s">
        <v>347</v>
      </c>
      <c r="W9" s="426" t="s">
        <v>346</v>
      </c>
      <c r="X9" s="430" t="s">
        <v>420</v>
      </c>
      <c r="Y9" s="431">
        <v>1</v>
      </c>
      <c r="Z9" s="431">
        <v>1</v>
      </c>
      <c r="AA9" s="431">
        <v>0</v>
      </c>
      <c r="AB9" s="432">
        <v>0</v>
      </c>
      <c r="AC9" s="431">
        <v>1</v>
      </c>
      <c r="AD9" s="431">
        <v>1</v>
      </c>
      <c r="AE9" s="431">
        <v>0</v>
      </c>
      <c r="AF9" s="432">
        <v>0</v>
      </c>
      <c r="AG9" s="431">
        <v>0</v>
      </c>
      <c r="AH9" s="431">
        <v>0</v>
      </c>
      <c r="AI9" s="431">
        <v>0</v>
      </c>
      <c r="AJ9" s="432">
        <v>0</v>
      </c>
      <c r="AK9" s="431">
        <v>0</v>
      </c>
      <c r="AL9" s="431">
        <v>0</v>
      </c>
      <c r="AM9" s="431">
        <v>0</v>
      </c>
      <c r="AN9" s="432">
        <v>0</v>
      </c>
      <c r="AP9" s="318" t="s">
        <v>129</v>
      </c>
      <c r="AQ9" s="319">
        <f>Englandalltestshisttriesscored</f>
        <v>1821</v>
      </c>
      <c r="AS9" s="318" t="s">
        <v>129</v>
      </c>
      <c r="AT9" s="319">
        <f>EnglandRWChisttriesscored</f>
        <v>190</v>
      </c>
      <c r="AV9" s="318" t="s">
        <v>129</v>
      </c>
      <c r="AW9" s="319">
        <f>Englandsixnationstriesscored</f>
        <v>346</v>
      </c>
      <c r="AY9" s="318" t="s">
        <v>129</v>
      </c>
      <c r="AZ9" s="319">
        <f>EnglandChampionshiptriesscored</f>
        <v>998</v>
      </c>
    </row>
    <row r="10" spans="1:53" ht="14.95" customHeight="1" thickBot="1" x14ac:dyDescent="0.3">
      <c r="A10" s="396" t="s">
        <v>324</v>
      </c>
      <c r="B10" s="398" t="s">
        <v>615</v>
      </c>
      <c r="C10" s="398" t="s">
        <v>39</v>
      </c>
      <c r="D10" s="398" t="s">
        <v>114</v>
      </c>
      <c r="E10" s="399" t="s">
        <v>3</v>
      </c>
      <c r="F10" s="399">
        <v>10</v>
      </c>
      <c r="G10" s="399">
        <v>29</v>
      </c>
      <c r="H10" s="399" t="s">
        <v>106</v>
      </c>
      <c r="I10" s="399" t="s">
        <v>106</v>
      </c>
      <c r="J10" s="399">
        <v>1</v>
      </c>
      <c r="K10" s="399">
        <v>1</v>
      </c>
      <c r="L10" s="399">
        <v>0</v>
      </c>
      <c r="M10" s="399">
        <v>1</v>
      </c>
      <c r="N10" s="399">
        <v>0</v>
      </c>
      <c r="O10" s="399">
        <v>1</v>
      </c>
      <c r="P10" s="399" t="s">
        <v>106</v>
      </c>
      <c r="Q10" s="399" t="s">
        <v>106</v>
      </c>
      <c r="R10" s="399">
        <v>5</v>
      </c>
      <c r="S10" s="406">
        <v>51000</v>
      </c>
      <c r="T10" s="410" t="s">
        <v>791</v>
      </c>
      <c r="U10" s="408" t="s">
        <v>269</v>
      </c>
      <c r="V10" s="406" t="s">
        <v>279</v>
      </c>
      <c r="W10" s="406" t="s">
        <v>414</v>
      </c>
      <c r="X10" s="403" t="s">
        <v>790</v>
      </c>
      <c r="Y10" s="404">
        <v>1</v>
      </c>
      <c r="Z10" s="404">
        <v>0</v>
      </c>
      <c r="AA10" s="404">
        <v>0</v>
      </c>
      <c r="AB10" s="405">
        <v>1</v>
      </c>
      <c r="AC10" s="404">
        <v>0</v>
      </c>
      <c r="AD10" s="404">
        <v>0</v>
      </c>
      <c r="AE10" s="404">
        <v>0</v>
      </c>
      <c r="AF10" s="405">
        <v>0</v>
      </c>
      <c r="AG10" s="404">
        <v>1</v>
      </c>
      <c r="AH10" s="404">
        <v>0</v>
      </c>
      <c r="AI10" s="404">
        <v>0</v>
      </c>
      <c r="AJ10" s="405">
        <v>1</v>
      </c>
      <c r="AK10" s="404">
        <v>0</v>
      </c>
      <c r="AL10" s="404">
        <v>0</v>
      </c>
      <c r="AM10" s="404">
        <v>0</v>
      </c>
      <c r="AN10" s="405">
        <v>0</v>
      </c>
    </row>
    <row r="11" spans="1:53" ht="14.95" customHeight="1" thickBot="1" x14ac:dyDescent="0.35">
      <c r="A11" s="423" t="s">
        <v>325</v>
      </c>
      <c r="B11" s="424" t="s">
        <v>615</v>
      </c>
      <c r="C11" s="424" t="s">
        <v>31</v>
      </c>
      <c r="D11" s="424" t="s">
        <v>115</v>
      </c>
      <c r="E11" s="425" t="s">
        <v>3</v>
      </c>
      <c r="F11" s="425">
        <v>22</v>
      </c>
      <c r="G11" s="425">
        <v>30</v>
      </c>
      <c r="H11" s="425" t="s">
        <v>106</v>
      </c>
      <c r="I11" s="425" t="s">
        <v>106</v>
      </c>
      <c r="J11" s="425">
        <v>3</v>
      </c>
      <c r="K11" s="425">
        <v>2</v>
      </c>
      <c r="L11" s="425">
        <v>0</v>
      </c>
      <c r="M11" s="425">
        <v>1</v>
      </c>
      <c r="N11" s="425">
        <v>0</v>
      </c>
      <c r="O11" s="425">
        <v>0</v>
      </c>
      <c r="P11" s="425" t="s">
        <v>106</v>
      </c>
      <c r="Q11" s="425" t="s">
        <v>106</v>
      </c>
      <c r="R11" s="425">
        <v>3</v>
      </c>
      <c r="S11" s="426">
        <v>56854</v>
      </c>
      <c r="T11" s="449" t="s">
        <v>417</v>
      </c>
      <c r="U11" s="428" t="s">
        <v>433</v>
      </c>
      <c r="V11" s="426" t="s">
        <v>347</v>
      </c>
      <c r="W11" s="428" t="s">
        <v>467</v>
      </c>
      <c r="X11" s="426" t="s">
        <v>302</v>
      </c>
      <c r="Y11" s="431">
        <v>1</v>
      </c>
      <c r="Z11" s="431">
        <v>0</v>
      </c>
      <c r="AA11" s="431">
        <v>0</v>
      </c>
      <c r="AB11" s="432">
        <v>1</v>
      </c>
      <c r="AC11" s="431">
        <v>1</v>
      </c>
      <c r="AD11" s="431">
        <v>0</v>
      </c>
      <c r="AE11" s="431">
        <v>0</v>
      </c>
      <c r="AF11" s="432">
        <v>1</v>
      </c>
      <c r="AG11" s="431">
        <v>0</v>
      </c>
      <c r="AH11" s="431">
        <v>0</v>
      </c>
      <c r="AI11" s="431">
        <v>0</v>
      </c>
      <c r="AJ11" s="432">
        <v>0</v>
      </c>
      <c r="AK11" s="431">
        <v>0</v>
      </c>
      <c r="AL11" s="431">
        <v>0</v>
      </c>
      <c r="AM11" s="431">
        <v>0</v>
      </c>
      <c r="AN11" s="432">
        <v>0</v>
      </c>
    </row>
    <row r="12" spans="1:53" ht="14.95" customHeight="1" thickBot="1" x14ac:dyDescent="0.35">
      <c r="A12" s="464" t="s">
        <v>326</v>
      </c>
      <c r="B12" s="465" t="s">
        <v>198</v>
      </c>
      <c r="C12" s="465" t="s">
        <v>37</v>
      </c>
      <c r="D12" s="465" t="s">
        <v>229</v>
      </c>
      <c r="E12" s="453" t="s">
        <v>1</v>
      </c>
      <c r="F12" s="453">
        <v>27</v>
      </c>
      <c r="G12" s="453">
        <v>10</v>
      </c>
      <c r="H12" s="453">
        <v>0</v>
      </c>
      <c r="I12" s="453">
        <v>0</v>
      </c>
      <c r="J12" s="453">
        <v>0</v>
      </c>
      <c r="K12" s="453">
        <v>0</v>
      </c>
      <c r="L12" s="453">
        <v>3</v>
      </c>
      <c r="M12" s="453">
        <v>6</v>
      </c>
      <c r="N12" s="453">
        <v>0</v>
      </c>
      <c r="O12" s="453">
        <v>1</v>
      </c>
      <c r="P12" s="453">
        <v>0</v>
      </c>
      <c r="Q12" s="453">
        <v>0</v>
      </c>
      <c r="R12" s="453">
        <v>1</v>
      </c>
      <c r="S12" s="466">
        <v>63118</v>
      </c>
      <c r="T12" s="469" t="s">
        <v>376</v>
      </c>
      <c r="U12" s="467" t="s">
        <v>364</v>
      </c>
      <c r="V12" s="466" t="s">
        <v>413</v>
      </c>
      <c r="W12" s="463" t="s">
        <v>826</v>
      </c>
      <c r="X12" s="468" t="s">
        <v>467</v>
      </c>
      <c r="Y12" s="364">
        <v>1</v>
      </c>
      <c r="Z12" s="364">
        <v>1</v>
      </c>
      <c r="AA12" s="364">
        <v>0</v>
      </c>
      <c r="AB12" s="454">
        <v>0</v>
      </c>
      <c r="AC12" s="364">
        <v>0</v>
      </c>
      <c r="AD12" s="364">
        <v>0</v>
      </c>
      <c r="AE12" s="364">
        <v>0</v>
      </c>
      <c r="AF12" s="454">
        <v>0</v>
      </c>
      <c r="AG12" s="364">
        <v>0</v>
      </c>
      <c r="AH12" s="364">
        <v>0</v>
      </c>
      <c r="AI12" s="364">
        <v>0</v>
      </c>
      <c r="AJ12" s="454">
        <v>0</v>
      </c>
      <c r="AK12" s="364">
        <v>1</v>
      </c>
      <c r="AL12" s="364">
        <v>1</v>
      </c>
      <c r="AM12" s="364">
        <v>0</v>
      </c>
      <c r="AN12" s="454">
        <v>0</v>
      </c>
    </row>
    <row r="13" spans="1:53" ht="14.95" customHeight="1" thickBot="1" x14ac:dyDescent="0.35">
      <c r="A13" s="464" t="s">
        <v>327</v>
      </c>
      <c r="B13" s="465" t="s">
        <v>198</v>
      </c>
      <c r="C13" s="465" t="s">
        <v>36</v>
      </c>
      <c r="D13" s="465" t="s">
        <v>231</v>
      </c>
      <c r="E13" s="453" t="s">
        <v>1</v>
      </c>
      <c r="F13" s="453">
        <v>34</v>
      </c>
      <c r="G13" s="453">
        <v>12</v>
      </c>
      <c r="H13" s="453">
        <v>1</v>
      </c>
      <c r="I13" s="453">
        <v>0</v>
      </c>
      <c r="J13" s="453">
        <v>4</v>
      </c>
      <c r="K13" s="453">
        <v>4</v>
      </c>
      <c r="L13" s="453">
        <v>0</v>
      </c>
      <c r="M13" s="453">
        <v>2</v>
      </c>
      <c r="N13" s="453">
        <v>0</v>
      </c>
      <c r="O13" s="453">
        <v>0</v>
      </c>
      <c r="P13" s="453">
        <v>0</v>
      </c>
      <c r="Q13" s="453">
        <v>0</v>
      </c>
      <c r="R13" s="453">
        <v>0</v>
      </c>
      <c r="S13" s="466">
        <v>30500</v>
      </c>
      <c r="T13" s="469" t="s">
        <v>731</v>
      </c>
      <c r="U13" s="467" t="s">
        <v>402</v>
      </c>
      <c r="V13" s="466" t="s">
        <v>431</v>
      </c>
      <c r="W13" s="463" t="s">
        <v>280</v>
      </c>
      <c r="X13" s="468" t="s">
        <v>420</v>
      </c>
      <c r="Y13" s="364">
        <v>1</v>
      </c>
      <c r="Z13" s="364">
        <v>1</v>
      </c>
      <c r="AA13" s="364">
        <v>0</v>
      </c>
      <c r="AB13" s="454">
        <v>0</v>
      </c>
      <c r="AC13" s="364">
        <v>0</v>
      </c>
      <c r="AD13" s="364">
        <v>0</v>
      </c>
      <c r="AE13" s="364">
        <v>0</v>
      </c>
      <c r="AF13" s="454">
        <v>0</v>
      </c>
      <c r="AG13" s="364">
        <v>0</v>
      </c>
      <c r="AH13" s="364">
        <v>0</v>
      </c>
      <c r="AI13" s="364">
        <v>0</v>
      </c>
      <c r="AJ13" s="454">
        <v>0</v>
      </c>
      <c r="AK13" s="364">
        <v>1</v>
      </c>
      <c r="AL13" s="364">
        <v>1</v>
      </c>
      <c r="AM13" s="364">
        <v>0</v>
      </c>
      <c r="AN13" s="454">
        <v>0</v>
      </c>
    </row>
    <row r="14" spans="1:53" ht="14.95" customHeight="1" thickBot="1" x14ac:dyDescent="0.35">
      <c r="A14" s="464" t="s">
        <v>328</v>
      </c>
      <c r="B14" s="465" t="s">
        <v>198</v>
      </c>
      <c r="C14" s="465" t="s">
        <v>192</v>
      </c>
      <c r="D14" s="465" t="s">
        <v>230</v>
      </c>
      <c r="E14" s="453" t="s">
        <v>1</v>
      </c>
      <c r="F14" s="453">
        <v>71</v>
      </c>
      <c r="G14" s="453">
        <v>0</v>
      </c>
      <c r="H14" s="453">
        <v>1</v>
      </c>
      <c r="I14" s="453">
        <v>0</v>
      </c>
      <c r="J14" s="453">
        <v>11</v>
      </c>
      <c r="K14" s="453">
        <v>8</v>
      </c>
      <c r="L14" s="453">
        <v>0</v>
      </c>
      <c r="M14" s="453">
        <v>0</v>
      </c>
      <c r="N14" s="453">
        <v>0</v>
      </c>
      <c r="O14" s="453">
        <v>0</v>
      </c>
      <c r="P14" s="453">
        <v>0</v>
      </c>
      <c r="Q14" s="453">
        <v>0</v>
      </c>
      <c r="R14" s="453">
        <v>0</v>
      </c>
      <c r="S14" s="466">
        <v>44315</v>
      </c>
      <c r="T14" s="469" t="s">
        <v>546</v>
      </c>
      <c r="U14" s="467" t="s">
        <v>433</v>
      </c>
      <c r="V14" s="466" t="s">
        <v>413</v>
      </c>
      <c r="W14" s="463" t="s">
        <v>467</v>
      </c>
      <c r="X14" s="468" t="s">
        <v>420</v>
      </c>
      <c r="Y14" s="364">
        <v>1</v>
      </c>
      <c r="Z14" s="364">
        <v>1</v>
      </c>
      <c r="AA14" s="364">
        <v>0</v>
      </c>
      <c r="AB14" s="454">
        <v>0</v>
      </c>
      <c r="AC14" s="364">
        <v>0</v>
      </c>
      <c r="AD14" s="364">
        <v>0</v>
      </c>
      <c r="AE14" s="364">
        <v>0</v>
      </c>
      <c r="AF14" s="454">
        <v>0</v>
      </c>
      <c r="AG14" s="364">
        <v>0</v>
      </c>
      <c r="AH14" s="364">
        <v>0</v>
      </c>
      <c r="AI14" s="364">
        <v>0</v>
      </c>
      <c r="AJ14" s="454">
        <v>0</v>
      </c>
      <c r="AK14" s="364">
        <v>1</v>
      </c>
      <c r="AL14" s="364">
        <v>1</v>
      </c>
      <c r="AM14" s="364">
        <v>0</v>
      </c>
      <c r="AN14" s="454">
        <v>0</v>
      </c>
    </row>
    <row r="15" spans="1:53" ht="14.95" customHeight="1" thickBot="1" x14ac:dyDescent="0.3">
      <c r="A15" s="464" t="s">
        <v>329</v>
      </c>
      <c r="B15" s="465" t="s">
        <v>198</v>
      </c>
      <c r="C15" s="465" t="s">
        <v>119</v>
      </c>
      <c r="D15" s="465" t="s">
        <v>230</v>
      </c>
      <c r="E15" s="453" t="s">
        <v>1</v>
      </c>
      <c r="F15" s="453">
        <v>18</v>
      </c>
      <c r="G15" s="453">
        <v>17</v>
      </c>
      <c r="H15" s="453">
        <v>0</v>
      </c>
      <c r="I15" s="453">
        <v>0</v>
      </c>
      <c r="J15" s="453">
        <v>2</v>
      </c>
      <c r="K15" s="453">
        <v>1</v>
      </c>
      <c r="L15" s="453">
        <v>0</v>
      </c>
      <c r="M15" s="453">
        <v>2</v>
      </c>
      <c r="N15" s="453">
        <v>0</v>
      </c>
      <c r="O15" s="453">
        <v>0</v>
      </c>
      <c r="P15" s="453">
        <v>0</v>
      </c>
      <c r="Q15" s="453">
        <v>1</v>
      </c>
      <c r="R15" s="453">
        <v>2</v>
      </c>
      <c r="S15" s="466">
        <v>47891</v>
      </c>
      <c r="T15" s="497" t="s">
        <v>949</v>
      </c>
      <c r="U15" s="467" t="s">
        <v>346</v>
      </c>
      <c r="V15" s="466" t="s">
        <v>347</v>
      </c>
      <c r="W15" s="463" t="s">
        <v>402</v>
      </c>
      <c r="X15" s="468" t="s">
        <v>349</v>
      </c>
      <c r="Y15" s="364">
        <v>1</v>
      </c>
      <c r="Z15" s="364">
        <v>1</v>
      </c>
      <c r="AA15" s="364">
        <v>0</v>
      </c>
      <c r="AB15" s="454">
        <v>0</v>
      </c>
      <c r="AC15" s="364">
        <v>0</v>
      </c>
      <c r="AD15" s="364">
        <v>0</v>
      </c>
      <c r="AE15" s="364">
        <v>0</v>
      </c>
      <c r="AF15" s="454">
        <v>0</v>
      </c>
      <c r="AG15" s="364">
        <v>0</v>
      </c>
      <c r="AH15" s="364">
        <v>0</v>
      </c>
      <c r="AI15" s="364">
        <v>0</v>
      </c>
      <c r="AJ15" s="454">
        <v>0</v>
      </c>
      <c r="AK15" s="364">
        <v>1</v>
      </c>
      <c r="AL15" s="364">
        <v>1</v>
      </c>
      <c r="AM15" s="364">
        <v>0</v>
      </c>
      <c r="AN15" s="454">
        <v>0</v>
      </c>
    </row>
    <row r="16" spans="1:53" ht="14.95" customHeight="1" thickBot="1" x14ac:dyDescent="0.35">
      <c r="A16" s="489" t="s">
        <v>937</v>
      </c>
      <c r="B16" s="490" t="s">
        <v>233</v>
      </c>
      <c r="C16" s="490" t="s">
        <v>31</v>
      </c>
      <c r="D16" s="566" t="s">
        <v>229</v>
      </c>
      <c r="E16" s="453" t="s">
        <v>1</v>
      </c>
      <c r="F16" s="453">
        <v>30</v>
      </c>
      <c r="G16" s="453">
        <v>24</v>
      </c>
      <c r="H16" s="453" t="s">
        <v>106</v>
      </c>
      <c r="I16" s="453" t="s">
        <v>106</v>
      </c>
      <c r="J16" s="453">
        <v>2</v>
      </c>
      <c r="K16" s="453">
        <v>1</v>
      </c>
      <c r="L16" s="453">
        <v>1</v>
      </c>
      <c r="M16" s="453">
        <v>5</v>
      </c>
      <c r="N16" s="453">
        <v>0</v>
      </c>
      <c r="O16" s="453">
        <v>0</v>
      </c>
      <c r="P16" s="453" t="s">
        <v>106</v>
      </c>
      <c r="Q16" s="453" t="s">
        <v>106</v>
      </c>
      <c r="R16" s="453">
        <v>3</v>
      </c>
      <c r="S16" s="466">
        <v>61863</v>
      </c>
      <c r="T16" s="469" t="s">
        <v>795</v>
      </c>
      <c r="U16" s="467" t="s">
        <v>364</v>
      </c>
      <c r="V16" s="466" t="s">
        <v>279</v>
      </c>
      <c r="W16" s="463" t="s">
        <v>280</v>
      </c>
      <c r="X16" s="468" t="s">
        <v>467</v>
      </c>
      <c r="Y16" s="364">
        <v>1</v>
      </c>
      <c r="Z16" s="364">
        <v>1</v>
      </c>
      <c r="AA16" s="364">
        <v>0</v>
      </c>
      <c r="AB16" s="454">
        <v>0</v>
      </c>
      <c r="AC16" s="364">
        <v>0</v>
      </c>
      <c r="AD16" s="364">
        <v>0</v>
      </c>
      <c r="AE16" s="364">
        <v>0</v>
      </c>
      <c r="AF16" s="454">
        <v>0</v>
      </c>
      <c r="AG16" s="364">
        <v>0</v>
      </c>
      <c r="AH16" s="364">
        <v>0</v>
      </c>
      <c r="AI16" s="364">
        <v>0</v>
      </c>
      <c r="AJ16" s="454">
        <v>0</v>
      </c>
      <c r="AK16" s="364">
        <v>1</v>
      </c>
      <c r="AL16" s="364">
        <v>1</v>
      </c>
      <c r="AM16" s="364">
        <v>0</v>
      </c>
      <c r="AN16" s="454">
        <v>0</v>
      </c>
    </row>
    <row r="17" spans="1:40" ht="14.95" customHeight="1" thickBot="1" x14ac:dyDescent="0.35">
      <c r="A17" s="570" t="s">
        <v>940</v>
      </c>
      <c r="B17" s="490" t="s">
        <v>234</v>
      </c>
      <c r="C17" s="490" t="s">
        <v>170</v>
      </c>
      <c r="D17" s="566" t="s">
        <v>112</v>
      </c>
      <c r="E17" s="453" t="s">
        <v>3</v>
      </c>
      <c r="F17" s="453">
        <v>15</v>
      </c>
      <c r="G17" s="453">
        <v>16</v>
      </c>
      <c r="H17" s="453" t="s">
        <v>106</v>
      </c>
      <c r="I17" s="453" t="s">
        <v>106</v>
      </c>
      <c r="J17" s="453">
        <v>0</v>
      </c>
      <c r="K17" s="453">
        <v>0</v>
      </c>
      <c r="L17" s="453">
        <v>1</v>
      </c>
      <c r="M17" s="453">
        <v>4</v>
      </c>
      <c r="N17" s="453">
        <v>0</v>
      </c>
      <c r="O17" s="453">
        <v>0</v>
      </c>
      <c r="P17" s="453" t="s">
        <v>106</v>
      </c>
      <c r="Q17" s="453" t="s">
        <v>106</v>
      </c>
      <c r="R17" s="453">
        <v>1</v>
      </c>
      <c r="S17" s="466">
        <v>78098</v>
      </c>
      <c r="T17" s="495" t="s">
        <v>460</v>
      </c>
      <c r="U17" s="467" t="s">
        <v>271</v>
      </c>
      <c r="V17" s="466" t="s">
        <v>270</v>
      </c>
      <c r="W17" s="463" t="s">
        <v>364</v>
      </c>
      <c r="X17" s="468" t="s">
        <v>269</v>
      </c>
      <c r="Y17" s="364">
        <v>1</v>
      </c>
      <c r="Z17" s="364">
        <v>0</v>
      </c>
      <c r="AA17" s="364">
        <v>0</v>
      </c>
      <c r="AB17" s="454">
        <v>1</v>
      </c>
      <c r="AC17" s="364">
        <v>0</v>
      </c>
      <c r="AD17" s="364">
        <v>0</v>
      </c>
      <c r="AE17" s="364">
        <v>0</v>
      </c>
      <c r="AF17" s="454">
        <v>0</v>
      </c>
      <c r="AG17" s="364">
        <v>0</v>
      </c>
      <c r="AH17" s="364">
        <v>0</v>
      </c>
      <c r="AI17" s="364">
        <v>0</v>
      </c>
      <c r="AJ17" s="454">
        <v>0</v>
      </c>
      <c r="AK17" s="364">
        <v>1</v>
      </c>
      <c r="AL17" s="364">
        <v>0</v>
      </c>
      <c r="AM17" s="364">
        <v>0</v>
      </c>
      <c r="AN17" s="454">
        <v>1</v>
      </c>
    </row>
    <row r="18" spans="1:40" ht="14.95" customHeight="1" thickBot="1" x14ac:dyDescent="0.35">
      <c r="A18" s="489" t="s">
        <v>330</v>
      </c>
      <c r="B18" s="490" t="s">
        <v>235</v>
      </c>
      <c r="C18" s="490" t="s">
        <v>37</v>
      </c>
      <c r="D18" s="566" t="s">
        <v>112</v>
      </c>
      <c r="E18" s="453" t="s">
        <v>1</v>
      </c>
      <c r="F18" s="453">
        <v>26</v>
      </c>
      <c r="G18" s="453">
        <v>23</v>
      </c>
      <c r="H18" s="453" t="s">
        <v>106</v>
      </c>
      <c r="I18" s="453" t="s">
        <v>106</v>
      </c>
      <c r="J18" s="453">
        <v>2</v>
      </c>
      <c r="K18" s="453">
        <v>2</v>
      </c>
      <c r="L18" s="453">
        <v>0</v>
      </c>
      <c r="M18" s="453">
        <v>4</v>
      </c>
      <c r="N18" s="453">
        <v>0</v>
      </c>
      <c r="O18" s="453">
        <v>0</v>
      </c>
      <c r="P18" s="453" t="s">
        <v>106</v>
      </c>
      <c r="Q18" s="453" t="s">
        <v>106</v>
      </c>
      <c r="R18" s="453">
        <v>2</v>
      </c>
      <c r="S18" s="463">
        <v>77674</v>
      </c>
      <c r="T18" s="491" t="s">
        <v>988</v>
      </c>
      <c r="U18" s="463" t="s">
        <v>280</v>
      </c>
      <c r="V18" s="463" t="s">
        <v>279</v>
      </c>
      <c r="W18" s="463" t="s">
        <v>402</v>
      </c>
      <c r="X18" s="463" t="s">
        <v>346</v>
      </c>
      <c r="Y18" s="364">
        <v>1</v>
      </c>
      <c r="Z18" s="364">
        <v>1</v>
      </c>
      <c r="AA18" s="364">
        <v>0</v>
      </c>
      <c r="AB18" s="454">
        <v>0</v>
      </c>
      <c r="AC18" s="364">
        <v>0</v>
      </c>
      <c r="AD18" s="364">
        <v>0</v>
      </c>
      <c r="AE18" s="364">
        <v>0</v>
      </c>
      <c r="AF18" s="454">
        <v>0</v>
      </c>
      <c r="AG18" s="364">
        <v>0</v>
      </c>
      <c r="AH18" s="364">
        <v>0</v>
      </c>
      <c r="AI18" s="364">
        <v>0</v>
      </c>
      <c r="AJ18" s="454">
        <v>0</v>
      </c>
      <c r="AK18" s="364">
        <v>0</v>
      </c>
      <c r="AL18" s="364">
        <v>0</v>
      </c>
      <c r="AM18" s="364">
        <v>0</v>
      </c>
      <c r="AN18" s="454">
        <v>0</v>
      </c>
    </row>
    <row r="19" spans="1:40" ht="14.95" customHeight="1" thickBot="1" x14ac:dyDescent="0.3">
      <c r="A19" s="266"/>
      <c r="B19" s="267"/>
      <c r="C19" s="997" t="s">
        <v>108</v>
      </c>
      <c r="D19" s="998"/>
      <c r="E19" s="999"/>
      <c r="F19" s="265">
        <f>SUM(F3:F7)</f>
        <v>100</v>
      </c>
      <c r="G19" s="265">
        <f t="shared" ref="G19:R19" si="0">SUM(G3:G7)</f>
        <v>135</v>
      </c>
      <c r="H19" s="265">
        <f t="shared" si="0"/>
        <v>1</v>
      </c>
      <c r="I19" s="265">
        <f t="shared" si="0"/>
        <v>1</v>
      </c>
      <c r="J19" s="265">
        <f t="shared" si="0"/>
        <v>13</v>
      </c>
      <c r="K19" s="265">
        <f t="shared" si="0"/>
        <v>6</v>
      </c>
      <c r="L19" s="265">
        <f t="shared" si="0"/>
        <v>0</v>
      </c>
      <c r="M19" s="265">
        <f t="shared" si="0"/>
        <v>7</v>
      </c>
      <c r="N19" s="265">
        <f t="shared" si="0"/>
        <v>1</v>
      </c>
      <c r="O19" s="265">
        <f t="shared" si="0"/>
        <v>1</v>
      </c>
      <c r="P19" s="265">
        <f t="shared" si="0"/>
        <v>2</v>
      </c>
      <c r="Q19" s="265">
        <f t="shared" si="0"/>
        <v>0</v>
      </c>
      <c r="R19" s="265">
        <f t="shared" si="0"/>
        <v>18</v>
      </c>
      <c r="W19" s="262"/>
      <c r="X19" s="369" t="s">
        <v>108</v>
      </c>
      <c r="Y19" s="265">
        <f t="shared" ref="Y19:AN19" si="1">SUM(Y3:Y7)</f>
        <v>5</v>
      </c>
      <c r="Z19" s="265">
        <f t="shared" si="1"/>
        <v>2</v>
      </c>
      <c r="AA19" s="265">
        <f t="shared" si="1"/>
        <v>0</v>
      </c>
      <c r="AB19" s="265">
        <f t="shared" si="1"/>
        <v>3</v>
      </c>
      <c r="AC19" s="263">
        <f t="shared" si="1"/>
        <v>4</v>
      </c>
      <c r="AD19" s="263">
        <f t="shared" si="1"/>
        <v>2</v>
      </c>
      <c r="AE19" s="263">
        <f t="shared" si="1"/>
        <v>0</v>
      </c>
      <c r="AF19" s="263">
        <f t="shared" si="1"/>
        <v>2</v>
      </c>
      <c r="AG19" s="264">
        <f t="shared" si="1"/>
        <v>1</v>
      </c>
      <c r="AH19" s="264">
        <f t="shared" si="1"/>
        <v>0</v>
      </c>
      <c r="AI19" s="264">
        <f t="shared" si="1"/>
        <v>0</v>
      </c>
      <c r="AJ19" s="264">
        <f t="shared" si="1"/>
        <v>1</v>
      </c>
      <c r="AK19" s="265">
        <f t="shared" si="1"/>
        <v>0</v>
      </c>
      <c r="AL19" s="265">
        <f t="shared" si="1"/>
        <v>0</v>
      </c>
      <c r="AM19" s="265">
        <f t="shared" si="1"/>
        <v>0</v>
      </c>
      <c r="AN19" s="265">
        <f t="shared" si="1"/>
        <v>0</v>
      </c>
    </row>
    <row r="20" spans="1:40" ht="14.95" customHeight="1" thickBot="1" x14ac:dyDescent="0.3">
      <c r="A20" s="266"/>
      <c r="B20" s="267"/>
      <c r="C20" s="937" t="s">
        <v>721</v>
      </c>
      <c r="D20" s="978"/>
      <c r="E20" s="979"/>
      <c r="F20" s="476">
        <f>SUM(F8:F11)</f>
        <v>60</v>
      </c>
      <c r="G20" s="476">
        <f>SUM(G8:G11)</f>
        <v>96</v>
      </c>
      <c r="H20" s="476" t="s">
        <v>106</v>
      </c>
      <c r="I20" s="476" t="s">
        <v>106</v>
      </c>
      <c r="J20" s="476">
        <f t="shared" ref="J20:O20" si="2">SUM(J8:J11)</f>
        <v>5</v>
      </c>
      <c r="K20" s="476">
        <f t="shared" si="2"/>
        <v>4</v>
      </c>
      <c r="L20" s="476">
        <f t="shared" si="2"/>
        <v>0</v>
      </c>
      <c r="M20" s="476">
        <f t="shared" si="2"/>
        <v>9</v>
      </c>
      <c r="N20" s="476">
        <f t="shared" si="2"/>
        <v>3</v>
      </c>
      <c r="O20" s="476">
        <f t="shared" si="2"/>
        <v>2</v>
      </c>
      <c r="P20" s="476" t="s">
        <v>106</v>
      </c>
      <c r="Q20" s="476" t="s">
        <v>106</v>
      </c>
      <c r="R20" s="476">
        <f>SUM(R8:R11)</f>
        <v>11</v>
      </c>
      <c r="S20" s="488"/>
      <c r="T20" s="488"/>
      <c r="U20" s="488"/>
      <c r="V20" s="488"/>
      <c r="W20" s="474"/>
      <c r="X20" s="481" t="s">
        <v>722</v>
      </c>
      <c r="Y20" s="476">
        <f t="shared" ref="Y20:AN20" si="3">SUM(Y8:Y11)</f>
        <v>4</v>
      </c>
      <c r="Z20" s="476">
        <f t="shared" si="3"/>
        <v>1</v>
      </c>
      <c r="AA20" s="476">
        <f t="shared" si="3"/>
        <v>0</v>
      </c>
      <c r="AB20" s="476">
        <f t="shared" si="3"/>
        <v>3</v>
      </c>
      <c r="AC20" s="477">
        <f t="shared" si="3"/>
        <v>2</v>
      </c>
      <c r="AD20" s="477">
        <f t="shared" si="3"/>
        <v>1</v>
      </c>
      <c r="AE20" s="477">
        <f t="shared" si="3"/>
        <v>0</v>
      </c>
      <c r="AF20" s="477">
        <f t="shared" si="3"/>
        <v>1</v>
      </c>
      <c r="AG20" s="478">
        <f t="shared" si="3"/>
        <v>2</v>
      </c>
      <c r="AH20" s="478">
        <f t="shared" si="3"/>
        <v>0</v>
      </c>
      <c r="AI20" s="478">
        <f t="shared" si="3"/>
        <v>0</v>
      </c>
      <c r="AJ20" s="478">
        <f t="shared" si="3"/>
        <v>2</v>
      </c>
      <c r="AK20" s="476">
        <f t="shared" si="3"/>
        <v>0</v>
      </c>
      <c r="AL20" s="476">
        <f t="shared" si="3"/>
        <v>0</v>
      </c>
      <c r="AM20" s="476">
        <f t="shared" si="3"/>
        <v>0</v>
      </c>
      <c r="AN20" s="476">
        <f t="shared" si="3"/>
        <v>0</v>
      </c>
    </row>
    <row r="21" spans="1:40" ht="14.95" customHeight="1" thickBot="1" x14ac:dyDescent="0.3">
      <c r="A21" s="266"/>
      <c r="B21" s="267"/>
      <c r="C21" s="940" t="s">
        <v>625</v>
      </c>
      <c r="D21" s="941"/>
      <c r="E21" s="942"/>
      <c r="F21" s="708">
        <f>SUM(F12:F15)</f>
        <v>150</v>
      </c>
      <c r="G21" s="708">
        <f t="shared" ref="G21:R21" si="4">SUM(G12:G15)</f>
        <v>39</v>
      </c>
      <c r="H21" s="708">
        <f t="shared" si="4"/>
        <v>2</v>
      </c>
      <c r="I21" s="708">
        <f t="shared" si="4"/>
        <v>0</v>
      </c>
      <c r="J21" s="708">
        <f t="shared" si="4"/>
        <v>17</v>
      </c>
      <c r="K21" s="708">
        <f t="shared" si="4"/>
        <v>13</v>
      </c>
      <c r="L21" s="708">
        <f t="shared" si="4"/>
        <v>3</v>
      </c>
      <c r="M21" s="708">
        <f t="shared" si="4"/>
        <v>10</v>
      </c>
      <c r="N21" s="708">
        <f t="shared" si="4"/>
        <v>0</v>
      </c>
      <c r="O21" s="708">
        <f t="shared" si="4"/>
        <v>1</v>
      </c>
      <c r="P21" s="708">
        <f t="shared" si="4"/>
        <v>0</v>
      </c>
      <c r="Q21" s="708">
        <f t="shared" si="4"/>
        <v>1</v>
      </c>
      <c r="R21" s="708">
        <f t="shared" si="4"/>
        <v>3</v>
      </c>
      <c r="S21" s="709"/>
      <c r="T21" s="709"/>
      <c r="U21" s="709"/>
      <c r="V21" s="709"/>
      <c r="W21" s="710"/>
      <c r="X21" s="711" t="s">
        <v>625</v>
      </c>
      <c r="Y21" s="712">
        <f t="shared" ref="Y21:AN21" si="5">SUM(Y12:Y15)</f>
        <v>4</v>
      </c>
      <c r="Z21" s="708">
        <f t="shared" si="5"/>
        <v>4</v>
      </c>
      <c r="AA21" s="708">
        <f t="shared" si="5"/>
        <v>0</v>
      </c>
      <c r="AB21" s="708">
        <f t="shared" si="5"/>
        <v>0</v>
      </c>
      <c r="AC21" s="713">
        <f t="shared" si="5"/>
        <v>0</v>
      </c>
      <c r="AD21" s="713">
        <f t="shared" si="5"/>
        <v>0</v>
      </c>
      <c r="AE21" s="713">
        <f t="shared" si="5"/>
        <v>0</v>
      </c>
      <c r="AF21" s="713">
        <f t="shared" si="5"/>
        <v>0</v>
      </c>
      <c r="AG21" s="714">
        <f t="shared" si="5"/>
        <v>0</v>
      </c>
      <c r="AH21" s="714">
        <f t="shared" si="5"/>
        <v>0</v>
      </c>
      <c r="AI21" s="714">
        <f t="shared" si="5"/>
        <v>0</v>
      </c>
      <c r="AJ21" s="714">
        <f t="shared" si="5"/>
        <v>0</v>
      </c>
      <c r="AK21" s="708">
        <f t="shared" si="5"/>
        <v>4</v>
      </c>
      <c r="AL21" s="708">
        <f t="shared" si="5"/>
        <v>4</v>
      </c>
      <c r="AM21" s="708">
        <f t="shared" si="5"/>
        <v>0</v>
      </c>
      <c r="AN21" s="708">
        <f t="shared" si="5"/>
        <v>0</v>
      </c>
    </row>
    <row r="22" spans="1:40" ht="14.95" customHeight="1" thickBot="1" x14ac:dyDescent="0.3">
      <c r="A22" s="266"/>
      <c r="B22" s="267"/>
      <c r="C22" s="940" t="s">
        <v>626</v>
      </c>
      <c r="D22" s="943"/>
      <c r="E22" s="944"/>
      <c r="F22" s="708">
        <f>SUM(F16:F18)</f>
        <v>71</v>
      </c>
      <c r="G22" s="708">
        <f t="shared" ref="G22:R22" si="6">SUM(G16:G18)</f>
        <v>63</v>
      </c>
      <c r="H22" s="708">
        <f t="shared" si="6"/>
        <v>0</v>
      </c>
      <c r="I22" s="708">
        <f t="shared" si="6"/>
        <v>0</v>
      </c>
      <c r="J22" s="708">
        <f t="shared" si="6"/>
        <v>4</v>
      </c>
      <c r="K22" s="708">
        <f t="shared" si="6"/>
        <v>3</v>
      </c>
      <c r="L22" s="708">
        <f t="shared" si="6"/>
        <v>2</v>
      </c>
      <c r="M22" s="708">
        <f t="shared" si="6"/>
        <v>13</v>
      </c>
      <c r="N22" s="708">
        <f t="shared" si="6"/>
        <v>0</v>
      </c>
      <c r="O22" s="708">
        <f t="shared" si="6"/>
        <v>0</v>
      </c>
      <c r="P22" s="708">
        <f t="shared" si="6"/>
        <v>0</v>
      </c>
      <c r="Q22" s="708">
        <f t="shared" si="6"/>
        <v>0</v>
      </c>
      <c r="R22" s="708">
        <f t="shared" si="6"/>
        <v>6</v>
      </c>
      <c r="S22" s="709"/>
      <c r="T22" s="709"/>
      <c r="U22" s="709"/>
      <c r="V22" s="709"/>
      <c r="W22" s="710"/>
      <c r="X22" s="711" t="s">
        <v>626</v>
      </c>
      <c r="Y22" s="712">
        <f t="shared" ref="Y22:AN22" si="7">SUM(Y16:Y18)</f>
        <v>3</v>
      </c>
      <c r="Z22" s="708">
        <f t="shared" si="7"/>
        <v>2</v>
      </c>
      <c r="AA22" s="708">
        <f t="shared" si="7"/>
        <v>0</v>
      </c>
      <c r="AB22" s="708">
        <f t="shared" si="7"/>
        <v>1</v>
      </c>
      <c r="AC22" s="713">
        <f t="shared" si="7"/>
        <v>0</v>
      </c>
      <c r="AD22" s="713">
        <f t="shared" si="7"/>
        <v>0</v>
      </c>
      <c r="AE22" s="713">
        <f t="shared" si="7"/>
        <v>0</v>
      </c>
      <c r="AF22" s="713">
        <f t="shared" si="7"/>
        <v>0</v>
      </c>
      <c r="AG22" s="714">
        <f t="shared" si="7"/>
        <v>0</v>
      </c>
      <c r="AH22" s="714">
        <f t="shared" si="7"/>
        <v>0</v>
      </c>
      <c r="AI22" s="714">
        <f t="shared" si="7"/>
        <v>0</v>
      </c>
      <c r="AJ22" s="714">
        <f t="shared" si="7"/>
        <v>0</v>
      </c>
      <c r="AK22" s="708">
        <f t="shared" si="7"/>
        <v>2</v>
      </c>
      <c r="AL22" s="708">
        <f t="shared" si="7"/>
        <v>1</v>
      </c>
      <c r="AM22" s="708">
        <f t="shared" si="7"/>
        <v>0</v>
      </c>
      <c r="AN22" s="708">
        <f t="shared" si="7"/>
        <v>1</v>
      </c>
    </row>
    <row r="23" spans="1:40" ht="14.95" customHeight="1" thickBot="1" x14ac:dyDescent="0.3">
      <c r="A23" s="266"/>
      <c r="B23" s="267"/>
      <c r="C23" s="940" t="s">
        <v>627</v>
      </c>
      <c r="D23" s="943"/>
      <c r="E23" s="944"/>
      <c r="F23" s="708">
        <f>SUM(F21+F22)</f>
        <v>221</v>
      </c>
      <c r="G23" s="708">
        <f t="shared" ref="G23:R23" si="8">SUM(G21+G22)</f>
        <v>102</v>
      </c>
      <c r="H23" s="708">
        <f t="shared" si="8"/>
        <v>2</v>
      </c>
      <c r="I23" s="708">
        <f t="shared" si="8"/>
        <v>0</v>
      </c>
      <c r="J23" s="708">
        <f t="shared" si="8"/>
        <v>21</v>
      </c>
      <c r="K23" s="708">
        <f t="shared" si="8"/>
        <v>16</v>
      </c>
      <c r="L23" s="708">
        <f t="shared" si="8"/>
        <v>5</v>
      </c>
      <c r="M23" s="708">
        <f t="shared" si="8"/>
        <v>23</v>
      </c>
      <c r="N23" s="708">
        <f t="shared" si="8"/>
        <v>0</v>
      </c>
      <c r="O23" s="708">
        <f t="shared" si="8"/>
        <v>1</v>
      </c>
      <c r="P23" s="708">
        <f t="shared" si="8"/>
        <v>0</v>
      </c>
      <c r="Q23" s="708">
        <f t="shared" si="8"/>
        <v>1</v>
      </c>
      <c r="R23" s="708">
        <f t="shared" si="8"/>
        <v>9</v>
      </c>
      <c r="S23" s="709"/>
      <c r="T23" s="709"/>
      <c r="U23" s="709"/>
      <c r="V23" s="709"/>
      <c r="W23" s="710"/>
      <c r="X23" s="711" t="s">
        <v>627</v>
      </c>
      <c r="Y23" s="712">
        <f t="shared" ref="Y23:AN23" si="9">SUM(Y21+Y22)</f>
        <v>7</v>
      </c>
      <c r="Z23" s="708">
        <f t="shared" si="9"/>
        <v>6</v>
      </c>
      <c r="AA23" s="708">
        <f t="shared" si="9"/>
        <v>0</v>
      </c>
      <c r="AB23" s="708">
        <f t="shared" si="9"/>
        <v>1</v>
      </c>
      <c r="AC23" s="713">
        <f t="shared" si="9"/>
        <v>0</v>
      </c>
      <c r="AD23" s="713">
        <f t="shared" si="9"/>
        <v>0</v>
      </c>
      <c r="AE23" s="713">
        <f t="shared" si="9"/>
        <v>0</v>
      </c>
      <c r="AF23" s="713">
        <f t="shared" si="9"/>
        <v>0</v>
      </c>
      <c r="AG23" s="714">
        <f t="shared" si="9"/>
        <v>0</v>
      </c>
      <c r="AH23" s="714">
        <f t="shared" si="9"/>
        <v>0</v>
      </c>
      <c r="AI23" s="714">
        <f t="shared" si="9"/>
        <v>0</v>
      </c>
      <c r="AJ23" s="714">
        <f t="shared" si="9"/>
        <v>0</v>
      </c>
      <c r="AK23" s="708">
        <f t="shared" si="9"/>
        <v>6</v>
      </c>
      <c r="AL23" s="708">
        <f t="shared" si="9"/>
        <v>5</v>
      </c>
      <c r="AM23" s="708">
        <f t="shared" si="9"/>
        <v>0</v>
      </c>
      <c r="AN23" s="708">
        <f t="shared" si="9"/>
        <v>1</v>
      </c>
    </row>
    <row r="24" spans="1:40" ht="14.95" customHeight="1" thickBot="1" x14ac:dyDescent="0.3">
      <c r="A24" s="266"/>
      <c r="B24" s="267"/>
      <c r="C24" s="946" t="s">
        <v>107</v>
      </c>
      <c r="D24" s="947"/>
      <c r="E24" s="948"/>
      <c r="F24" s="343">
        <f>SUM(F3:F18)</f>
        <v>381</v>
      </c>
      <c r="G24" s="343">
        <f t="shared" ref="G24:R24" si="10">SUM(G3:G18)</f>
        <v>333</v>
      </c>
      <c r="H24" s="343">
        <f t="shared" si="10"/>
        <v>3</v>
      </c>
      <c r="I24" s="343">
        <f t="shared" si="10"/>
        <v>1</v>
      </c>
      <c r="J24" s="343">
        <f t="shared" si="10"/>
        <v>39</v>
      </c>
      <c r="K24" s="343">
        <f t="shared" si="10"/>
        <v>26</v>
      </c>
      <c r="L24" s="343">
        <f t="shared" si="10"/>
        <v>5</v>
      </c>
      <c r="M24" s="343">
        <f t="shared" si="10"/>
        <v>39</v>
      </c>
      <c r="N24" s="343">
        <f t="shared" si="10"/>
        <v>4</v>
      </c>
      <c r="O24" s="343">
        <f t="shared" si="10"/>
        <v>4</v>
      </c>
      <c r="P24" s="343">
        <f t="shared" si="10"/>
        <v>2</v>
      </c>
      <c r="Q24" s="343">
        <f t="shared" si="10"/>
        <v>1</v>
      </c>
      <c r="R24" s="343">
        <f t="shared" si="10"/>
        <v>38</v>
      </c>
      <c r="S24" s="470"/>
      <c r="T24" s="470"/>
      <c r="U24" s="470"/>
      <c r="V24" s="470"/>
      <c r="W24" s="13"/>
      <c r="X24" s="364" t="s">
        <v>107</v>
      </c>
      <c r="Y24" s="343">
        <f t="shared" ref="Y24:AN24" si="11">SUM(Y3:Y18)</f>
        <v>16</v>
      </c>
      <c r="Z24" s="343">
        <f t="shared" si="11"/>
        <v>9</v>
      </c>
      <c r="AA24" s="343">
        <f t="shared" si="11"/>
        <v>0</v>
      </c>
      <c r="AB24" s="343">
        <f t="shared" si="11"/>
        <v>7</v>
      </c>
      <c r="AC24" s="341">
        <f t="shared" si="11"/>
        <v>6</v>
      </c>
      <c r="AD24" s="341">
        <f t="shared" si="11"/>
        <v>3</v>
      </c>
      <c r="AE24" s="341">
        <f t="shared" si="11"/>
        <v>0</v>
      </c>
      <c r="AF24" s="341">
        <f t="shared" si="11"/>
        <v>3</v>
      </c>
      <c r="AG24" s="342">
        <f t="shared" si="11"/>
        <v>3</v>
      </c>
      <c r="AH24" s="342">
        <f t="shared" si="11"/>
        <v>0</v>
      </c>
      <c r="AI24" s="342">
        <f t="shared" si="11"/>
        <v>0</v>
      </c>
      <c r="AJ24" s="342">
        <f t="shared" si="11"/>
        <v>3</v>
      </c>
      <c r="AK24" s="343">
        <f t="shared" si="11"/>
        <v>6</v>
      </c>
      <c r="AL24" s="343">
        <f t="shared" si="11"/>
        <v>5</v>
      </c>
      <c r="AM24" s="343">
        <f t="shared" si="11"/>
        <v>0</v>
      </c>
      <c r="AN24" s="343">
        <f t="shared" si="11"/>
        <v>1</v>
      </c>
    </row>
    <row r="25" spans="1:40" ht="14.95" customHeight="1" x14ac:dyDescent="0.25">
      <c r="A25" s="965"/>
      <c r="B25" s="965"/>
      <c r="C25" s="965"/>
      <c r="D25" s="965"/>
      <c r="E25" s="965"/>
      <c r="F25" s="965"/>
      <c r="G25" s="965"/>
      <c r="H25" s="965"/>
      <c r="I25" s="965"/>
      <c r="J25" s="965"/>
      <c r="K25" s="965"/>
      <c r="L25" s="965"/>
      <c r="M25" s="965"/>
      <c r="N25" s="965"/>
      <c r="O25" s="965"/>
      <c r="P25" s="965"/>
      <c r="Q25" s="965"/>
      <c r="R25" s="965"/>
      <c r="S25" s="965"/>
      <c r="T25" s="965"/>
      <c r="U25" s="965"/>
      <c r="V25" s="965"/>
      <c r="W25" s="965"/>
      <c r="X25" s="965"/>
      <c r="Y25" s="965"/>
      <c r="Z25" s="965"/>
      <c r="AA25" s="965"/>
      <c r="AB25" s="965"/>
      <c r="AC25" s="965"/>
      <c r="AD25" s="965"/>
      <c r="AE25" s="965"/>
      <c r="AF25" s="965"/>
      <c r="AG25" s="965"/>
      <c r="AH25" s="965"/>
      <c r="AI25" s="965"/>
      <c r="AJ25" s="965"/>
      <c r="AK25" s="965"/>
      <c r="AL25" s="965"/>
      <c r="AM25" s="965"/>
      <c r="AN25" s="965"/>
    </row>
    <row r="26" spans="1:40" ht="14.95" customHeight="1" x14ac:dyDescent="0.25">
      <c r="A26" t="s">
        <v>246</v>
      </c>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row>
    <row r="27" spans="1:40" ht="14.95" customHeight="1" x14ac:dyDescent="0.25">
      <c r="A27" t="s">
        <v>244</v>
      </c>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row>
    <row r="28" spans="1:40" ht="14.95" customHeight="1" x14ac:dyDescent="0.25">
      <c r="A28" t="s">
        <v>245</v>
      </c>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row>
    <row r="29" spans="1:40" ht="14.95" customHeight="1" x14ac:dyDescent="0.25">
      <c r="A29" t="s">
        <v>608</v>
      </c>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row>
    <row r="30" spans="1:40" ht="14.95" customHeight="1" x14ac:dyDescent="0.25">
      <c r="A30" s="965" t="s">
        <v>642</v>
      </c>
      <c r="B30" s="965"/>
      <c r="C30" s="965"/>
      <c r="D30" s="965"/>
      <c r="E30" s="965"/>
      <c r="F30" s="965"/>
      <c r="G30" s="965"/>
      <c r="H30" s="965"/>
      <c r="I30" s="965"/>
      <c r="J30" s="965"/>
      <c r="K30" s="965"/>
      <c r="L30" s="965"/>
      <c r="M30" s="965"/>
      <c r="N30" s="965"/>
      <c r="O30" s="965"/>
      <c r="P30" s="965"/>
      <c r="Q30" s="965"/>
      <c r="R30" s="965"/>
      <c r="S30" s="965"/>
      <c r="T30" s="965"/>
      <c r="U30" s="965"/>
      <c r="V30" s="965"/>
      <c r="W30" s="965"/>
      <c r="X30" s="965"/>
      <c r="Y30" s="965"/>
      <c r="Z30" s="965"/>
      <c r="AA30" s="965"/>
      <c r="AB30" s="965"/>
      <c r="AC30" s="965"/>
      <c r="AD30" s="965"/>
      <c r="AE30" s="965"/>
      <c r="AF30" s="965"/>
      <c r="AG30" s="965"/>
      <c r="AH30" s="965"/>
      <c r="AI30" s="965"/>
      <c r="AJ30" s="965"/>
      <c r="AK30" s="965"/>
      <c r="AL30" s="965"/>
      <c r="AM30" s="965"/>
      <c r="AN30" s="965"/>
    </row>
    <row r="31" spans="1:40" ht="14.95" customHeight="1" x14ac:dyDescent="0.25">
      <c r="A31" t="s">
        <v>352</v>
      </c>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row>
    <row r="32" spans="1:40" ht="14.95" customHeight="1" x14ac:dyDescent="0.25">
      <c r="A32" s="575"/>
      <c r="B32" s="189" t="s">
        <v>44</v>
      </c>
    </row>
    <row r="33" spans="1:2" ht="14.95" customHeight="1" x14ac:dyDescent="0.25">
      <c r="A33" s="576"/>
      <c r="B33" s="189" t="s">
        <v>42</v>
      </c>
    </row>
    <row r="34" spans="1:2" ht="14.95" customHeight="1" x14ac:dyDescent="0.25">
      <c r="A34" s="577"/>
      <c r="B34" s="189" t="s">
        <v>43</v>
      </c>
    </row>
    <row r="35" spans="1:2" ht="14.95" customHeight="1" x14ac:dyDescent="0.25">
      <c r="A35" s="496" t="s">
        <v>28</v>
      </c>
    </row>
  </sheetData>
  <mergeCells count="18">
    <mergeCell ref="C22:E22"/>
    <mergeCell ref="C23:E23"/>
    <mergeCell ref="A30:AN30"/>
    <mergeCell ref="A25:AN25"/>
    <mergeCell ref="Y1:AB1"/>
    <mergeCell ref="AC1:AF1"/>
    <mergeCell ref="AG1:AJ1"/>
    <mergeCell ref="AK1:AN1"/>
    <mergeCell ref="C19:E19"/>
    <mergeCell ref="P1:R1"/>
    <mergeCell ref="C20:E20"/>
    <mergeCell ref="C24:E24"/>
    <mergeCell ref="J1:M1"/>
    <mergeCell ref="N1:O1"/>
    <mergeCell ref="A1:C1"/>
    <mergeCell ref="E1:G1"/>
    <mergeCell ref="H1:I1"/>
    <mergeCell ref="C21:E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T30"/>
  <sheetViews>
    <sheetView workbookViewId="0">
      <pane ySplit="2" topLeftCell="A3" activePane="bottomLeft" state="frozen"/>
      <selection pane="bottomLeft" activeCell="W5" sqref="W5"/>
    </sheetView>
  </sheetViews>
  <sheetFormatPr defaultRowHeight="14.3" x14ac:dyDescent="0.25"/>
  <cols>
    <col min="1" max="1" width="7.5" customWidth="1"/>
    <col min="2" max="2" width="5.125" bestFit="1" customWidth="1"/>
    <col min="3" max="3" width="11.5" customWidth="1"/>
    <col min="4" max="4" width="4.375" customWidth="1"/>
    <col min="5" max="10" width="3.625" customWidth="1"/>
    <col min="11" max="11" width="3.875" customWidth="1"/>
    <col min="12" max="18" width="3.625" customWidth="1"/>
    <col min="19" max="20" width="6.375" customWidth="1"/>
    <col min="21" max="21" width="21.125" bestFit="1" customWidth="1"/>
    <col min="22" max="22" width="20.125" customWidth="1"/>
    <col min="23" max="23" width="21.875" bestFit="1" customWidth="1"/>
    <col min="24" max="24" width="22.125" bestFit="1" customWidth="1"/>
    <col min="25" max="40" width="3.625" customWidth="1"/>
    <col min="42" max="42" width="13.125" bestFit="1" customWidth="1"/>
    <col min="45" max="45" width="13.125" bestFit="1" customWidth="1"/>
  </cols>
  <sheetData>
    <row r="1" spans="1:46" ht="14.95" customHeight="1" thickBot="1" x14ac:dyDescent="0.3">
      <c r="A1" s="1015" t="s">
        <v>205</v>
      </c>
      <c r="B1" s="1016"/>
      <c r="C1" s="1016"/>
      <c r="D1" s="142"/>
      <c r="E1" s="1013" t="s">
        <v>24</v>
      </c>
      <c r="F1" s="1017"/>
      <c r="G1" s="1014"/>
      <c r="H1" s="1013" t="s">
        <v>23</v>
      </c>
      <c r="I1" s="1014"/>
      <c r="J1" s="1010" t="s">
        <v>6</v>
      </c>
      <c r="K1" s="1011"/>
      <c r="L1" s="1011"/>
      <c r="M1" s="1012"/>
      <c r="N1" s="1010" t="s">
        <v>7</v>
      </c>
      <c r="O1" s="1012"/>
      <c r="P1" s="1010" t="s">
        <v>25</v>
      </c>
      <c r="Q1" s="1011"/>
      <c r="R1" s="1012"/>
      <c r="S1" s="41" t="s">
        <v>8</v>
      </c>
      <c r="T1" s="346" t="s">
        <v>9</v>
      </c>
      <c r="U1" s="42" t="s">
        <v>10</v>
      </c>
      <c r="V1" s="41" t="s">
        <v>11</v>
      </c>
      <c r="W1" s="43" t="s">
        <v>26</v>
      </c>
      <c r="X1" s="156" t="s">
        <v>27</v>
      </c>
      <c r="Y1" s="1008" t="s">
        <v>20</v>
      </c>
      <c r="Z1" s="963"/>
      <c r="AA1" s="963"/>
      <c r="AB1" s="964"/>
      <c r="AC1" s="1009" t="s">
        <v>61</v>
      </c>
      <c r="AD1" s="963"/>
      <c r="AE1" s="963"/>
      <c r="AF1" s="964"/>
      <c r="AG1" s="1009" t="s">
        <v>62</v>
      </c>
      <c r="AH1" s="963"/>
      <c r="AI1" s="963"/>
      <c r="AJ1" s="964"/>
      <c r="AK1" s="1009" t="s">
        <v>63</v>
      </c>
      <c r="AL1" s="963"/>
      <c r="AM1" s="963"/>
      <c r="AN1" s="964"/>
      <c r="AP1" s="304" t="s">
        <v>144</v>
      </c>
      <c r="AQ1" s="322"/>
      <c r="AR1" s="322"/>
      <c r="AS1" s="304" t="s">
        <v>144</v>
      </c>
    </row>
    <row r="2" spans="1:46" ht="14.95" customHeight="1" thickBot="1" x14ac:dyDescent="0.3">
      <c r="A2" s="12" t="s">
        <v>19</v>
      </c>
      <c r="B2" s="44" t="s">
        <v>18</v>
      </c>
      <c r="C2" s="45" t="s">
        <v>850</v>
      </c>
      <c r="D2" s="45" t="s">
        <v>41</v>
      </c>
      <c r="E2" s="46" t="s">
        <v>16</v>
      </c>
      <c r="F2" s="46" t="s">
        <v>4</v>
      </c>
      <c r="G2" s="46" t="s">
        <v>5</v>
      </c>
      <c r="H2" s="47" t="s">
        <v>12</v>
      </c>
      <c r="I2" s="47" t="s">
        <v>3</v>
      </c>
      <c r="J2" s="47" t="s">
        <v>12</v>
      </c>
      <c r="K2" s="47" t="s">
        <v>13</v>
      </c>
      <c r="L2" s="47" t="s">
        <v>2</v>
      </c>
      <c r="M2" s="47" t="s">
        <v>14</v>
      </c>
      <c r="N2" s="47" t="s">
        <v>15</v>
      </c>
      <c r="O2" s="47" t="s">
        <v>16</v>
      </c>
      <c r="P2" s="47" t="s">
        <v>21</v>
      </c>
      <c r="Q2" s="47" t="s">
        <v>22</v>
      </c>
      <c r="R2" s="47" t="s">
        <v>12</v>
      </c>
      <c r="S2" s="48"/>
      <c r="T2" s="49"/>
      <c r="U2" s="50"/>
      <c r="V2" s="48"/>
      <c r="W2" s="160"/>
      <c r="X2" s="51"/>
      <c r="Y2" s="290" t="s">
        <v>0</v>
      </c>
      <c r="Z2" s="290" t="s">
        <v>1</v>
      </c>
      <c r="AA2" s="290" t="s">
        <v>2</v>
      </c>
      <c r="AB2" s="290" t="s">
        <v>3</v>
      </c>
      <c r="AC2" s="291" t="s">
        <v>0</v>
      </c>
      <c r="AD2" s="291" t="s">
        <v>1</v>
      </c>
      <c r="AE2" s="291" t="s">
        <v>2</v>
      </c>
      <c r="AF2" s="291" t="s">
        <v>3</v>
      </c>
      <c r="AG2" s="291" t="s">
        <v>0</v>
      </c>
      <c r="AH2" s="291" t="s">
        <v>1</v>
      </c>
      <c r="AI2" s="291" t="s">
        <v>2</v>
      </c>
      <c r="AJ2" s="291" t="s">
        <v>3</v>
      </c>
      <c r="AK2" s="291" t="s">
        <v>0</v>
      </c>
      <c r="AL2" s="291" t="s">
        <v>1</v>
      </c>
      <c r="AM2" s="291" t="s">
        <v>2</v>
      </c>
      <c r="AN2" s="291" t="s">
        <v>3</v>
      </c>
      <c r="AP2" s="305" t="s">
        <v>107</v>
      </c>
      <c r="AQ2" s="189"/>
      <c r="AS2" s="336" t="s">
        <v>128</v>
      </c>
      <c r="AT2" s="189"/>
    </row>
    <row r="3" spans="1:46" ht="14.95" customHeight="1" thickBot="1" x14ac:dyDescent="0.35">
      <c r="A3" s="440" t="s">
        <v>598</v>
      </c>
      <c r="B3" s="424" t="s">
        <v>45</v>
      </c>
      <c r="C3" s="424" t="s">
        <v>118</v>
      </c>
      <c r="D3" s="424" t="s">
        <v>592</v>
      </c>
      <c r="E3" s="425" t="s">
        <v>1</v>
      </c>
      <c r="F3" s="425">
        <v>36</v>
      </c>
      <c r="G3" s="425">
        <v>20</v>
      </c>
      <c r="H3" s="425" t="s">
        <v>106</v>
      </c>
      <c r="I3" s="425" t="s">
        <v>106</v>
      </c>
      <c r="J3" s="425">
        <v>5</v>
      </c>
      <c r="K3" s="425">
        <v>3</v>
      </c>
      <c r="L3" s="425">
        <v>0</v>
      </c>
      <c r="M3" s="425">
        <v>1</v>
      </c>
      <c r="N3" s="425">
        <v>0</v>
      </c>
      <c r="O3" s="425">
        <v>0</v>
      </c>
      <c r="P3" s="425" t="s">
        <v>106</v>
      </c>
      <c r="Q3" s="425" t="s">
        <v>106</v>
      </c>
      <c r="R3" s="425">
        <v>3</v>
      </c>
      <c r="S3" s="426">
        <v>15000</v>
      </c>
      <c r="T3" s="438" t="s">
        <v>593</v>
      </c>
      <c r="U3" s="428" t="s">
        <v>269</v>
      </c>
      <c r="V3" s="426" t="s">
        <v>258</v>
      </c>
      <c r="W3" s="426" t="s">
        <v>272</v>
      </c>
      <c r="X3" s="430" t="s">
        <v>596</v>
      </c>
      <c r="Y3" s="590">
        <v>1</v>
      </c>
      <c r="Z3" s="590">
        <v>1</v>
      </c>
      <c r="AA3" s="590">
        <v>0</v>
      </c>
      <c r="AB3" s="591">
        <v>0</v>
      </c>
      <c r="AC3" s="590">
        <v>1</v>
      </c>
      <c r="AD3" s="590">
        <v>1</v>
      </c>
      <c r="AE3" s="590">
        <v>0</v>
      </c>
      <c r="AF3" s="590">
        <v>0</v>
      </c>
      <c r="AG3" s="590">
        <v>0</v>
      </c>
      <c r="AH3" s="590">
        <v>0</v>
      </c>
      <c r="AI3" s="590">
        <v>0</v>
      </c>
      <c r="AJ3" s="590">
        <v>0</v>
      </c>
      <c r="AK3" s="590">
        <v>0</v>
      </c>
      <c r="AL3" s="590">
        <v>0</v>
      </c>
      <c r="AM3" s="590">
        <v>0</v>
      </c>
      <c r="AN3" s="590">
        <v>0</v>
      </c>
      <c r="AP3" s="316" t="s">
        <v>130</v>
      </c>
      <c r="AQ3" s="317">
        <f>Fijialltestshistplayed</f>
        <v>366</v>
      </c>
      <c r="AS3" s="316" t="s">
        <v>130</v>
      </c>
      <c r="AT3" s="317">
        <f>FijiRWChistplayed</f>
        <v>37</v>
      </c>
    </row>
    <row r="4" spans="1:46" ht="14.95" customHeight="1" thickBot="1" x14ac:dyDescent="0.35">
      <c r="A4" s="413" t="s">
        <v>332</v>
      </c>
      <c r="B4" s="398" t="s">
        <v>45</v>
      </c>
      <c r="C4" s="398" t="s">
        <v>119</v>
      </c>
      <c r="D4" s="398" t="s">
        <v>597</v>
      </c>
      <c r="E4" s="399" t="s">
        <v>1</v>
      </c>
      <c r="F4" s="399">
        <v>33</v>
      </c>
      <c r="G4" s="399">
        <v>19</v>
      </c>
      <c r="H4" s="399" t="s">
        <v>106</v>
      </c>
      <c r="I4" s="399" t="s">
        <v>106</v>
      </c>
      <c r="J4" s="399">
        <v>4</v>
      </c>
      <c r="K4" s="399">
        <v>2</v>
      </c>
      <c r="L4" s="399">
        <v>0</v>
      </c>
      <c r="M4" s="399">
        <v>3</v>
      </c>
      <c r="N4" s="399">
        <v>0</v>
      </c>
      <c r="O4" s="399">
        <v>0</v>
      </c>
      <c r="P4" s="399" t="s">
        <v>106</v>
      </c>
      <c r="Q4" s="399" t="s">
        <v>106</v>
      </c>
      <c r="R4" s="399">
        <v>3</v>
      </c>
      <c r="S4" s="406">
        <v>800</v>
      </c>
      <c r="T4" s="407" t="s">
        <v>693</v>
      </c>
      <c r="U4" s="408" t="s">
        <v>265</v>
      </c>
      <c r="V4" s="406" t="s">
        <v>258</v>
      </c>
      <c r="W4" s="406" t="s">
        <v>691</v>
      </c>
      <c r="X4" s="409" t="s">
        <v>692</v>
      </c>
      <c r="Y4" s="422">
        <v>1</v>
      </c>
      <c r="Z4" s="422">
        <v>1</v>
      </c>
      <c r="AA4" s="422">
        <v>0</v>
      </c>
      <c r="AB4" s="593">
        <v>0</v>
      </c>
      <c r="AC4" s="422">
        <v>0</v>
      </c>
      <c r="AD4" s="422">
        <v>0</v>
      </c>
      <c r="AE4" s="422">
        <v>0</v>
      </c>
      <c r="AF4" s="422">
        <v>0</v>
      </c>
      <c r="AG4" s="422">
        <v>1</v>
      </c>
      <c r="AH4" s="422">
        <v>1</v>
      </c>
      <c r="AI4" s="422">
        <v>0</v>
      </c>
      <c r="AJ4" s="422">
        <v>0</v>
      </c>
      <c r="AK4" s="422">
        <v>0</v>
      </c>
      <c r="AL4" s="422">
        <v>0</v>
      </c>
      <c r="AM4" s="422">
        <v>0</v>
      </c>
      <c r="AN4" s="422">
        <v>0</v>
      </c>
      <c r="AP4" s="318" t="s">
        <v>131</v>
      </c>
      <c r="AQ4" s="319">
        <f>Fijialltestshistwon</f>
        <v>178</v>
      </c>
      <c r="AS4" s="318" t="s">
        <v>131</v>
      </c>
      <c r="AT4" s="319">
        <f>FijiRWChistwon</f>
        <v>13</v>
      </c>
    </row>
    <row r="5" spans="1:46" ht="14.95" customHeight="1" thickBot="1" x14ac:dyDescent="0.35">
      <c r="A5" s="413" t="s">
        <v>322</v>
      </c>
      <c r="B5" s="398" t="s">
        <v>45</v>
      </c>
      <c r="C5" s="398" t="s">
        <v>36</v>
      </c>
      <c r="D5" s="398" t="s">
        <v>599</v>
      </c>
      <c r="E5" s="399" t="s">
        <v>1</v>
      </c>
      <c r="F5" s="399">
        <v>35</v>
      </c>
      <c r="G5" s="399">
        <v>12</v>
      </c>
      <c r="H5" s="399" t="s">
        <v>106</v>
      </c>
      <c r="I5" s="399" t="s">
        <v>106</v>
      </c>
      <c r="J5" s="399">
        <v>5</v>
      </c>
      <c r="K5" s="399">
        <v>5</v>
      </c>
      <c r="L5" s="399">
        <v>0</v>
      </c>
      <c r="M5" s="399">
        <v>0</v>
      </c>
      <c r="N5" s="399">
        <v>1</v>
      </c>
      <c r="O5" s="399">
        <v>0</v>
      </c>
      <c r="P5" s="399" t="s">
        <v>106</v>
      </c>
      <c r="Q5" s="399" t="s">
        <v>106</v>
      </c>
      <c r="R5" s="399">
        <v>2</v>
      </c>
      <c r="S5" s="406">
        <v>27000</v>
      </c>
      <c r="T5" s="407" t="s">
        <v>742</v>
      </c>
      <c r="U5" s="408" t="s">
        <v>278</v>
      </c>
      <c r="V5" s="406" t="s">
        <v>270</v>
      </c>
      <c r="W5" s="406" t="s">
        <v>272</v>
      </c>
      <c r="X5" s="409" t="s">
        <v>741</v>
      </c>
      <c r="Y5" s="422">
        <v>1</v>
      </c>
      <c r="Z5" s="422">
        <v>1</v>
      </c>
      <c r="AA5" s="422">
        <v>0</v>
      </c>
      <c r="AB5" s="593">
        <v>0</v>
      </c>
      <c r="AC5" s="422">
        <v>0</v>
      </c>
      <c r="AD5" s="422">
        <v>0</v>
      </c>
      <c r="AE5" s="422">
        <v>0</v>
      </c>
      <c r="AF5" s="422">
        <v>0</v>
      </c>
      <c r="AG5" s="422">
        <v>1</v>
      </c>
      <c r="AH5" s="422">
        <v>1</v>
      </c>
      <c r="AI5" s="422">
        <v>0</v>
      </c>
      <c r="AJ5" s="422">
        <v>0</v>
      </c>
      <c r="AK5" s="422">
        <v>0</v>
      </c>
      <c r="AL5" s="422">
        <v>0</v>
      </c>
      <c r="AM5" s="422">
        <v>0</v>
      </c>
      <c r="AN5" s="422">
        <v>0</v>
      </c>
      <c r="AP5" s="318" t="s">
        <v>137</v>
      </c>
      <c r="AQ5" s="319">
        <f>Fijialltestshistdrawn</f>
        <v>11</v>
      </c>
      <c r="AS5" s="318" t="s">
        <v>137</v>
      </c>
      <c r="AT5" s="319">
        <f>FijiRWChistdrawn</f>
        <v>0</v>
      </c>
    </row>
    <row r="6" spans="1:46" ht="14.95" customHeight="1" thickBot="1" x14ac:dyDescent="0.3">
      <c r="A6" s="396" t="s">
        <v>324</v>
      </c>
      <c r="B6" s="398" t="s">
        <v>615</v>
      </c>
      <c r="C6" s="398" t="s">
        <v>34</v>
      </c>
      <c r="D6" s="398" t="s">
        <v>224</v>
      </c>
      <c r="E6" s="399" t="s">
        <v>3</v>
      </c>
      <c r="F6" s="399">
        <v>17</v>
      </c>
      <c r="G6" s="399">
        <v>34</v>
      </c>
      <c r="H6" s="399" t="s">
        <v>106</v>
      </c>
      <c r="I6" s="399" t="s">
        <v>106</v>
      </c>
      <c r="J6" s="399">
        <v>2</v>
      </c>
      <c r="K6" s="399">
        <v>2</v>
      </c>
      <c r="L6" s="399">
        <v>0</v>
      </c>
      <c r="M6" s="399">
        <v>1</v>
      </c>
      <c r="N6" s="399">
        <v>0</v>
      </c>
      <c r="O6" s="399">
        <v>0</v>
      </c>
      <c r="P6" s="399" t="s">
        <v>106</v>
      </c>
      <c r="Q6" s="399" t="s">
        <v>106</v>
      </c>
      <c r="R6" s="399">
        <v>3</v>
      </c>
      <c r="S6" s="406">
        <v>32583</v>
      </c>
      <c r="T6" s="419" t="s">
        <v>799</v>
      </c>
      <c r="U6" s="408" t="s">
        <v>402</v>
      </c>
      <c r="V6" s="406" t="s">
        <v>798</v>
      </c>
      <c r="W6" s="406" t="s">
        <v>420</v>
      </c>
      <c r="X6" s="401" t="s">
        <v>452</v>
      </c>
      <c r="Y6" s="404">
        <v>1</v>
      </c>
      <c r="Z6" s="404">
        <v>0</v>
      </c>
      <c r="AA6" s="404">
        <v>0</v>
      </c>
      <c r="AB6" s="405">
        <v>1</v>
      </c>
      <c r="AC6" s="404">
        <v>0</v>
      </c>
      <c r="AD6" s="404">
        <v>0</v>
      </c>
      <c r="AE6" s="404">
        <v>0</v>
      </c>
      <c r="AF6" s="404">
        <v>0</v>
      </c>
      <c r="AG6" s="404">
        <v>1</v>
      </c>
      <c r="AH6" s="404">
        <v>0</v>
      </c>
      <c r="AI6" s="404">
        <v>0</v>
      </c>
      <c r="AJ6" s="404">
        <v>1</v>
      </c>
      <c r="AK6" s="404">
        <v>0</v>
      </c>
      <c r="AL6" s="404">
        <v>0</v>
      </c>
      <c r="AM6" s="404">
        <v>0</v>
      </c>
      <c r="AN6" s="404">
        <v>0</v>
      </c>
      <c r="AP6" s="318" t="s">
        <v>132</v>
      </c>
      <c r="AQ6" s="319">
        <f>Fijialltestshistlost</f>
        <v>177</v>
      </c>
      <c r="AS6" s="318" t="s">
        <v>132</v>
      </c>
      <c r="AT6" s="319">
        <f>FijiRWChistlost</f>
        <v>24</v>
      </c>
    </row>
    <row r="7" spans="1:46" ht="14.95" customHeight="1" thickBot="1" x14ac:dyDescent="0.3">
      <c r="A7" s="396" t="s">
        <v>325</v>
      </c>
      <c r="B7" s="398" t="s">
        <v>615</v>
      </c>
      <c r="C7" s="398" t="s">
        <v>30</v>
      </c>
      <c r="D7" s="398" t="s">
        <v>115</v>
      </c>
      <c r="E7" s="399" t="s">
        <v>1</v>
      </c>
      <c r="F7" s="399">
        <v>30</v>
      </c>
      <c r="G7" s="399">
        <v>22</v>
      </c>
      <c r="H7" s="399" t="s">
        <v>106</v>
      </c>
      <c r="I7" s="399" t="s">
        <v>106</v>
      </c>
      <c r="J7" s="399">
        <v>3</v>
      </c>
      <c r="K7" s="399">
        <v>3</v>
      </c>
      <c r="L7" s="399">
        <v>0</v>
      </c>
      <c r="M7" s="399">
        <v>3</v>
      </c>
      <c r="N7" s="399">
        <v>1</v>
      </c>
      <c r="O7" s="399">
        <v>0</v>
      </c>
      <c r="P7" s="399" t="s">
        <v>106</v>
      </c>
      <c r="Q7" s="399" t="s">
        <v>106</v>
      </c>
      <c r="R7" s="399">
        <v>1</v>
      </c>
      <c r="S7" s="406">
        <v>56854</v>
      </c>
      <c r="T7" s="419" t="s">
        <v>416</v>
      </c>
      <c r="U7" s="408" t="s">
        <v>433</v>
      </c>
      <c r="V7" s="406" t="s">
        <v>347</v>
      </c>
      <c r="W7" s="401" t="s">
        <v>467</v>
      </c>
      <c r="X7" s="409" t="s">
        <v>302</v>
      </c>
      <c r="Y7" s="404">
        <v>1</v>
      </c>
      <c r="Z7" s="404">
        <v>1</v>
      </c>
      <c r="AA7" s="404">
        <v>0</v>
      </c>
      <c r="AB7" s="405">
        <v>0</v>
      </c>
      <c r="AC7" s="404">
        <v>0</v>
      </c>
      <c r="AD7" s="404">
        <v>0</v>
      </c>
      <c r="AE7" s="404">
        <v>0</v>
      </c>
      <c r="AF7" s="404">
        <v>0</v>
      </c>
      <c r="AG7" s="404">
        <v>1</v>
      </c>
      <c r="AH7" s="404">
        <v>1</v>
      </c>
      <c r="AI7" s="404">
        <v>0</v>
      </c>
      <c r="AJ7" s="404">
        <v>0</v>
      </c>
      <c r="AK7" s="404">
        <v>0</v>
      </c>
      <c r="AL7" s="404">
        <v>0</v>
      </c>
      <c r="AM7" s="404">
        <v>0</v>
      </c>
      <c r="AN7" s="404">
        <v>0</v>
      </c>
      <c r="AP7" s="318" t="s">
        <v>138</v>
      </c>
      <c r="AQ7" s="319">
        <f>Fijialltestshistptsscored</f>
        <v>7974</v>
      </c>
      <c r="AS7" s="318" t="s">
        <v>138</v>
      </c>
      <c r="AT7" s="319">
        <f>FijiRWChistptsscored</f>
        <v>844</v>
      </c>
    </row>
    <row r="8" spans="1:46" ht="14.95" customHeight="1" thickBot="1" x14ac:dyDescent="0.3">
      <c r="A8" s="464" t="s">
        <v>359</v>
      </c>
      <c r="B8" s="465" t="s">
        <v>198</v>
      </c>
      <c r="C8" s="465" t="s">
        <v>32</v>
      </c>
      <c r="D8" s="465" t="s">
        <v>228</v>
      </c>
      <c r="E8" s="453" t="s">
        <v>3</v>
      </c>
      <c r="F8" s="453">
        <v>26</v>
      </c>
      <c r="G8" s="453">
        <v>32</v>
      </c>
      <c r="H8" s="453">
        <v>1</v>
      </c>
      <c r="I8" s="453">
        <v>1</v>
      </c>
      <c r="J8" s="453">
        <v>4</v>
      </c>
      <c r="K8" s="453">
        <v>3</v>
      </c>
      <c r="L8" s="453">
        <v>0</v>
      </c>
      <c r="M8" s="453">
        <v>0</v>
      </c>
      <c r="N8" s="453">
        <v>1</v>
      </c>
      <c r="O8" s="453">
        <v>0</v>
      </c>
      <c r="P8" s="453">
        <v>1</v>
      </c>
      <c r="Q8" s="453">
        <v>0</v>
      </c>
      <c r="R8" s="453">
        <v>4</v>
      </c>
      <c r="S8" s="466">
        <v>41274</v>
      </c>
      <c r="T8" s="558" t="s">
        <v>834</v>
      </c>
      <c r="U8" s="467" t="s">
        <v>278</v>
      </c>
      <c r="V8" s="466" t="s">
        <v>340</v>
      </c>
      <c r="W8" s="463" t="s">
        <v>436</v>
      </c>
      <c r="X8" s="468" t="s">
        <v>347</v>
      </c>
      <c r="Y8" s="364">
        <v>1</v>
      </c>
      <c r="Z8" s="364">
        <v>0</v>
      </c>
      <c r="AA8" s="364">
        <v>0</v>
      </c>
      <c r="AB8" s="454">
        <v>1</v>
      </c>
      <c r="AC8" s="364">
        <v>0</v>
      </c>
      <c r="AD8" s="364">
        <v>0</v>
      </c>
      <c r="AE8" s="364">
        <v>0</v>
      </c>
      <c r="AF8" s="364">
        <v>0</v>
      </c>
      <c r="AG8" s="364">
        <v>0</v>
      </c>
      <c r="AH8" s="364">
        <v>0</v>
      </c>
      <c r="AI8" s="364">
        <v>0</v>
      </c>
      <c r="AJ8" s="364">
        <v>0</v>
      </c>
      <c r="AK8" s="364">
        <v>1</v>
      </c>
      <c r="AL8" s="364">
        <v>0</v>
      </c>
      <c r="AM8" s="364">
        <v>0</v>
      </c>
      <c r="AN8" s="364">
        <v>1</v>
      </c>
      <c r="AP8" s="318" t="s">
        <v>139</v>
      </c>
      <c r="AQ8" s="319">
        <f>Fijialltestshistptsagainst</f>
        <v>7739</v>
      </c>
      <c r="AS8" s="318" t="s">
        <v>139</v>
      </c>
      <c r="AT8" s="319">
        <f>FijiRWChistptsagainst</f>
        <v>1087</v>
      </c>
    </row>
    <row r="9" spans="1:46" ht="16.5" customHeight="1" thickBot="1" x14ac:dyDescent="0.35">
      <c r="A9" s="464" t="s">
        <v>327</v>
      </c>
      <c r="B9" s="465" t="s">
        <v>198</v>
      </c>
      <c r="C9" s="465" t="s">
        <v>29</v>
      </c>
      <c r="D9" s="465" t="s">
        <v>227</v>
      </c>
      <c r="E9" s="453" t="s">
        <v>1</v>
      </c>
      <c r="F9" s="453">
        <v>22</v>
      </c>
      <c r="G9" s="453">
        <v>15</v>
      </c>
      <c r="H9" s="453">
        <v>0</v>
      </c>
      <c r="I9" s="453">
        <v>0</v>
      </c>
      <c r="J9" s="453">
        <v>1</v>
      </c>
      <c r="K9" s="453">
        <v>1</v>
      </c>
      <c r="L9" s="453">
        <v>0</v>
      </c>
      <c r="M9" s="453">
        <v>5</v>
      </c>
      <c r="N9" s="453">
        <v>0</v>
      </c>
      <c r="O9" s="453">
        <v>0</v>
      </c>
      <c r="P9" s="453">
        <v>0</v>
      </c>
      <c r="Q9" s="453">
        <v>1</v>
      </c>
      <c r="R9" s="453">
        <v>2</v>
      </c>
      <c r="S9" s="466">
        <v>41294</v>
      </c>
      <c r="T9" s="469" t="s">
        <v>752</v>
      </c>
      <c r="U9" s="467" t="s">
        <v>346</v>
      </c>
      <c r="V9" s="466" t="s">
        <v>347</v>
      </c>
      <c r="W9" s="463" t="s">
        <v>433</v>
      </c>
      <c r="X9" s="468" t="s">
        <v>349</v>
      </c>
      <c r="Y9" s="364">
        <v>1</v>
      </c>
      <c r="Z9" s="364">
        <v>1</v>
      </c>
      <c r="AA9" s="364">
        <v>0</v>
      </c>
      <c r="AB9" s="454">
        <v>0</v>
      </c>
      <c r="AC9" s="364">
        <v>0</v>
      </c>
      <c r="AD9" s="364">
        <v>0</v>
      </c>
      <c r="AE9" s="364">
        <v>0</v>
      </c>
      <c r="AF9" s="364">
        <v>0</v>
      </c>
      <c r="AG9" s="364">
        <v>0</v>
      </c>
      <c r="AH9" s="364">
        <v>0</v>
      </c>
      <c r="AI9" s="364">
        <v>0</v>
      </c>
      <c r="AJ9" s="364">
        <v>0</v>
      </c>
      <c r="AK9" s="364">
        <v>1</v>
      </c>
      <c r="AL9" s="364">
        <v>1</v>
      </c>
      <c r="AM9" s="364">
        <v>0</v>
      </c>
      <c r="AN9" s="364">
        <v>0</v>
      </c>
      <c r="AP9" s="318" t="s">
        <v>129</v>
      </c>
      <c r="AQ9" s="319">
        <f>Fijialltestshisttriesscored</f>
        <v>1115</v>
      </c>
      <c r="AS9" s="318" t="s">
        <v>129</v>
      </c>
      <c r="AT9" s="319">
        <f>FijiRWChisttriesscored</f>
        <v>98</v>
      </c>
    </row>
    <row r="10" spans="1:46" ht="14.95" customHeight="1" thickBot="1" x14ac:dyDescent="0.3">
      <c r="A10" s="464" t="s">
        <v>361</v>
      </c>
      <c r="B10" s="465" t="s">
        <v>198</v>
      </c>
      <c r="C10" s="465" t="s">
        <v>38</v>
      </c>
      <c r="D10" s="465" t="s">
        <v>228</v>
      </c>
      <c r="E10" s="453" t="s">
        <v>1</v>
      </c>
      <c r="F10" s="453">
        <v>17</v>
      </c>
      <c r="G10" s="453">
        <v>12</v>
      </c>
      <c r="H10" s="453">
        <v>0</v>
      </c>
      <c r="I10" s="453">
        <v>0</v>
      </c>
      <c r="J10" s="453">
        <v>2</v>
      </c>
      <c r="K10" s="453">
        <v>2</v>
      </c>
      <c r="L10" s="453">
        <v>0</v>
      </c>
      <c r="M10" s="453">
        <v>1</v>
      </c>
      <c r="N10" s="453">
        <v>2</v>
      </c>
      <c r="O10" s="453">
        <v>0</v>
      </c>
      <c r="P10" s="453">
        <v>0</v>
      </c>
      <c r="Q10" s="453">
        <v>1</v>
      </c>
      <c r="R10" s="453">
        <v>0</v>
      </c>
      <c r="S10" s="466">
        <v>39862</v>
      </c>
      <c r="T10" s="497" t="s">
        <v>924</v>
      </c>
      <c r="U10" s="467" t="s">
        <v>263</v>
      </c>
      <c r="V10" s="466" t="s">
        <v>264</v>
      </c>
      <c r="W10" s="463" t="s">
        <v>433</v>
      </c>
      <c r="X10" s="468" t="s">
        <v>467</v>
      </c>
      <c r="Y10" s="364">
        <v>1</v>
      </c>
      <c r="Z10" s="364">
        <v>1</v>
      </c>
      <c r="AA10" s="364">
        <v>0</v>
      </c>
      <c r="AB10" s="454">
        <v>0</v>
      </c>
      <c r="AC10" s="364">
        <v>0</v>
      </c>
      <c r="AD10" s="364">
        <v>0</v>
      </c>
      <c r="AE10" s="364">
        <v>0</v>
      </c>
      <c r="AF10" s="364">
        <v>0</v>
      </c>
      <c r="AG10" s="364">
        <v>0</v>
      </c>
      <c r="AH10" s="364">
        <v>0</v>
      </c>
      <c r="AI10" s="364">
        <v>0</v>
      </c>
      <c r="AJ10" s="364">
        <v>0</v>
      </c>
      <c r="AK10" s="364">
        <v>1</v>
      </c>
      <c r="AL10" s="364">
        <v>1</v>
      </c>
      <c r="AM10" s="364">
        <v>0</v>
      </c>
      <c r="AN10" s="364">
        <v>0</v>
      </c>
      <c r="AP10" s="967"/>
      <c r="AQ10" s="968"/>
      <c r="AR10" s="968"/>
      <c r="AS10" s="968"/>
      <c r="AT10" s="968"/>
    </row>
    <row r="11" spans="1:46" ht="14.95" customHeight="1" thickBot="1" x14ac:dyDescent="0.3">
      <c r="A11" s="464" t="s">
        <v>407</v>
      </c>
      <c r="B11" s="465" t="s">
        <v>198</v>
      </c>
      <c r="C11" s="465" t="s">
        <v>124</v>
      </c>
      <c r="D11" s="465" t="s">
        <v>197</v>
      </c>
      <c r="E11" s="453" t="s">
        <v>3</v>
      </c>
      <c r="F11" s="453">
        <v>23</v>
      </c>
      <c r="G11" s="453">
        <v>24</v>
      </c>
      <c r="H11" s="453">
        <v>0</v>
      </c>
      <c r="I11" s="453">
        <v>1</v>
      </c>
      <c r="J11" s="453">
        <v>2</v>
      </c>
      <c r="K11" s="453">
        <v>2</v>
      </c>
      <c r="L11" s="453">
        <v>0</v>
      </c>
      <c r="M11" s="453">
        <v>3</v>
      </c>
      <c r="N11" s="453">
        <v>1</v>
      </c>
      <c r="O11" s="453">
        <v>0</v>
      </c>
      <c r="P11" s="453">
        <v>0</v>
      </c>
      <c r="Q11" s="453">
        <v>0</v>
      </c>
      <c r="R11" s="453">
        <v>3</v>
      </c>
      <c r="S11" s="466">
        <v>32223</v>
      </c>
      <c r="T11" s="574" t="s">
        <v>961</v>
      </c>
      <c r="U11" s="467" t="s">
        <v>266</v>
      </c>
      <c r="V11" s="466" t="s">
        <v>347</v>
      </c>
      <c r="W11" s="463" t="s">
        <v>433</v>
      </c>
      <c r="X11" s="468" t="s">
        <v>467</v>
      </c>
      <c r="Y11" s="364">
        <v>1</v>
      </c>
      <c r="Z11" s="364">
        <v>0</v>
      </c>
      <c r="AA11" s="364">
        <v>0</v>
      </c>
      <c r="AB11" s="454">
        <v>1</v>
      </c>
      <c r="AC11" s="364">
        <v>0</v>
      </c>
      <c r="AD11" s="364">
        <v>0</v>
      </c>
      <c r="AE11" s="364">
        <v>0</v>
      </c>
      <c r="AF11" s="364">
        <v>0</v>
      </c>
      <c r="AG11" s="364">
        <v>0</v>
      </c>
      <c r="AH11" s="364">
        <v>0</v>
      </c>
      <c r="AI11" s="364">
        <v>0</v>
      </c>
      <c r="AJ11" s="364">
        <v>0</v>
      </c>
      <c r="AK11" s="364">
        <v>1</v>
      </c>
      <c r="AL11" s="364">
        <v>0</v>
      </c>
      <c r="AM11" s="364">
        <v>0</v>
      </c>
      <c r="AN11" s="364">
        <v>1</v>
      </c>
    </row>
    <row r="12" spans="1:46" ht="14.95" customHeight="1" thickBot="1" x14ac:dyDescent="0.3">
      <c r="A12" s="489" t="s">
        <v>937</v>
      </c>
      <c r="B12" s="490" t="s">
        <v>233</v>
      </c>
      <c r="C12" s="490" t="s">
        <v>30</v>
      </c>
      <c r="D12" s="566" t="s">
        <v>229</v>
      </c>
      <c r="E12" s="453" t="s">
        <v>3</v>
      </c>
      <c r="F12" s="453">
        <v>24</v>
      </c>
      <c r="G12" s="453">
        <v>30</v>
      </c>
      <c r="H12" s="453" t="s">
        <v>106</v>
      </c>
      <c r="I12" s="453" t="s">
        <v>106</v>
      </c>
      <c r="J12" s="453">
        <v>3</v>
      </c>
      <c r="K12" s="453">
        <v>3</v>
      </c>
      <c r="L12" s="453">
        <v>0</v>
      </c>
      <c r="M12" s="453">
        <v>1</v>
      </c>
      <c r="N12" s="453">
        <v>1</v>
      </c>
      <c r="O12" s="453">
        <v>0</v>
      </c>
      <c r="P12" s="453" t="s">
        <v>106</v>
      </c>
      <c r="Q12" s="453" t="s">
        <v>106</v>
      </c>
      <c r="R12" s="453">
        <v>2</v>
      </c>
      <c r="S12" s="466">
        <v>61863</v>
      </c>
      <c r="T12" s="558" t="s">
        <v>799</v>
      </c>
      <c r="U12" s="467" t="s">
        <v>364</v>
      </c>
      <c r="V12" s="466" t="s">
        <v>279</v>
      </c>
      <c r="W12" s="463" t="s">
        <v>280</v>
      </c>
      <c r="X12" s="468" t="s">
        <v>467</v>
      </c>
      <c r="Y12" s="364">
        <v>1</v>
      </c>
      <c r="Z12" s="364">
        <v>0</v>
      </c>
      <c r="AA12" s="364">
        <v>0</v>
      </c>
      <c r="AB12" s="454">
        <v>1</v>
      </c>
      <c r="AC12" s="364">
        <v>0</v>
      </c>
      <c r="AD12" s="364">
        <v>0</v>
      </c>
      <c r="AE12" s="364">
        <v>0</v>
      </c>
      <c r="AF12" s="364">
        <v>0</v>
      </c>
      <c r="AG12" s="364">
        <v>0</v>
      </c>
      <c r="AH12" s="364">
        <v>0</v>
      </c>
      <c r="AI12" s="364">
        <v>0</v>
      </c>
      <c r="AJ12" s="364">
        <v>0</v>
      </c>
      <c r="AK12" s="364">
        <v>1</v>
      </c>
      <c r="AL12" s="364">
        <v>0</v>
      </c>
      <c r="AM12" s="364">
        <v>0</v>
      </c>
      <c r="AN12" s="364">
        <v>1</v>
      </c>
    </row>
    <row r="13" spans="1:46" ht="14.95" customHeight="1" thickBot="1" x14ac:dyDescent="0.3">
      <c r="A13" s="482"/>
      <c r="B13" s="176"/>
      <c r="C13" s="1018" t="s">
        <v>166</v>
      </c>
      <c r="D13" s="1019"/>
      <c r="E13" s="1020"/>
      <c r="F13" s="453">
        <f>SUM(F3:F5)</f>
        <v>104</v>
      </c>
      <c r="G13" s="453">
        <f>SUM(G3:G5)</f>
        <v>51</v>
      </c>
      <c r="H13" s="453" t="s">
        <v>106</v>
      </c>
      <c r="I13" s="453" t="s">
        <v>106</v>
      </c>
      <c r="J13" s="453">
        <f t="shared" ref="J13:O13" si="0">SUM(J3:J5)</f>
        <v>14</v>
      </c>
      <c r="K13" s="453">
        <f t="shared" si="0"/>
        <v>10</v>
      </c>
      <c r="L13" s="453">
        <f t="shared" si="0"/>
        <v>0</v>
      </c>
      <c r="M13" s="453">
        <f t="shared" si="0"/>
        <v>4</v>
      </c>
      <c r="N13" s="453">
        <f t="shared" si="0"/>
        <v>1</v>
      </c>
      <c r="O13" s="453">
        <f t="shared" si="0"/>
        <v>0</v>
      </c>
      <c r="P13" s="453" t="s">
        <v>106</v>
      </c>
      <c r="Q13" s="453" t="s">
        <v>106</v>
      </c>
      <c r="R13" s="453">
        <f>SUM(R3:R5)</f>
        <v>8</v>
      </c>
      <c r="S13" s="679"/>
      <c r="T13" s="802"/>
      <c r="U13" s="679"/>
      <c r="V13" s="679"/>
      <c r="W13" s="679"/>
      <c r="X13" s="364" t="s">
        <v>166</v>
      </c>
      <c r="Y13" s="454">
        <f t="shared" ref="Y13:AN13" si="1">SUM(Y3:Y5)</f>
        <v>3</v>
      </c>
      <c r="Z13" s="454">
        <f t="shared" si="1"/>
        <v>3</v>
      </c>
      <c r="AA13" s="454">
        <f t="shared" si="1"/>
        <v>0</v>
      </c>
      <c r="AB13" s="454">
        <f t="shared" si="1"/>
        <v>0</v>
      </c>
      <c r="AC13" s="454">
        <f t="shared" si="1"/>
        <v>1</v>
      </c>
      <c r="AD13" s="454">
        <f t="shared" si="1"/>
        <v>1</v>
      </c>
      <c r="AE13" s="454">
        <f t="shared" si="1"/>
        <v>0</v>
      </c>
      <c r="AF13" s="454">
        <f t="shared" si="1"/>
        <v>0</v>
      </c>
      <c r="AG13" s="454">
        <f t="shared" si="1"/>
        <v>2</v>
      </c>
      <c r="AH13" s="454">
        <f t="shared" si="1"/>
        <v>2</v>
      </c>
      <c r="AI13" s="454">
        <f t="shared" si="1"/>
        <v>0</v>
      </c>
      <c r="AJ13" s="454">
        <f t="shared" si="1"/>
        <v>0</v>
      </c>
      <c r="AK13" s="454">
        <f t="shared" si="1"/>
        <v>0</v>
      </c>
      <c r="AL13" s="454">
        <f t="shared" si="1"/>
        <v>0</v>
      </c>
      <c r="AM13" s="454">
        <f t="shared" si="1"/>
        <v>0</v>
      </c>
      <c r="AN13" s="454">
        <f t="shared" si="1"/>
        <v>0</v>
      </c>
    </row>
    <row r="14" spans="1:46" ht="14.95" customHeight="1" thickBot="1" x14ac:dyDescent="0.3">
      <c r="A14" s="482"/>
      <c r="B14" s="176"/>
      <c r="C14" s="1021" t="s">
        <v>620</v>
      </c>
      <c r="D14" s="1022"/>
      <c r="E14" s="1023"/>
      <c r="F14" s="682">
        <f>SUM(F6:F7)</f>
        <v>47</v>
      </c>
      <c r="G14" s="682">
        <f>SUM(G6:G7)</f>
        <v>56</v>
      </c>
      <c r="H14" s="682" t="s">
        <v>106</v>
      </c>
      <c r="I14" s="682" t="s">
        <v>106</v>
      </c>
      <c r="J14" s="682">
        <f t="shared" ref="J14:O14" si="2">SUM(J6:J7)</f>
        <v>5</v>
      </c>
      <c r="K14" s="682">
        <f t="shared" si="2"/>
        <v>5</v>
      </c>
      <c r="L14" s="682">
        <f t="shared" si="2"/>
        <v>0</v>
      </c>
      <c r="M14" s="682">
        <f t="shared" si="2"/>
        <v>4</v>
      </c>
      <c r="N14" s="682">
        <f t="shared" si="2"/>
        <v>1</v>
      </c>
      <c r="O14" s="682">
        <f t="shared" si="2"/>
        <v>0</v>
      </c>
      <c r="P14" s="682" t="s">
        <v>106</v>
      </c>
      <c r="Q14" s="682" t="s">
        <v>106</v>
      </c>
      <c r="R14" s="682">
        <f>SUM(R6:R7)</f>
        <v>4</v>
      </c>
      <c r="S14" s="683"/>
      <c r="T14" s="684"/>
      <c r="U14" s="683"/>
      <c r="V14" s="683"/>
      <c r="W14" s="683"/>
      <c r="X14" s="685" t="s">
        <v>619</v>
      </c>
      <c r="Y14" s="686">
        <f t="shared" ref="Y14:AN14" si="3">SUM(Y6:Y7)</f>
        <v>2</v>
      </c>
      <c r="Z14" s="686">
        <f t="shared" si="3"/>
        <v>1</v>
      </c>
      <c r="AA14" s="686">
        <f t="shared" si="3"/>
        <v>0</v>
      </c>
      <c r="AB14" s="686">
        <f t="shared" si="3"/>
        <v>1</v>
      </c>
      <c r="AC14" s="790">
        <f t="shared" si="3"/>
        <v>0</v>
      </c>
      <c r="AD14" s="790">
        <f t="shared" si="3"/>
        <v>0</v>
      </c>
      <c r="AE14" s="790">
        <f t="shared" si="3"/>
        <v>0</v>
      </c>
      <c r="AF14" s="790">
        <f t="shared" si="3"/>
        <v>0</v>
      </c>
      <c r="AG14" s="791">
        <f t="shared" si="3"/>
        <v>2</v>
      </c>
      <c r="AH14" s="791">
        <f t="shared" si="3"/>
        <v>1</v>
      </c>
      <c r="AI14" s="791">
        <f t="shared" si="3"/>
        <v>0</v>
      </c>
      <c r="AJ14" s="791">
        <f t="shared" si="3"/>
        <v>1</v>
      </c>
      <c r="AK14" s="686">
        <f t="shared" si="3"/>
        <v>0</v>
      </c>
      <c r="AL14" s="686">
        <f t="shared" si="3"/>
        <v>0</v>
      </c>
      <c r="AM14" s="686">
        <f t="shared" si="3"/>
        <v>0</v>
      </c>
      <c r="AN14" s="686">
        <f t="shared" si="3"/>
        <v>0</v>
      </c>
    </row>
    <row r="15" spans="1:46" ht="14.95" customHeight="1" thickBot="1" x14ac:dyDescent="0.3">
      <c r="A15" s="266"/>
      <c r="B15" s="267"/>
      <c r="C15" s="940" t="s">
        <v>625</v>
      </c>
      <c r="D15" s="941"/>
      <c r="E15" s="942"/>
      <c r="F15" s="708">
        <f t="shared" ref="F15:R15" si="4">SUM(F8:F11)</f>
        <v>88</v>
      </c>
      <c r="G15" s="708">
        <f t="shared" si="4"/>
        <v>83</v>
      </c>
      <c r="H15" s="708">
        <f t="shared" si="4"/>
        <v>1</v>
      </c>
      <c r="I15" s="708">
        <f t="shared" si="4"/>
        <v>2</v>
      </c>
      <c r="J15" s="708">
        <f t="shared" si="4"/>
        <v>9</v>
      </c>
      <c r="K15" s="708">
        <f t="shared" si="4"/>
        <v>8</v>
      </c>
      <c r="L15" s="708">
        <f t="shared" si="4"/>
        <v>0</v>
      </c>
      <c r="M15" s="708">
        <f t="shared" si="4"/>
        <v>9</v>
      </c>
      <c r="N15" s="708">
        <f t="shared" si="4"/>
        <v>4</v>
      </c>
      <c r="O15" s="708">
        <f t="shared" si="4"/>
        <v>0</v>
      </c>
      <c r="P15" s="708">
        <f t="shared" si="4"/>
        <v>1</v>
      </c>
      <c r="Q15" s="708">
        <f t="shared" si="4"/>
        <v>2</v>
      </c>
      <c r="R15" s="708">
        <f t="shared" si="4"/>
        <v>9</v>
      </c>
      <c r="S15" s="709"/>
      <c r="T15" s="709"/>
      <c r="U15" s="709"/>
      <c r="V15" s="709"/>
      <c r="W15" s="710"/>
      <c r="X15" s="711" t="s">
        <v>625</v>
      </c>
      <c r="Y15" s="712">
        <f t="shared" ref="Y15:AN15" si="5">SUM(Y8:Y11)</f>
        <v>4</v>
      </c>
      <c r="Z15" s="708">
        <f t="shared" si="5"/>
        <v>2</v>
      </c>
      <c r="AA15" s="708">
        <f t="shared" si="5"/>
        <v>0</v>
      </c>
      <c r="AB15" s="708">
        <f t="shared" si="5"/>
        <v>2</v>
      </c>
      <c r="AC15" s="713">
        <f t="shared" si="5"/>
        <v>0</v>
      </c>
      <c r="AD15" s="713">
        <f t="shared" si="5"/>
        <v>0</v>
      </c>
      <c r="AE15" s="713">
        <f t="shared" si="5"/>
        <v>0</v>
      </c>
      <c r="AF15" s="713">
        <f t="shared" si="5"/>
        <v>0</v>
      </c>
      <c r="AG15" s="714">
        <f t="shared" si="5"/>
        <v>0</v>
      </c>
      <c r="AH15" s="714">
        <f t="shared" si="5"/>
        <v>0</v>
      </c>
      <c r="AI15" s="714">
        <f t="shared" si="5"/>
        <v>0</v>
      </c>
      <c r="AJ15" s="714">
        <f t="shared" si="5"/>
        <v>0</v>
      </c>
      <c r="AK15" s="708">
        <f t="shared" si="5"/>
        <v>4</v>
      </c>
      <c r="AL15" s="708">
        <f t="shared" si="5"/>
        <v>2</v>
      </c>
      <c r="AM15" s="708">
        <f t="shared" si="5"/>
        <v>0</v>
      </c>
      <c r="AN15" s="708">
        <f t="shared" si="5"/>
        <v>2</v>
      </c>
    </row>
    <row r="16" spans="1:46" ht="14.95" thickBot="1" x14ac:dyDescent="0.3">
      <c r="A16" s="266"/>
      <c r="B16" s="267"/>
      <c r="C16" s="940" t="s">
        <v>626</v>
      </c>
      <c r="D16" s="943"/>
      <c r="E16" s="944"/>
      <c r="F16" s="708">
        <f t="shared" ref="F16:R16" si="6">SUM(F12:F12)</f>
        <v>24</v>
      </c>
      <c r="G16" s="708">
        <f t="shared" si="6"/>
        <v>30</v>
      </c>
      <c r="H16" s="708">
        <f t="shared" si="6"/>
        <v>0</v>
      </c>
      <c r="I16" s="708">
        <f t="shared" si="6"/>
        <v>0</v>
      </c>
      <c r="J16" s="708">
        <f t="shared" si="6"/>
        <v>3</v>
      </c>
      <c r="K16" s="708">
        <f t="shared" si="6"/>
        <v>3</v>
      </c>
      <c r="L16" s="708">
        <f t="shared" si="6"/>
        <v>0</v>
      </c>
      <c r="M16" s="708">
        <f t="shared" si="6"/>
        <v>1</v>
      </c>
      <c r="N16" s="708">
        <f t="shared" si="6"/>
        <v>1</v>
      </c>
      <c r="O16" s="708">
        <f t="shared" si="6"/>
        <v>0</v>
      </c>
      <c r="P16" s="708">
        <f t="shared" si="6"/>
        <v>0</v>
      </c>
      <c r="Q16" s="708">
        <f t="shared" si="6"/>
        <v>0</v>
      </c>
      <c r="R16" s="708">
        <f t="shared" si="6"/>
        <v>2</v>
      </c>
      <c r="S16" s="709"/>
      <c r="T16" s="709"/>
      <c r="U16" s="709"/>
      <c r="V16" s="709"/>
      <c r="W16" s="710"/>
      <c r="X16" s="711" t="s">
        <v>626</v>
      </c>
      <c r="Y16" s="712">
        <f t="shared" ref="Y16:AN16" si="7">SUM(Y12:Y12)</f>
        <v>1</v>
      </c>
      <c r="Z16" s="708">
        <f t="shared" si="7"/>
        <v>0</v>
      </c>
      <c r="AA16" s="708">
        <f t="shared" si="7"/>
        <v>0</v>
      </c>
      <c r="AB16" s="708">
        <f t="shared" si="7"/>
        <v>1</v>
      </c>
      <c r="AC16" s="713">
        <f t="shared" si="7"/>
        <v>0</v>
      </c>
      <c r="AD16" s="713">
        <f t="shared" si="7"/>
        <v>0</v>
      </c>
      <c r="AE16" s="713">
        <f t="shared" si="7"/>
        <v>0</v>
      </c>
      <c r="AF16" s="713">
        <f t="shared" si="7"/>
        <v>0</v>
      </c>
      <c r="AG16" s="714">
        <f t="shared" si="7"/>
        <v>0</v>
      </c>
      <c r="AH16" s="714">
        <f t="shared" si="7"/>
        <v>0</v>
      </c>
      <c r="AI16" s="714">
        <f t="shared" si="7"/>
        <v>0</v>
      </c>
      <c r="AJ16" s="714">
        <f t="shared" si="7"/>
        <v>0</v>
      </c>
      <c r="AK16" s="708">
        <f t="shared" si="7"/>
        <v>1</v>
      </c>
      <c r="AL16" s="708">
        <f t="shared" si="7"/>
        <v>0</v>
      </c>
      <c r="AM16" s="708">
        <f t="shared" si="7"/>
        <v>0</v>
      </c>
      <c r="AN16" s="708">
        <f t="shared" si="7"/>
        <v>1</v>
      </c>
    </row>
    <row r="17" spans="1:40" ht="14.95" thickBot="1" x14ac:dyDescent="0.3">
      <c r="A17" s="266"/>
      <c r="B17" s="267"/>
      <c r="C17" s="940" t="s">
        <v>627</v>
      </c>
      <c r="D17" s="943"/>
      <c r="E17" s="944"/>
      <c r="F17" s="708">
        <f>SUM(F15+F16)</f>
        <v>112</v>
      </c>
      <c r="G17" s="708">
        <f t="shared" ref="G17:R17" si="8">SUM(G15+G16)</f>
        <v>113</v>
      </c>
      <c r="H17" s="708">
        <f t="shared" si="8"/>
        <v>1</v>
      </c>
      <c r="I17" s="708">
        <f t="shared" si="8"/>
        <v>2</v>
      </c>
      <c r="J17" s="708">
        <f t="shared" si="8"/>
        <v>12</v>
      </c>
      <c r="K17" s="708">
        <f t="shared" si="8"/>
        <v>11</v>
      </c>
      <c r="L17" s="708">
        <f t="shared" si="8"/>
        <v>0</v>
      </c>
      <c r="M17" s="708">
        <f t="shared" si="8"/>
        <v>10</v>
      </c>
      <c r="N17" s="708">
        <f t="shared" si="8"/>
        <v>5</v>
      </c>
      <c r="O17" s="708">
        <f t="shared" si="8"/>
        <v>0</v>
      </c>
      <c r="P17" s="708">
        <f t="shared" si="8"/>
        <v>1</v>
      </c>
      <c r="Q17" s="708">
        <f t="shared" si="8"/>
        <v>2</v>
      </c>
      <c r="R17" s="708">
        <f t="shared" si="8"/>
        <v>11</v>
      </c>
      <c r="S17" s="709"/>
      <c r="T17" s="709"/>
      <c r="U17" s="709"/>
      <c r="V17" s="709"/>
      <c r="W17" s="710"/>
      <c r="X17" s="711" t="s">
        <v>627</v>
      </c>
      <c r="Y17" s="712">
        <f t="shared" ref="Y17:AN17" si="9">SUM(Y15+Y16)</f>
        <v>5</v>
      </c>
      <c r="Z17" s="708">
        <f t="shared" si="9"/>
        <v>2</v>
      </c>
      <c r="AA17" s="708">
        <f t="shared" si="9"/>
        <v>0</v>
      </c>
      <c r="AB17" s="708">
        <f t="shared" si="9"/>
        <v>3</v>
      </c>
      <c r="AC17" s="713">
        <f t="shared" si="9"/>
        <v>0</v>
      </c>
      <c r="AD17" s="713">
        <f t="shared" si="9"/>
        <v>0</v>
      </c>
      <c r="AE17" s="713">
        <f t="shared" si="9"/>
        <v>0</v>
      </c>
      <c r="AF17" s="713">
        <f t="shared" si="9"/>
        <v>0</v>
      </c>
      <c r="AG17" s="714">
        <f t="shared" si="9"/>
        <v>0</v>
      </c>
      <c r="AH17" s="714">
        <f t="shared" si="9"/>
        <v>0</v>
      </c>
      <c r="AI17" s="714">
        <f t="shared" si="9"/>
        <v>0</v>
      </c>
      <c r="AJ17" s="714">
        <f t="shared" si="9"/>
        <v>0</v>
      </c>
      <c r="AK17" s="708">
        <f t="shared" si="9"/>
        <v>5</v>
      </c>
      <c r="AL17" s="708">
        <f t="shared" si="9"/>
        <v>2</v>
      </c>
      <c r="AM17" s="708">
        <f t="shared" si="9"/>
        <v>0</v>
      </c>
      <c r="AN17" s="708">
        <f t="shared" si="9"/>
        <v>3</v>
      </c>
    </row>
    <row r="18" spans="1:40" ht="14.95" thickBot="1" x14ac:dyDescent="0.3">
      <c r="A18" s="266"/>
      <c r="B18" s="267"/>
      <c r="C18" s="946" t="s">
        <v>107</v>
      </c>
      <c r="D18" s="947"/>
      <c r="E18" s="948"/>
      <c r="F18" s="343">
        <f t="shared" ref="F18:R18" si="10">SUM(F3:F12)</f>
        <v>263</v>
      </c>
      <c r="G18" s="343">
        <f t="shared" si="10"/>
        <v>220</v>
      </c>
      <c r="H18" s="343">
        <f t="shared" si="10"/>
        <v>1</v>
      </c>
      <c r="I18" s="343">
        <f t="shared" si="10"/>
        <v>2</v>
      </c>
      <c r="J18" s="343">
        <f t="shared" si="10"/>
        <v>31</v>
      </c>
      <c r="K18" s="343">
        <f t="shared" si="10"/>
        <v>26</v>
      </c>
      <c r="L18" s="343">
        <f t="shared" si="10"/>
        <v>0</v>
      </c>
      <c r="M18" s="343">
        <f t="shared" si="10"/>
        <v>18</v>
      </c>
      <c r="N18" s="343">
        <f t="shared" si="10"/>
        <v>7</v>
      </c>
      <c r="O18" s="343">
        <f t="shared" si="10"/>
        <v>0</v>
      </c>
      <c r="P18" s="343">
        <f t="shared" si="10"/>
        <v>1</v>
      </c>
      <c r="Q18" s="343">
        <f t="shared" si="10"/>
        <v>2</v>
      </c>
      <c r="R18" s="343">
        <f t="shared" si="10"/>
        <v>23</v>
      </c>
      <c r="S18" s="340"/>
      <c r="T18" s="340"/>
      <c r="U18" s="340"/>
      <c r="V18" s="340"/>
      <c r="W18" s="13"/>
      <c r="X18" s="364" t="s">
        <v>107</v>
      </c>
      <c r="Y18" s="343">
        <f t="shared" ref="Y18:AN18" si="11">SUM(Y3:Y12)</f>
        <v>10</v>
      </c>
      <c r="Z18" s="343">
        <f t="shared" si="11"/>
        <v>6</v>
      </c>
      <c r="AA18" s="343">
        <f t="shared" si="11"/>
        <v>0</v>
      </c>
      <c r="AB18" s="343">
        <f t="shared" si="11"/>
        <v>4</v>
      </c>
      <c r="AC18" s="341">
        <f t="shared" si="11"/>
        <v>1</v>
      </c>
      <c r="AD18" s="341">
        <f t="shared" si="11"/>
        <v>1</v>
      </c>
      <c r="AE18" s="341">
        <f t="shared" si="11"/>
        <v>0</v>
      </c>
      <c r="AF18" s="341">
        <f t="shared" si="11"/>
        <v>0</v>
      </c>
      <c r="AG18" s="342">
        <f t="shared" si="11"/>
        <v>4</v>
      </c>
      <c r="AH18" s="342">
        <f t="shared" si="11"/>
        <v>3</v>
      </c>
      <c r="AI18" s="342">
        <f t="shared" si="11"/>
        <v>0</v>
      </c>
      <c r="AJ18" s="342">
        <f t="shared" si="11"/>
        <v>1</v>
      </c>
      <c r="AK18" s="343">
        <f t="shared" si="11"/>
        <v>5</v>
      </c>
      <c r="AL18" s="343">
        <f t="shared" si="11"/>
        <v>2</v>
      </c>
      <c r="AM18" s="343">
        <f t="shared" si="11"/>
        <v>0</v>
      </c>
      <c r="AN18" s="343">
        <f t="shared" si="11"/>
        <v>3</v>
      </c>
    </row>
    <row r="20" spans="1:40" x14ac:dyDescent="0.25">
      <c r="A20" s="496" t="s">
        <v>743</v>
      </c>
    </row>
    <row r="21" spans="1:40" x14ac:dyDescent="0.25">
      <c r="A21" s="496" t="s">
        <v>605</v>
      </c>
    </row>
    <row r="22" spans="1:40" x14ac:dyDescent="0.25">
      <c r="A22" s="496" t="s">
        <v>606</v>
      </c>
    </row>
    <row r="23" spans="1:40" x14ac:dyDescent="0.25">
      <c r="A23" s="496" t="s">
        <v>607</v>
      </c>
    </row>
    <row r="24" spans="1:40" x14ac:dyDescent="0.25">
      <c r="A24" s="496" t="s">
        <v>609</v>
      </c>
    </row>
    <row r="25" spans="1:40" x14ac:dyDescent="0.25">
      <c r="A25" t="s">
        <v>766</v>
      </c>
    </row>
    <row r="26" spans="1:40" x14ac:dyDescent="0.25">
      <c r="A26" t="s">
        <v>600</v>
      </c>
    </row>
    <row r="27" spans="1:40" x14ac:dyDescent="0.25">
      <c r="A27" s="575"/>
      <c r="B27" t="s">
        <v>44</v>
      </c>
    </row>
    <row r="28" spans="1:40" x14ac:dyDescent="0.25">
      <c r="A28" s="576"/>
      <c r="B28" t="s">
        <v>42</v>
      </c>
    </row>
    <row r="29" spans="1:40" x14ac:dyDescent="0.25">
      <c r="A29" s="577"/>
      <c r="B29" t="s">
        <v>43</v>
      </c>
    </row>
    <row r="30" spans="1:40" x14ac:dyDescent="0.25">
      <c r="A30" s="15" t="s">
        <v>28</v>
      </c>
    </row>
  </sheetData>
  <mergeCells count="17">
    <mergeCell ref="J1:M1"/>
    <mergeCell ref="N1:O1"/>
    <mergeCell ref="P1:R1"/>
    <mergeCell ref="C18:E18"/>
    <mergeCell ref="H1:I1"/>
    <mergeCell ref="A1:C1"/>
    <mergeCell ref="E1:G1"/>
    <mergeCell ref="C13:E13"/>
    <mergeCell ref="C14:E14"/>
    <mergeCell ref="C15:E15"/>
    <mergeCell ref="C16:E16"/>
    <mergeCell ref="C17:E17"/>
    <mergeCell ref="AP10:AT10"/>
    <mergeCell ref="Y1:AB1"/>
    <mergeCell ref="AC1:AF1"/>
    <mergeCell ref="AG1:AJ1"/>
    <mergeCell ref="AK1:AN1"/>
  </mergeCells>
  <conditionalFormatting sqref="Y14:AN17">
    <cfRule type="dataBar" priority="1">
      <dataBar>
        <cfvo type="min"/>
        <cfvo type="max"/>
        <color rgb="FF638EC6"/>
      </dataBar>
      <extLst>
        <ext xmlns:x14="http://schemas.microsoft.com/office/spreadsheetml/2009/9/main" uri="{B025F937-C7B1-47D3-B67F-A62EFF666E3E}">
          <x14:id>{3856EA94-4371-4D75-9DEC-490305B757BB}</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3856EA94-4371-4D75-9DEC-490305B757BB}">
            <x14:dataBar minLength="0" maxLength="100" gradient="0">
              <x14:cfvo type="autoMin"/>
              <x14:cfvo type="autoMax"/>
              <x14:negativeFillColor rgb="FFFF0000"/>
              <x14:axisColor rgb="FF000000"/>
            </x14:dataBar>
          </x14:cfRule>
          <xm:sqref>Y14:AN17</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T35"/>
  <sheetViews>
    <sheetView topLeftCell="D1" zoomScaleNormal="100" workbookViewId="0">
      <pane ySplit="2" topLeftCell="A3" activePane="bottomLeft" state="frozen"/>
      <selection pane="bottomLeft" activeCell="X13" sqref="X13"/>
    </sheetView>
  </sheetViews>
  <sheetFormatPr defaultRowHeight="14.3" x14ac:dyDescent="0.25"/>
  <cols>
    <col min="1" max="1" width="7.5" customWidth="1"/>
    <col min="2" max="2" width="5.125" bestFit="1" customWidth="1"/>
    <col min="3" max="3" width="11.5" customWidth="1"/>
    <col min="4" max="4" width="4.5" bestFit="1" customWidth="1"/>
    <col min="5" max="5" width="3.625" customWidth="1"/>
    <col min="6" max="7" width="4" bestFit="1" customWidth="1"/>
    <col min="8" max="18" width="3.625" customWidth="1"/>
    <col min="19" max="20" width="6.375" customWidth="1"/>
    <col min="21" max="21" width="20.375" bestFit="1" customWidth="1"/>
    <col min="22" max="22" width="21.875" bestFit="1" customWidth="1"/>
    <col min="23" max="23" width="21.625" customWidth="1"/>
    <col min="24" max="24" width="30.5" customWidth="1"/>
    <col min="25" max="40" width="3.625" customWidth="1"/>
    <col min="42" max="42" width="13.125" bestFit="1" customWidth="1"/>
    <col min="45" max="45" width="13.125" bestFit="1" customWidth="1"/>
  </cols>
  <sheetData>
    <row r="1" spans="1:46" ht="14.95" customHeight="1" thickBot="1" x14ac:dyDescent="0.3">
      <c r="A1" s="1024" t="s">
        <v>206</v>
      </c>
      <c r="B1" s="1025"/>
      <c r="C1" s="1025"/>
      <c r="D1" s="146"/>
      <c r="E1" s="1026" t="s">
        <v>24</v>
      </c>
      <c r="F1" s="1027"/>
      <c r="G1" s="1028"/>
      <c r="H1" s="1026" t="s">
        <v>23</v>
      </c>
      <c r="I1" s="1028"/>
      <c r="J1" s="1029" t="s">
        <v>6</v>
      </c>
      <c r="K1" s="1030"/>
      <c r="L1" s="1030"/>
      <c r="M1" s="1031"/>
      <c r="N1" s="1029" t="s">
        <v>7</v>
      </c>
      <c r="O1" s="1031"/>
      <c r="P1" s="1029" t="s">
        <v>25</v>
      </c>
      <c r="Q1" s="1030"/>
      <c r="R1" s="1031"/>
      <c r="S1" s="355" t="s">
        <v>8</v>
      </c>
      <c r="T1" s="355" t="s">
        <v>9</v>
      </c>
      <c r="U1" s="107" t="s">
        <v>10</v>
      </c>
      <c r="V1" s="106" t="s">
        <v>11</v>
      </c>
      <c r="W1" s="108" t="s">
        <v>26</v>
      </c>
      <c r="X1" s="511" t="s">
        <v>27</v>
      </c>
      <c r="Y1" s="1032" t="s">
        <v>20</v>
      </c>
      <c r="Z1" s="1033"/>
      <c r="AA1" s="1033"/>
      <c r="AB1" s="1034"/>
      <c r="AC1" s="1032" t="s">
        <v>61</v>
      </c>
      <c r="AD1" s="1033"/>
      <c r="AE1" s="1033"/>
      <c r="AF1" s="1034"/>
      <c r="AG1" s="1032" t="s">
        <v>62</v>
      </c>
      <c r="AH1" s="1033"/>
      <c r="AI1" s="1033"/>
      <c r="AJ1" s="1034"/>
      <c r="AK1" s="1032" t="s">
        <v>63</v>
      </c>
      <c r="AL1" s="1033"/>
      <c r="AM1" s="1033"/>
      <c r="AN1" s="1034"/>
      <c r="AP1" s="336" t="s">
        <v>145</v>
      </c>
      <c r="AQ1" s="322"/>
      <c r="AR1" s="322"/>
      <c r="AS1" s="336" t="s">
        <v>145</v>
      </c>
    </row>
    <row r="2" spans="1:46" ht="14.95" customHeight="1" thickBot="1" x14ac:dyDescent="0.3">
      <c r="A2" s="109" t="s">
        <v>19</v>
      </c>
      <c r="B2" s="110" t="s">
        <v>18</v>
      </c>
      <c r="C2" s="111" t="s">
        <v>17</v>
      </c>
      <c r="D2" s="111" t="s">
        <v>41</v>
      </c>
      <c r="E2" s="112" t="s">
        <v>16</v>
      </c>
      <c r="F2" s="112" t="s">
        <v>4</v>
      </c>
      <c r="G2" s="112" t="s">
        <v>5</v>
      </c>
      <c r="H2" s="113" t="s">
        <v>12</v>
      </c>
      <c r="I2" s="113" t="s">
        <v>3</v>
      </c>
      <c r="J2" s="113" t="s">
        <v>12</v>
      </c>
      <c r="K2" s="113" t="s">
        <v>13</v>
      </c>
      <c r="L2" s="113" t="s">
        <v>2</v>
      </c>
      <c r="M2" s="113" t="s">
        <v>14</v>
      </c>
      <c r="N2" s="113" t="s">
        <v>15</v>
      </c>
      <c r="O2" s="113" t="s">
        <v>16</v>
      </c>
      <c r="P2" s="113" t="s">
        <v>21</v>
      </c>
      <c r="Q2" s="113" t="s">
        <v>22</v>
      </c>
      <c r="R2" s="113" t="s">
        <v>12</v>
      </c>
      <c r="S2" s="114"/>
      <c r="T2" s="115"/>
      <c r="U2" s="116"/>
      <c r="V2" s="114"/>
      <c r="W2" s="117"/>
      <c r="X2" s="118"/>
      <c r="Y2" s="296" t="s">
        <v>0</v>
      </c>
      <c r="Z2" s="296" t="s">
        <v>1</v>
      </c>
      <c r="AA2" s="296" t="s">
        <v>2</v>
      </c>
      <c r="AB2" s="296" t="s">
        <v>3</v>
      </c>
      <c r="AC2" s="296" t="s">
        <v>0</v>
      </c>
      <c r="AD2" s="296" t="s">
        <v>1</v>
      </c>
      <c r="AE2" s="296" t="s">
        <v>2</v>
      </c>
      <c r="AF2" s="296" t="s">
        <v>3</v>
      </c>
      <c r="AG2" s="296" t="s">
        <v>0</v>
      </c>
      <c r="AH2" s="296" t="s">
        <v>1</v>
      </c>
      <c r="AI2" s="296" t="s">
        <v>2</v>
      </c>
      <c r="AJ2" s="296" t="s">
        <v>3</v>
      </c>
      <c r="AK2" s="296" t="s">
        <v>0</v>
      </c>
      <c r="AL2" s="296" t="s">
        <v>1</v>
      </c>
      <c r="AM2" s="296" t="s">
        <v>2</v>
      </c>
      <c r="AN2" s="296" t="s">
        <v>3</v>
      </c>
      <c r="AP2" s="305" t="s">
        <v>107</v>
      </c>
      <c r="AQ2" s="189"/>
      <c r="AS2" s="336" t="s">
        <v>128</v>
      </c>
      <c r="AT2" s="189"/>
    </row>
    <row r="3" spans="1:46" ht="14.95" customHeight="1" thickBot="1" x14ac:dyDescent="0.35">
      <c r="A3" s="396" t="s">
        <v>331</v>
      </c>
      <c r="B3" s="398" t="s">
        <v>46</v>
      </c>
      <c r="C3" s="398" t="s">
        <v>33</v>
      </c>
      <c r="D3" s="398" t="s">
        <v>113</v>
      </c>
      <c r="E3" s="399" t="s">
        <v>1</v>
      </c>
      <c r="F3" s="399">
        <v>29</v>
      </c>
      <c r="G3" s="399">
        <v>24</v>
      </c>
      <c r="H3" s="399">
        <v>1</v>
      </c>
      <c r="I3" s="399">
        <v>0</v>
      </c>
      <c r="J3" s="399">
        <v>4</v>
      </c>
      <c r="K3" s="399">
        <v>3</v>
      </c>
      <c r="L3" s="399">
        <v>0</v>
      </c>
      <c r="M3" s="399">
        <v>1</v>
      </c>
      <c r="N3" s="399">
        <v>1</v>
      </c>
      <c r="O3" s="399">
        <v>0</v>
      </c>
      <c r="P3" s="399">
        <v>0</v>
      </c>
      <c r="Q3" s="399">
        <v>1</v>
      </c>
      <c r="R3" s="399">
        <v>2</v>
      </c>
      <c r="S3" s="406">
        <v>41232</v>
      </c>
      <c r="T3" s="407" t="s">
        <v>282</v>
      </c>
      <c r="U3" s="408" t="s">
        <v>278</v>
      </c>
      <c r="V3" s="406" t="s">
        <v>279</v>
      </c>
      <c r="W3" s="401" t="s">
        <v>280</v>
      </c>
      <c r="X3" s="409" t="s">
        <v>281</v>
      </c>
      <c r="Y3" s="404">
        <v>1</v>
      </c>
      <c r="Z3" s="404">
        <v>1</v>
      </c>
      <c r="AA3" s="404">
        <v>0</v>
      </c>
      <c r="AB3" s="405">
        <v>0</v>
      </c>
      <c r="AC3" s="404">
        <v>0</v>
      </c>
      <c r="AD3" s="404">
        <v>0</v>
      </c>
      <c r="AE3" s="404">
        <v>0</v>
      </c>
      <c r="AF3" s="405">
        <v>0</v>
      </c>
      <c r="AG3" s="404">
        <v>1</v>
      </c>
      <c r="AH3" s="404">
        <v>1</v>
      </c>
      <c r="AI3" s="404">
        <v>0</v>
      </c>
      <c r="AJ3" s="405">
        <v>0</v>
      </c>
      <c r="AK3" s="404">
        <v>0</v>
      </c>
      <c r="AL3" s="404">
        <v>0</v>
      </c>
      <c r="AM3" s="404">
        <v>0</v>
      </c>
      <c r="AN3" s="405">
        <v>0</v>
      </c>
      <c r="AP3" s="316" t="s">
        <v>130</v>
      </c>
      <c r="AQ3" s="317">
        <f>Francealltestshistplayed</f>
        <v>810</v>
      </c>
      <c r="AS3" s="316" t="s">
        <v>130</v>
      </c>
      <c r="AT3" s="317">
        <f>FranceRWChistplayed</f>
        <v>57</v>
      </c>
    </row>
    <row r="4" spans="1:46" ht="14.95" customHeight="1" thickBot="1" x14ac:dyDescent="0.3">
      <c r="A4" s="396" t="s">
        <v>356</v>
      </c>
      <c r="B4" s="398" t="s">
        <v>46</v>
      </c>
      <c r="C4" s="398" t="s">
        <v>39</v>
      </c>
      <c r="D4" s="398" t="s">
        <v>114</v>
      </c>
      <c r="E4" s="399" t="s">
        <v>3</v>
      </c>
      <c r="F4" s="399">
        <v>19</v>
      </c>
      <c r="G4" s="399">
        <v>32</v>
      </c>
      <c r="H4" s="399">
        <v>0</v>
      </c>
      <c r="I4" s="399">
        <v>0</v>
      </c>
      <c r="J4" s="399">
        <v>1</v>
      </c>
      <c r="K4" s="399">
        <v>1</v>
      </c>
      <c r="L4" s="399">
        <v>1</v>
      </c>
      <c r="M4" s="399">
        <v>3</v>
      </c>
      <c r="N4" s="399">
        <v>1</v>
      </c>
      <c r="O4" s="399">
        <v>0</v>
      </c>
      <c r="P4" s="399">
        <v>1</v>
      </c>
      <c r="Q4" s="399">
        <v>0</v>
      </c>
      <c r="R4" s="399">
        <v>4</v>
      </c>
      <c r="S4" s="406">
        <v>51700</v>
      </c>
      <c r="T4" s="410" t="s">
        <v>341</v>
      </c>
      <c r="U4" s="408" t="s">
        <v>340</v>
      </c>
      <c r="V4" s="406" t="s">
        <v>270</v>
      </c>
      <c r="W4" s="401" t="s">
        <v>278</v>
      </c>
      <c r="X4" s="409" t="s">
        <v>281</v>
      </c>
      <c r="Y4" s="404">
        <v>1</v>
      </c>
      <c r="Z4" s="404">
        <v>0</v>
      </c>
      <c r="AA4" s="404">
        <v>0</v>
      </c>
      <c r="AB4" s="405">
        <v>1</v>
      </c>
      <c r="AC4" s="404">
        <v>0</v>
      </c>
      <c r="AD4" s="404">
        <v>0</v>
      </c>
      <c r="AE4" s="404">
        <v>0</v>
      </c>
      <c r="AF4" s="405">
        <v>0</v>
      </c>
      <c r="AG4" s="404">
        <v>1</v>
      </c>
      <c r="AH4" s="404">
        <v>0</v>
      </c>
      <c r="AI4" s="404">
        <v>0</v>
      </c>
      <c r="AJ4" s="405">
        <v>1</v>
      </c>
      <c r="AK4" s="404">
        <v>0</v>
      </c>
      <c r="AL4" s="404">
        <v>0</v>
      </c>
      <c r="AM4" s="404">
        <v>0</v>
      </c>
      <c r="AN4" s="405">
        <v>0</v>
      </c>
      <c r="AP4" s="318" t="s">
        <v>131</v>
      </c>
      <c r="AQ4" s="319">
        <f>Francealltestshistwon</f>
        <v>447</v>
      </c>
      <c r="AS4" s="318" t="s">
        <v>131</v>
      </c>
      <c r="AT4" s="319">
        <f>FranceRWChistwon</f>
        <v>40</v>
      </c>
    </row>
    <row r="5" spans="1:46" ht="14.95" customHeight="1" thickBot="1" x14ac:dyDescent="0.35">
      <c r="A5" s="423" t="s">
        <v>353</v>
      </c>
      <c r="B5" s="424" t="s">
        <v>46</v>
      </c>
      <c r="C5" s="424" t="s">
        <v>35</v>
      </c>
      <c r="D5" s="424" t="s">
        <v>112</v>
      </c>
      <c r="E5" s="425" t="s">
        <v>1</v>
      </c>
      <c r="F5" s="425">
        <v>32</v>
      </c>
      <c r="G5" s="425">
        <v>21</v>
      </c>
      <c r="H5" s="425">
        <v>1</v>
      </c>
      <c r="I5" s="425">
        <v>0</v>
      </c>
      <c r="J5" s="425">
        <v>4</v>
      </c>
      <c r="K5" s="425">
        <v>3</v>
      </c>
      <c r="L5" s="425">
        <v>0</v>
      </c>
      <c r="M5" s="425">
        <v>2</v>
      </c>
      <c r="N5" s="425">
        <v>0</v>
      </c>
      <c r="O5" s="425">
        <v>1</v>
      </c>
      <c r="P5" s="425">
        <v>0</v>
      </c>
      <c r="Q5" s="425">
        <v>0</v>
      </c>
      <c r="R5" s="425">
        <v>3</v>
      </c>
      <c r="S5" s="426">
        <v>80000</v>
      </c>
      <c r="T5" s="438" t="s">
        <v>419</v>
      </c>
      <c r="U5" s="428" t="s">
        <v>402</v>
      </c>
      <c r="V5" s="426" t="s">
        <v>279</v>
      </c>
      <c r="W5" s="429" t="s">
        <v>263</v>
      </c>
      <c r="X5" s="430" t="s">
        <v>420</v>
      </c>
      <c r="Y5" s="431">
        <v>1</v>
      </c>
      <c r="Z5" s="431">
        <v>1</v>
      </c>
      <c r="AA5" s="431">
        <v>0</v>
      </c>
      <c r="AB5" s="432">
        <v>0</v>
      </c>
      <c r="AC5" s="431">
        <v>1</v>
      </c>
      <c r="AD5" s="431">
        <v>1</v>
      </c>
      <c r="AE5" s="431">
        <v>0</v>
      </c>
      <c r="AF5" s="432">
        <v>0</v>
      </c>
      <c r="AG5" s="431">
        <v>0</v>
      </c>
      <c r="AH5" s="431">
        <v>0</v>
      </c>
      <c r="AI5" s="431">
        <v>0</v>
      </c>
      <c r="AJ5" s="432">
        <v>0</v>
      </c>
      <c r="AK5" s="431">
        <v>0</v>
      </c>
      <c r="AL5" s="431">
        <v>0</v>
      </c>
      <c r="AM5" s="431">
        <v>0</v>
      </c>
      <c r="AN5" s="432">
        <v>0</v>
      </c>
      <c r="AP5" s="318" t="s">
        <v>137</v>
      </c>
      <c r="AQ5" s="319">
        <f>Francealltestshistdrawn</f>
        <v>33</v>
      </c>
      <c r="AS5" s="318" t="s">
        <v>137</v>
      </c>
      <c r="AT5" s="319">
        <f>FranceRWChistdrawn</f>
        <v>1</v>
      </c>
    </row>
    <row r="6" spans="1:46" ht="14.95" customHeight="1" thickBot="1" x14ac:dyDescent="0.35">
      <c r="A6" s="396" t="s">
        <v>836</v>
      </c>
      <c r="B6" s="398" t="s">
        <v>46</v>
      </c>
      <c r="C6" s="398" t="s">
        <v>30</v>
      </c>
      <c r="D6" s="398" t="s">
        <v>115</v>
      </c>
      <c r="E6" s="399" t="s">
        <v>1</v>
      </c>
      <c r="F6" s="399">
        <v>53</v>
      </c>
      <c r="G6" s="399">
        <v>10</v>
      </c>
      <c r="H6" s="399">
        <v>1</v>
      </c>
      <c r="I6" s="399">
        <v>0</v>
      </c>
      <c r="J6" s="399">
        <v>7</v>
      </c>
      <c r="K6" s="399">
        <v>6</v>
      </c>
      <c r="L6" s="399">
        <v>0</v>
      </c>
      <c r="M6" s="399">
        <v>2</v>
      </c>
      <c r="N6" s="399">
        <v>0</v>
      </c>
      <c r="O6" s="399">
        <v>0</v>
      </c>
      <c r="P6" s="399">
        <v>0</v>
      </c>
      <c r="Q6" s="399">
        <v>0</v>
      </c>
      <c r="R6" s="399">
        <v>1</v>
      </c>
      <c r="S6" s="406">
        <v>82000</v>
      </c>
      <c r="T6" s="407" t="s">
        <v>267</v>
      </c>
      <c r="U6" s="408" t="s">
        <v>271</v>
      </c>
      <c r="V6" s="406" t="s">
        <v>432</v>
      </c>
      <c r="W6" s="401" t="s">
        <v>433</v>
      </c>
      <c r="X6" s="409" t="s">
        <v>420</v>
      </c>
      <c r="Y6" s="404">
        <v>1</v>
      </c>
      <c r="Z6" s="404">
        <v>1</v>
      </c>
      <c r="AA6" s="404">
        <v>0</v>
      </c>
      <c r="AB6" s="405">
        <v>0</v>
      </c>
      <c r="AC6" s="404">
        <v>0</v>
      </c>
      <c r="AD6" s="404">
        <v>0</v>
      </c>
      <c r="AE6" s="404">
        <v>0</v>
      </c>
      <c r="AF6" s="405">
        <v>0</v>
      </c>
      <c r="AG6" s="404">
        <v>1</v>
      </c>
      <c r="AH6" s="404">
        <v>1</v>
      </c>
      <c r="AI6" s="404">
        <v>0</v>
      </c>
      <c r="AJ6" s="405">
        <v>0</v>
      </c>
      <c r="AK6" s="404">
        <v>0</v>
      </c>
      <c r="AL6" s="404">
        <v>0</v>
      </c>
      <c r="AM6" s="404">
        <v>0</v>
      </c>
      <c r="AN6" s="405">
        <v>0</v>
      </c>
      <c r="AP6" s="318" t="s">
        <v>132</v>
      </c>
      <c r="AQ6" s="319">
        <f>Francealltestshistlost</f>
        <v>330</v>
      </c>
      <c r="AS6" s="318" t="s">
        <v>132</v>
      </c>
      <c r="AT6" s="319">
        <f>FranceRWChistlost</f>
        <v>16</v>
      </c>
    </row>
    <row r="7" spans="1:46" ht="14.95" customHeight="1" thickBot="1" x14ac:dyDescent="0.35">
      <c r="A7" s="423" t="s">
        <v>837</v>
      </c>
      <c r="B7" s="424" t="s">
        <v>46</v>
      </c>
      <c r="C7" s="424" t="s">
        <v>32</v>
      </c>
      <c r="D7" s="424" t="s">
        <v>112</v>
      </c>
      <c r="E7" s="425" t="s">
        <v>1</v>
      </c>
      <c r="F7" s="425">
        <v>41</v>
      </c>
      <c r="G7" s="425">
        <v>28</v>
      </c>
      <c r="H7" s="425">
        <v>1</v>
      </c>
      <c r="I7" s="425">
        <v>0</v>
      </c>
      <c r="J7" s="425">
        <v>5</v>
      </c>
      <c r="K7" s="425">
        <v>5</v>
      </c>
      <c r="L7" s="425">
        <v>0</v>
      </c>
      <c r="M7" s="425">
        <v>2</v>
      </c>
      <c r="N7" s="425">
        <v>0</v>
      </c>
      <c r="O7" s="425">
        <v>0</v>
      </c>
      <c r="P7" s="425">
        <v>1</v>
      </c>
      <c r="Q7" s="425">
        <v>0</v>
      </c>
      <c r="R7" s="425">
        <v>4</v>
      </c>
      <c r="S7" s="429">
        <v>78635</v>
      </c>
      <c r="T7" s="447" t="s">
        <v>463</v>
      </c>
      <c r="U7" s="429" t="s">
        <v>280</v>
      </c>
      <c r="V7" s="429" t="s">
        <v>431</v>
      </c>
      <c r="W7" s="429" t="s">
        <v>346</v>
      </c>
      <c r="X7" s="430" t="s">
        <v>436</v>
      </c>
      <c r="Y7" s="431">
        <v>1</v>
      </c>
      <c r="Z7" s="431">
        <v>1</v>
      </c>
      <c r="AA7" s="431">
        <v>0</v>
      </c>
      <c r="AB7" s="432">
        <v>0</v>
      </c>
      <c r="AC7" s="431">
        <v>1</v>
      </c>
      <c r="AD7" s="431">
        <v>1</v>
      </c>
      <c r="AE7" s="431">
        <v>0</v>
      </c>
      <c r="AF7" s="432">
        <v>0</v>
      </c>
      <c r="AG7" s="431">
        <v>0</v>
      </c>
      <c r="AH7" s="431">
        <v>0</v>
      </c>
      <c r="AI7" s="431">
        <v>0</v>
      </c>
      <c r="AJ7" s="432">
        <v>0</v>
      </c>
      <c r="AK7" s="431">
        <v>0</v>
      </c>
      <c r="AL7" s="431">
        <v>0</v>
      </c>
      <c r="AM7" s="431">
        <v>0</v>
      </c>
      <c r="AN7" s="432">
        <v>0</v>
      </c>
      <c r="AP7" s="318" t="s">
        <v>138</v>
      </c>
      <c r="AQ7" s="319">
        <f>Francealltestshistptsscored</f>
        <v>15461</v>
      </c>
      <c r="AS7" s="318" t="s">
        <v>138</v>
      </c>
      <c r="AT7" s="319">
        <f>FranceRWChistptsscored</f>
        <v>1826</v>
      </c>
    </row>
    <row r="8" spans="1:46" ht="14.95" customHeight="1" thickBot="1" x14ac:dyDescent="0.35">
      <c r="A8" s="413" t="s">
        <v>322</v>
      </c>
      <c r="B8" s="412" t="s">
        <v>615</v>
      </c>
      <c r="C8" s="412" t="s">
        <v>35</v>
      </c>
      <c r="D8" s="412" t="s">
        <v>116</v>
      </c>
      <c r="E8" s="414" t="s">
        <v>3</v>
      </c>
      <c r="F8" s="399">
        <v>21</v>
      </c>
      <c r="G8" s="399">
        <v>25</v>
      </c>
      <c r="H8" s="399" t="s">
        <v>106</v>
      </c>
      <c r="I8" s="399" t="s">
        <v>106</v>
      </c>
      <c r="J8" s="399">
        <v>3</v>
      </c>
      <c r="K8" s="399">
        <v>3</v>
      </c>
      <c r="L8" s="399">
        <v>0</v>
      </c>
      <c r="M8" s="399">
        <v>0</v>
      </c>
      <c r="N8" s="399">
        <v>0</v>
      </c>
      <c r="O8" s="399">
        <v>0</v>
      </c>
      <c r="P8" s="399" t="s">
        <v>106</v>
      </c>
      <c r="Q8" s="399" t="s">
        <v>106</v>
      </c>
      <c r="R8" s="399">
        <v>3</v>
      </c>
      <c r="S8" s="401">
        <v>56256</v>
      </c>
      <c r="T8" s="416" t="s">
        <v>725</v>
      </c>
      <c r="U8" s="401" t="s">
        <v>271</v>
      </c>
      <c r="V8" s="401" t="s">
        <v>279</v>
      </c>
      <c r="W8" s="401" t="s">
        <v>348</v>
      </c>
      <c r="X8" s="401" t="s">
        <v>452</v>
      </c>
      <c r="Y8" s="404">
        <v>1</v>
      </c>
      <c r="Z8" s="404">
        <v>0</v>
      </c>
      <c r="AA8" s="404">
        <v>0</v>
      </c>
      <c r="AB8" s="405">
        <v>1</v>
      </c>
      <c r="AC8" s="404">
        <v>0</v>
      </c>
      <c r="AD8" s="404">
        <v>0</v>
      </c>
      <c r="AE8" s="404">
        <v>0</v>
      </c>
      <c r="AF8" s="405">
        <v>0</v>
      </c>
      <c r="AG8" s="404">
        <v>1</v>
      </c>
      <c r="AH8" s="404">
        <v>0</v>
      </c>
      <c r="AI8" s="404">
        <v>0</v>
      </c>
      <c r="AJ8" s="405">
        <v>1</v>
      </c>
      <c r="AK8" s="404">
        <v>0</v>
      </c>
      <c r="AL8" s="404">
        <v>0</v>
      </c>
      <c r="AM8" s="404">
        <v>0</v>
      </c>
      <c r="AN8" s="405">
        <v>0</v>
      </c>
      <c r="AP8" s="318" t="s">
        <v>139</v>
      </c>
      <c r="AQ8" s="319">
        <f>Francealltestshistptscon</f>
        <v>12622</v>
      </c>
      <c r="AS8" s="318" t="s">
        <v>139</v>
      </c>
      <c r="AT8" s="319">
        <f>FranceRWChistptsagainst</f>
        <v>1027</v>
      </c>
    </row>
    <row r="9" spans="1:46" ht="14.95" customHeight="1" thickBot="1" x14ac:dyDescent="0.35">
      <c r="A9" s="440" t="s">
        <v>323</v>
      </c>
      <c r="B9" s="441" t="s">
        <v>615</v>
      </c>
      <c r="C9" s="441" t="s">
        <v>35</v>
      </c>
      <c r="D9" s="441" t="s">
        <v>227</v>
      </c>
      <c r="E9" s="442" t="s">
        <v>1</v>
      </c>
      <c r="F9" s="425">
        <v>30</v>
      </c>
      <c r="G9" s="425">
        <v>27</v>
      </c>
      <c r="H9" s="425" t="s">
        <v>106</v>
      </c>
      <c r="I9" s="425" t="s">
        <v>106</v>
      </c>
      <c r="J9" s="425">
        <v>3</v>
      </c>
      <c r="K9" s="425">
        <v>3</v>
      </c>
      <c r="L9" s="425">
        <v>0</v>
      </c>
      <c r="M9" s="425">
        <v>3</v>
      </c>
      <c r="N9" s="425">
        <v>0</v>
      </c>
      <c r="O9" s="425">
        <v>0</v>
      </c>
      <c r="P9" s="425" t="s">
        <v>106</v>
      </c>
      <c r="Q9" s="425" t="s">
        <v>106</v>
      </c>
      <c r="R9" s="425">
        <v>4</v>
      </c>
      <c r="S9" s="429">
        <v>41101</v>
      </c>
      <c r="T9" s="447" t="s">
        <v>758</v>
      </c>
      <c r="U9" s="429" t="s">
        <v>280</v>
      </c>
      <c r="V9" s="429" t="s">
        <v>264</v>
      </c>
      <c r="W9" s="429" t="s">
        <v>263</v>
      </c>
      <c r="X9" s="429" t="s">
        <v>711</v>
      </c>
      <c r="Y9" s="431">
        <v>1</v>
      </c>
      <c r="Z9" s="431">
        <v>1</v>
      </c>
      <c r="AA9" s="431">
        <v>0</v>
      </c>
      <c r="AB9" s="432">
        <v>0</v>
      </c>
      <c r="AC9" s="431">
        <v>1</v>
      </c>
      <c r="AD9" s="431">
        <v>1</v>
      </c>
      <c r="AE9" s="431">
        <v>0</v>
      </c>
      <c r="AF9" s="432">
        <v>0</v>
      </c>
      <c r="AG9" s="431">
        <v>0</v>
      </c>
      <c r="AH9" s="431">
        <v>0</v>
      </c>
      <c r="AI9" s="431">
        <v>0</v>
      </c>
      <c r="AJ9" s="432">
        <v>0</v>
      </c>
      <c r="AK9" s="431">
        <v>0</v>
      </c>
      <c r="AL9" s="431">
        <v>0</v>
      </c>
      <c r="AM9" s="431">
        <v>0</v>
      </c>
      <c r="AN9" s="432">
        <v>0</v>
      </c>
      <c r="AP9" s="318" t="s">
        <v>129</v>
      </c>
      <c r="AQ9" s="319">
        <f>Francealltestshisttriesscored</f>
        <v>1932</v>
      </c>
      <c r="AS9" s="318" t="s">
        <v>129</v>
      </c>
      <c r="AT9" s="319">
        <f>FranceRWChisttriesscored</f>
        <v>213</v>
      </c>
    </row>
    <row r="10" spans="1:46" ht="14.95" customHeight="1" thickBot="1" x14ac:dyDescent="0.35">
      <c r="A10" s="440" t="s">
        <v>324</v>
      </c>
      <c r="B10" s="441" t="s">
        <v>615</v>
      </c>
      <c r="C10" s="445" t="s">
        <v>31</v>
      </c>
      <c r="D10" s="441" t="s">
        <v>224</v>
      </c>
      <c r="E10" s="341" t="s">
        <v>1</v>
      </c>
      <c r="F10" s="425">
        <v>34</v>
      </c>
      <c r="G10" s="425">
        <v>17</v>
      </c>
      <c r="H10" s="425" t="s">
        <v>106</v>
      </c>
      <c r="I10" s="425" t="s">
        <v>106</v>
      </c>
      <c r="J10" s="425">
        <v>3</v>
      </c>
      <c r="K10" s="425">
        <v>2</v>
      </c>
      <c r="L10" s="425">
        <v>0</v>
      </c>
      <c r="M10" s="425">
        <v>5</v>
      </c>
      <c r="N10" s="425">
        <v>0</v>
      </c>
      <c r="O10" s="425">
        <v>0</v>
      </c>
      <c r="P10" s="425" t="s">
        <v>106</v>
      </c>
      <c r="Q10" s="425" t="s">
        <v>106</v>
      </c>
      <c r="R10" s="425">
        <v>2</v>
      </c>
      <c r="S10" s="429">
        <v>32583</v>
      </c>
      <c r="T10" s="447" t="s">
        <v>795</v>
      </c>
      <c r="U10" s="429" t="s">
        <v>402</v>
      </c>
      <c r="V10" s="429" t="s">
        <v>798</v>
      </c>
      <c r="W10" s="429" t="s">
        <v>420</v>
      </c>
      <c r="X10" s="429" t="s">
        <v>452</v>
      </c>
      <c r="Y10" s="431">
        <v>1</v>
      </c>
      <c r="Z10" s="431">
        <v>1</v>
      </c>
      <c r="AA10" s="431">
        <v>0</v>
      </c>
      <c r="AB10" s="432">
        <v>0</v>
      </c>
      <c r="AC10" s="431">
        <v>1</v>
      </c>
      <c r="AD10" s="431">
        <v>1</v>
      </c>
      <c r="AE10" s="431">
        <v>0</v>
      </c>
      <c r="AF10" s="432">
        <v>0</v>
      </c>
      <c r="AG10" s="431">
        <v>0</v>
      </c>
      <c r="AH10" s="431">
        <v>0</v>
      </c>
      <c r="AI10" s="431">
        <v>0</v>
      </c>
      <c r="AJ10" s="432">
        <v>0</v>
      </c>
      <c r="AK10" s="431">
        <v>0</v>
      </c>
      <c r="AL10" s="431">
        <v>0</v>
      </c>
      <c r="AM10" s="431">
        <v>0</v>
      </c>
      <c r="AN10" s="432">
        <v>0</v>
      </c>
    </row>
    <row r="11" spans="1:46" ht="14.95" customHeight="1" thickBot="1" x14ac:dyDescent="0.35">
      <c r="A11" s="440" t="s">
        <v>643</v>
      </c>
      <c r="B11" s="441" t="s">
        <v>21</v>
      </c>
      <c r="C11" s="445" t="s">
        <v>29</v>
      </c>
      <c r="D11" s="441" t="s">
        <v>112</v>
      </c>
      <c r="E11" s="341" t="s">
        <v>1</v>
      </c>
      <c r="F11" s="425">
        <v>41</v>
      </c>
      <c r="G11" s="425">
        <v>17</v>
      </c>
      <c r="H11" s="425" t="s">
        <v>106</v>
      </c>
      <c r="I11" s="425" t="s">
        <v>106</v>
      </c>
      <c r="J11" s="425">
        <v>4</v>
      </c>
      <c r="K11" s="425">
        <v>3</v>
      </c>
      <c r="L11" s="425">
        <v>0</v>
      </c>
      <c r="M11" s="425">
        <v>5</v>
      </c>
      <c r="N11" s="425">
        <v>0</v>
      </c>
      <c r="O11" s="425">
        <v>0</v>
      </c>
      <c r="P11" s="425" t="s">
        <v>106</v>
      </c>
      <c r="Q11" s="425" t="s">
        <v>106</v>
      </c>
      <c r="R11" s="442">
        <v>3</v>
      </c>
      <c r="S11" s="357"/>
      <c r="T11" s="447" t="s">
        <v>806</v>
      </c>
      <c r="U11" s="429" t="s">
        <v>266</v>
      </c>
      <c r="V11" s="429" t="s">
        <v>264</v>
      </c>
      <c r="W11" s="430" t="s">
        <v>436</v>
      </c>
      <c r="X11" s="429" t="s">
        <v>414</v>
      </c>
      <c r="Y11" s="431">
        <v>1</v>
      </c>
      <c r="Z11" s="431">
        <v>1</v>
      </c>
      <c r="AA11" s="431">
        <v>0</v>
      </c>
      <c r="AB11" s="432">
        <v>0</v>
      </c>
      <c r="AC11" s="431">
        <v>1</v>
      </c>
      <c r="AD11" s="431">
        <v>1</v>
      </c>
      <c r="AE11" s="431">
        <v>0</v>
      </c>
      <c r="AF11" s="432">
        <v>0</v>
      </c>
      <c r="AG11" s="431">
        <v>0</v>
      </c>
      <c r="AH11" s="431">
        <v>0</v>
      </c>
      <c r="AI11" s="431">
        <v>0</v>
      </c>
      <c r="AJ11" s="432">
        <v>0</v>
      </c>
      <c r="AK11" s="431">
        <v>0</v>
      </c>
      <c r="AL11" s="431">
        <v>0</v>
      </c>
      <c r="AM11" s="431">
        <v>0</v>
      </c>
      <c r="AN11" s="432">
        <v>0</v>
      </c>
    </row>
    <row r="12" spans="1:46" ht="14.95" customHeight="1" thickBot="1" x14ac:dyDescent="0.35">
      <c r="A12" s="444" t="s">
        <v>333</v>
      </c>
      <c r="B12" s="559" t="s">
        <v>198</v>
      </c>
      <c r="C12" s="445" t="s">
        <v>117</v>
      </c>
      <c r="D12" s="446" t="s">
        <v>112</v>
      </c>
      <c r="E12" s="341" t="s">
        <v>1</v>
      </c>
      <c r="F12" s="425">
        <v>27</v>
      </c>
      <c r="G12" s="425">
        <v>13</v>
      </c>
      <c r="H12" s="425">
        <v>0</v>
      </c>
      <c r="I12" s="425">
        <v>0</v>
      </c>
      <c r="J12" s="425">
        <v>2</v>
      </c>
      <c r="K12" s="425">
        <v>1</v>
      </c>
      <c r="L12" s="425">
        <v>0</v>
      </c>
      <c r="M12" s="425">
        <v>3</v>
      </c>
      <c r="N12" s="425">
        <v>0</v>
      </c>
      <c r="O12" s="425">
        <v>0</v>
      </c>
      <c r="P12" s="425">
        <v>0</v>
      </c>
      <c r="Q12" s="425">
        <v>0</v>
      </c>
      <c r="R12" s="425">
        <v>2</v>
      </c>
      <c r="S12" s="357">
        <v>80000</v>
      </c>
      <c r="T12" s="560" t="s">
        <v>817</v>
      </c>
      <c r="U12" s="357" t="s">
        <v>433</v>
      </c>
      <c r="V12" s="429" t="s">
        <v>264</v>
      </c>
      <c r="W12" s="357" t="s">
        <v>263</v>
      </c>
      <c r="X12" s="429" t="s">
        <v>436</v>
      </c>
      <c r="Y12" s="431">
        <v>1</v>
      </c>
      <c r="Z12" s="431">
        <v>1</v>
      </c>
      <c r="AA12" s="431">
        <v>0</v>
      </c>
      <c r="AB12" s="432">
        <v>0</v>
      </c>
      <c r="AC12" s="431">
        <v>1</v>
      </c>
      <c r="AD12" s="431">
        <v>1</v>
      </c>
      <c r="AE12" s="431">
        <v>0</v>
      </c>
      <c r="AF12" s="432">
        <v>0</v>
      </c>
      <c r="AG12" s="431">
        <v>0</v>
      </c>
      <c r="AH12" s="431">
        <v>0</v>
      </c>
      <c r="AI12" s="431">
        <v>0</v>
      </c>
      <c r="AJ12" s="432">
        <v>0</v>
      </c>
      <c r="AK12" s="431">
        <v>0</v>
      </c>
      <c r="AL12" s="431">
        <v>0</v>
      </c>
      <c r="AM12" s="431">
        <v>0</v>
      </c>
      <c r="AN12" s="432">
        <v>0</v>
      </c>
    </row>
    <row r="13" spans="1:46" ht="14.95" customHeight="1" thickBot="1" x14ac:dyDescent="0.35">
      <c r="A13" s="444" t="s">
        <v>354</v>
      </c>
      <c r="B13" s="559" t="s">
        <v>198</v>
      </c>
      <c r="C13" s="445" t="s">
        <v>105</v>
      </c>
      <c r="D13" s="446" t="s">
        <v>230</v>
      </c>
      <c r="E13" s="341" t="s">
        <v>1</v>
      </c>
      <c r="F13" s="425">
        <v>27</v>
      </c>
      <c r="G13" s="425">
        <v>12</v>
      </c>
      <c r="H13" s="425">
        <v>0</v>
      </c>
      <c r="I13" s="425">
        <v>0</v>
      </c>
      <c r="J13" s="425">
        <v>3</v>
      </c>
      <c r="K13" s="425">
        <v>3</v>
      </c>
      <c r="L13" s="425">
        <v>0</v>
      </c>
      <c r="M13" s="425">
        <v>2</v>
      </c>
      <c r="N13" s="425">
        <v>1</v>
      </c>
      <c r="O13" s="425">
        <v>0</v>
      </c>
      <c r="P13" s="425">
        <v>0</v>
      </c>
      <c r="Q13" s="425">
        <v>0</v>
      </c>
      <c r="R13" s="425">
        <v>2</v>
      </c>
      <c r="S13" s="357">
        <v>48821</v>
      </c>
      <c r="T13" s="560" t="s">
        <v>714</v>
      </c>
      <c r="U13" s="357" t="s">
        <v>271</v>
      </c>
      <c r="V13" s="429" t="s">
        <v>279</v>
      </c>
      <c r="W13" s="357" t="s">
        <v>269</v>
      </c>
      <c r="X13" s="429" t="s">
        <v>272</v>
      </c>
      <c r="Y13" s="431">
        <v>1</v>
      </c>
      <c r="Z13" s="431">
        <v>1</v>
      </c>
      <c r="AA13" s="431">
        <v>0</v>
      </c>
      <c r="AB13" s="432">
        <v>0</v>
      </c>
      <c r="AC13" s="431">
        <v>1</v>
      </c>
      <c r="AD13" s="431">
        <v>1</v>
      </c>
      <c r="AE13" s="431">
        <v>0</v>
      </c>
      <c r="AF13" s="432">
        <v>0</v>
      </c>
      <c r="AG13" s="431">
        <v>0</v>
      </c>
      <c r="AH13" s="431">
        <v>0</v>
      </c>
      <c r="AI13" s="431">
        <v>0</v>
      </c>
      <c r="AJ13" s="432">
        <v>0</v>
      </c>
      <c r="AK13" s="431">
        <v>0</v>
      </c>
      <c r="AL13" s="431">
        <v>0</v>
      </c>
      <c r="AM13" s="431">
        <v>0</v>
      </c>
      <c r="AN13" s="432">
        <v>0</v>
      </c>
    </row>
    <row r="14" spans="1:46" ht="14.95" customHeight="1" thickBot="1" x14ac:dyDescent="0.35">
      <c r="A14" s="444" t="s">
        <v>355</v>
      </c>
      <c r="B14" s="559" t="s">
        <v>198</v>
      </c>
      <c r="C14" s="445" t="s">
        <v>121</v>
      </c>
      <c r="D14" s="446" t="s">
        <v>229</v>
      </c>
      <c r="E14" s="341" t="s">
        <v>1</v>
      </c>
      <c r="F14" s="425">
        <v>96</v>
      </c>
      <c r="G14" s="425">
        <v>0</v>
      </c>
      <c r="H14" s="425">
        <v>1</v>
      </c>
      <c r="I14" s="425">
        <v>0</v>
      </c>
      <c r="J14" s="425">
        <v>14</v>
      </c>
      <c r="K14" s="425">
        <v>12</v>
      </c>
      <c r="L14" s="425">
        <v>0</v>
      </c>
      <c r="M14" s="425">
        <v>0</v>
      </c>
      <c r="N14" s="425">
        <v>0</v>
      </c>
      <c r="O14" s="425">
        <v>0</v>
      </c>
      <c r="P14" s="425">
        <v>0</v>
      </c>
      <c r="Q14" s="425">
        <v>0</v>
      </c>
      <c r="R14" s="425">
        <v>0</v>
      </c>
      <c r="S14" s="357">
        <v>63486</v>
      </c>
      <c r="T14" s="560" t="s">
        <v>899</v>
      </c>
      <c r="U14" s="357" t="s">
        <v>278</v>
      </c>
      <c r="V14" s="429" t="s">
        <v>431</v>
      </c>
      <c r="W14" s="357" t="s">
        <v>346</v>
      </c>
      <c r="X14" s="429" t="s">
        <v>414</v>
      </c>
      <c r="Y14" s="431">
        <v>1</v>
      </c>
      <c r="Z14" s="431">
        <v>1</v>
      </c>
      <c r="AA14" s="431">
        <v>0</v>
      </c>
      <c r="AB14" s="432">
        <v>0</v>
      </c>
      <c r="AC14" s="431">
        <v>1</v>
      </c>
      <c r="AD14" s="431">
        <v>1</v>
      </c>
      <c r="AE14" s="431">
        <v>0</v>
      </c>
      <c r="AF14" s="432">
        <v>0</v>
      </c>
      <c r="AG14" s="431">
        <v>0</v>
      </c>
      <c r="AH14" s="431">
        <v>0</v>
      </c>
      <c r="AI14" s="431">
        <v>0</v>
      </c>
      <c r="AJ14" s="432">
        <v>0</v>
      </c>
      <c r="AK14" s="431">
        <v>0</v>
      </c>
      <c r="AL14" s="431">
        <v>0</v>
      </c>
      <c r="AM14" s="431">
        <v>0</v>
      </c>
      <c r="AN14" s="432">
        <v>0</v>
      </c>
    </row>
    <row r="15" spans="1:46" ht="14.95" customHeight="1" thickBot="1" x14ac:dyDescent="0.35">
      <c r="A15" s="444" t="s">
        <v>336</v>
      </c>
      <c r="B15" s="559" t="s">
        <v>198</v>
      </c>
      <c r="C15" s="445" t="s">
        <v>33</v>
      </c>
      <c r="D15" s="446" t="s">
        <v>232</v>
      </c>
      <c r="E15" s="341" t="s">
        <v>1</v>
      </c>
      <c r="F15" s="425">
        <v>60</v>
      </c>
      <c r="G15" s="425">
        <v>7</v>
      </c>
      <c r="H15" s="425">
        <v>1</v>
      </c>
      <c r="I15" s="425">
        <v>0</v>
      </c>
      <c r="J15" s="425">
        <v>8</v>
      </c>
      <c r="K15" s="425">
        <v>7</v>
      </c>
      <c r="L15" s="425">
        <v>0</v>
      </c>
      <c r="M15" s="425">
        <v>2</v>
      </c>
      <c r="N15" s="425">
        <v>0</v>
      </c>
      <c r="O15" s="425">
        <v>0</v>
      </c>
      <c r="P15" s="425">
        <v>0</v>
      </c>
      <c r="Q15" s="425">
        <v>0</v>
      </c>
      <c r="R15" s="425">
        <v>1</v>
      </c>
      <c r="S15" s="357">
        <v>58102</v>
      </c>
      <c r="T15" s="560" t="s">
        <v>546</v>
      </c>
      <c r="U15" s="357" t="s">
        <v>263</v>
      </c>
      <c r="V15" s="429" t="s">
        <v>413</v>
      </c>
      <c r="W15" s="357" t="s">
        <v>266</v>
      </c>
      <c r="X15" s="429" t="s">
        <v>414</v>
      </c>
      <c r="Y15" s="431">
        <v>1</v>
      </c>
      <c r="Z15" s="431">
        <v>1</v>
      </c>
      <c r="AA15" s="431">
        <v>0</v>
      </c>
      <c r="AB15" s="432">
        <v>0</v>
      </c>
      <c r="AC15" s="431">
        <v>1</v>
      </c>
      <c r="AD15" s="431">
        <v>1</v>
      </c>
      <c r="AE15" s="431">
        <v>0</v>
      </c>
      <c r="AF15" s="432">
        <v>0</v>
      </c>
      <c r="AG15" s="431">
        <v>0</v>
      </c>
      <c r="AH15" s="431">
        <v>0</v>
      </c>
      <c r="AI15" s="431">
        <v>0</v>
      </c>
      <c r="AJ15" s="432">
        <v>0</v>
      </c>
      <c r="AK15" s="431">
        <v>0</v>
      </c>
      <c r="AL15" s="431">
        <v>0</v>
      </c>
      <c r="AM15" s="431">
        <v>0</v>
      </c>
      <c r="AN15" s="432">
        <v>0</v>
      </c>
    </row>
    <row r="16" spans="1:46" ht="14.95" customHeight="1" thickBot="1" x14ac:dyDescent="0.35">
      <c r="A16" s="440" t="s">
        <v>937</v>
      </c>
      <c r="B16" s="441" t="s">
        <v>233</v>
      </c>
      <c r="C16" s="441" t="s">
        <v>170</v>
      </c>
      <c r="D16" s="462" t="s">
        <v>112</v>
      </c>
      <c r="E16" s="341" t="s">
        <v>3</v>
      </c>
      <c r="F16" s="425">
        <v>28</v>
      </c>
      <c r="G16" s="425">
        <v>29</v>
      </c>
      <c r="H16" s="425" t="s">
        <v>106</v>
      </c>
      <c r="I16" s="425" t="s">
        <v>106</v>
      </c>
      <c r="J16" s="425">
        <v>3</v>
      </c>
      <c r="K16" s="425">
        <v>2</v>
      </c>
      <c r="L16" s="425">
        <v>0</v>
      </c>
      <c r="M16" s="425">
        <v>3</v>
      </c>
      <c r="N16" s="425">
        <v>0</v>
      </c>
      <c r="O16" s="425">
        <v>0</v>
      </c>
      <c r="P16" s="425" t="s">
        <v>106</v>
      </c>
      <c r="Q16" s="425" t="s">
        <v>106</v>
      </c>
      <c r="R16" s="425">
        <v>4</v>
      </c>
      <c r="S16" s="357">
        <v>79486</v>
      </c>
      <c r="T16" s="866" t="s">
        <v>980</v>
      </c>
      <c r="U16" s="357" t="s">
        <v>271</v>
      </c>
      <c r="V16" s="429" t="s">
        <v>270</v>
      </c>
      <c r="W16" s="357" t="s">
        <v>269</v>
      </c>
      <c r="X16" s="429" t="s">
        <v>272</v>
      </c>
      <c r="Y16" s="431">
        <v>1</v>
      </c>
      <c r="Z16" s="431">
        <v>0</v>
      </c>
      <c r="AA16" s="431">
        <v>0</v>
      </c>
      <c r="AB16" s="432">
        <v>1</v>
      </c>
      <c r="AC16" s="431">
        <v>1</v>
      </c>
      <c r="AD16" s="431">
        <v>0</v>
      </c>
      <c r="AE16" s="431">
        <v>0</v>
      </c>
      <c r="AF16" s="432">
        <v>1</v>
      </c>
      <c r="AG16" s="431">
        <v>0</v>
      </c>
      <c r="AH16" s="431">
        <v>0</v>
      </c>
      <c r="AI16" s="431">
        <v>0</v>
      </c>
      <c r="AJ16" s="432">
        <v>0</v>
      </c>
      <c r="AK16" s="431">
        <v>0</v>
      </c>
      <c r="AL16" s="431">
        <v>0</v>
      </c>
      <c r="AM16" s="431">
        <v>0</v>
      </c>
      <c r="AN16" s="432">
        <v>0</v>
      </c>
    </row>
    <row r="17" spans="1:40" ht="14.95" customHeight="1" thickBot="1" x14ac:dyDescent="0.3">
      <c r="A17" s="266"/>
      <c r="B17" s="267"/>
      <c r="C17" s="997" t="s">
        <v>108</v>
      </c>
      <c r="D17" s="998"/>
      <c r="E17" s="999"/>
      <c r="F17" s="265">
        <f>SUM(F3:F7)</f>
        <v>174</v>
      </c>
      <c r="G17" s="265">
        <f t="shared" ref="G17:R17" si="0">SUM(G3:G7)</f>
        <v>115</v>
      </c>
      <c r="H17" s="265">
        <f t="shared" si="0"/>
        <v>4</v>
      </c>
      <c r="I17" s="265">
        <f t="shared" si="0"/>
        <v>0</v>
      </c>
      <c r="J17" s="265">
        <f t="shared" si="0"/>
        <v>21</v>
      </c>
      <c r="K17" s="265">
        <f t="shared" si="0"/>
        <v>18</v>
      </c>
      <c r="L17" s="265">
        <f t="shared" si="0"/>
        <v>1</v>
      </c>
      <c r="M17" s="265">
        <f t="shared" si="0"/>
        <v>10</v>
      </c>
      <c r="N17" s="265">
        <f t="shared" si="0"/>
        <v>2</v>
      </c>
      <c r="O17" s="265">
        <f t="shared" si="0"/>
        <v>1</v>
      </c>
      <c r="P17" s="265">
        <f t="shared" si="0"/>
        <v>2</v>
      </c>
      <c r="Q17" s="265">
        <f t="shared" si="0"/>
        <v>1</v>
      </c>
      <c r="R17" s="265">
        <f t="shared" si="0"/>
        <v>14</v>
      </c>
      <c r="W17" s="262"/>
      <c r="X17" s="369" t="s">
        <v>108</v>
      </c>
      <c r="Y17" s="265">
        <f t="shared" ref="Y17:AN17" si="1">SUM(Y3:Y7)</f>
        <v>5</v>
      </c>
      <c r="Z17" s="265">
        <f t="shared" si="1"/>
        <v>4</v>
      </c>
      <c r="AA17" s="265">
        <f t="shared" si="1"/>
        <v>0</v>
      </c>
      <c r="AB17" s="265">
        <f t="shared" si="1"/>
        <v>1</v>
      </c>
      <c r="AC17" s="263">
        <f t="shared" si="1"/>
        <v>2</v>
      </c>
      <c r="AD17" s="263">
        <f t="shared" si="1"/>
        <v>2</v>
      </c>
      <c r="AE17" s="263">
        <f t="shared" si="1"/>
        <v>0</v>
      </c>
      <c r="AF17" s="263">
        <f t="shared" si="1"/>
        <v>0</v>
      </c>
      <c r="AG17" s="264">
        <f t="shared" si="1"/>
        <v>3</v>
      </c>
      <c r="AH17" s="264">
        <f t="shared" si="1"/>
        <v>2</v>
      </c>
      <c r="AI17" s="264">
        <f t="shared" si="1"/>
        <v>0</v>
      </c>
      <c r="AJ17" s="264">
        <f t="shared" si="1"/>
        <v>1</v>
      </c>
      <c r="AK17" s="265">
        <f t="shared" si="1"/>
        <v>0</v>
      </c>
      <c r="AL17" s="265">
        <f t="shared" si="1"/>
        <v>0</v>
      </c>
      <c r="AM17" s="265">
        <f t="shared" si="1"/>
        <v>0</v>
      </c>
      <c r="AN17" s="265">
        <f t="shared" si="1"/>
        <v>0</v>
      </c>
    </row>
    <row r="18" spans="1:40" ht="14.95" customHeight="1" thickBot="1" x14ac:dyDescent="0.3">
      <c r="A18" s="266"/>
      <c r="B18" s="267"/>
      <c r="C18" s="937" t="s">
        <v>721</v>
      </c>
      <c r="D18" s="978"/>
      <c r="E18" s="979"/>
      <c r="F18" s="476">
        <f>SUM(F8:F11)</f>
        <v>126</v>
      </c>
      <c r="G18" s="476">
        <f>SUM(G8:G11)</f>
        <v>86</v>
      </c>
      <c r="H18" s="476" t="s">
        <v>106</v>
      </c>
      <c r="I18" s="476" t="s">
        <v>106</v>
      </c>
      <c r="J18" s="476">
        <f t="shared" ref="J18:O18" si="2">SUM(J8:J11)</f>
        <v>13</v>
      </c>
      <c r="K18" s="476">
        <f t="shared" si="2"/>
        <v>11</v>
      </c>
      <c r="L18" s="476">
        <f t="shared" si="2"/>
        <v>0</v>
      </c>
      <c r="M18" s="476">
        <f t="shared" si="2"/>
        <v>13</v>
      </c>
      <c r="N18" s="476">
        <f t="shared" si="2"/>
        <v>0</v>
      </c>
      <c r="O18" s="476">
        <f t="shared" si="2"/>
        <v>0</v>
      </c>
      <c r="P18" s="476" t="s">
        <v>106</v>
      </c>
      <c r="Q18" s="476" t="s">
        <v>106</v>
      </c>
      <c r="R18" s="476">
        <f>SUM(R8:R11)</f>
        <v>12</v>
      </c>
      <c r="S18" s="473"/>
      <c r="T18" s="473"/>
      <c r="U18" s="473"/>
      <c r="V18" s="473"/>
      <c r="W18" s="474"/>
      <c r="X18" s="481" t="s">
        <v>722</v>
      </c>
      <c r="Y18" s="476">
        <f t="shared" ref="Y18:AN18" si="3">SUM(Y8:Y11)</f>
        <v>4</v>
      </c>
      <c r="Z18" s="476">
        <f t="shared" si="3"/>
        <v>3</v>
      </c>
      <c r="AA18" s="476">
        <f t="shared" si="3"/>
        <v>0</v>
      </c>
      <c r="AB18" s="476">
        <f t="shared" si="3"/>
        <v>1</v>
      </c>
      <c r="AC18" s="477">
        <f t="shared" si="3"/>
        <v>3</v>
      </c>
      <c r="AD18" s="477">
        <f t="shared" si="3"/>
        <v>3</v>
      </c>
      <c r="AE18" s="477">
        <f t="shared" si="3"/>
        <v>0</v>
      </c>
      <c r="AF18" s="477">
        <f t="shared" si="3"/>
        <v>0</v>
      </c>
      <c r="AG18" s="478">
        <f t="shared" si="3"/>
        <v>1</v>
      </c>
      <c r="AH18" s="478">
        <f t="shared" si="3"/>
        <v>0</v>
      </c>
      <c r="AI18" s="478">
        <f t="shared" si="3"/>
        <v>0</v>
      </c>
      <c r="AJ18" s="478">
        <f t="shared" si="3"/>
        <v>1</v>
      </c>
      <c r="AK18" s="476">
        <f t="shared" si="3"/>
        <v>0</v>
      </c>
      <c r="AL18" s="476">
        <f t="shared" si="3"/>
        <v>0</v>
      </c>
      <c r="AM18" s="476">
        <f t="shared" si="3"/>
        <v>0</v>
      </c>
      <c r="AN18" s="476">
        <f t="shared" si="3"/>
        <v>0</v>
      </c>
    </row>
    <row r="19" spans="1:40" ht="14.95" thickBot="1" x14ac:dyDescent="0.3">
      <c r="A19" s="266"/>
      <c r="B19" s="267"/>
      <c r="C19" s="940" t="s">
        <v>625</v>
      </c>
      <c r="D19" s="941"/>
      <c r="E19" s="942"/>
      <c r="F19" s="708">
        <f t="shared" ref="F19:R19" si="4">SUM(F12:F15)</f>
        <v>210</v>
      </c>
      <c r="G19" s="708">
        <f t="shared" si="4"/>
        <v>32</v>
      </c>
      <c r="H19" s="708">
        <f t="shared" si="4"/>
        <v>2</v>
      </c>
      <c r="I19" s="708">
        <f t="shared" si="4"/>
        <v>0</v>
      </c>
      <c r="J19" s="708">
        <f t="shared" si="4"/>
        <v>27</v>
      </c>
      <c r="K19" s="708">
        <f t="shared" si="4"/>
        <v>23</v>
      </c>
      <c r="L19" s="708">
        <f t="shared" si="4"/>
        <v>0</v>
      </c>
      <c r="M19" s="708">
        <f t="shared" si="4"/>
        <v>7</v>
      </c>
      <c r="N19" s="708">
        <f t="shared" si="4"/>
        <v>1</v>
      </c>
      <c r="O19" s="708">
        <f t="shared" si="4"/>
        <v>0</v>
      </c>
      <c r="P19" s="708">
        <f t="shared" si="4"/>
        <v>0</v>
      </c>
      <c r="Q19" s="708">
        <f t="shared" si="4"/>
        <v>0</v>
      </c>
      <c r="R19" s="708">
        <f t="shared" si="4"/>
        <v>5</v>
      </c>
      <c r="S19" s="709"/>
      <c r="T19" s="709"/>
      <c r="U19" s="709"/>
      <c r="V19" s="709"/>
      <c r="W19" s="710"/>
      <c r="X19" s="711" t="s">
        <v>625</v>
      </c>
      <c r="Y19" s="712">
        <f t="shared" ref="Y19:AN19" si="5">SUM(Y12:Y15)</f>
        <v>4</v>
      </c>
      <c r="Z19" s="708">
        <f t="shared" si="5"/>
        <v>4</v>
      </c>
      <c r="AA19" s="708">
        <f t="shared" si="5"/>
        <v>0</v>
      </c>
      <c r="AB19" s="708">
        <f t="shared" si="5"/>
        <v>0</v>
      </c>
      <c r="AC19" s="713">
        <f t="shared" si="5"/>
        <v>4</v>
      </c>
      <c r="AD19" s="713">
        <f t="shared" si="5"/>
        <v>4</v>
      </c>
      <c r="AE19" s="713">
        <f t="shared" si="5"/>
        <v>0</v>
      </c>
      <c r="AF19" s="713">
        <f t="shared" si="5"/>
        <v>0</v>
      </c>
      <c r="AG19" s="714">
        <f t="shared" si="5"/>
        <v>0</v>
      </c>
      <c r="AH19" s="714">
        <f t="shared" si="5"/>
        <v>0</v>
      </c>
      <c r="AI19" s="714">
        <f t="shared" si="5"/>
        <v>0</v>
      </c>
      <c r="AJ19" s="714">
        <f t="shared" si="5"/>
        <v>0</v>
      </c>
      <c r="AK19" s="708">
        <f t="shared" si="5"/>
        <v>0</v>
      </c>
      <c r="AL19" s="708">
        <f t="shared" si="5"/>
        <v>0</v>
      </c>
      <c r="AM19" s="708">
        <f t="shared" si="5"/>
        <v>0</v>
      </c>
      <c r="AN19" s="708">
        <f t="shared" si="5"/>
        <v>0</v>
      </c>
    </row>
    <row r="20" spans="1:40" ht="15.8" customHeight="1" thickBot="1" x14ac:dyDescent="0.3">
      <c r="A20" s="266"/>
      <c r="B20" s="267"/>
      <c r="C20" s="940" t="s">
        <v>626</v>
      </c>
      <c r="D20" s="943"/>
      <c r="E20" s="944"/>
      <c r="F20" s="708">
        <f t="shared" ref="F20:R20" si="6">SUM(F16:F16)</f>
        <v>28</v>
      </c>
      <c r="G20" s="708">
        <f t="shared" si="6"/>
        <v>29</v>
      </c>
      <c r="H20" s="708">
        <f t="shared" si="6"/>
        <v>0</v>
      </c>
      <c r="I20" s="708">
        <f t="shared" si="6"/>
        <v>0</v>
      </c>
      <c r="J20" s="708">
        <f t="shared" si="6"/>
        <v>3</v>
      </c>
      <c r="K20" s="708">
        <f t="shared" si="6"/>
        <v>2</v>
      </c>
      <c r="L20" s="708">
        <f t="shared" si="6"/>
        <v>0</v>
      </c>
      <c r="M20" s="708">
        <f t="shared" si="6"/>
        <v>3</v>
      </c>
      <c r="N20" s="708">
        <f t="shared" si="6"/>
        <v>0</v>
      </c>
      <c r="O20" s="708">
        <f t="shared" si="6"/>
        <v>0</v>
      </c>
      <c r="P20" s="708">
        <f t="shared" si="6"/>
        <v>0</v>
      </c>
      <c r="Q20" s="708">
        <f t="shared" si="6"/>
        <v>0</v>
      </c>
      <c r="R20" s="708">
        <f t="shared" si="6"/>
        <v>4</v>
      </c>
      <c r="S20" s="709"/>
      <c r="T20" s="709"/>
      <c r="U20" s="709"/>
      <c r="V20" s="709"/>
      <c r="W20" s="710"/>
      <c r="X20" s="711" t="s">
        <v>626</v>
      </c>
      <c r="Y20" s="712">
        <f t="shared" ref="Y20:AN20" si="7">SUM(Y16:Y16)</f>
        <v>1</v>
      </c>
      <c r="Z20" s="708">
        <f t="shared" si="7"/>
        <v>0</v>
      </c>
      <c r="AA20" s="708">
        <f t="shared" si="7"/>
        <v>0</v>
      </c>
      <c r="AB20" s="708">
        <f t="shared" si="7"/>
        <v>1</v>
      </c>
      <c r="AC20" s="713">
        <f t="shared" si="7"/>
        <v>1</v>
      </c>
      <c r="AD20" s="713">
        <f t="shared" si="7"/>
        <v>0</v>
      </c>
      <c r="AE20" s="713">
        <f t="shared" si="7"/>
        <v>0</v>
      </c>
      <c r="AF20" s="713">
        <f t="shared" si="7"/>
        <v>1</v>
      </c>
      <c r="AG20" s="714">
        <f t="shared" si="7"/>
        <v>0</v>
      </c>
      <c r="AH20" s="714">
        <f t="shared" si="7"/>
        <v>0</v>
      </c>
      <c r="AI20" s="714">
        <f t="shared" si="7"/>
        <v>0</v>
      </c>
      <c r="AJ20" s="714">
        <f t="shared" si="7"/>
        <v>0</v>
      </c>
      <c r="AK20" s="708">
        <f t="shared" si="7"/>
        <v>0</v>
      </c>
      <c r="AL20" s="708">
        <f t="shared" si="7"/>
        <v>0</v>
      </c>
      <c r="AM20" s="708">
        <f t="shared" si="7"/>
        <v>0</v>
      </c>
      <c r="AN20" s="708">
        <f t="shared" si="7"/>
        <v>0</v>
      </c>
    </row>
    <row r="21" spans="1:40" ht="14.95" thickBot="1" x14ac:dyDescent="0.3">
      <c r="A21" s="266"/>
      <c r="B21" s="267"/>
      <c r="C21" s="940" t="s">
        <v>627</v>
      </c>
      <c r="D21" s="943"/>
      <c r="E21" s="944"/>
      <c r="F21" s="708">
        <f>SUM(F19+F20)</f>
        <v>238</v>
      </c>
      <c r="G21" s="708">
        <f t="shared" ref="G21:R21" si="8">SUM(G19+G20)</f>
        <v>61</v>
      </c>
      <c r="H21" s="708">
        <f t="shared" si="8"/>
        <v>2</v>
      </c>
      <c r="I21" s="708">
        <f t="shared" si="8"/>
        <v>0</v>
      </c>
      <c r="J21" s="708">
        <f t="shared" si="8"/>
        <v>30</v>
      </c>
      <c r="K21" s="708">
        <f t="shared" si="8"/>
        <v>25</v>
      </c>
      <c r="L21" s="708">
        <f t="shared" si="8"/>
        <v>0</v>
      </c>
      <c r="M21" s="708">
        <f t="shared" si="8"/>
        <v>10</v>
      </c>
      <c r="N21" s="708">
        <f t="shared" si="8"/>
        <v>1</v>
      </c>
      <c r="O21" s="708">
        <f t="shared" si="8"/>
        <v>0</v>
      </c>
      <c r="P21" s="708">
        <f t="shared" si="8"/>
        <v>0</v>
      </c>
      <c r="Q21" s="708">
        <f t="shared" si="8"/>
        <v>0</v>
      </c>
      <c r="R21" s="708">
        <f t="shared" si="8"/>
        <v>9</v>
      </c>
      <c r="S21" s="709"/>
      <c r="T21" s="709"/>
      <c r="U21" s="709"/>
      <c r="V21" s="709"/>
      <c r="W21" s="710"/>
      <c r="X21" s="711" t="s">
        <v>627</v>
      </c>
      <c r="Y21" s="712">
        <f t="shared" ref="Y21:AN21" si="9">SUM(Y19+Y20)</f>
        <v>5</v>
      </c>
      <c r="Z21" s="708">
        <f t="shared" si="9"/>
        <v>4</v>
      </c>
      <c r="AA21" s="708">
        <f t="shared" si="9"/>
        <v>0</v>
      </c>
      <c r="AB21" s="708">
        <f t="shared" si="9"/>
        <v>1</v>
      </c>
      <c r="AC21" s="713">
        <f t="shared" si="9"/>
        <v>5</v>
      </c>
      <c r="AD21" s="713">
        <f t="shared" si="9"/>
        <v>4</v>
      </c>
      <c r="AE21" s="713">
        <f t="shared" si="9"/>
        <v>0</v>
      </c>
      <c r="AF21" s="713">
        <f t="shared" si="9"/>
        <v>1</v>
      </c>
      <c r="AG21" s="714">
        <f t="shared" si="9"/>
        <v>0</v>
      </c>
      <c r="AH21" s="714">
        <f t="shared" si="9"/>
        <v>0</v>
      </c>
      <c r="AI21" s="714">
        <f t="shared" si="9"/>
        <v>0</v>
      </c>
      <c r="AJ21" s="714">
        <f t="shared" si="9"/>
        <v>0</v>
      </c>
      <c r="AK21" s="708">
        <f t="shared" si="9"/>
        <v>0</v>
      </c>
      <c r="AL21" s="708">
        <f t="shared" si="9"/>
        <v>0</v>
      </c>
      <c r="AM21" s="708">
        <f t="shared" si="9"/>
        <v>0</v>
      </c>
      <c r="AN21" s="708">
        <f t="shared" si="9"/>
        <v>0</v>
      </c>
    </row>
    <row r="22" spans="1:40" ht="14.3" customHeight="1" thickBot="1" x14ac:dyDescent="0.3">
      <c r="A22" s="266"/>
      <c r="B22" s="267"/>
      <c r="C22" s="946" t="s">
        <v>107</v>
      </c>
      <c r="D22" s="947"/>
      <c r="E22" s="948"/>
      <c r="F22" s="343">
        <f t="shared" ref="F22:R22" si="10">SUM(F3:F16)</f>
        <v>538</v>
      </c>
      <c r="G22" s="343">
        <f t="shared" si="10"/>
        <v>262</v>
      </c>
      <c r="H22" s="391">
        <f t="shared" si="10"/>
        <v>6</v>
      </c>
      <c r="I22" s="343">
        <f t="shared" si="10"/>
        <v>0</v>
      </c>
      <c r="J22" s="343">
        <f t="shared" si="10"/>
        <v>64</v>
      </c>
      <c r="K22" s="343">
        <f t="shared" si="10"/>
        <v>54</v>
      </c>
      <c r="L22" s="343">
        <f t="shared" si="10"/>
        <v>1</v>
      </c>
      <c r="M22" s="343">
        <f t="shared" si="10"/>
        <v>33</v>
      </c>
      <c r="N22" s="343">
        <f t="shared" si="10"/>
        <v>3</v>
      </c>
      <c r="O22" s="343">
        <f t="shared" si="10"/>
        <v>1</v>
      </c>
      <c r="P22" s="343">
        <f t="shared" si="10"/>
        <v>2</v>
      </c>
      <c r="Q22" s="343">
        <f t="shared" si="10"/>
        <v>1</v>
      </c>
      <c r="R22" s="343">
        <f t="shared" si="10"/>
        <v>35</v>
      </c>
      <c r="S22" s="340"/>
      <c r="T22" s="340"/>
      <c r="U22" s="340"/>
      <c r="V22" s="340"/>
      <c r="W22" s="13"/>
      <c r="X22" s="364" t="s">
        <v>107</v>
      </c>
      <c r="Y22" s="343">
        <f t="shared" ref="Y22:AN22" si="11">SUM(Y3:Y16)</f>
        <v>14</v>
      </c>
      <c r="Z22" s="343">
        <f t="shared" si="11"/>
        <v>11</v>
      </c>
      <c r="AA22" s="343">
        <f t="shared" si="11"/>
        <v>0</v>
      </c>
      <c r="AB22" s="343">
        <f t="shared" si="11"/>
        <v>3</v>
      </c>
      <c r="AC22" s="341">
        <f t="shared" si="11"/>
        <v>10</v>
      </c>
      <c r="AD22" s="341">
        <f t="shared" si="11"/>
        <v>9</v>
      </c>
      <c r="AE22" s="341">
        <f t="shared" si="11"/>
        <v>0</v>
      </c>
      <c r="AF22" s="341">
        <f t="shared" si="11"/>
        <v>1</v>
      </c>
      <c r="AG22" s="342">
        <f t="shared" si="11"/>
        <v>4</v>
      </c>
      <c r="AH22" s="342">
        <f t="shared" si="11"/>
        <v>2</v>
      </c>
      <c r="AI22" s="342">
        <f t="shared" si="11"/>
        <v>0</v>
      </c>
      <c r="AJ22" s="342">
        <f t="shared" si="11"/>
        <v>2</v>
      </c>
      <c r="AK22" s="343">
        <f t="shared" si="11"/>
        <v>0</v>
      </c>
      <c r="AL22" s="343">
        <f t="shared" si="11"/>
        <v>0</v>
      </c>
      <c r="AM22" s="343">
        <f t="shared" si="11"/>
        <v>0</v>
      </c>
      <c r="AN22" s="343">
        <f t="shared" si="11"/>
        <v>0</v>
      </c>
    </row>
    <row r="23" spans="1:40" x14ac:dyDescent="0.25">
      <c r="A23" s="965"/>
      <c r="B23" s="886"/>
      <c r="C23" s="886"/>
      <c r="D23" s="886"/>
      <c r="E23" s="886"/>
      <c r="F23" s="886"/>
      <c r="G23" s="886"/>
      <c r="H23" s="886"/>
      <c r="I23" s="886"/>
      <c r="J23" s="886"/>
      <c r="K23" s="886"/>
      <c r="L23" s="886"/>
      <c r="M23" s="886"/>
      <c r="N23" s="886"/>
      <c r="O23" s="886"/>
      <c r="P23" s="886"/>
      <c r="Q23" s="886"/>
      <c r="R23" s="886"/>
      <c r="S23" s="886"/>
      <c r="T23" s="886"/>
      <c r="U23" s="886"/>
      <c r="V23" s="886"/>
      <c r="W23" s="886"/>
      <c r="X23" s="886"/>
      <c r="Y23" s="886"/>
      <c r="Z23" s="886"/>
      <c r="AA23" s="886"/>
      <c r="AB23" s="886"/>
      <c r="AC23" s="886"/>
      <c r="AD23" s="886"/>
      <c r="AE23" s="886"/>
      <c r="AF23" s="886"/>
      <c r="AG23" s="886"/>
      <c r="AH23" s="886"/>
      <c r="AI23" s="886"/>
      <c r="AJ23" s="886"/>
      <c r="AK23" s="886"/>
      <c r="AL23" s="886"/>
      <c r="AM23" s="886"/>
      <c r="AN23" s="886"/>
    </row>
    <row r="24" spans="1:40" x14ac:dyDescent="0.25">
      <c r="A24" t="s">
        <v>183</v>
      </c>
      <c r="F24" s="14"/>
      <c r="G24" s="14"/>
      <c r="H24" s="13"/>
      <c r="I24" s="14"/>
      <c r="J24" s="14"/>
      <c r="K24" s="14"/>
      <c r="L24" s="14"/>
      <c r="M24" s="14"/>
      <c r="N24" s="14"/>
      <c r="O24" s="14"/>
      <c r="P24" s="14"/>
      <c r="Q24" s="14"/>
      <c r="R24" s="14"/>
    </row>
    <row r="25" spans="1:40" x14ac:dyDescent="0.25">
      <c r="A25" t="s">
        <v>242</v>
      </c>
      <c r="F25" s="14"/>
      <c r="G25" s="14"/>
      <c r="H25" s="13"/>
      <c r="I25" s="14"/>
      <c r="J25" s="14"/>
      <c r="K25" s="14"/>
      <c r="L25" s="14"/>
      <c r="M25" s="14"/>
      <c r="N25" s="14"/>
      <c r="O25" s="14"/>
      <c r="P25" s="14"/>
      <c r="Q25" s="14"/>
      <c r="R25" s="14"/>
    </row>
    <row r="26" spans="1:40" x14ac:dyDescent="0.25">
      <c r="A26" t="s">
        <v>243</v>
      </c>
      <c r="F26" s="14"/>
      <c r="G26" s="14"/>
      <c r="H26" s="13"/>
      <c r="I26" s="14"/>
      <c r="J26" s="14"/>
      <c r="K26" s="14"/>
      <c r="L26" s="14"/>
      <c r="M26" s="14"/>
      <c r="N26" s="14"/>
      <c r="O26" s="14"/>
      <c r="P26" s="14"/>
      <c r="Q26" s="14"/>
      <c r="R26" s="14"/>
    </row>
    <row r="27" spans="1:40" x14ac:dyDescent="0.25">
      <c r="A27" t="s">
        <v>644</v>
      </c>
      <c r="F27" s="14"/>
      <c r="G27" s="14"/>
      <c r="H27" s="13"/>
      <c r="I27" s="14"/>
      <c r="J27" s="14"/>
      <c r="K27" s="14"/>
      <c r="L27" s="14"/>
      <c r="M27" s="14"/>
      <c r="N27" s="14"/>
      <c r="O27" s="14"/>
      <c r="P27" s="14"/>
      <c r="Q27" s="14"/>
      <c r="R27" s="14"/>
    </row>
    <row r="28" spans="1:40" x14ac:dyDescent="0.25">
      <c r="A28" t="s">
        <v>645</v>
      </c>
      <c r="F28" s="14"/>
      <c r="G28" s="14"/>
      <c r="H28" s="13"/>
      <c r="I28" s="14"/>
      <c r="J28" s="14"/>
      <c r="K28" s="14"/>
      <c r="L28" s="14"/>
      <c r="M28" s="14"/>
      <c r="N28" s="14"/>
      <c r="O28" s="14"/>
      <c r="P28" s="14"/>
      <c r="Q28" s="14"/>
      <c r="R28" s="14"/>
    </row>
    <row r="29" spans="1:40" x14ac:dyDescent="0.25">
      <c r="A29" s="965" t="s">
        <v>654</v>
      </c>
      <c r="B29" s="886"/>
      <c r="C29" s="886"/>
      <c r="D29" s="886"/>
      <c r="E29" s="886"/>
      <c r="F29" s="886"/>
      <c r="G29" s="886"/>
      <c r="H29" s="886"/>
      <c r="I29" s="886"/>
      <c r="J29" s="886"/>
      <c r="K29" s="886"/>
      <c r="L29" s="886"/>
      <c r="M29" s="886"/>
      <c r="N29" s="886"/>
      <c r="O29" s="886"/>
      <c r="P29" s="886"/>
      <c r="Q29" s="886"/>
      <c r="R29" s="886"/>
      <c r="S29" s="886"/>
      <c r="T29" s="886"/>
      <c r="U29" s="886"/>
      <c r="V29" s="886"/>
      <c r="W29" s="886"/>
      <c r="X29" s="886"/>
      <c r="Y29" s="886"/>
      <c r="Z29" s="886"/>
      <c r="AA29" s="886"/>
      <c r="AB29" s="886"/>
      <c r="AC29" s="886"/>
      <c r="AD29" s="886"/>
      <c r="AE29" s="886"/>
      <c r="AF29" s="886"/>
      <c r="AG29" s="886"/>
      <c r="AH29" s="886"/>
      <c r="AI29" s="886"/>
      <c r="AJ29" s="886"/>
      <c r="AK29" s="886"/>
      <c r="AL29" s="886"/>
      <c r="AM29" s="886"/>
      <c r="AN29" s="886"/>
    </row>
    <row r="30" spans="1:40" x14ac:dyDescent="0.25">
      <c r="A30" s="965" t="s">
        <v>653</v>
      </c>
      <c r="B30" s="886"/>
      <c r="C30" s="886"/>
      <c r="D30" s="886"/>
      <c r="E30" s="886"/>
      <c r="F30" s="886"/>
      <c r="G30" s="886"/>
      <c r="H30" s="886"/>
      <c r="I30" s="886"/>
      <c r="J30" s="886"/>
      <c r="K30" s="886"/>
      <c r="L30" s="886"/>
      <c r="M30" s="886"/>
      <c r="N30" s="886"/>
      <c r="O30" s="886"/>
      <c r="P30" s="886"/>
      <c r="Q30" s="886"/>
      <c r="R30" s="886"/>
    </row>
    <row r="31" spans="1:40" x14ac:dyDescent="0.25">
      <c r="A31" s="965" t="s">
        <v>163</v>
      </c>
      <c r="B31" s="886"/>
      <c r="C31" s="886"/>
      <c r="D31" s="886"/>
      <c r="E31" s="886"/>
      <c r="F31" s="886"/>
      <c r="G31" s="886"/>
      <c r="H31" s="886"/>
      <c r="I31" s="886"/>
      <c r="J31" s="886"/>
      <c r="K31" s="886"/>
      <c r="L31" s="886"/>
      <c r="M31" s="886"/>
      <c r="N31" s="886"/>
      <c r="O31" s="886"/>
      <c r="P31" s="886"/>
      <c r="Q31" s="886"/>
      <c r="R31" s="886"/>
      <c r="S31" s="886"/>
      <c r="T31" s="886"/>
      <c r="U31" s="886"/>
      <c r="V31" s="886"/>
      <c r="W31" s="886"/>
      <c r="X31" s="886"/>
      <c r="Y31" s="886"/>
      <c r="Z31" s="886"/>
      <c r="AA31" s="886"/>
      <c r="AB31" s="886"/>
      <c r="AC31" s="886"/>
      <c r="AD31" s="886"/>
      <c r="AE31" s="886"/>
      <c r="AF31" s="886"/>
      <c r="AG31" s="886"/>
      <c r="AH31" s="886"/>
      <c r="AI31" s="886"/>
      <c r="AJ31" s="886"/>
      <c r="AK31" s="886"/>
      <c r="AL31" s="886"/>
      <c r="AM31" s="886"/>
      <c r="AN31" s="886"/>
    </row>
    <row r="32" spans="1:40" x14ac:dyDescent="0.25">
      <c r="A32" s="575"/>
      <c r="B32" t="s">
        <v>44</v>
      </c>
    </row>
    <row r="33" spans="1:2" x14ac:dyDescent="0.25">
      <c r="A33" s="576"/>
      <c r="B33" t="s">
        <v>42</v>
      </c>
    </row>
    <row r="34" spans="1:2" x14ac:dyDescent="0.25">
      <c r="A34" s="577"/>
      <c r="B34" t="s">
        <v>43</v>
      </c>
    </row>
    <row r="35" spans="1:2" x14ac:dyDescent="0.25">
      <c r="A35" s="15" t="s">
        <v>28</v>
      </c>
    </row>
  </sheetData>
  <mergeCells count="20">
    <mergeCell ref="Y1:AB1"/>
    <mergeCell ref="AC1:AF1"/>
    <mergeCell ref="AG1:AJ1"/>
    <mergeCell ref="AK1:AN1"/>
    <mergeCell ref="N1:O1"/>
    <mergeCell ref="P1:R1"/>
    <mergeCell ref="A1:C1"/>
    <mergeCell ref="E1:G1"/>
    <mergeCell ref="H1:I1"/>
    <mergeCell ref="J1:M1"/>
    <mergeCell ref="C17:E17"/>
    <mergeCell ref="A30:R30"/>
    <mergeCell ref="A31:AN31"/>
    <mergeCell ref="C18:E18"/>
    <mergeCell ref="C22:E22"/>
    <mergeCell ref="A23:AN23"/>
    <mergeCell ref="A29:AN29"/>
    <mergeCell ref="C19:E19"/>
    <mergeCell ref="C20:E20"/>
    <mergeCell ref="C21:E21"/>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T33"/>
  <sheetViews>
    <sheetView zoomScaleNormal="100" workbookViewId="0">
      <pane ySplit="2" topLeftCell="A3" activePane="bottomLeft" state="frozen"/>
      <selection pane="bottomLeft" activeCell="W14" sqref="W14"/>
    </sheetView>
  </sheetViews>
  <sheetFormatPr defaultRowHeight="14.95" customHeight="1" x14ac:dyDescent="0.25"/>
  <cols>
    <col min="1" max="1" width="7.5" customWidth="1"/>
    <col min="2" max="2" width="5.125" bestFit="1" customWidth="1"/>
    <col min="3" max="3" width="12" bestFit="1" customWidth="1"/>
    <col min="4" max="4" width="4.875" bestFit="1" customWidth="1"/>
    <col min="5" max="5" width="3.625" customWidth="1"/>
    <col min="6" max="7" width="4" bestFit="1" customWidth="1"/>
    <col min="8" max="18" width="3.625" customWidth="1"/>
    <col min="19" max="20" width="6.375" customWidth="1"/>
    <col min="21" max="21" width="25.875" bestFit="1" customWidth="1"/>
    <col min="22" max="22" width="23.375" bestFit="1" customWidth="1"/>
    <col min="23" max="23" width="25.875" bestFit="1" customWidth="1"/>
    <col min="24" max="24" width="31" bestFit="1" customWidth="1"/>
    <col min="25" max="40" width="3.625" customWidth="1"/>
    <col min="42" max="42" width="13.125" bestFit="1" customWidth="1"/>
    <col min="45" max="45" width="13.125" bestFit="1" customWidth="1"/>
  </cols>
  <sheetData>
    <row r="1" spans="1:46" ht="14.95" customHeight="1" thickBot="1" x14ac:dyDescent="0.3">
      <c r="A1" s="1041" t="s">
        <v>207</v>
      </c>
      <c r="B1" s="1042"/>
      <c r="C1" s="1042"/>
      <c r="D1" s="825"/>
      <c r="E1" s="1043" t="s">
        <v>24</v>
      </c>
      <c r="F1" s="1044"/>
      <c r="G1" s="1045"/>
      <c r="H1" s="1043" t="s">
        <v>23</v>
      </c>
      <c r="I1" s="1045"/>
      <c r="J1" s="1038" t="s">
        <v>6</v>
      </c>
      <c r="K1" s="1040"/>
      <c r="L1" s="1040"/>
      <c r="M1" s="1039"/>
      <c r="N1" s="1038" t="s">
        <v>7</v>
      </c>
      <c r="O1" s="1039"/>
      <c r="P1" s="1038" t="s">
        <v>25</v>
      </c>
      <c r="Q1" s="1040"/>
      <c r="R1" s="1039"/>
      <c r="S1" s="826" t="s">
        <v>8</v>
      </c>
      <c r="T1" s="826" t="s">
        <v>9</v>
      </c>
      <c r="U1" s="827" t="s">
        <v>10</v>
      </c>
      <c r="V1" s="828" t="s">
        <v>11</v>
      </c>
      <c r="W1" s="828" t="s">
        <v>26</v>
      </c>
      <c r="X1" s="828" t="s">
        <v>27</v>
      </c>
      <c r="Y1" s="1035" t="s">
        <v>20</v>
      </c>
      <c r="Z1" s="1036"/>
      <c r="AA1" s="1036"/>
      <c r="AB1" s="1037"/>
      <c r="AC1" s="1035" t="s">
        <v>61</v>
      </c>
      <c r="AD1" s="1036"/>
      <c r="AE1" s="1036"/>
      <c r="AF1" s="1037"/>
      <c r="AG1" s="1035" t="s">
        <v>62</v>
      </c>
      <c r="AH1" s="1036"/>
      <c r="AI1" s="1036"/>
      <c r="AJ1" s="1037"/>
      <c r="AK1" s="1035" t="s">
        <v>63</v>
      </c>
      <c r="AL1" s="1036"/>
      <c r="AM1" s="1036"/>
      <c r="AN1" s="1037"/>
      <c r="AP1" s="838" t="s">
        <v>146</v>
      </c>
      <c r="AQ1" s="322"/>
      <c r="AR1" s="322"/>
      <c r="AS1" s="838" t="s">
        <v>146</v>
      </c>
    </row>
    <row r="2" spans="1:46" ht="14.95" customHeight="1" thickBot="1" x14ac:dyDescent="0.3">
      <c r="A2" s="829" t="s">
        <v>19</v>
      </c>
      <c r="B2" s="830" t="s">
        <v>18</v>
      </c>
      <c r="C2" s="831" t="s">
        <v>17</v>
      </c>
      <c r="D2" s="831" t="s">
        <v>41</v>
      </c>
      <c r="E2" s="832" t="s">
        <v>16</v>
      </c>
      <c r="F2" s="832" t="s">
        <v>4</v>
      </c>
      <c r="G2" s="832" t="s">
        <v>5</v>
      </c>
      <c r="H2" s="833" t="s">
        <v>12</v>
      </c>
      <c r="I2" s="833" t="s">
        <v>3</v>
      </c>
      <c r="J2" s="833" t="s">
        <v>12</v>
      </c>
      <c r="K2" s="833" t="s">
        <v>13</v>
      </c>
      <c r="L2" s="833" t="s">
        <v>2</v>
      </c>
      <c r="M2" s="833" t="s">
        <v>14</v>
      </c>
      <c r="N2" s="833" t="s">
        <v>15</v>
      </c>
      <c r="O2" s="833" t="s">
        <v>16</v>
      </c>
      <c r="P2" s="833" t="s">
        <v>21</v>
      </c>
      <c r="Q2" s="833" t="s">
        <v>22</v>
      </c>
      <c r="R2" s="833" t="s">
        <v>12</v>
      </c>
      <c r="S2" s="834"/>
      <c r="T2" s="835"/>
      <c r="U2" s="836"/>
      <c r="V2" s="836"/>
      <c r="W2" s="836"/>
      <c r="X2" s="836"/>
      <c r="Y2" s="837" t="s">
        <v>0</v>
      </c>
      <c r="Z2" s="837" t="s">
        <v>1</v>
      </c>
      <c r="AA2" s="837" t="s">
        <v>2</v>
      </c>
      <c r="AB2" s="837" t="s">
        <v>3</v>
      </c>
      <c r="AC2" s="837" t="s">
        <v>0</v>
      </c>
      <c r="AD2" s="837" t="s">
        <v>1</v>
      </c>
      <c r="AE2" s="837" t="s">
        <v>2</v>
      </c>
      <c r="AF2" s="837" t="s">
        <v>3</v>
      </c>
      <c r="AG2" s="837" t="s">
        <v>0</v>
      </c>
      <c r="AH2" s="837" t="s">
        <v>1</v>
      </c>
      <c r="AI2" s="837" t="s">
        <v>2</v>
      </c>
      <c r="AJ2" s="837" t="s">
        <v>3</v>
      </c>
      <c r="AK2" s="837" t="s">
        <v>0</v>
      </c>
      <c r="AL2" s="837" t="s">
        <v>1</v>
      </c>
      <c r="AM2" s="837" t="s">
        <v>2</v>
      </c>
      <c r="AN2" s="837" t="s">
        <v>3</v>
      </c>
      <c r="AP2" s="305" t="s">
        <v>107</v>
      </c>
      <c r="AQ2" s="189"/>
      <c r="AS2" s="336" t="s">
        <v>128</v>
      </c>
      <c r="AT2" s="189"/>
    </row>
    <row r="3" spans="1:46" ht="14.95" customHeight="1" thickBot="1" x14ac:dyDescent="0.35">
      <c r="A3" s="440" t="s">
        <v>331</v>
      </c>
      <c r="B3" s="424" t="s">
        <v>396</v>
      </c>
      <c r="C3" s="424" t="s">
        <v>290</v>
      </c>
      <c r="D3" s="424" t="s">
        <v>311</v>
      </c>
      <c r="E3" s="425" t="s">
        <v>1</v>
      </c>
      <c r="F3" s="425">
        <v>75</v>
      </c>
      <c r="G3" s="425">
        <v>12</v>
      </c>
      <c r="H3" s="425">
        <v>1</v>
      </c>
      <c r="I3" s="425">
        <v>0</v>
      </c>
      <c r="J3" s="425">
        <v>11</v>
      </c>
      <c r="K3" s="425">
        <v>10</v>
      </c>
      <c r="L3" s="425">
        <v>0</v>
      </c>
      <c r="M3" s="425">
        <v>0</v>
      </c>
      <c r="N3" s="425">
        <v>1</v>
      </c>
      <c r="O3" s="425">
        <v>0</v>
      </c>
      <c r="P3" s="425">
        <v>0</v>
      </c>
      <c r="Q3" s="425">
        <v>0</v>
      </c>
      <c r="R3" s="425">
        <v>2</v>
      </c>
      <c r="S3" s="426">
        <v>2960</v>
      </c>
      <c r="T3" s="438" t="s">
        <v>313</v>
      </c>
      <c r="U3" s="428" t="s">
        <v>314</v>
      </c>
      <c r="V3" s="426" t="s">
        <v>258</v>
      </c>
      <c r="W3" s="428" t="s">
        <v>315</v>
      </c>
      <c r="X3" s="430" t="s">
        <v>316</v>
      </c>
      <c r="Y3" s="590">
        <v>1</v>
      </c>
      <c r="Z3" s="590">
        <v>1</v>
      </c>
      <c r="AA3" s="590">
        <v>0</v>
      </c>
      <c r="AB3" s="591">
        <v>0</v>
      </c>
      <c r="AC3" s="590">
        <v>1</v>
      </c>
      <c r="AD3" s="590">
        <v>1</v>
      </c>
      <c r="AE3" s="590">
        <v>0</v>
      </c>
      <c r="AF3" s="591">
        <v>0</v>
      </c>
      <c r="AG3" s="590">
        <v>0</v>
      </c>
      <c r="AH3" s="590">
        <v>0</v>
      </c>
      <c r="AI3" s="590">
        <v>0</v>
      </c>
      <c r="AJ3" s="591">
        <v>0</v>
      </c>
      <c r="AK3" s="590">
        <v>0</v>
      </c>
      <c r="AL3" s="590">
        <v>0</v>
      </c>
      <c r="AM3" s="590">
        <v>0</v>
      </c>
      <c r="AN3" s="591">
        <v>0</v>
      </c>
      <c r="AP3" s="316" t="s">
        <v>130</v>
      </c>
      <c r="AQ3" s="317">
        <f>Georgiaalltestshistplayed</f>
        <v>268</v>
      </c>
      <c r="AS3" s="316" t="s">
        <v>130</v>
      </c>
      <c r="AT3" s="317">
        <f>GeorgiaRWChistplayed</f>
        <v>24</v>
      </c>
    </row>
    <row r="4" spans="1:46" ht="14.95" customHeight="1" thickBot="1" x14ac:dyDescent="0.35">
      <c r="A4" s="413" t="s">
        <v>356</v>
      </c>
      <c r="B4" s="398" t="s">
        <v>396</v>
      </c>
      <c r="C4" s="398" t="s">
        <v>288</v>
      </c>
      <c r="D4" s="398" t="s">
        <v>309</v>
      </c>
      <c r="E4" s="399" t="s">
        <v>1</v>
      </c>
      <c r="F4" s="399">
        <v>40</v>
      </c>
      <c r="G4" s="399">
        <v>8</v>
      </c>
      <c r="H4" s="399">
        <v>1</v>
      </c>
      <c r="I4" s="399">
        <v>0</v>
      </c>
      <c r="J4" s="399">
        <v>6</v>
      </c>
      <c r="K4" s="399">
        <v>5</v>
      </c>
      <c r="L4" s="399">
        <v>0</v>
      </c>
      <c r="M4" s="399">
        <v>0</v>
      </c>
      <c r="N4" s="399">
        <v>3</v>
      </c>
      <c r="O4" s="399">
        <v>0</v>
      </c>
      <c r="P4" s="399">
        <v>0</v>
      </c>
      <c r="Q4" s="399">
        <v>0</v>
      </c>
      <c r="R4" s="399">
        <v>1</v>
      </c>
      <c r="S4" s="406">
        <v>2500</v>
      </c>
      <c r="T4" s="407" t="s">
        <v>376</v>
      </c>
      <c r="U4" s="408" t="s">
        <v>377</v>
      </c>
      <c r="V4" s="406" t="s">
        <v>258</v>
      </c>
      <c r="W4" s="401" t="s">
        <v>378</v>
      </c>
      <c r="X4" s="401" t="s">
        <v>379</v>
      </c>
      <c r="Y4" s="422">
        <v>1</v>
      </c>
      <c r="Z4" s="422">
        <v>1</v>
      </c>
      <c r="AA4" s="422">
        <v>0</v>
      </c>
      <c r="AB4" s="593">
        <v>0</v>
      </c>
      <c r="AC4" s="422">
        <v>0</v>
      </c>
      <c r="AD4" s="422">
        <v>0</v>
      </c>
      <c r="AE4" s="422">
        <v>0</v>
      </c>
      <c r="AF4" s="593">
        <v>0</v>
      </c>
      <c r="AG4" s="422">
        <v>1</v>
      </c>
      <c r="AH4" s="422">
        <v>1</v>
      </c>
      <c r="AI4" s="422">
        <v>0</v>
      </c>
      <c r="AJ4" s="593">
        <v>0</v>
      </c>
      <c r="AK4" s="422">
        <v>0</v>
      </c>
      <c r="AL4" s="422">
        <v>0</v>
      </c>
      <c r="AM4" s="422">
        <v>0</v>
      </c>
      <c r="AN4" s="593">
        <v>0</v>
      </c>
      <c r="AP4" s="318" t="s">
        <v>131</v>
      </c>
      <c r="AQ4" s="319">
        <f>Georgiaalltestshistwon</f>
        <v>165</v>
      </c>
      <c r="AS4" s="318" t="s">
        <v>131</v>
      </c>
      <c r="AT4" s="319">
        <f>GeorgiaRWChistwon</f>
        <v>5</v>
      </c>
    </row>
    <row r="5" spans="1:46" ht="14.95" customHeight="1" thickBot="1" x14ac:dyDescent="0.35">
      <c r="A5" s="413" t="s">
        <v>395</v>
      </c>
      <c r="B5" s="398" t="s">
        <v>396</v>
      </c>
      <c r="C5" s="398" t="s">
        <v>123</v>
      </c>
      <c r="D5" s="398" t="s">
        <v>310</v>
      </c>
      <c r="E5" s="399" t="s">
        <v>1</v>
      </c>
      <c r="F5" s="399">
        <v>41</v>
      </c>
      <c r="G5" s="399">
        <v>3</v>
      </c>
      <c r="H5" s="399">
        <v>1</v>
      </c>
      <c r="I5" s="399">
        <v>0</v>
      </c>
      <c r="J5" s="399">
        <v>7</v>
      </c>
      <c r="K5" s="399">
        <v>3</v>
      </c>
      <c r="L5" s="399">
        <v>0</v>
      </c>
      <c r="M5" s="399">
        <v>0</v>
      </c>
      <c r="N5" s="399">
        <v>3</v>
      </c>
      <c r="O5" s="399">
        <v>0</v>
      </c>
      <c r="P5" s="399">
        <v>0</v>
      </c>
      <c r="Q5" s="399">
        <v>0</v>
      </c>
      <c r="R5" s="399">
        <v>0</v>
      </c>
      <c r="S5" s="406">
        <v>4500</v>
      </c>
      <c r="T5" s="407" t="s">
        <v>394</v>
      </c>
      <c r="U5" s="408" t="s">
        <v>391</v>
      </c>
      <c r="V5" s="401" t="s">
        <v>258</v>
      </c>
      <c r="W5" s="401" t="s">
        <v>392</v>
      </c>
      <c r="X5" s="401" t="s">
        <v>393</v>
      </c>
      <c r="Y5" s="422">
        <v>1</v>
      </c>
      <c r="Z5" s="422">
        <v>1</v>
      </c>
      <c r="AA5" s="422">
        <v>0</v>
      </c>
      <c r="AB5" s="593">
        <v>0</v>
      </c>
      <c r="AC5" s="422">
        <v>0</v>
      </c>
      <c r="AD5" s="422">
        <v>0</v>
      </c>
      <c r="AE5" s="422">
        <v>0</v>
      </c>
      <c r="AF5" s="593">
        <v>0</v>
      </c>
      <c r="AG5" s="422">
        <v>1</v>
      </c>
      <c r="AH5" s="422">
        <v>1</v>
      </c>
      <c r="AI5" s="422">
        <v>0</v>
      </c>
      <c r="AJ5" s="593">
        <v>0</v>
      </c>
      <c r="AK5" s="422">
        <v>0</v>
      </c>
      <c r="AL5" s="422">
        <v>0</v>
      </c>
      <c r="AM5" s="422">
        <v>0</v>
      </c>
      <c r="AN5" s="593">
        <v>0</v>
      </c>
      <c r="AP5" s="318" t="s">
        <v>137</v>
      </c>
      <c r="AQ5" s="319">
        <f>Georgiaalltestshistdrawn</f>
        <v>10</v>
      </c>
      <c r="AS5" s="318" t="s">
        <v>137</v>
      </c>
      <c r="AT5" s="319">
        <f>GeorgiaRWChistdrawn</f>
        <v>1</v>
      </c>
    </row>
    <row r="6" spans="1:46" ht="14.95" customHeight="1" thickBot="1" x14ac:dyDescent="0.35">
      <c r="A6" s="440" t="s">
        <v>399</v>
      </c>
      <c r="B6" s="424" t="s">
        <v>397</v>
      </c>
      <c r="C6" s="424" t="s">
        <v>122</v>
      </c>
      <c r="D6" s="424" t="s">
        <v>311</v>
      </c>
      <c r="E6" s="425" t="s">
        <v>1</v>
      </c>
      <c r="F6" s="425">
        <v>31</v>
      </c>
      <c r="G6" s="425">
        <v>7</v>
      </c>
      <c r="H6" s="425" t="s">
        <v>106</v>
      </c>
      <c r="I6" s="425" t="s">
        <v>106</v>
      </c>
      <c r="J6" s="425">
        <v>4</v>
      </c>
      <c r="K6" s="425">
        <v>3</v>
      </c>
      <c r="L6" s="425">
        <v>0</v>
      </c>
      <c r="M6" s="425">
        <v>1</v>
      </c>
      <c r="N6" s="425">
        <v>0</v>
      </c>
      <c r="O6" s="425">
        <v>0</v>
      </c>
      <c r="P6" s="425" t="s">
        <v>106</v>
      </c>
      <c r="Q6" s="425" t="s">
        <v>106</v>
      </c>
      <c r="R6" s="425">
        <v>1</v>
      </c>
      <c r="S6" s="426">
        <v>2600</v>
      </c>
      <c r="T6" s="438" t="s">
        <v>451</v>
      </c>
      <c r="U6" s="428" t="s">
        <v>452</v>
      </c>
      <c r="V6" s="426" t="s">
        <v>258</v>
      </c>
      <c r="W6" s="429" t="s">
        <v>453</v>
      </c>
      <c r="X6" s="430" t="s">
        <v>454</v>
      </c>
      <c r="Y6" s="590">
        <v>1</v>
      </c>
      <c r="Z6" s="590">
        <v>1</v>
      </c>
      <c r="AA6" s="590">
        <v>0</v>
      </c>
      <c r="AB6" s="591">
        <v>0</v>
      </c>
      <c r="AC6" s="590">
        <v>1</v>
      </c>
      <c r="AD6" s="590">
        <v>1</v>
      </c>
      <c r="AE6" s="590">
        <v>0</v>
      </c>
      <c r="AF6" s="591">
        <v>0</v>
      </c>
      <c r="AG6" s="590">
        <v>0</v>
      </c>
      <c r="AH6" s="590">
        <v>0</v>
      </c>
      <c r="AI6" s="590">
        <v>0</v>
      </c>
      <c r="AJ6" s="591">
        <v>0</v>
      </c>
      <c r="AK6" s="590">
        <v>0</v>
      </c>
      <c r="AL6" s="590">
        <v>0</v>
      </c>
      <c r="AM6" s="590">
        <v>0</v>
      </c>
      <c r="AN6" s="591">
        <v>0</v>
      </c>
      <c r="AP6" s="318" t="s">
        <v>132</v>
      </c>
      <c r="AQ6" s="319">
        <f>Georgiaalltestshistlost</f>
        <v>93</v>
      </c>
      <c r="AS6" s="318" t="s">
        <v>132</v>
      </c>
      <c r="AT6" s="319">
        <f>GeorgiaRWChistlost</f>
        <v>18</v>
      </c>
    </row>
    <row r="7" spans="1:46" ht="14.95" customHeight="1" thickBot="1" x14ac:dyDescent="0.35">
      <c r="A7" s="489" t="s">
        <v>455</v>
      </c>
      <c r="B7" s="465" t="s">
        <v>398</v>
      </c>
      <c r="C7" s="465" t="s">
        <v>124</v>
      </c>
      <c r="D7" s="465" t="s">
        <v>458</v>
      </c>
      <c r="E7" s="453" t="s">
        <v>1</v>
      </c>
      <c r="F7" s="453">
        <v>38</v>
      </c>
      <c r="G7" s="453">
        <v>11</v>
      </c>
      <c r="H7" s="453" t="s">
        <v>106</v>
      </c>
      <c r="I7" s="453" t="s">
        <v>106</v>
      </c>
      <c r="J7" s="453">
        <v>6</v>
      </c>
      <c r="K7" s="453">
        <v>4</v>
      </c>
      <c r="L7" s="453">
        <v>0</v>
      </c>
      <c r="M7" s="453">
        <v>0</v>
      </c>
      <c r="N7" s="453">
        <v>2</v>
      </c>
      <c r="O7" s="453">
        <v>0</v>
      </c>
      <c r="P7" s="453" t="s">
        <v>106</v>
      </c>
      <c r="Q7" s="453" t="s">
        <v>106</v>
      </c>
      <c r="R7" s="453">
        <v>1</v>
      </c>
      <c r="S7" s="466">
        <v>6000</v>
      </c>
      <c r="T7" s="469" t="s">
        <v>481</v>
      </c>
      <c r="U7" s="467" t="s">
        <v>377</v>
      </c>
      <c r="V7" s="466" t="s">
        <v>258</v>
      </c>
      <c r="W7" s="463" t="s">
        <v>482</v>
      </c>
      <c r="X7" s="468" t="s">
        <v>483</v>
      </c>
      <c r="Y7" s="611">
        <v>1</v>
      </c>
      <c r="Z7" s="611">
        <v>1</v>
      </c>
      <c r="AA7" s="611">
        <v>0</v>
      </c>
      <c r="AB7" s="525">
        <v>0</v>
      </c>
      <c r="AC7" s="611">
        <v>0</v>
      </c>
      <c r="AD7" s="611">
        <v>0</v>
      </c>
      <c r="AE7" s="611">
        <v>0</v>
      </c>
      <c r="AF7" s="525">
        <v>0</v>
      </c>
      <c r="AG7" s="611">
        <v>0</v>
      </c>
      <c r="AH7" s="611">
        <v>0</v>
      </c>
      <c r="AI7" s="611">
        <v>0</v>
      </c>
      <c r="AJ7" s="525">
        <v>0</v>
      </c>
      <c r="AK7" s="611">
        <v>1</v>
      </c>
      <c r="AL7" s="611">
        <v>1</v>
      </c>
      <c r="AM7" s="611">
        <v>0</v>
      </c>
      <c r="AN7" s="525">
        <v>0</v>
      </c>
      <c r="AP7" s="318" t="s">
        <v>138</v>
      </c>
      <c r="AQ7" s="319">
        <f>Georgiaalltestshistptsscored</f>
        <v>6405</v>
      </c>
      <c r="AS7" s="318" t="s">
        <v>138</v>
      </c>
      <c r="AT7" s="319">
        <f>GeorgiaRWChistptsscored</f>
        <v>326</v>
      </c>
    </row>
    <row r="8" spans="1:46" ht="14.95" customHeight="1" thickBot="1" x14ac:dyDescent="0.35">
      <c r="A8" s="440" t="s">
        <v>323</v>
      </c>
      <c r="B8" s="424" t="s">
        <v>45</v>
      </c>
      <c r="C8" s="424" t="s">
        <v>122</v>
      </c>
      <c r="D8" s="424" t="s">
        <v>646</v>
      </c>
      <c r="E8" s="425" t="s">
        <v>1</v>
      </c>
      <c r="F8" s="425">
        <v>56</v>
      </c>
      <c r="G8" s="425">
        <v>6</v>
      </c>
      <c r="H8" s="425" t="s">
        <v>106</v>
      </c>
      <c r="I8" s="425" t="s">
        <v>106</v>
      </c>
      <c r="J8" s="425">
        <v>8</v>
      </c>
      <c r="K8" s="425">
        <v>5</v>
      </c>
      <c r="L8" s="425">
        <v>0</v>
      </c>
      <c r="M8" s="425">
        <v>2</v>
      </c>
      <c r="N8" s="425">
        <v>1</v>
      </c>
      <c r="O8" s="425">
        <v>0</v>
      </c>
      <c r="P8" s="425" t="s">
        <v>106</v>
      </c>
      <c r="Q8" s="425" t="s">
        <v>106</v>
      </c>
      <c r="R8" s="425">
        <v>0</v>
      </c>
      <c r="S8" s="426">
        <v>10000</v>
      </c>
      <c r="T8" s="438" t="s">
        <v>763</v>
      </c>
      <c r="U8" s="428" t="s">
        <v>340</v>
      </c>
      <c r="V8" s="426" t="s">
        <v>363</v>
      </c>
      <c r="W8" s="429" t="s">
        <v>436</v>
      </c>
      <c r="X8" s="430" t="s">
        <v>452</v>
      </c>
      <c r="Y8" s="590">
        <v>1</v>
      </c>
      <c r="Z8" s="590">
        <v>1</v>
      </c>
      <c r="AA8" s="590">
        <v>0</v>
      </c>
      <c r="AB8" s="591">
        <v>0</v>
      </c>
      <c r="AC8" s="590">
        <v>1</v>
      </c>
      <c r="AD8" s="590">
        <v>1</v>
      </c>
      <c r="AE8" s="590">
        <v>0</v>
      </c>
      <c r="AF8" s="591">
        <v>0</v>
      </c>
      <c r="AG8" s="590">
        <v>0</v>
      </c>
      <c r="AH8" s="590">
        <v>0</v>
      </c>
      <c r="AI8" s="590">
        <v>0</v>
      </c>
      <c r="AJ8" s="591">
        <v>0</v>
      </c>
      <c r="AK8" s="590">
        <v>0</v>
      </c>
      <c r="AL8" s="590">
        <v>0</v>
      </c>
      <c r="AM8" s="590">
        <v>0</v>
      </c>
      <c r="AN8" s="591">
        <v>0</v>
      </c>
      <c r="AP8" s="318" t="s">
        <v>139</v>
      </c>
      <c r="AQ8" s="319">
        <f>Georgiaalltestshistptsagainst</f>
        <v>4905</v>
      </c>
      <c r="AS8" s="318" t="s">
        <v>139</v>
      </c>
      <c r="AT8" s="319">
        <f>GeorgiaRWChistptsagainst</f>
        <v>759</v>
      </c>
    </row>
    <row r="9" spans="1:46" ht="14.95" customHeight="1" thickBot="1" x14ac:dyDescent="0.35">
      <c r="A9" s="440" t="s">
        <v>324</v>
      </c>
      <c r="B9" s="424" t="s">
        <v>45</v>
      </c>
      <c r="C9" s="424" t="s">
        <v>60</v>
      </c>
      <c r="D9" s="424" t="s">
        <v>646</v>
      </c>
      <c r="E9" s="425" t="s">
        <v>1</v>
      </c>
      <c r="F9" s="425">
        <v>22</v>
      </c>
      <c r="G9" s="425">
        <v>7</v>
      </c>
      <c r="H9" s="425" t="s">
        <v>106</v>
      </c>
      <c r="I9" s="425" t="s">
        <v>106</v>
      </c>
      <c r="J9" s="425">
        <v>3</v>
      </c>
      <c r="K9" s="425">
        <v>2</v>
      </c>
      <c r="L9" s="425">
        <v>0</v>
      </c>
      <c r="M9" s="425">
        <v>1</v>
      </c>
      <c r="N9" s="425">
        <v>1</v>
      </c>
      <c r="O9" s="425">
        <v>0</v>
      </c>
      <c r="P9" s="425" t="s">
        <v>106</v>
      </c>
      <c r="Q9" s="425" t="s">
        <v>106</v>
      </c>
      <c r="R9" s="425">
        <v>1</v>
      </c>
      <c r="S9" s="426">
        <v>15000</v>
      </c>
      <c r="T9" s="438" t="s">
        <v>789</v>
      </c>
      <c r="U9" s="428" t="s">
        <v>433</v>
      </c>
      <c r="V9" s="426" t="s">
        <v>447</v>
      </c>
      <c r="W9" s="429" t="s">
        <v>749</v>
      </c>
      <c r="X9" s="430" t="s">
        <v>730</v>
      </c>
      <c r="Y9" s="590">
        <v>1</v>
      </c>
      <c r="Z9" s="590">
        <v>1</v>
      </c>
      <c r="AA9" s="590">
        <v>0</v>
      </c>
      <c r="AB9" s="591">
        <v>0</v>
      </c>
      <c r="AC9" s="590">
        <v>1</v>
      </c>
      <c r="AD9" s="590">
        <v>1</v>
      </c>
      <c r="AE9" s="590">
        <v>0</v>
      </c>
      <c r="AF9" s="591">
        <v>0</v>
      </c>
      <c r="AG9" s="590">
        <v>0</v>
      </c>
      <c r="AH9" s="590">
        <v>0</v>
      </c>
      <c r="AI9" s="590">
        <v>0</v>
      </c>
      <c r="AJ9" s="591">
        <v>0</v>
      </c>
      <c r="AK9" s="590">
        <v>0</v>
      </c>
      <c r="AL9" s="590">
        <v>0</v>
      </c>
      <c r="AM9" s="590">
        <v>0</v>
      </c>
      <c r="AN9" s="591">
        <v>0</v>
      </c>
      <c r="AP9" s="318" t="s">
        <v>129</v>
      </c>
      <c r="AQ9" s="319">
        <f>Georgiaalltestshisttriesscored</f>
        <v>787</v>
      </c>
      <c r="AS9" s="318" t="s">
        <v>129</v>
      </c>
      <c r="AT9" s="319">
        <f>GeorgiaRWChisttriesscored</f>
        <v>30</v>
      </c>
    </row>
    <row r="10" spans="1:46" ht="14.95" customHeight="1" thickBot="1" x14ac:dyDescent="0.35">
      <c r="A10" s="413" t="s">
        <v>325</v>
      </c>
      <c r="B10" s="398" t="s">
        <v>615</v>
      </c>
      <c r="C10" s="398" t="s">
        <v>35</v>
      </c>
      <c r="D10" s="398" t="s">
        <v>116</v>
      </c>
      <c r="E10" s="399" t="s">
        <v>3</v>
      </c>
      <c r="F10" s="399">
        <v>6</v>
      </c>
      <c r="G10" s="399">
        <v>33</v>
      </c>
      <c r="H10" s="399" t="s">
        <v>106</v>
      </c>
      <c r="I10" s="399" t="s">
        <v>106</v>
      </c>
      <c r="J10" s="399">
        <v>0</v>
      </c>
      <c r="K10" s="399">
        <v>0</v>
      </c>
      <c r="L10" s="399">
        <v>0</v>
      </c>
      <c r="M10" s="399">
        <v>2</v>
      </c>
      <c r="N10" s="399">
        <v>0</v>
      </c>
      <c r="O10" s="399">
        <v>0</v>
      </c>
      <c r="P10" s="399" t="s">
        <v>106</v>
      </c>
      <c r="Q10" s="399" t="s">
        <v>106</v>
      </c>
      <c r="R10" s="399">
        <v>5</v>
      </c>
      <c r="S10" s="406">
        <v>54212</v>
      </c>
      <c r="T10" s="527" t="s">
        <v>756</v>
      </c>
      <c r="U10" s="408" t="s">
        <v>364</v>
      </c>
      <c r="V10" s="406" t="s">
        <v>447</v>
      </c>
      <c r="W10" s="401" t="s">
        <v>365</v>
      </c>
      <c r="X10" s="409" t="s">
        <v>377</v>
      </c>
      <c r="Y10" s="404">
        <v>1</v>
      </c>
      <c r="Z10" s="404">
        <v>0</v>
      </c>
      <c r="AA10" s="404">
        <v>0</v>
      </c>
      <c r="AB10" s="405">
        <v>1</v>
      </c>
      <c r="AC10" s="404">
        <v>0</v>
      </c>
      <c r="AD10" s="404">
        <v>0</v>
      </c>
      <c r="AE10" s="404">
        <v>0</v>
      </c>
      <c r="AF10" s="405">
        <v>0</v>
      </c>
      <c r="AG10" s="404">
        <v>1</v>
      </c>
      <c r="AH10" s="404">
        <v>0</v>
      </c>
      <c r="AI10" s="404">
        <v>0</v>
      </c>
      <c r="AJ10" s="405">
        <v>1</v>
      </c>
      <c r="AK10" s="404">
        <v>0</v>
      </c>
      <c r="AL10" s="404">
        <v>0</v>
      </c>
      <c r="AM10" s="404">
        <v>0</v>
      </c>
      <c r="AN10" s="405">
        <v>0</v>
      </c>
    </row>
    <row r="11" spans="1:46" ht="14.95" customHeight="1" thickBot="1" x14ac:dyDescent="0.3">
      <c r="A11" s="464" t="s">
        <v>326</v>
      </c>
      <c r="B11" s="465" t="s">
        <v>198</v>
      </c>
      <c r="C11" s="465" t="s">
        <v>29</v>
      </c>
      <c r="D11" s="465" t="s">
        <v>112</v>
      </c>
      <c r="E11" s="453" t="s">
        <v>3</v>
      </c>
      <c r="F11" s="453">
        <v>15</v>
      </c>
      <c r="G11" s="453">
        <v>35</v>
      </c>
      <c r="H11" s="453">
        <v>0</v>
      </c>
      <c r="I11" s="453">
        <v>0</v>
      </c>
      <c r="J11" s="453">
        <v>2</v>
      </c>
      <c r="K11" s="453">
        <v>1</v>
      </c>
      <c r="L11" s="453">
        <v>0</v>
      </c>
      <c r="M11" s="453">
        <v>1</v>
      </c>
      <c r="N11" s="453">
        <v>1</v>
      </c>
      <c r="O11" s="453">
        <v>0</v>
      </c>
      <c r="P11" s="453">
        <v>1</v>
      </c>
      <c r="Q11" s="453">
        <v>0</v>
      </c>
      <c r="R11" s="453">
        <v>4</v>
      </c>
      <c r="S11" s="466">
        <v>75770</v>
      </c>
      <c r="T11" s="558" t="s">
        <v>724</v>
      </c>
      <c r="U11" s="467" t="s">
        <v>266</v>
      </c>
      <c r="V11" s="466" t="s">
        <v>347</v>
      </c>
      <c r="W11" s="463" t="s">
        <v>272</v>
      </c>
      <c r="X11" s="468" t="s">
        <v>414</v>
      </c>
      <c r="Y11" s="364">
        <v>1</v>
      </c>
      <c r="Z11" s="364">
        <v>0</v>
      </c>
      <c r="AA11" s="364">
        <v>0</v>
      </c>
      <c r="AB11" s="454">
        <v>1</v>
      </c>
      <c r="AC11" s="364">
        <v>0</v>
      </c>
      <c r="AD11" s="364">
        <v>0</v>
      </c>
      <c r="AE11" s="364">
        <v>0</v>
      </c>
      <c r="AF11" s="454">
        <v>0</v>
      </c>
      <c r="AG11" s="364">
        <v>0</v>
      </c>
      <c r="AH11" s="364">
        <v>0</v>
      </c>
      <c r="AI11" s="364">
        <v>0</v>
      </c>
      <c r="AJ11" s="454">
        <v>0</v>
      </c>
      <c r="AK11" s="364">
        <v>1</v>
      </c>
      <c r="AL11" s="364">
        <v>0</v>
      </c>
      <c r="AM11" s="364">
        <v>0</v>
      </c>
      <c r="AN11" s="454">
        <v>1</v>
      </c>
    </row>
    <row r="12" spans="1:46" ht="14.95" customHeight="1" thickBot="1" x14ac:dyDescent="0.35">
      <c r="A12" s="464" t="s">
        <v>328</v>
      </c>
      <c r="B12" s="465" t="s">
        <v>198</v>
      </c>
      <c r="C12" s="465" t="s">
        <v>124</v>
      </c>
      <c r="D12" s="465" t="s">
        <v>197</v>
      </c>
      <c r="E12" s="453" t="s">
        <v>2</v>
      </c>
      <c r="F12" s="453">
        <v>18</v>
      </c>
      <c r="G12" s="453">
        <v>18</v>
      </c>
      <c r="H12" s="453">
        <v>0</v>
      </c>
      <c r="I12" s="453">
        <v>0</v>
      </c>
      <c r="J12" s="453">
        <v>2</v>
      </c>
      <c r="K12" s="453">
        <v>1</v>
      </c>
      <c r="L12" s="453">
        <v>0</v>
      </c>
      <c r="M12" s="453">
        <v>2</v>
      </c>
      <c r="N12" s="453">
        <v>0</v>
      </c>
      <c r="O12" s="453">
        <v>0</v>
      </c>
      <c r="P12" s="453">
        <v>0</v>
      </c>
      <c r="Q12" s="453">
        <v>0</v>
      </c>
      <c r="R12" s="453">
        <v>2</v>
      </c>
      <c r="S12" s="466">
        <v>28700</v>
      </c>
      <c r="T12" s="495" t="s">
        <v>714</v>
      </c>
      <c r="U12" s="467" t="s">
        <v>269</v>
      </c>
      <c r="V12" s="466" t="s">
        <v>431</v>
      </c>
      <c r="W12" s="463" t="s">
        <v>278</v>
      </c>
      <c r="X12" s="468" t="s">
        <v>349</v>
      </c>
      <c r="Y12" s="364">
        <v>1</v>
      </c>
      <c r="Z12" s="364">
        <v>0</v>
      </c>
      <c r="AA12" s="364">
        <v>1</v>
      </c>
      <c r="AB12" s="454">
        <v>0</v>
      </c>
      <c r="AC12" s="364">
        <v>0</v>
      </c>
      <c r="AD12" s="364">
        <v>0</v>
      </c>
      <c r="AE12" s="364">
        <v>0</v>
      </c>
      <c r="AF12" s="454">
        <v>0</v>
      </c>
      <c r="AG12" s="364">
        <v>0</v>
      </c>
      <c r="AH12" s="364">
        <v>0</v>
      </c>
      <c r="AI12" s="364">
        <v>0</v>
      </c>
      <c r="AJ12" s="454">
        <v>0</v>
      </c>
      <c r="AK12" s="364">
        <v>1</v>
      </c>
      <c r="AL12" s="364">
        <v>0</v>
      </c>
      <c r="AM12" s="364">
        <v>1</v>
      </c>
      <c r="AN12" s="454">
        <v>0</v>
      </c>
    </row>
    <row r="13" spans="1:46" ht="14.95" customHeight="1" thickBot="1" x14ac:dyDescent="0.35">
      <c r="A13" s="464" t="s">
        <v>361</v>
      </c>
      <c r="B13" s="465" t="s">
        <v>198</v>
      </c>
      <c r="C13" s="465" t="s">
        <v>31</v>
      </c>
      <c r="D13" s="465" t="s">
        <v>228</v>
      </c>
      <c r="E13" s="453" t="s">
        <v>3</v>
      </c>
      <c r="F13" s="453">
        <v>12</v>
      </c>
      <c r="G13" s="453">
        <v>17</v>
      </c>
      <c r="H13" s="453">
        <v>0</v>
      </c>
      <c r="I13" s="453">
        <v>1</v>
      </c>
      <c r="J13" s="453">
        <v>0</v>
      </c>
      <c r="K13" s="453">
        <v>0</v>
      </c>
      <c r="L13" s="453">
        <v>0</v>
      </c>
      <c r="M13" s="453">
        <v>4</v>
      </c>
      <c r="N13" s="453">
        <v>0</v>
      </c>
      <c r="O13" s="453">
        <v>0</v>
      </c>
      <c r="P13" s="453">
        <v>0</v>
      </c>
      <c r="Q13" s="453">
        <v>0</v>
      </c>
      <c r="R13" s="453">
        <v>2</v>
      </c>
      <c r="S13" s="466">
        <v>39862</v>
      </c>
      <c r="T13" s="495" t="s">
        <v>925</v>
      </c>
      <c r="U13" s="467" t="s">
        <v>263</v>
      </c>
      <c r="V13" s="466" t="s">
        <v>264</v>
      </c>
      <c r="W13" s="463" t="s">
        <v>433</v>
      </c>
      <c r="X13" s="468" t="s">
        <v>467</v>
      </c>
      <c r="Y13" s="364">
        <v>1</v>
      </c>
      <c r="Z13" s="364">
        <v>0</v>
      </c>
      <c r="AA13" s="364">
        <v>0</v>
      </c>
      <c r="AB13" s="454">
        <v>1</v>
      </c>
      <c r="AC13" s="364">
        <v>0</v>
      </c>
      <c r="AD13" s="364">
        <v>0</v>
      </c>
      <c r="AE13" s="364">
        <v>0</v>
      </c>
      <c r="AF13" s="454">
        <v>0</v>
      </c>
      <c r="AG13" s="364">
        <v>0</v>
      </c>
      <c r="AH13" s="364">
        <v>0</v>
      </c>
      <c r="AI13" s="364">
        <v>0</v>
      </c>
      <c r="AJ13" s="454">
        <v>0</v>
      </c>
      <c r="AK13" s="364">
        <v>1</v>
      </c>
      <c r="AL13" s="364">
        <v>0</v>
      </c>
      <c r="AM13" s="364">
        <v>0</v>
      </c>
      <c r="AN13" s="454">
        <v>1</v>
      </c>
    </row>
    <row r="14" spans="1:46" ht="14.95" customHeight="1" thickBot="1" x14ac:dyDescent="0.3">
      <c r="A14" s="464" t="s">
        <v>329</v>
      </c>
      <c r="B14" s="465" t="s">
        <v>198</v>
      </c>
      <c r="C14" s="465" t="s">
        <v>32</v>
      </c>
      <c r="D14" s="465" t="s">
        <v>224</v>
      </c>
      <c r="E14" s="453" t="s">
        <v>3</v>
      </c>
      <c r="F14" s="453">
        <v>19</v>
      </c>
      <c r="G14" s="453">
        <v>43</v>
      </c>
      <c r="H14" s="453">
        <v>0</v>
      </c>
      <c r="I14" s="453">
        <v>0</v>
      </c>
      <c r="J14" s="453">
        <v>3</v>
      </c>
      <c r="K14" s="453">
        <v>2</v>
      </c>
      <c r="L14" s="453">
        <v>0</v>
      </c>
      <c r="M14" s="453">
        <v>0</v>
      </c>
      <c r="N14" s="453">
        <v>1</v>
      </c>
      <c r="O14" s="453">
        <v>0</v>
      </c>
      <c r="P14" s="453">
        <v>1</v>
      </c>
      <c r="Q14" s="453">
        <v>0</v>
      </c>
      <c r="R14" s="453">
        <v>6</v>
      </c>
      <c r="S14" s="466">
        <v>33580</v>
      </c>
      <c r="T14" s="558" t="s">
        <v>896</v>
      </c>
      <c r="U14" s="467" t="s">
        <v>364</v>
      </c>
      <c r="V14" s="466" t="s">
        <v>270</v>
      </c>
      <c r="W14" s="463" t="s">
        <v>942</v>
      </c>
      <c r="X14" s="468" t="s">
        <v>943</v>
      </c>
      <c r="Y14" s="364">
        <v>1</v>
      </c>
      <c r="Z14" s="364">
        <v>0</v>
      </c>
      <c r="AA14" s="364">
        <v>0</v>
      </c>
      <c r="AB14" s="454">
        <v>1</v>
      </c>
      <c r="AC14" s="364">
        <v>0</v>
      </c>
      <c r="AD14" s="364">
        <v>0</v>
      </c>
      <c r="AE14" s="364">
        <v>0</v>
      </c>
      <c r="AF14" s="454">
        <v>0</v>
      </c>
      <c r="AG14" s="364">
        <v>0</v>
      </c>
      <c r="AH14" s="364">
        <v>0</v>
      </c>
      <c r="AI14" s="364">
        <v>0</v>
      </c>
      <c r="AJ14" s="454">
        <v>0</v>
      </c>
      <c r="AK14" s="364">
        <v>1</v>
      </c>
      <c r="AL14" s="364">
        <v>0</v>
      </c>
      <c r="AM14" s="364">
        <v>0</v>
      </c>
      <c r="AN14" s="454">
        <v>1</v>
      </c>
    </row>
    <row r="15" spans="1:46" ht="14.95" customHeight="1" thickBot="1" x14ac:dyDescent="0.3">
      <c r="A15" s="266"/>
      <c r="B15" s="267"/>
      <c r="C15" s="997" t="s">
        <v>109</v>
      </c>
      <c r="D15" s="998"/>
      <c r="E15" s="999"/>
      <c r="F15" s="265">
        <f t="shared" ref="F15:R15" si="0">SUM(F3:F7)</f>
        <v>225</v>
      </c>
      <c r="G15" s="265">
        <f t="shared" si="0"/>
        <v>41</v>
      </c>
      <c r="H15" s="265">
        <f t="shared" si="0"/>
        <v>3</v>
      </c>
      <c r="I15" s="265">
        <f t="shared" si="0"/>
        <v>0</v>
      </c>
      <c r="J15" s="265">
        <f t="shared" si="0"/>
        <v>34</v>
      </c>
      <c r="K15" s="265">
        <f t="shared" si="0"/>
        <v>25</v>
      </c>
      <c r="L15" s="265">
        <f t="shared" si="0"/>
        <v>0</v>
      </c>
      <c r="M15" s="265">
        <f t="shared" si="0"/>
        <v>1</v>
      </c>
      <c r="N15" s="265">
        <f t="shared" si="0"/>
        <v>9</v>
      </c>
      <c r="O15" s="265">
        <f t="shared" si="0"/>
        <v>0</v>
      </c>
      <c r="P15" s="265">
        <f t="shared" si="0"/>
        <v>0</v>
      </c>
      <c r="Q15" s="265">
        <f t="shared" si="0"/>
        <v>0</v>
      </c>
      <c r="R15" s="265">
        <f t="shared" si="0"/>
        <v>5</v>
      </c>
      <c r="W15" s="262"/>
      <c r="X15" s="369" t="s">
        <v>187</v>
      </c>
      <c r="Y15" s="501">
        <f t="shared" ref="Y15:AN15" si="1">SUM(Y3:Y7)</f>
        <v>5</v>
      </c>
      <c r="Z15" s="501">
        <f t="shared" si="1"/>
        <v>5</v>
      </c>
      <c r="AA15" s="501">
        <f t="shared" si="1"/>
        <v>0</v>
      </c>
      <c r="AB15" s="501">
        <f t="shared" si="1"/>
        <v>0</v>
      </c>
      <c r="AC15" s="502">
        <f t="shared" si="1"/>
        <v>2</v>
      </c>
      <c r="AD15" s="502">
        <f t="shared" si="1"/>
        <v>2</v>
      </c>
      <c r="AE15" s="502">
        <f t="shared" si="1"/>
        <v>0</v>
      </c>
      <c r="AF15" s="502">
        <f t="shared" si="1"/>
        <v>0</v>
      </c>
      <c r="AG15" s="503">
        <f t="shared" si="1"/>
        <v>2</v>
      </c>
      <c r="AH15" s="503">
        <f t="shared" si="1"/>
        <v>2</v>
      </c>
      <c r="AI15" s="503">
        <f t="shared" si="1"/>
        <v>0</v>
      </c>
      <c r="AJ15" s="503">
        <f t="shared" si="1"/>
        <v>0</v>
      </c>
      <c r="AK15" s="501">
        <f t="shared" si="1"/>
        <v>1</v>
      </c>
      <c r="AL15" s="501">
        <f t="shared" si="1"/>
        <v>1</v>
      </c>
      <c r="AM15" s="501">
        <f t="shared" si="1"/>
        <v>0</v>
      </c>
      <c r="AN15" s="501">
        <f t="shared" si="1"/>
        <v>0</v>
      </c>
    </row>
    <row r="16" spans="1:46" ht="14.95" customHeight="1" thickBot="1" x14ac:dyDescent="0.3">
      <c r="A16" s="266"/>
      <c r="B16" s="267"/>
      <c r="C16" s="937" t="s">
        <v>166</v>
      </c>
      <c r="D16" s="938"/>
      <c r="E16" s="939"/>
      <c r="F16" s="472">
        <f>SUM(F8:F10)</f>
        <v>84</v>
      </c>
      <c r="G16" s="472">
        <f>SUM(G8:G10)</f>
        <v>46</v>
      </c>
      <c r="H16" s="472" t="s">
        <v>106</v>
      </c>
      <c r="I16" s="472" t="s">
        <v>106</v>
      </c>
      <c r="J16" s="472">
        <f t="shared" ref="J16:O16" si="2">SUM(J8:J10)</f>
        <v>11</v>
      </c>
      <c r="K16" s="472">
        <f t="shared" si="2"/>
        <v>7</v>
      </c>
      <c r="L16" s="472">
        <f t="shared" si="2"/>
        <v>0</v>
      </c>
      <c r="M16" s="472">
        <f t="shared" si="2"/>
        <v>5</v>
      </c>
      <c r="N16" s="472">
        <f t="shared" si="2"/>
        <v>2</v>
      </c>
      <c r="O16" s="472">
        <f t="shared" si="2"/>
        <v>0</v>
      </c>
      <c r="P16" s="472" t="s">
        <v>106</v>
      </c>
      <c r="Q16" s="472" t="s">
        <v>106</v>
      </c>
      <c r="R16" s="472">
        <f>SUM(R8:R10)</f>
        <v>6</v>
      </c>
      <c r="S16" s="473"/>
      <c r="T16" s="473"/>
      <c r="U16" s="473"/>
      <c r="V16" s="473"/>
      <c r="W16" s="474"/>
      <c r="X16" s="475" t="s">
        <v>166</v>
      </c>
      <c r="Y16" s="504">
        <f t="shared" ref="Y16:AN16" si="3">SUM(Y8:Y10)</f>
        <v>3</v>
      </c>
      <c r="Z16" s="505">
        <f t="shared" si="3"/>
        <v>2</v>
      </c>
      <c r="AA16" s="505">
        <f t="shared" si="3"/>
        <v>0</v>
      </c>
      <c r="AB16" s="505">
        <f t="shared" si="3"/>
        <v>1</v>
      </c>
      <c r="AC16" s="506">
        <f t="shared" si="3"/>
        <v>2</v>
      </c>
      <c r="AD16" s="506">
        <f t="shared" si="3"/>
        <v>2</v>
      </c>
      <c r="AE16" s="506">
        <f t="shared" si="3"/>
        <v>0</v>
      </c>
      <c r="AF16" s="506">
        <f t="shared" si="3"/>
        <v>0</v>
      </c>
      <c r="AG16" s="507">
        <f t="shared" si="3"/>
        <v>1</v>
      </c>
      <c r="AH16" s="507">
        <f t="shared" si="3"/>
        <v>0</v>
      </c>
      <c r="AI16" s="507">
        <f t="shared" si="3"/>
        <v>0</v>
      </c>
      <c r="AJ16" s="507">
        <f t="shared" si="3"/>
        <v>1</v>
      </c>
      <c r="AK16" s="505">
        <f t="shared" si="3"/>
        <v>0</v>
      </c>
      <c r="AL16" s="505">
        <f t="shared" si="3"/>
        <v>0</v>
      </c>
      <c r="AM16" s="505">
        <f t="shared" si="3"/>
        <v>0</v>
      </c>
      <c r="AN16" s="505">
        <f t="shared" si="3"/>
        <v>0</v>
      </c>
    </row>
    <row r="17" spans="1:40" ht="14.95" customHeight="1" thickBot="1" x14ac:dyDescent="0.3">
      <c r="A17" s="266"/>
      <c r="B17" s="267"/>
      <c r="C17" s="940" t="s">
        <v>625</v>
      </c>
      <c r="D17" s="941"/>
      <c r="E17" s="942"/>
      <c r="F17" s="708">
        <f t="shared" ref="F17:R17" si="4">SUM(F11:F14)</f>
        <v>64</v>
      </c>
      <c r="G17" s="708">
        <f t="shared" si="4"/>
        <v>113</v>
      </c>
      <c r="H17" s="708">
        <f t="shared" si="4"/>
        <v>0</v>
      </c>
      <c r="I17" s="708">
        <f t="shared" si="4"/>
        <v>1</v>
      </c>
      <c r="J17" s="708">
        <f t="shared" si="4"/>
        <v>7</v>
      </c>
      <c r="K17" s="708">
        <f t="shared" si="4"/>
        <v>4</v>
      </c>
      <c r="L17" s="708">
        <f t="shared" si="4"/>
        <v>0</v>
      </c>
      <c r="M17" s="708">
        <f t="shared" si="4"/>
        <v>7</v>
      </c>
      <c r="N17" s="708">
        <f t="shared" si="4"/>
        <v>2</v>
      </c>
      <c r="O17" s="708">
        <f t="shared" si="4"/>
        <v>0</v>
      </c>
      <c r="P17" s="708">
        <f t="shared" si="4"/>
        <v>2</v>
      </c>
      <c r="Q17" s="708">
        <f t="shared" si="4"/>
        <v>0</v>
      </c>
      <c r="R17" s="708">
        <f t="shared" si="4"/>
        <v>14</v>
      </c>
      <c r="S17" s="709"/>
      <c r="T17" s="709"/>
      <c r="U17" s="709"/>
      <c r="V17" s="709"/>
      <c r="W17" s="710"/>
      <c r="X17" s="711" t="s">
        <v>625</v>
      </c>
      <c r="Y17" s="771">
        <f t="shared" ref="Y17:AN17" si="5">SUM(Y11:Y14)</f>
        <v>4</v>
      </c>
      <c r="Z17" s="772">
        <f t="shared" si="5"/>
        <v>0</v>
      </c>
      <c r="AA17" s="772">
        <f t="shared" si="5"/>
        <v>1</v>
      </c>
      <c r="AB17" s="772">
        <f t="shared" si="5"/>
        <v>3</v>
      </c>
      <c r="AC17" s="773">
        <f t="shared" si="5"/>
        <v>0</v>
      </c>
      <c r="AD17" s="773">
        <f t="shared" si="5"/>
        <v>0</v>
      </c>
      <c r="AE17" s="773">
        <f t="shared" si="5"/>
        <v>0</v>
      </c>
      <c r="AF17" s="773">
        <f t="shared" si="5"/>
        <v>0</v>
      </c>
      <c r="AG17" s="774">
        <f t="shared" si="5"/>
        <v>0</v>
      </c>
      <c r="AH17" s="774">
        <f t="shared" si="5"/>
        <v>0</v>
      </c>
      <c r="AI17" s="774">
        <f t="shared" si="5"/>
        <v>0</v>
      </c>
      <c r="AJ17" s="774">
        <f t="shared" si="5"/>
        <v>0</v>
      </c>
      <c r="AK17" s="772">
        <f t="shared" si="5"/>
        <v>4</v>
      </c>
      <c r="AL17" s="772">
        <f t="shared" si="5"/>
        <v>0</v>
      </c>
      <c r="AM17" s="772">
        <f t="shared" si="5"/>
        <v>1</v>
      </c>
      <c r="AN17" s="772">
        <f t="shared" si="5"/>
        <v>3</v>
      </c>
    </row>
    <row r="18" spans="1:40" ht="14.95" customHeight="1" thickBot="1" x14ac:dyDescent="0.3">
      <c r="A18" s="266"/>
      <c r="B18" s="267"/>
      <c r="C18" s="940" t="s">
        <v>626</v>
      </c>
      <c r="D18" s="943"/>
      <c r="E18" s="944"/>
      <c r="F18" s="708">
        <v>0</v>
      </c>
      <c r="G18" s="708">
        <v>0</v>
      </c>
      <c r="H18" s="708">
        <v>0</v>
      </c>
      <c r="I18" s="708">
        <v>0</v>
      </c>
      <c r="J18" s="708">
        <v>0</v>
      </c>
      <c r="K18" s="708">
        <v>0</v>
      </c>
      <c r="L18" s="708">
        <v>0</v>
      </c>
      <c r="M18" s="708">
        <v>0</v>
      </c>
      <c r="N18" s="708">
        <v>0</v>
      </c>
      <c r="O18" s="708">
        <v>0</v>
      </c>
      <c r="P18" s="708">
        <v>0</v>
      </c>
      <c r="Q18" s="708">
        <v>0</v>
      </c>
      <c r="R18" s="708">
        <v>0</v>
      </c>
      <c r="S18" s="709"/>
      <c r="T18" s="709"/>
      <c r="U18" s="709"/>
      <c r="V18" s="709"/>
      <c r="W18" s="710"/>
      <c r="X18" s="711" t="s">
        <v>626</v>
      </c>
      <c r="Y18" s="771">
        <v>0</v>
      </c>
      <c r="Z18" s="772">
        <v>0</v>
      </c>
      <c r="AA18" s="772">
        <v>0</v>
      </c>
      <c r="AB18" s="772">
        <v>0</v>
      </c>
      <c r="AC18" s="773">
        <v>0</v>
      </c>
      <c r="AD18" s="773">
        <v>0</v>
      </c>
      <c r="AE18" s="773">
        <v>0</v>
      </c>
      <c r="AF18" s="773">
        <v>0</v>
      </c>
      <c r="AG18" s="774">
        <v>0</v>
      </c>
      <c r="AH18" s="774">
        <v>0</v>
      </c>
      <c r="AI18" s="774">
        <v>0</v>
      </c>
      <c r="AJ18" s="774">
        <v>0</v>
      </c>
      <c r="AK18" s="772">
        <v>0</v>
      </c>
      <c r="AL18" s="772">
        <v>0</v>
      </c>
      <c r="AM18" s="772">
        <v>0</v>
      </c>
      <c r="AN18" s="772">
        <v>0</v>
      </c>
    </row>
    <row r="19" spans="1:40" ht="14.95" customHeight="1" thickBot="1" x14ac:dyDescent="0.3">
      <c r="A19" s="266"/>
      <c r="B19" s="267"/>
      <c r="C19" s="940" t="s">
        <v>627</v>
      </c>
      <c r="D19" s="943"/>
      <c r="E19" s="944"/>
      <c r="F19" s="708">
        <f>SUM(F17+F18)</f>
        <v>64</v>
      </c>
      <c r="G19" s="708">
        <f t="shared" ref="G19:R19" si="6">SUM(G17+G18)</f>
        <v>113</v>
      </c>
      <c r="H19" s="708">
        <f t="shared" si="6"/>
        <v>0</v>
      </c>
      <c r="I19" s="708">
        <f t="shared" si="6"/>
        <v>1</v>
      </c>
      <c r="J19" s="708">
        <f t="shared" si="6"/>
        <v>7</v>
      </c>
      <c r="K19" s="708">
        <f t="shared" si="6"/>
        <v>4</v>
      </c>
      <c r="L19" s="708">
        <f t="shared" si="6"/>
        <v>0</v>
      </c>
      <c r="M19" s="708">
        <f t="shared" si="6"/>
        <v>7</v>
      </c>
      <c r="N19" s="708">
        <f t="shared" si="6"/>
        <v>2</v>
      </c>
      <c r="O19" s="708">
        <f t="shared" si="6"/>
        <v>0</v>
      </c>
      <c r="P19" s="708">
        <f t="shared" si="6"/>
        <v>2</v>
      </c>
      <c r="Q19" s="708">
        <f t="shared" si="6"/>
        <v>0</v>
      </c>
      <c r="R19" s="708">
        <f t="shared" si="6"/>
        <v>14</v>
      </c>
      <c r="S19" s="709"/>
      <c r="T19" s="709"/>
      <c r="U19" s="709"/>
      <c r="V19" s="709"/>
      <c r="W19" s="710"/>
      <c r="X19" s="711" t="s">
        <v>627</v>
      </c>
      <c r="Y19" s="771">
        <f t="shared" ref="Y19:AN19" si="7">SUM(Y17+Y18)</f>
        <v>4</v>
      </c>
      <c r="Z19" s="772">
        <f t="shared" si="7"/>
        <v>0</v>
      </c>
      <c r="AA19" s="772">
        <f t="shared" si="7"/>
        <v>1</v>
      </c>
      <c r="AB19" s="772">
        <f t="shared" si="7"/>
        <v>3</v>
      </c>
      <c r="AC19" s="773">
        <f t="shared" si="7"/>
        <v>0</v>
      </c>
      <c r="AD19" s="773">
        <f t="shared" si="7"/>
        <v>0</v>
      </c>
      <c r="AE19" s="773">
        <f t="shared" si="7"/>
        <v>0</v>
      </c>
      <c r="AF19" s="773">
        <f t="shared" si="7"/>
        <v>0</v>
      </c>
      <c r="AG19" s="774">
        <f t="shared" si="7"/>
        <v>0</v>
      </c>
      <c r="AH19" s="774">
        <f t="shared" si="7"/>
        <v>0</v>
      </c>
      <c r="AI19" s="774">
        <f t="shared" si="7"/>
        <v>0</v>
      </c>
      <c r="AJ19" s="774">
        <f t="shared" si="7"/>
        <v>0</v>
      </c>
      <c r="AK19" s="772">
        <f t="shared" si="7"/>
        <v>4</v>
      </c>
      <c r="AL19" s="772">
        <f t="shared" si="7"/>
        <v>0</v>
      </c>
      <c r="AM19" s="772">
        <f t="shared" si="7"/>
        <v>1</v>
      </c>
      <c r="AN19" s="772">
        <f t="shared" si="7"/>
        <v>3</v>
      </c>
    </row>
    <row r="20" spans="1:40" ht="14.95" customHeight="1" thickBot="1" x14ac:dyDescent="0.3">
      <c r="A20" s="266"/>
      <c r="B20" s="267"/>
      <c r="C20" s="946" t="s">
        <v>107</v>
      </c>
      <c r="D20" s="947"/>
      <c r="E20" s="948"/>
      <c r="F20" s="343">
        <f t="shared" ref="F20:R20" si="8">SUM(F3:F14)</f>
        <v>373</v>
      </c>
      <c r="G20" s="343">
        <f t="shared" si="8"/>
        <v>200</v>
      </c>
      <c r="H20" s="343">
        <f t="shared" si="8"/>
        <v>3</v>
      </c>
      <c r="I20" s="343">
        <f t="shared" si="8"/>
        <v>1</v>
      </c>
      <c r="J20" s="343">
        <f t="shared" si="8"/>
        <v>52</v>
      </c>
      <c r="K20" s="343">
        <f t="shared" si="8"/>
        <v>36</v>
      </c>
      <c r="L20" s="343">
        <f t="shared" si="8"/>
        <v>0</v>
      </c>
      <c r="M20" s="343">
        <f t="shared" si="8"/>
        <v>13</v>
      </c>
      <c r="N20" s="343">
        <f t="shared" si="8"/>
        <v>13</v>
      </c>
      <c r="O20" s="343">
        <f t="shared" si="8"/>
        <v>0</v>
      </c>
      <c r="P20" s="343">
        <f t="shared" si="8"/>
        <v>2</v>
      </c>
      <c r="Q20" s="343">
        <f t="shared" si="8"/>
        <v>0</v>
      </c>
      <c r="R20" s="343">
        <f t="shared" si="8"/>
        <v>25</v>
      </c>
      <c r="S20" s="340"/>
      <c r="T20" s="340"/>
      <c r="U20" s="340"/>
      <c r="V20" s="340"/>
      <c r="W20" s="13"/>
      <c r="X20" s="364" t="s">
        <v>107</v>
      </c>
      <c r="Y20" s="498">
        <f t="shared" ref="Y20:AN20" si="9">SUM(Y3:Y14)</f>
        <v>12</v>
      </c>
      <c r="Z20" s="498">
        <f t="shared" si="9"/>
        <v>7</v>
      </c>
      <c r="AA20" s="498">
        <f t="shared" si="9"/>
        <v>1</v>
      </c>
      <c r="AB20" s="498">
        <f t="shared" si="9"/>
        <v>4</v>
      </c>
      <c r="AC20" s="499">
        <f t="shared" si="9"/>
        <v>4</v>
      </c>
      <c r="AD20" s="499">
        <f t="shared" si="9"/>
        <v>4</v>
      </c>
      <c r="AE20" s="499">
        <f t="shared" si="9"/>
        <v>0</v>
      </c>
      <c r="AF20" s="499">
        <f t="shared" si="9"/>
        <v>0</v>
      </c>
      <c r="AG20" s="500">
        <f t="shared" si="9"/>
        <v>3</v>
      </c>
      <c r="AH20" s="500">
        <f t="shared" si="9"/>
        <v>2</v>
      </c>
      <c r="AI20" s="500">
        <f t="shared" si="9"/>
        <v>0</v>
      </c>
      <c r="AJ20" s="500">
        <f t="shared" si="9"/>
        <v>1</v>
      </c>
      <c r="AK20" s="498">
        <f t="shared" si="9"/>
        <v>5</v>
      </c>
      <c r="AL20" s="498">
        <f t="shared" si="9"/>
        <v>1</v>
      </c>
      <c r="AM20" s="498">
        <f t="shared" si="9"/>
        <v>1</v>
      </c>
      <c r="AN20" s="498">
        <f t="shared" si="9"/>
        <v>3</v>
      </c>
    </row>
    <row r="21" spans="1:40" ht="14.95" customHeight="1" x14ac:dyDescent="0.25">
      <c r="A21" s="266"/>
      <c r="B21" s="267"/>
      <c r="C21" s="677"/>
      <c r="D21" s="677"/>
      <c r="E21" s="677"/>
      <c r="F21" s="678"/>
      <c r="G21" s="678"/>
      <c r="H21" s="678"/>
      <c r="I21" s="678"/>
      <c r="J21" s="678"/>
      <c r="K21" s="678"/>
      <c r="L21" s="678"/>
      <c r="M21" s="678"/>
      <c r="N21" s="678"/>
      <c r="O21" s="678"/>
      <c r="P21" s="678"/>
      <c r="Q21" s="678"/>
      <c r="R21" s="678"/>
      <c r="S21" s="679"/>
      <c r="T21" s="679"/>
      <c r="U21" s="679"/>
      <c r="V21" s="679"/>
      <c r="W21" s="13"/>
      <c r="X21" s="13"/>
      <c r="Y21" s="680"/>
      <c r="Z21" s="680"/>
      <c r="AA21" s="680"/>
      <c r="AB21" s="680"/>
      <c r="AC21" s="680"/>
      <c r="AD21" s="680"/>
      <c r="AE21" s="680"/>
      <c r="AF21" s="680"/>
      <c r="AG21" s="680"/>
      <c r="AH21" s="680"/>
      <c r="AI21" s="680"/>
      <c r="AJ21" s="680"/>
      <c r="AK21" s="680"/>
      <c r="AL21" s="680"/>
      <c r="AM21" s="680"/>
      <c r="AN21" s="680"/>
    </row>
    <row r="22" spans="1:40" ht="14.95" customHeight="1" x14ac:dyDescent="0.25">
      <c r="A22" s="965" t="s">
        <v>312</v>
      </c>
      <c r="B22" s="886"/>
      <c r="C22" s="886"/>
      <c r="D22" s="886"/>
      <c r="E22" s="886"/>
      <c r="F22" s="886"/>
      <c r="G22" s="886"/>
      <c r="H22" s="886"/>
      <c r="I22" s="886"/>
      <c r="J22" s="886"/>
      <c r="K22" s="886"/>
      <c r="L22" s="886"/>
      <c r="M22" s="886"/>
      <c r="N22" s="886"/>
      <c r="O22" s="886"/>
      <c r="P22" s="886"/>
      <c r="Q22" s="886"/>
      <c r="R22" s="886"/>
    </row>
    <row r="23" spans="1:40" ht="14.95" customHeight="1" x14ac:dyDescent="0.25">
      <c r="A23" t="s">
        <v>459</v>
      </c>
      <c r="F23" s="14"/>
      <c r="G23" s="14"/>
      <c r="H23" s="13"/>
      <c r="I23" s="14"/>
      <c r="J23" s="14"/>
      <c r="K23" s="14"/>
      <c r="L23" s="14"/>
      <c r="M23" s="14"/>
      <c r="N23" s="14"/>
      <c r="O23" s="14"/>
      <c r="P23" s="14"/>
      <c r="Q23" s="14"/>
      <c r="R23" s="14"/>
    </row>
    <row r="24" spans="1:40" ht="14.95" customHeight="1" x14ac:dyDescent="0.25">
      <c r="A24" t="s">
        <v>647</v>
      </c>
      <c r="F24" s="14"/>
      <c r="G24" s="14"/>
      <c r="H24" s="13"/>
      <c r="I24" s="14"/>
      <c r="J24" s="14"/>
      <c r="K24" s="14"/>
      <c r="L24" s="14"/>
      <c r="M24" s="14"/>
      <c r="N24" s="14"/>
      <c r="O24" s="14"/>
      <c r="P24" s="14"/>
      <c r="Q24" s="14"/>
      <c r="R24" s="14"/>
    </row>
    <row r="25" spans="1:40" ht="14.95" customHeight="1" x14ac:dyDescent="0.25">
      <c r="A25" t="s">
        <v>648</v>
      </c>
    </row>
    <row r="26" spans="1:40" ht="14.95" customHeight="1" x14ac:dyDescent="0.25">
      <c r="A26" t="s">
        <v>252</v>
      </c>
    </row>
    <row r="27" spans="1:40" ht="14.95" customHeight="1" x14ac:dyDescent="0.25">
      <c r="A27" t="s">
        <v>672</v>
      </c>
    </row>
    <row r="28" spans="1:40" ht="14.95" customHeight="1" x14ac:dyDescent="0.25">
      <c r="A28" t="s">
        <v>640</v>
      </c>
    </row>
    <row r="29" spans="1:40" ht="14.95" customHeight="1" x14ac:dyDescent="0.25">
      <c r="A29" t="s">
        <v>450</v>
      </c>
    </row>
    <row r="30" spans="1:40" ht="14.95" customHeight="1" x14ac:dyDescent="0.25">
      <c r="A30" s="575"/>
      <c r="B30" t="s">
        <v>44</v>
      </c>
    </row>
    <row r="31" spans="1:40" ht="14.95" customHeight="1" x14ac:dyDescent="0.25">
      <c r="A31" s="576"/>
      <c r="B31" t="s">
        <v>42</v>
      </c>
    </row>
    <row r="32" spans="1:40" ht="14.95" customHeight="1" x14ac:dyDescent="0.25">
      <c r="A32" s="577"/>
      <c r="B32" t="s">
        <v>43</v>
      </c>
    </row>
    <row r="33" spans="1:1" ht="14.95" customHeight="1" x14ac:dyDescent="0.25">
      <c r="A33" s="15" t="s">
        <v>28</v>
      </c>
    </row>
  </sheetData>
  <mergeCells count="17">
    <mergeCell ref="C19:E19"/>
    <mergeCell ref="A22:R22"/>
    <mergeCell ref="Y1:AB1"/>
    <mergeCell ref="AC1:AF1"/>
    <mergeCell ref="AG1:AJ1"/>
    <mergeCell ref="AK1:AN1"/>
    <mergeCell ref="C20:E20"/>
    <mergeCell ref="N1:O1"/>
    <mergeCell ref="P1:R1"/>
    <mergeCell ref="A1:C1"/>
    <mergeCell ref="E1:G1"/>
    <mergeCell ref="H1:I1"/>
    <mergeCell ref="J1:M1"/>
    <mergeCell ref="C15:E15"/>
    <mergeCell ref="C16:E16"/>
    <mergeCell ref="C17:E17"/>
    <mergeCell ref="C18:E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9"/>
  <sheetViews>
    <sheetView topLeftCell="A158" workbookViewId="0">
      <selection activeCell="I174" sqref="I174"/>
    </sheetView>
  </sheetViews>
  <sheetFormatPr defaultRowHeight="14.3" x14ac:dyDescent="0.25"/>
  <cols>
    <col min="2" max="2" width="19" bestFit="1" customWidth="1"/>
    <col min="3" max="3" width="4.625" customWidth="1"/>
    <col min="4" max="4" width="4" bestFit="1" customWidth="1"/>
    <col min="5" max="5" width="19" customWidth="1"/>
    <col min="6" max="6" width="2.875" bestFit="1" customWidth="1"/>
    <col min="7" max="7" width="3" bestFit="1" customWidth="1"/>
    <col min="8" max="8" width="2" bestFit="1" customWidth="1"/>
    <col min="9" max="9" width="41.5" bestFit="1" customWidth="1"/>
    <col min="10" max="10" width="44.5" bestFit="1" customWidth="1"/>
    <col min="11" max="12" width="10.125" bestFit="1" customWidth="1"/>
  </cols>
  <sheetData>
    <row r="1" spans="1:12" x14ac:dyDescent="0.25">
      <c r="A1" s="515">
        <v>44961</v>
      </c>
      <c r="B1" s="246" t="s">
        <v>122</v>
      </c>
      <c r="C1" s="282">
        <v>67</v>
      </c>
      <c r="D1" s="526">
        <v>27</v>
      </c>
      <c r="E1" s="293" t="s">
        <v>285</v>
      </c>
      <c r="F1" s="283">
        <v>38</v>
      </c>
      <c r="G1" s="283">
        <v>10</v>
      </c>
      <c r="H1" s="294"/>
      <c r="I1" s="293" t="s">
        <v>283</v>
      </c>
      <c r="J1" t="s">
        <v>284</v>
      </c>
      <c r="K1" s="246"/>
      <c r="L1" s="246"/>
    </row>
    <row r="2" spans="1:12" x14ac:dyDescent="0.25">
      <c r="A2" s="515">
        <v>44961</v>
      </c>
      <c r="B2" s="246" t="s">
        <v>32</v>
      </c>
      <c r="C2" s="282">
        <v>10</v>
      </c>
      <c r="D2" s="526">
        <v>34</v>
      </c>
      <c r="E2" s="293" t="s">
        <v>39</v>
      </c>
      <c r="F2" s="283">
        <v>3</v>
      </c>
      <c r="G2" s="283">
        <v>27</v>
      </c>
      <c r="H2" s="294"/>
      <c r="I2" s="293" t="s">
        <v>184</v>
      </c>
      <c r="J2" t="s">
        <v>188</v>
      </c>
      <c r="K2" s="246"/>
      <c r="L2" s="246"/>
    </row>
    <row r="3" spans="1:12" x14ac:dyDescent="0.25">
      <c r="A3" s="515">
        <v>44961</v>
      </c>
      <c r="B3" s="246" t="s">
        <v>30</v>
      </c>
      <c r="C3" s="282">
        <v>23</v>
      </c>
      <c r="D3" s="526">
        <v>29</v>
      </c>
      <c r="E3" s="293" t="s">
        <v>35</v>
      </c>
      <c r="F3" s="283">
        <v>13</v>
      </c>
      <c r="G3" s="283">
        <v>12</v>
      </c>
      <c r="H3" s="294"/>
      <c r="I3" s="293" t="s">
        <v>184</v>
      </c>
      <c r="J3" t="s">
        <v>274</v>
      </c>
      <c r="K3" s="246"/>
      <c r="L3" s="246"/>
    </row>
    <row r="4" spans="1:12" x14ac:dyDescent="0.25">
      <c r="A4" s="515">
        <v>44961</v>
      </c>
      <c r="B4" s="246" t="s">
        <v>124</v>
      </c>
      <c r="C4" s="282">
        <v>54</v>
      </c>
      <c r="D4" s="526">
        <v>17</v>
      </c>
      <c r="E4" s="293" t="s">
        <v>286</v>
      </c>
      <c r="F4" s="283">
        <v>26</v>
      </c>
      <c r="G4" s="283">
        <v>10</v>
      </c>
      <c r="H4" s="294"/>
      <c r="I4" s="293" t="s">
        <v>283</v>
      </c>
      <c r="J4" t="s">
        <v>287</v>
      </c>
      <c r="K4" s="246"/>
      <c r="L4" s="246"/>
    </row>
    <row r="5" spans="1:12" x14ac:dyDescent="0.25">
      <c r="A5" s="515">
        <v>44962</v>
      </c>
      <c r="B5" s="246" t="s">
        <v>38</v>
      </c>
      <c r="C5" s="282">
        <v>75</v>
      </c>
      <c r="D5" s="526">
        <v>12</v>
      </c>
      <c r="E5" s="293" t="s">
        <v>290</v>
      </c>
      <c r="F5" s="283">
        <v>42</v>
      </c>
      <c r="G5" s="283">
        <v>0</v>
      </c>
      <c r="H5" s="294"/>
      <c r="I5" s="293" t="s">
        <v>283</v>
      </c>
      <c r="J5" t="s">
        <v>291</v>
      </c>
      <c r="K5" s="246"/>
      <c r="L5" s="246"/>
    </row>
    <row r="6" spans="1:12" x14ac:dyDescent="0.25">
      <c r="A6" s="515">
        <v>44962</v>
      </c>
      <c r="B6" s="246" t="s">
        <v>123</v>
      </c>
      <c r="C6" s="282">
        <v>28</v>
      </c>
      <c r="D6" s="526">
        <v>20</v>
      </c>
      <c r="E6" s="293" t="s">
        <v>288</v>
      </c>
      <c r="F6" s="283">
        <v>20</v>
      </c>
      <c r="G6" s="283">
        <v>6</v>
      </c>
      <c r="H6" s="294"/>
      <c r="I6" s="293" t="s">
        <v>283</v>
      </c>
      <c r="J6" t="s">
        <v>289</v>
      </c>
      <c r="K6" s="246"/>
      <c r="L6" s="246"/>
    </row>
    <row r="7" spans="1:12" x14ac:dyDescent="0.25">
      <c r="A7" s="515">
        <v>44962</v>
      </c>
      <c r="B7" s="246" t="s">
        <v>33</v>
      </c>
      <c r="C7" s="282">
        <v>24</v>
      </c>
      <c r="D7" s="526">
        <v>29</v>
      </c>
      <c r="E7" s="293" t="s">
        <v>34</v>
      </c>
      <c r="F7" s="283">
        <v>14</v>
      </c>
      <c r="G7" s="283">
        <v>19</v>
      </c>
      <c r="H7" s="294"/>
      <c r="I7" s="293" t="s">
        <v>184</v>
      </c>
      <c r="J7" t="s">
        <v>275</v>
      </c>
      <c r="K7" s="246"/>
      <c r="L7" s="246"/>
    </row>
    <row r="8" spans="1:12" x14ac:dyDescent="0.25">
      <c r="A8" s="515">
        <v>44967</v>
      </c>
      <c r="B8" s="246" t="s">
        <v>386</v>
      </c>
      <c r="C8" s="282">
        <v>12</v>
      </c>
      <c r="D8" s="526">
        <v>40</v>
      </c>
      <c r="E8" s="293" t="s">
        <v>387</v>
      </c>
      <c r="F8" s="283"/>
      <c r="G8" s="283"/>
      <c r="H8" s="294"/>
      <c r="I8" s="293" t="s">
        <v>388</v>
      </c>
      <c r="J8" t="s">
        <v>400</v>
      </c>
      <c r="K8" s="246"/>
      <c r="L8" s="246"/>
    </row>
    <row r="9" spans="1:12" x14ac:dyDescent="0.25">
      <c r="A9" s="515">
        <v>44968</v>
      </c>
      <c r="B9" s="246" t="s">
        <v>285</v>
      </c>
      <c r="C9" s="282">
        <v>3</v>
      </c>
      <c r="D9" s="526">
        <v>65</v>
      </c>
      <c r="E9" s="293" t="s">
        <v>124</v>
      </c>
      <c r="F9" s="283">
        <v>3</v>
      </c>
      <c r="G9" s="283">
        <v>29</v>
      </c>
      <c r="H9" s="294"/>
      <c r="I9" s="293" t="s">
        <v>283</v>
      </c>
      <c r="J9" t="s">
        <v>370</v>
      </c>
      <c r="K9" s="246"/>
      <c r="L9" s="246"/>
    </row>
    <row r="10" spans="1:12" x14ac:dyDescent="0.25">
      <c r="A10" s="515">
        <v>44968</v>
      </c>
      <c r="B10" s="246" t="s">
        <v>288</v>
      </c>
      <c r="C10" s="282">
        <v>8</v>
      </c>
      <c r="D10" s="526">
        <v>40</v>
      </c>
      <c r="E10" s="293" t="s">
        <v>38</v>
      </c>
      <c r="F10" s="283">
        <v>3</v>
      </c>
      <c r="G10" s="283">
        <v>12</v>
      </c>
      <c r="H10" s="294"/>
      <c r="I10" s="293" t="s">
        <v>283</v>
      </c>
      <c r="J10" t="s">
        <v>375</v>
      </c>
      <c r="K10" s="246"/>
      <c r="L10" s="246"/>
    </row>
    <row r="11" spans="1:12" x14ac:dyDescent="0.25">
      <c r="A11" s="515">
        <v>44968</v>
      </c>
      <c r="B11" s="246" t="s">
        <v>39</v>
      </c>
      <c r="C11" s="282">
        <v>32</v>
      </c>
      <c r="D11" s="526">
        <v>19</v>
      </c>
      <c r="E11" s="293" t="s">
        <v>34</v>
      </c>
      <c r="F11" s="283">
        <v>22</v>
      </c>
      <c r="G11" s="283">
        <v>16</v>
      </c>
      <c r="H11" s="294"/>
      <c r="I11" s="293" t="s">
        <v>184</v>
      </c>
      <c r="J11" t="s">
        <v>337</v>
      </c>
      <c r="K11" s="246"/>
      <c r="L11" s="246"/>
    </row>
    <row r="12" spans="1:12" x14ac:dyDescent="0.25">
      <c r="A12" s="515">
        <v>44968</v>
      </c>
      <c r="B12" s="246" t="s">
        <v>35</v>
      </c>
      <c r="C12" s="282">
        <v>35</v>
      </c>
      <c r="D12" s="526">
        <v>7</v>
      </c>
      <c r="E12" s="293" t="s">
        <v>32</v>
      </c>
      <c r="F12" s="283">
        <v>13</v>
      </c>
      <c r="G12" s="283">
        <v>7</v>
      </c>
      <c r="H12" s="294"/>
      <c r="I12" s="293" t="s">
        <v>184</v>
      </c>
      <c r="J12" t="s">
        <v>342</v>
      </c>
      <c r="K12" s="246"/>
      <c r="L12" s="246"/>
    </row>
    <row r="13" spans="1:12" x14ac:dyDescent="0.25">
      <c r="A13" s="515">
        <v>44968</v>
      </c>
      <c r="B13" s="246" t="s">
        <v>286</v>
      </c>
      <c r="C13" s="282">
        <v>5</v>
      </c>
      <c r="D13" s="526">
        <v>56</v>
      </c>
      <c r="E13" s="293" t="s">
        <v>122</v>
      </c>
      <c r="F13" s="283">
        <v>5</v>
      </c>
      <c r="G13" s="283">
        <v>21</v>
      </c>
      <c r="H13" s="294"/>
      <c r="I13" s="293" t="s">
        <v>283</v>
      </c>
      <c r="J13" t="s">
        <v>380</v>
      </c>
      <c r="K13" s="246"/>
      <c r="L13" s="246"/>
    </row>
    <row r="14" spans="1:12" x14ac:dyDescent="0.25">
      <c r="A14" s="515">
        <v>44969</v>
      </c>
      <c r="B14" s="246" t="s">
        <v>290</v>
      </c>
      <c r="C14" s="282">
        <v>14</v>
      </c>
      <c r="D14" s="526">
        <v>32</v>
      </c>
      <c r="E14" s="293" t="s">
        <v>123</v>
      </c>
      <c r="F14" s="283">
        <v>11</v>
      </c>
      <c r="G14" s="283">
        <v>19</v>
      </c>
      <c r="H14" s="294"/>
      <c r="I14" s="293" t="s">
        <v>283</v>
      </c>
      <c r="J14" t="s">
        <v>385</v>
      </c>
      <c r="K14" s="246"/>
      <c r="L14" s="246"/>
    </row>
    <row r="15" spans="1:12" x14ac:dyDescent="0.25">
      <c r="A15" s="515">
        <v>44969</v>
      </c>
      <c r="B15" s="246" t="s">
        <v>30</v>
      </c>
      <c r="C15" s="282">
        <v>31</v>
      </c>
      <c r="D15" s="526">
        <v>14</v>
      </c>
      <c r="E15" s="293" t="s">
        <v>33</v>
      </c>
      <c r="F15" s="283">
        <v>19</v>
      </c>
      <c r="G15" s="283">
        <v>0</v>
      </c>
      <c r="H15" s="294"/>
      <c r="I15" s="293" t="s">
        <v>184</v>
      </c>
      <c r="J15" t="s">
        <v>274</v>
      </c>
      <c r="K15" s="246"/>
      <c r="L15" s="246"/>
    </row>
    <row r="16" spans="1:12" x14ac:dyDescent="0.25">
      <c r="A16" s="515">
        <v>44975</v>
      </c>
      <c r="B16" s="246" t="s">
        <v>290</v>
      </c>
      <c r="C16" s="282">
        <v>29</v>
      </c>
      <c r="D16" s="526">
        <v>33</v>
      </c>
      <c r="E16" s="293" t="s">
        <v>288</v>
      </c>
      <c r="F16" s="283">
        <v>15</v>
      </c>
      <c r="G16" s="283">
        <v>26</v>
      </c>
      <c r="H16" s="294"/>
      <c r="I16" s="293" t="s">
        <v>283</v>
      </c>
      <c r="J16" t="s">
        <v>389</v>
      </c>
      <c r="K16" s="246"/>
      <c r="L16" s="246"/>
    </row>
    <row r="17" spans="1:12" x14ac:dyDescent="0.25">
      <c r="A17" s="515">
        <v>44975</v>
      </c>
      <c r="B17" s="246" t="s">
        <v>123</v>
      </c>
      <c r="C17" s="282">
        <v>3</v>
      </c>
      <c r="D17" s="526">
        <v>41</v>
      </c>
      <c r="E17" s="293" t="s">
        <v>38</v>
      </c>
      <c r="F17" s="283">
        <v>3</v>
      </c>
      <c r="G17" s="283">
        <v>22</v>
      </c>
      <c r="H17" s="294"/>
      <c r="I17" s="293" t="s">
        <v>283</v>
      </c>
      <c r="J17" t="s">
        <v>390</v>
      </c>
      <c r="K17" s="246"/>
      <c r="L17" s="246"/>
    </row>
    <row r="18" spans="1:12" x14ac:dyDescent="0.25">
      <c r="A18" s="515">
        <v>44975</v>
      </c>
      <c r="B18" s="246" t="s">
        <v>285</v>
      </c>
      <c r="C18" s="282">
        <v>21</v>
      </c>
      <c r="D18" s="526">
        <v>15</v>
      </c>
      <c r="E18" s="293" t="s">
        <v>286</v>
      </c>
      <c r="F18" s="283">
        <v>8</v>
      </c>
      <c r="G18" s="283">
        <v>3</v>
      </c>
      <c r="H18" s="294"/>
      <c r="I18" s="293" t="s">
        <v>283</v>
      </c>
      <c r="J18" t="s">
        <v>370</v>
      </c>
      <c r="K18" s="246"/>
      <c r="L18" s="246"/>
    </row>
    <row r="19" spans="1:12" x14ac:dyDescent="0.25">
      <c r="A19" s="515">
        <v>44976</v>
      </c>
      <c r="B19" s="246" t="s">
        <v>124</v>
      </c>
      <c r="C19" s="282">
        <v>38</v>
      </c>
      <c r="D19" s="526">
        <v>20</v>
      </c>
      <c r="E19" s="293" t="s">
        <v>122</v>
      </c>
      <c r="F19" s="283">
        <v>14</v>
      </c>
      <c r="G19" s="283">
        <v>10</v>
      </c>
      <c r="H19" s="294"/>
      <c r="I19" s="293" t="s">
        <v>283</v>
      </c>
      <c r="J19" t="s">
        <v>401</v>
      </c>
      <c r="K19" s="246"/>
      <c r="L19" s="246"/>
    </row>
    <row r="20" spans="1:12" x14ac:dyDescent="0.25">
      <c r="A20" s="515">
        <v>44982</v>
      </c>
      <c r="B20" s="246" t="s">
        <v>425</v>
      </c>
      <c r="C20" s="282">
        <v>111</v>
      </c>
      <c r="D20" s="526">
        <v>3</v>
      </c>
      <c r="E20" s="293" t="s">
        <v>426</v>
      </c>
      <c r="F20" s="283">
        <v>38</v>
      </c>
      <c r="G20" s="283">
        <v>3</v>
      </c>
      <c r="H20" s="294"/>
      <c r="I20" s="293" t="s">
        <v>427</v>
      </c>
      <c r="J20" t="s">
        <v>428</v>
      </c>
      <c r="K20" s="246"/>
      <c r="L20" s="246"/>
    </row>
    <row r="21" spans="1:12" x14ac:dyDescent="0.25">
      <c r="A21" s="515">
        <v>44982</v>
      </c>
      <c r="B21" s="246" t="s">
        <v>33</v>
      </c>
      <c r="C21" s="282">
        <v>20</v>
      </c>
      <c r="D21" s="526">
        <v>34</v>
      </c>
      <c r="E21" s="293" t="s">
        <v>39</v>
      </c>
      <c r="F21" s="283">
        <v>17</v>
      </c>
      <c r="G21" s="283">
        <v>24</v>
      </c>
      <c r="H21" s="294"/>
      <c r="I21" s="293" t="s">
        <v>184</v>
      </c>
      <c r="J21" t="s">
        <v>410</v>
      </c>
      <c r="K21" s="246"/>
      <c r="L21" s="246"/>
    </row>
    <row r="22" spans="1:12" x14ac:dyDescent="0.25">
      <c r="A22" s="515">
        <v>44982</v>
      </c>
      <c r="B22" s="246" t="s">
        <v>32</v>
      </c>
      <c r="C22" s="282">
        <v>10</v>
      </c>
      <c r="D22" s="294">
        <v>20</v>
      </c>
      <c r="E22" s="293" t="s">
        <v>30</v>
      </c>
      <c r="F22" s="283">
        <v>3</v>
      </c>
      <c r="G22" s="283">
        <v>8</v>
      </c>
      <c r="H22" s="294"/>
      <c r="I22" s="293" t="s">
        <v>184</v>
      </c>
      <c r="J22" t="s">
        <v>188</v>
      </c>
      <c r="K22" s="246"/>
      <c r="L22" s="246"/>
    </row>
    <row r="23" spans="1:12" x14ac:dyDescent="0.25">
      <c r="A23" s="515">
        <v>44983</v>
      </c>
      <c r="B23" s="246" t="s">
        <v>34</v>
      </c>
      <c r="C23" s="282">
        <v>32</v>
      </c>
      <c r="D23" s="294">
        <v>21</v>
      </c>
      <c r="E23" s="293" t="s">
        <v>35</v>
      </c>
      <c r="F23" s="283">
        <v>22</v>
      </c>
      <c r="G23" s="283">
        <v>7</v>
      </c>
      <c r="H23" s="294"/>
      <c r="I23" s="293" t="s">
        <v>184</v>
      </c>
      <c r="J23" t="s">
        <v>418</v>
      </c>
      <c r="K23" s="246"/>
      <c r="L23" s="246"/>
    </row>
    <row r="24" spans="1:12" x14ac:dyDescent="0.25">
      <c r="A24" s="515">
        <v>44989</v>
      </c>
      <c r="B24" s="246" t="s">
        <v>288</v>
      </c>
      <c r="C24" s="282">
        <v>31</v>
      </c>
      <c r="D24" s="294">
        <v>19</v>
      </c>
      <c r="E24" s="293" t="s">
        <v>286</v>
      </c>
      <c r="F24" s="283">
        <v>14</v>
      </c>
      <c r="G24" s="283">
        <v>7</v>
      </c>
      <c r="H24" s="294"/>
      <c r="I24" s="293" t="s">
        <v>444</v>
      </c>
      <c r="J24" t="s">
        <v>375</v>
      </c>
      <c r="K24" s="246"/>
      <c r="L24" s="246"/>
    </row>
    <row r="25" spans="1:12" x14ac:dyDescent="0.25">
      <c r="A25" s="515">
        <v>44989</v>
      </c>
      <c r="B25" s="246" t="s">
        <v>124</v>
      </c>
      <c r="C25" s="282">
        <v>27</v>
      </c>
      <c r="D25" s="294">
        <v>10</v>
      </c>
      <c r="E25" s="293" t="s">
        <v>123</v>
      </c>
      <c r="F25" s="283">
        <v>7</v>
      </c>
      <c r="G25" s="283">
        <v>10</v>
      </c>
      <c r="H25" s="294"/>
      <c r="I25" s="293" t="s">
        <v>445</v>
      </c>
      <c r="J25" t="s">
        <v>401</v>
      </c>
      <c r="K25" s="246"/>
      <c r="L25" s="246"/>
    </row>
    <row r="26" spans="1:12" x14ac:dyDescent="0.25">
      <c r="A26" s="515">
        <v>44990</v>
      </c>
      <c r="B26" s="246" t="s">
        <v>38</v>
      </c>
      <c r="C26" s="282">
        <v>31</v>
      </c>
      <c r="D26" s="294">
        <v>7</v>
      </c>
      <c r="E26" s="293" t="s">
        <v>122</v>
      </c>
      <c r="F26" s="283">
        <v>17</v>
      </c>
      <c r="G26" s="283">
        <v>0</v>
      </c>
      <c r="H26" s="294"/>
      <c r="I26" s="293" t="s">
        <v>445</v>
      </c>
      <c r="J26" t="s">
        <v>291</v>
      </c>
      <c r="K26" s="246"/>
      <c r="L26" s="246"/>
    </row>
    <row r="27" spans="1:12" x14ac:dyDescent="0.25">
      <c r="A27" s="515">
        <v>44990</v>
      </c>
      <c r="B27" s="246" t="s">
        <v>285</v>
      </c>
      <c r="C27" s="282">
        <v>18</v>
      </c>
      <c r="D27" s="294">
        <v>23</v>
      </c>
      <c r="E27" s="293" t="s">
        <v>290</v>
      </c>
      <c r="F27" s="283">
        <v>7</v>
      </c>
      <c r="G27" s="283">
        <v>10</v>
      </c>
      <c r="H27" s="294"/>
      <c r="I27" s="293" t="s">
        <v>444</v>
      </c>
      <c r="J27" t="s">
        <v>370</v>
      </c>
      <c r="K27" s="246"/>
      <c r="L27" s="246"/>
    </row>
    <row r="28" spans="1:12" x14ac:dyDescent="0.25">
      <c r="A28" s="515">
        <v>44996</v>
      </c>
      <c r="B28" s="246" t="s">
        <v>440</v>
      </c>
      <c r="C28" s="282">
        <v>32</v>
      </c>
      <c r="D28" s="294">
        <v>59</v>
      </c>
      <c r="E28" s="293" t="s">
        <v>441</v>
      </c>
      <c r="F28" s="283">
        <v>18</v>
      </c>
      <c r="G28" s="283">
        <v>33</v>
      </c>
      <c r="H28" s="294"/>
      <c r="I28" s="293" t="s">
        <v>442</v>
      </c>
      <c r="J28" t="s">
        <v>443</v>
      </c>
      <c r="K28" s="246"/>
      <c r="L28" s="246"/>
    </row>
    <row r="29" spans="1:12" x14ac:dyDescent="0.25">
      <c r="A29" s="515">
        <v>44996</v>
      </c>
      <c r="B29" s="246" t="s">
        <v>33</v>
      </c>
      <c r="C29" s="282">
        <v>17</v>
      </c>
      <c r="D29" s="294">
        <v>29</v>
      </c>
      <c r="E29" s="293" t="s">
        <v>32</v>
      </c>
      <c r="F29" s="283">
        <v>3</v>
      </c>
      <c r="G29" s="283">
        <v>22</v>
      </c>
      <c r="H29" s="293"/>
      <c r="I29" s="293" t="s">
        <v>184</v>
      </c>
      <c r="J29" t="s">
        <v>410</v>
      </c>
      <c r="K29" s="246"/>
      <c r="L29" s="246"/>
    </row>
    <row r="30" spans="1:12" x14ac:dyDescent="0.25">
      <c r="A30" s="515">
        <v>44996</v>
      </c>
      <c r="B30" s="246" t="s">
        <v>30</v>
      </c>
      <c r="C30" s="282">
        <v>10</v>
      </c>
      <c r="D30" s="294">
        <v>53</v>
      </c>
      <c r="E30" s="293" t="s">
        <v>34</v>
      </c>
      <c r="F30" s="283">
        <v>3</v>
      </c>
      <c r="G30" s="283">
        <v>27</v>
      </c>
      <c r="H30" s="294"/>
      <c r="I30" s="293" t="s">
        <v>184</v>
      </c>
      <c r="J30" t="s">
        <v>274</v>
      </c>
      <c r="K30" s="246"/>
      <c r="L30" s="246"/>
    </row>
    <row r="31" spans="1:12" x14ac:dyDescent="0.25">
      <c r="A31" s="515">
        <v>44997</v>
      </c>
      <c r="B31" s="246" t="s">
        <v>35</v>
      </c>
      <c r="C31" s="282">
        <v>7</v>
      </c>
      <c r="D31" s="294">
        <v>22</v>
      </c>
      <c r="E31" s="293" t="s">
        <v>39</v>
      </c>
      <c r="F31" s="283">
        <v>7</v>
      </c>
      <c r="G31" s="283">
        <v>8</v>
      </c>
      <c r="H31" s="294"/>
      <c r="I31" s="293" t="s">
        <v>184</v>
      </c>
      <c r="J31" t="s">
        <v>342</v>
      </c>
      <c r="K31" s="246"/>
      <c r="L31" s="246"/>
    </row>
    <row r="32" spans="1:12" x14ac:dyDescent="0.25">
      <c r="A32" s="515">
        <v>45003</v>
      </c>
      <c r="B32" s="246" t="s">
        <v>35</v>
      </c>
      <c r="C32" s="282">
        <v>26</v>
      </c>
      <c r="D32" s="294">
        <v>14</v>
      </c>
      <c r="E32" s="293" t="s">
        <v>33</v>
      </c>
      <c r="F32" s="283">
        <v>12</v>
      </c>
      <c r="G32" s="283">
        <v>6</v>
      </c>
      <c r="H32" s="294"/>
      <c r="I32" s="293" t="s">
        <v>184</v>
      </c>
      <c r="J32" t="s">
        <v>342</v>
      </c>
      <c r="K32" s="246"/>
      <c r="L32" s="246"/>
    </row>
    <row r="33" spans="1:12" x14ac:dyDescent="0.25">
      <c r="A33" s="515">
        <v>45003</v>
      </c>
      <c r="B33" s="246" t="s">
        <v>440</v>
      </c>
      <c r="C33" s="282">
        <v>38</v>
      </c>
      <c r="D33" s="294">
        <v>15</v>
      </c>
      <c r="E33" s="293" t="s">
        <v>479</v>
      </c>
      <c r="F33" s="283">
        <v>17</v>
      </c>
      <c r="G33" s="283">
        <v>3</v>
      </c>
      <c r="H33" s="294"/>
      <c r="I33" s="293" t="s">
        <v>442</v>
      </c>
      <c r="J33" t="s">
        <v>480</v>
      </c>
      <c r="K33" s="246"/>
      <c r="L33" s="246"/>
    </row>
    <row r="34" spans="1:12" x14ac:dyDescent="0.25">
      <c r="A34" s="515">
        <v>45003</v>
      </c>
      <c r="B34" s="246" t="s">
        <v>34</v>
      </c>
      <c r="C34" s="282">
        <v>41</v>
      </c>
      <c r="D34" s="294">
        <v>28</v>
      </c>
      <c r="E34" s="293" t="s">
        <v>32</v>
      </c>
      <c r="F34" s="283">
        <v>20</v>
      </c>
      <c r="G34" s="283">
        <v>7</v>
      </c>
      <c r="H34" s="294"/>
      <c r="I34" s="293" t="s">
        <v>184</v>
      </c>
      <c r="J34" t="s">
        <v>418</v>
      </c>
      <c r="K34" s="246"/>
      <c r="L34" s="246"/>
    </row>
    <row r="35" spans="1:12" x14ac:dyDescent="0.25">
      <c r="A35" s="515">
        <v>45003</v>
      </c>
      <c r="B35" s="246" t="s">
        <v>39</v>
      </c>
      <c r="C35" s="282">
        <v>29</v>
      </c>
      <c r="D35" s="294">
        <v>16</v>
      </c>
      <c r="E35" s="293" t="s">
        <v>30</v>
      </c>
      <c r="F35" s="293">
        <v>10</v>
      </c>
      <c r="G35" s="283">
        <v>6</v>
      </c>
      <c r="H35" s="293"/>
      <c r="I35" s="515" t="s">
        <v>184</v>
      </c>
      <c r="J35" s="515" t="s">
        <v>337</v>
      </c>
      <c r="K35" s="246"/>
      <c r="L35" s="246"/>
    </row>
    <row r="36" spans="1:12" x14ac:dyDescent="0.25">
      <c r="A36" s="515">
        <v>45004</v>
      </c>
      <c r="B36" s="246" t="s">
        <v>286</v>
      </c>
      <c r="C36" s="282">
        <v>18</v>
      </c>
      <c r="D36" s="294">
        <v>17</v>
      </c>
      <c r="E36" s="293" t="s">
        <v>285</v>
      </c>
      <c r="F36" s="517">
        <v>11</v>
      </c>
      <c r="G36" s="517">
        <v>10</v>
      </c>
      <c r="H36" s="294"/>
      <c r="I36" s="293" t="s">
        <v>472</v>
      </c>
      <c r="J36" t="s">
        <v>375</v>
      </c>
      <c r="K36" s="246"/>
      <c r="L36" s="246"/>
    </row>
    <row r="37" spans="1:12" x14ac:dyDescent="0.25">
      <c r="A37" s="515">
        <v>45004</v>
      </c>
      <c r="B37" s="246" t="s">
        <v>288</v>
      </c>
      <c r="C37" s="282">
        <v>50</v>
      </c>
      <c r="D37" s="294">
        <v>28</v>
      </c>
      <c r="E37" s="293" t="s">
        <v>290</v>
      </c>
      <c r="F37" s="517">
        <v>28</v>
      </c>
      <c r="G37" s="517">
        <v>0</v>
      </c>
      <c r="H37" s="294"/>
      <c r="I37" s="293" t="s">
        <v>473</v>
      </c>
      <c r="J37" t="s">
        <v>375</v>
      </c>
      <c r="K37" s="246"/>
      <c r="L37" s="246"/>
    </row>
    <row r="38" spans="1:12" x14ac:dyDescent="0.25">
      <c r="A38" s="515">
        <v>45004</v>
      </c>
      <c r="B38" s="246" t="s">
        <v>122</v>
      </c>
      <c r="C38" s="282">
        <v>31</v>
      </c>
      <c r="D38" s="294">
        <v>25</v>
      </c>
      <c r="E38" s="293" t="s">
        <v>123</v>
      </c>
      <c r="F38" s="517">
        <v>8</v>
      </c>
      <c r="G38" s="517">
        <v>10</v>
      </c>
      <c r="H38" s="294"/>
      <c r="I38" s="293" t="s">
        <v>475</v>
      </c>
      <c r="J38" t="s">
        <v>474</v>
      </c>
      <c r="K38" s="246"/>
      <c r="L38" s="246"/>
    </row>
    <row r="39" spans="1:12" x14ac:dyDescent="0.25">
      <c r="A39" s="515">
        <v>45004</v>
      </c>
      <c r="B39" s="246" t="s">
        <v>38</v>
      </c>
      <c r="C39" s="282">
        <v>38</v>
      </c>
      <c r="D39" s="294">
        <v>11</v>
      </c>
      <c r="E39" s="293" t="s">
        <v>124</v>
      </c>
      <c r="F39" s="517">
        <v>12</v>
      </c>
      <c r="G39" s="517">
        <v>11</v>
      </c>
      <c r="H39" s="294"/>
      <c r="I39" s="293" t="s">
        <v>478</v>
      </c>
      <c r="J39" t="s">
        <v>474</v>
      </c>
      <c r="K39" s="246"/>
      <c r="L39" s="246"/>
    </row>
    <row r="40" spans="1:12" x14ac:dyDescent="0.25">
      <c r="A40" s="515">
        <v>45010</v>
      </c>
      <c r="B40" s="246" t="s">
        <v>485</v>
      </c>
      <c r="C40" s="282">
        <v>37</v>
      </c>
      <c r="D40" s="294">
        <v>39</v>
      </c>
      <c r="E40" s="293" t="s">
        <v>486</v>
      </c>
      <c r="F40" s="517">
        <v>13</v>
      </c>
      <c r="G40" s="517">
        <v>5</v>
      </c>
      <c r="H40" s="294"/>
      <c r="I40" s="293" t="s">
        <v>442</v>
      </c>
      <c r="J40" t="s">
        <v>487</v>
      </c>
      <c r="K40" s="246"/>
      <c r="L40" s="246"/>
    </row>
    <row r="41" spans="1:12" x14ac:dyDescent="0.25">
      <c r="A41" s="515">
        <v>45010</v>
      </c>
      <c r="B41" s="293" t="s">
        <v>488</v>
      </c>
      <c r="C41" s="282">
        <v>41</v>
      </c>
      <c r="D41" s="294">
        <v>24</v>
      </c>
      <c r="E41" s="293" t="s">
        <v>489</v>
      </c>
      <c r="F41" s="517">
        <v>22</v>
      </c>
      <c r="G41" s="517">
        <v>0</v>
      </c>
      <c r="H41" s="294"/>
      <c r="I41" s="293" t="s">
        <v>490</v>
      </c>
      <c r="J41" t="s">
        <v>491</v>
      </c>
      <c r="K41" s="246"/>
      <c r="L41" s="246"/>
    </row>
    <row r="42" spans="1:12" x14ac:dyDescent="0.25">
      <c r="A42" s="515">
        <v>45017</v>
      </c>
      <c r="B42" s="293" t="s">
        <v>485</v>
      </c>
      <c r="C42" s="282">
        <v>15</v>
      </c>
      <c r="D42" s="294">
        <v>18</v>
      </c>
      <c r="E42" s="293" t="s">
        <v>479</v>
      </c>
      <c r="F42" s="517">
        <v>0</v>
      </c>
      <c r="G42" s="517">
        <v>0</v>
      </c>
      <c r="H42" s="294"/>
      <c r="I42" s="293" t="s">
        <v>442</v>
      </c>
      <c r="J42" t="s">
        <v>492</v>
      </c>
      <c r="K42" s="246"/>
      <c r="L42" s="246"/>
    </row>
    <row r="43" spans="1:12" x14ac:dyDescent="0.25">
      <c r="A43" s="515">
        <v>45017</v>
      </c>
      <c r="B43" s="293" t="s">
        <v>486</v>
      </c>
      <c r="C43" s="282">
        <v>22</v>
      </c>
      <c r="D43" s="294">
        <v>32</v>
      </c>
      <c r="E43" s="293" t="s">
        <v>441</v>
      </c>
      <c r="F43" s="517">
        <v>0</v>
      </c>
      <c r="G43" s="517">
        <v>0</v>
      </c>
      <c r="H43" s="294"/>
      <c r="I43" s="293" t="s">
        <v>442</v>
      </c>
      <c r="J43" t="s">
        <v>493</v>
      </c>
      <c r="K43" s="246"/>
      <c r="L43" s="246"/>
    </row>
    <row r="44" spans="1:12" x14ac:dyDescent="0.25">
      <c r="A44" s="515">
        <v>45038</v>
      </c>
      <c r="B44" s="293" t="s">
        <v>497</v>
      </c>
      <c r="C44" s="282">
        <v>50</v>
      </c>
      <c r="D44" s="294">
        <v>7</v>
      </c>
      <c r="E44" s="293" t="s">
        <v>498</v>
      </c>
      <c r="F44" s="517">
        <v>24</v>
      </c>
      <c r="G44" s="517">
        <v>0</v>
      </c>
      <c r="H44" s="294"/>
      <c r="I44" s="293" t="s">
        <v>490</v>
      </c>
      <c r="J44" t="s">
        <v>499</v>
      </c>
      <c r="K44" s="246"/>
      <c r="L44" s="246"/>
    </row>
    <row r="45" spans="1:12" x14ac:dyDescent="0.25">
      <c r="A45" s="515">
        <v>45038</v>
      </c>
      <c r="B45" s="293" t="s">
        <v>502</v>
      </c>
      <c r="C45" s="282">
        <v>23</v>
      </c>
      <c r="D45" s="294">
        <v>31</v>
      </c>
      <c r="E45" s="293" t="s">
        <v>503</v>
      </c>
      <c r="F45" s="517">
        <v>10</v>
      </c>
      <c r="G45" s="517">
        <v>28</v>
      </c>
      <c r="H45" s="294"/>
      <c r="I45" s="293" t="s">
        <v>520</v>
      </c>
      <c r="J45" t="s">
        <v>504</v>
      </c>
      <c r="K45" s="246"/>
      <c r="L45" s="246"/>
    </row>
    <row r="46" spans="1:12" x14ac:dyDescent="0.25">
      <c r="A46" s="515">
        <v>45045</v>
      </c>
      <c r="B46" s="293" t="s">
        <v>494</v>
      </c>
      <c r="C46" s="282">
        <v>7</v>
      </c>
      <c r="D46" s="294">
        <v>43</v>
      </c>
      <c r="E46" s="293" t="s">
        <v>495</v>
      </c>
      <c r="F46" s="517">
        <v>7</v>
      </c>
      <c r="G46" s="517">
        <v>29</v>
      </c>
      <c r="H46" s="294"/>
      <c r="I46" s="293" t="s">
        <v>519</v>
      </c>
      <c r="J46" t="s">
        <v>496</v>
      </c>
      <c r="K46" s="246"/>
      <c r="L46" s="246"/>
    </row>
    <row r="47" spans="1:12" x14ac:dyDescent="0.25">
      <c r="A47" s="515">
        <v>45045</v>
      </c>
      <c r="B47" s="293" t="s">
        <v>507</v>
      </c>
      <c r="C47" s="282">
        <v>12</v>
      </c>
      <c r="D47" s="294">
        <v>40</v>
      </c>
      <c r="E47" s="293" t="s">
        <v>508</v>
      </c>
      <c r="F47" s="517">
        <v>0</v>
      </c>
      <c r="G47" s="517">
        <v>29</v>
      </c>
      <c r="H47" s="294"/>
      <c r="I47" s="293" t="s">
        <v>521</v>
      </c>
      <c r="J47" t="s">
        <v>509</v>
      </c>
      <c r="K47" s="246"/>
      <c r="L47" s="246"/>
    </row>
    <row r="48" spans="1:12" x14ac:dyDescent="0.25">
      <c r="A48" s="515">
        <v>45045</v>
      </c>
      <c r="B48" s="293" t="s">
        <v>500</v>
      </c>
      <c r="C48" s="282">
        <v>39</v>
      </c>
      <c r="D48" s="294">
        <v>19</v>
      </c>
      <c r="E48" s="293" t="s">
        <v>498</v>
      </c>
      <c r="F48" s="517">
        <v>22</v>
      </c>
      <c r="G48" s="517">
        <v>7</v>
      </c>
      <c r="H48" s="294"/>
      <c r="I48" s="293" t="s">
        <v>490</v>
      </c>
      <c r="J48" t="s">
        <v>501</v>
      </c>
      <c r="K48" s="246"/>
      <c r="L48" s="246"/>
    </row>
    <row r="49" spans="1:12" x14ac:dyDescent="0.25">
      <c r="A49" s="515">
        <v>45045</v>
      </c>
      <c r="B49" s="293" t="s">
        <v>502</v>
      </c>
      <c r="C49" s="282">
        <v>26</v>
      </c>
      <c r="D49" s="294">
        <v>6</v>
      </c>
      <c r="E49" s="293" t="s">
        <v>505</v>
      </c>
      <c r="F49" s="517">
        <v>13</v>
      </c>
      <c r="G49" s="517">
        <v>6</v>
      </c>
      <c r="H49" s="294"/>
      <c r="I49" s="293" t="s">
        <v>520</v>
      </c>
      <c r="J49" t="s">
        <v>506</v>
      </c>
      <c r="K49" s="246"/>
      <c r="L49" s="246"/>
    </row>
    <row r="50" spans="1:12" x14ac:dyDescent="0.25">
      <c r="A50" s="515">
        <v>45051</v>
      </c>
      <c r="B50" s="293" t="s">
        <v>510</v>
      </c>
      <c r="C50" s="282">
        <v>5</v>
      </c>
      <c r="D50" s="294">
        <v>29</v>
      </c>
      <c r="E50" s="293" t="s">
        <v>511</v>
      </c>
      <c r="F50" s="517"/>
      <c r="G50" s="517"/>
      <c r="H50" s="294"/>
      <c r="I50" s="293" t="s">
        <v>512</v>
      </c>
      <c r="J50" t="s">
        <v>513</v>
      </c>
      <c r="K50" s="246"/>
      <c r="L50" s="246"/>
    </row>
    <row r="51" spans="1:12" x14ac:dyDescent="0.25">
      <c r="A51" s="515">
        <v>45052</v>
      </c>
      <c r="B51" s="293" t="s">
        <v>515</v>
      </c>
      <c r="C51" s="282">
        <v>21</v>
      </c>
      <c r="D51" s="294">
        <v>22</v>
      </c>
      <c r="E51" s="293" t="s">
        <v>516</v>
      </c>
      <c r="F51" s="517">
        <v>18</v>
      </c>
      <c r="G51" s="517">
        <v>10</v>
      </c>
      <c r="H51" s="294"/>
      <c r="I51" s="293" t="s">
        <v>519</v>
      </c>
      <c r="J51" t="s">
        <v>517</v>
      </c>
      <c r="K51" s="246"/>
      <c r="L51" s="246"/>
    </row>
    <row r="52" spans="1:12" x14ac:dyDescent="0.25">
      <c r="A52" s="515">
        <v>45059</v>
      </c>
      <c r="B52" s="293" t="s">
        <v>524</v>
      </c>
      <c r="C52" s="282">
        <v>26</v>
      </c>
      <c r="D52" s="294">
        <v>24</v>
      </c>
      <c r="E52" s="293" t="s">
        <v>525</v>
      </c>
      <c r="F52" s="517">
        <v>20</v>
      </c>
      <c r="G52" s="517">
        <v>3</v>
      </c>
      <c r="H52" s="294"/>
      <c r="I52" s="293" t="s">
        <v>521</v>
      </c>
      <c r="J52" t="s">
        <v>736</v>
      </c>
      <c r="K52" s="246"/>
      <c r="L52" s="246"/>
    </row>
    <row r="53" spans="1:12" x14ac:dyDescent="0.25">
      <c r="A53" s="515">
        <v>45059</v>
      </c>
      <c r="B53" s="293" t="s">
        <v>505</v>
      </c>
      <c r="C53" s="282">
        <v>10</v>
      </c>
      <c r="D53" s="294">
        <v>22</v>
      </c>
      <c r="E53" s="293" t="s">
        <v>522</v>
      </c>
      <c r="F53" s="517">
        <v>3</v>
      </c>
      <c r="G53" s="517">
        <v>10</v>
      </c>
      <c r="H53" s="294"/>
      <c r="I53" s="293" t="s">
        <v>520</v>
      </c>
      <c r="J53" t="s">
        <v>523</v>
      </c>
      <c r="K53" s="246"/>
      <c r="L53" s="246"/>
    </row>
    <row r="54" spans="1:12" x14ac:dyDescent="0.25">
      <c r="A54" s="515">
        <v>45059</v>
      </c>
      <c r="B54" s="293" t="s">
        <v>489</v>
      </c>
      <c r="C54" s="282">
        <v>35</v>
      </c>
      <c r="D54" s="294">
        <v>17</v>
      </c>
      <c r="E54" s="293" t="s">
        <v>500</v>
      </c>
      <c r="F54" s="517">
        <v>28</v>
      </c>
      <c r="G54" s="517">
        <v>10</v>
      </c>
      <c r="H54" s="294"/>
      <c r="I54" s="293" t="s">
        <v>490</v>
      </c>
      <c r="J54" t="s">
        <v>518</v>
      </c>
      <c r="K54" s="246"/>
      <c r="L54" s="246"/>
    </row>
    <row r="55" spans="1:12" x14ac:dyDescent="0.25">
      <c r="A55" s="515">
        <v>45072</v>
      </c>
      <c r="B55" s="293" t="s">
        <v>511</v>
      </c>
      <c r="C55" s="282">
        <v>0</v>
      </c>
      <c r="D55" s="294">
        <v>10</v>
      </c>
      <c r="E55" s="293" t="s">
        <v>510</v>
      </c>
      <c r="F55" s="517"/>
      <c r="G55" s="517"/>
      <c r="H55" s="294"/>
      <c r="I55" s="293" t="s">
        <v>512</v>
      </c>
      <c r="J55" t="s">
        <v>514</v>
      </c>
      <c r="K55" s="246"/>
      <c r="L55" s="246"/>
    </row>
    <row r="56" spans="1:12" x14ac:dyDescent="0.25">
      <c r="A56" s="515">
        <v>45080</v>
      </c>
      <c r="B56" s="293" t="s">
        <v>526</v>
      </c>
      <c r="C56" s="282">
        <v>35</v>
      </c>
      <c r="D56" s="294">
        <v>27</v>
      </c>
      <c r="E56" s="293" t="s">
        <v>527</v>
      </c>
      <c r="F56" s="517"/>
      <c r="G56" s="517"/>
      <c r="H56" s="294"/>
      <c r="I56" s="293" t="s">
        <v>512</v>
      </c>
      <c r="J56" t="s">
        <v>528</v>
      </c>
      <c r="K56" s="246"/>
      <c r="L56" s="246"/>
    </row>
    <row r="57" spans="1:12" x14ac:dyDescent="0.25">
      <c r="A57" s="515">
        <v>45115</v>
      </c>
      <c r="B57" s="293" t="s">
        <v>125</v>
      </c>
      <c r="C57" s="282">
        <v>43</v>
      </c>
      <c r="D57" s="294">
        <v>12</v>
      </c>
      <c r="E57" s="293" t="s">
        <v>29</v>
      </c>
      <c r="F57" s="517">
        <v>17</v>
      </c>
      <c r="G57" s="517">
        <v>5</v>
      </c>
      <c r="H57" s="294"/>
      <c r="I57" s="293" t="s">
        <v>529</v>
      </c>
      <c r="J57" t="s">
        <v>530</v>
      </c>
      <c r="K57" s="246"/>
      <c r="L57" s="246"/>
    </row>
    <row r="58" spans="1:12" x14ac:dyDescent="0.25">
      <c r="A58" s="515">
        <v>45115</v>
      </c>
      <c r="B58" s="293" t="s">
        <v>37</v>
      </c>
      <c r="C58" s="282">
        <v>12</v>
      </c>
      <c r="D58" s="294">
        <v>41</v>
      </c>
      <c r="E58" s="293" t="s">
        <v>544</v>
      </c>
      <c r="F58" s="517">
        <v>0</v>
      </c>
      <c r="G58" s="517">
        <v>31</v>
      </c>
      <c r="H58" s="294"/>
      <c r="I58" s="293" t="s">
        <v>529</v>
      </c>
      <c r="J58" t="s">
        <v>533</v>
      </c>
      <c r="K58" s="246"/>
      <c r="L58" s="246"/>
    </row>
    <row r="59" spans="1:12" x14ac:dyDescent="0.25">
      <c r="A59" s="515">
        <v>45122</v>
      </c>
      <c r="B59" s="293" t="s">
        <v>572</v>
      </c>
      <c r="C59" s="282">
        <v>35</v>
      </c>
      <c r="D59" s="294">
        <v>20</v>
      </c>
      <c r="E59" s="293" t="s">
        <v>125</v>
      </c>
      <c r="F59" s="517">
        <v>20</v>
      </c>
      <c r="G59" s="517">
        <v>3</v>
      </c>
      <c r="H59" s="294"/>
      <c r="I59" s="293" t="s">
        <v>529</v>
      </c>
      <c r="J59" t="s">
        <v>536</v>
      </c>
      <c r="K59" s="246"/>
      <c r="L59" s="246"/>
    </row>
    <row r="60" spans="1:12" x14ac:dyDescent="0.25">
      <c r="A60" s="515">
        <v>45122</v>
      </c>
      <c r="B60" s="293" t="s">
        <v>29</v>
      </c>
      <c r="C60" s="282">
        <v>31</v>
      </c>
      <c r="D60" s="294">
        <v>34</v>
      </c>
      <c r="E60" s="293" t="s">
        <v>37</v>
      </c>
      <c r="F60" s="517">
        <v>10</v>
      </c>
      <c r="G60" s="517">
        <v>10</v>
      </c>
      <c r="H60" s="294"/>
      <c r="I60" s="293" t="s">
        <v>529</v>
      </c>
      <c r="J60" t="s">
        <v>538</v>
      </c>
      <c r="K60" s="246"/>
      <c r="L60" s="246"/>
    </row>
    <row r="61" spans="1:12" x14ac:dyDescent="0.25">
      <c r="A61" s="515">
        <v>45129</v>
      </c>
      <c r="B61" s="293" t="s">
        <v>31</v>
      </c>
      <c r="C61" s="282">
        <v>36</v>
      </c>
      <c r="D61" s="294">
        <v>20</v>
      </c>
      <c r="E61" s="293" t="s">
        <v>118</v>
      </c>
      <c r="F61" s="517">
        <v>26</v>
      </c>
      <c r="G61" s="517">
        <v>15</v>
      </c>
      <c r="H61" s="294"/>
      <c r="I61" s="293" t="s">
        <v>594</v>
      </c>
      <c r="J61" t="s">
        <v>595</v>
      </c>
      <c r="K61" s="246"/>
      <c r="L61" s="246"/>
    </row>
    <row r="62" spans="1:12" x14ac:dyDescent="0.25">
      <c r="A62" s="515">
        <v>45129</v>
      </c>
      <c r="B62" s="293" t="s">
        <v>36</v>
      </c>
      <c r="C62" s="282">
        <v>22</v>
      </c>
      <c r="D62" s="294">
        <v>24</v>
      </c>
      <c r="E62" s="293" t="s">
        <v>119</v>
      </c>
      <c r="F62" s="517">
        <v>10</v>
      </c>
      <c r="G62" s="517">
        <v>10</v>
      </c>
      <c r="H62" s="294"/>
      <c r="I62" s="293" t="s">
        <v>594</v>
      </c>
      <c r="J62" t="s">
        <v>610</v>
      </c>
      <c r="K62" s="246"/>
      <c r="L62" s="246"/>
    </row>
    <row r="63" spans="1:12" x14ac:dyDescent="0.25">
      <c r="A63" s="515">
        <v>45136</v>
      </c>
      <c r="B63" s="293" t="s">
        <v>119</v>
      </c>
      <c r="C63" s="282">
        <v>19</v>
      </c>
      <c r="D63" s="294">
        <v>33</v>
      </c>
      <c r="E63" s="293" t="s">
        <v>31</v>
      </c>
      <c r="F63" s="517">
        <v>5</v>
      </c>
      <c r="G63" s="517">
        <v>27</v>
      </c>
      <c r="H63" s="294"/>
      <c r="I63" s="293" t="s">
        <v>594</v>
      </c>
      <c r="J63" t="s">
        <v>689</v>
      </c>
      <c r="K63" s="246"/>
      <c r="L63" s="246"/>
    </row>
    <row r="64" spans="1:12" x14ac:dyDescent="0.25">
      <c r="A64" s="515">
        <v>45136</v>
      </c>
      <c r="B64" s="293" t="s">
        <v>29</v>
      </c>
      <c r="C64" s="282">
        <v>7</v>
      </c>
      <c r="D64" s="294">
        <v>38</v>
      </c>
      <c r="E64" s="293" t="s">
        <v>126</v>
      </c>
      <c r="F64" s="517">
        <v>7</v>
      </c>
      <c r="G64" s="517">
        <v>19</v>
      </c>
      <c r="H64" s="294"/>
      <c r="I64" s="293" t="s">
        <v>733</v>
      </c>
      <c r="J64" t="s">
        <v>694</v>
      </c>
      <c r="K64" s="246"/>
      <c r="L64" s="246"/>
    </row>
    <row r="65" spans="1:12" x14ac:dyDescent="0.25">
      <c r="A65" s="515">
        <v>45136</v>
      </c>
      <c r="B65" s="293" t="s">
        <v>36</v>
      </c>
      <c r="C65" s="282">
        <v>21</v>
      </c>
      <c r="D65" s="294">
        <v>16</v>
      </c>
      <c r="E65" s="293" t="s">
        <v>118</v>
      </c>
      <c r="F65" s="517">
        <v>13</v>
      </c>
      <c r="G65" s="517">
        <v>5</v>
      </c>
      <c r="H65" s="294"/>
      <c r="I65" s="293" t="s">
        <v>594</v>
      </c>
      <c r="J65" t="s">
        <v>713</v>
      </c>
      <c r="K65" s="246"/>
      <c r="L65" s="246"/>
    </row>
    <row r="66" spans="1:12" x14ac:dyDescent="0.25">
      <c r="A66" s="515">
        <v>45136</v>
      </c>
      <c r="B66" s="293" t="s">
        <v>35</v>
      </c>
      <c r="C66" s="282">
        <v>25</v>
      </c>
      <c r="D66" s="294">
        <v>13</v>
      </c>
      <c r="E66" s="293" t="s">
        <v>33</v>
      </c>
      <c r="F66" s="517">
        <v>5</v>
      </c>
      <c r="G66" s="517">
        <v>6</v>
      </c>
      <c r="H66" s="294"/>
      <c r="I66" s="293" t="s">
        <v>708</v>
      </c>
      <c r="J66" t="s">
        <v>709</v>
      </c>
      <c r="K66" s="246"/>
      <c r="L66" s="246"/>
    </row>
    <row r="67" spans="1:12" x14ac:dyDescent="0.25">
      <c r="A67" s="515">
        <v>45136</v>
      </c>
      <c r="B67" s="293" t="s">
        <v>125</v>
      </c>
      <c r="C67" s="282">
        <v>22</v>
      </c>
      <c r="D67" s="294">
        <v>21</v>
      </c>
      <c r="E67" s="293" t="s">
        <v>37</v>
      </c>
      <c r="F67" s="517">
        <v>15</v>
      </c>
      <c r="G67" s="517">
        <v>9</v>
      </c>
      <c r="H67" s="294"/>
      <c r="I67" s="293" t="s">
        <v>529</v>
      </c>
      <c r="J67" t="s">
        <v>702</v>
      </c>
      <c r="K67" s="246"/>
      <c r="L67" s="246"/>
    </row>
    <row r="68" spans="1:12" x14ac:dyDescent="0.25">
      <c r="A68" s="515">
        <v>45136</v>
      </c>
      <c r="B68" s="293" t="s">
        <v>105</v>
      </c>
      <c r="C68" s="282">
        <v>26</v>
      </c>
      <c r="D68" s="294">
        <v>25</v>
      </c>
      <c r="E68" s="293" t="s">
        <v>192</v>
      </c>
      <c r="F68" s="517">
        <v>19</v>
      </c>
      <c r="G68" s="517">
        <v>6</v>
      </c>
      <c r="H68" s="294"/>
      <c r="I68" s="293" t="s">
        <v>512</v>
      </c>
      <c r="J68" t="s">
        <v>716</v>
      </c>
      <c r="K68" s="246"/>
      <c r="L68" s="246"/>
    </row>
    <row r="69" spans="1:12" x14ac:dyDescent="0.25">
      <c r="A69" s="515">
        <v>45143</v>
      </c>
      <c r="B69" s="293" t="s">
        <v>119</v>
      </c>
      <c r="C69" s="282">
        <v>34</v>
      </c>
      <c r="D69" s="294">
        <v>9</v>
      </c>
      <c r="E69" s="293" t="s">
        <v>118</v>
      </c>
      <c r="F69" s="517">
        <v>13</v>
      </c>
      <c r="G69" s="517">
        <v>9</v>
      </c>
      <c r="H69" s="294"/>
      <c r="I69" s="293" t="s">
        <v>594</v>
      </c>
      <c r="J69" t="s">
        <v>689</v>
      </c>
      <c r="K69" s="246"/>
      <c r="L69" s="246"/>
    </row>
    <row r="70" spans="1:12" x14ac:dyDescent="0.25">
      <c r="A70" s="515">
        <v>45143</v>
      </c>
      <c r="B70" s="293" t="s">
        <v>572</v>
      </c>
      <c r="C70" s="282">
        <v>23</v>
      </c>
      <c r="D70" s="294">
        <v>20</v>
      </c>
      <c r="E70" s="293" t="s">
        <v>29</v>
      </c>
      <c r="F70" s="517">
        <v>3</v>
      </c>
      <c r="G70" s="517">
        <v>17</v>
      </c>
      <c r="H70" s="294"/>
      <c r="I70" s="293" t="s">
        <v>734</v>
      </c>
      <c r="J70" t="s">
        <v>735</v>
      </c>
      <c r="K70" s="246"/>
      <c r="L70" s="246"/>
    </row>
    <row r="71" spans="1:12" x14ac:dyDescent="0.25">
      <c r="A71" s="515">
        <v>45143</v>
      </c>
      <c r="B71" s="293" t="s">
        <v>36</v>
      </c>
      <c r="C71" s="282">
        <v>12</v>
      </c>
      <c r="D71" s="294">
        <v>35</v>
      </c>
      <c r="E71" s="293" t="s">
        <v>31</v>
      </c>
      <c r="F71" s="517">
        <v>0</v>
      </c>
      <c r="G71" s="517">
        <v>21</v>
      </c>
      <c r="H71" s="294"/>
      <c r="I71" s="293" t="s">
        <v>594</v>
      </c>
      <c r="J71" t="s">
        <v>739</v>
      </c>
      <c r="K71" s="246"/>
      <c r="L71" s="246"/>
    </row>
    <row r="72" spans="1:12" x14ac:dyDescent="0.25">
      <c r="A72" s="515">
        <v>45143</v>
      </c>
      <c r="B72" s="293" t="s">
        <v>35</v>
      </c>
      <c r="C72" s="282">
        <v>25</v>
      </c>
      <c r="D72" s="294">
        <v>21</v>
      </c>
      <c r="E72" s="293" t="s">
        <v>34</v>
      </c>
      <c r="F72" s="517">
        <v>3</v>
      </c>
      <c r="G72" s="517">
        <v>21</v>
      </c>
      <c r="H72" s="294"/>
      <c r="I72" s="293" t="s">
        <v>708</v>
      </c>
      <c r="J72" t="s">
        <v>709</v>
      </c>
      <c r="K72" s="246"/>
      <c r="L72" s="246"/>
    </row>
    <row r="73" spans="1:12" x14ac:dyDescent="0.25">
      <c r="A73" s="515">
        <v>45143</v>
      </c>
      <c r="B73" s="293" t="s">
        <v>32</v>
      </c>
      <c r="C73" s="282">
        <v>20</v>
      </c>
      <c r="D73" s="294">
        <v>9</v>
      </c>
      <c r="E73" s="293" t="s">
        <v>30</v>
      </c>
      <c r="F73" s="517">
        <v>6</v>
      </c>
      <c r="G73" s="517">
        <v>9</v>
      </c>
      <c r="H73" s="294"/>
      <c r="I73" s="293" t="s">
        <v>708</v>
      </c>
      <c r="J73" t="s">
        <v>188</v>
      </c>
      <c r="K73" s="246"/>
      <c r="L73" s="246"/>
    </row>
    <row r="74" spans="1:12" x14ac:dyDescent="0.25">
      <c r="A74" s="515">
        <v>45143</v>
      </c>
      <c r="B74" s="293" t="s">
        <v>122</v>
      </c>
      <c r="C74" s="282">
        <v>17</v>
      </c>
      <c r="D74" s="294">
        <v>31</v>
      </c>
      <c r="E74" s="293" t="s">
        <v>60</v>
      </c>
      <c r="F74" s="517">
        <v>0</v>
      </c>
      <c r="G74" s="517">
        <v>19</v>
      </c>
      <c r="H74" s="294"/>
      <c r="I74" s="293" t="s">
        <v>512</v>
      </c>
      <c r="J74" t="s">
        <v>284</v>
      </c>
      <c r="K74" s="246"/>
      <c r="L74" s="246"/>
    </row>
    <row r="75" spans="1:12" x14ac:dyDescent="0.25">
      <c r="A75" s="515">
        <v>45143</v>
      </c>
      <c r="B75" s="293" t="s">
        <v>105</v>
      </c>
      <c r="C75" s="282">
        <v>26</v>
      </c>
      <c r="D75" s="294">
        <v>18</v>
      </c>
      <c r="E75" s="293" t="s">
        <v>121</v>
      </c>
      <c r="F75" s="517">
        <v>12</v>
      </c>
      <c r="G75" s="517">
        <v>8</v>
      </c>
      <c r="H75" s="294"/>
      <c r="I75" s="293" t="s">
        <v>512</v>
      </c>
      <c r="J75" t="s">
        <v>716</v>
      </c>
      <c r="K75" s="246"/>
      <c r="L75" s="246"/>
    </row>
    <row r="76" spans="1:12" x14ac:dyDescent="0.25">
      <c r="A76" s="515">
        <v>45143</v>
      </c>
      <c r="B76" s="293" t="s">
        <v>39</v>
      </c>
      <c r="C76" s="282">
        <v>33</v>
      </c>
      <c r="D76" s="294">
        <v>17</v>
      </c>
      <c r="E76" s="293" t="s">
        <v>33</v>
      </c>
      <c r="F76" s="517">
        <v>21</v>
      </c>
      <c r="G76" s="517">
        <v>3</v>
      </c>
      <c r="H76" s="294"/>
      <c r="I76" s="293" t="s">
        <v>708</v>
      </c>
      <c r="J76" t="s">
        <v>337</v>
      </c>
      <c r="K76" s="246"/>
      <c r="L76" s="246"/>
    </row>
    <row r="77" spans="1:12" x14ac:dyDescent="0.25">
      <c r="A77" s="515">
        <v>45143</v>
      </c>
      <c r="B77" s="293" t="s">
        <v>37</v>
      </c>
      <c r="C77" s="282">
        <v>13</v>
      </c>
      <c r="D77" s="294">
        <v>24</v>
      </c>
      <c r="E77" s="293" t="s">
        <v>125</v>
      </c>
      <c r="F77" s="517">
        <v>10</v>
      </c>
      <c r="G77" s="517">
        <v>3</v>
      </c>
      <c r="H77" s="294"/>
      <c r="I77" s="293" t="s">
        <v>512</v>
      </c>
      <c r="J77" t="s">
        <v>745</v>
      </c>
      <c r="K77" s="246"/>
      <c r="L77" s="246"/>
    </row>
    <row r="78" spans="1:12" x14ac:dyDescent="0.25">
      <c r="A78" s="515">
        <v>45148</v>
      </c>
      <c r="B78" s="293" t="s">
        <v>118</v>
      </c>
      <c r="C78" s="282">
        <v>28</v>
      </c>
      <c r="D78" s="294">
        <v>3</v>
      </c>
      <c r="E78" s="293" t="s">
        <v>40</v>
      </c>
      <c r="F78" s="517">
        <v>14</v>
      </c>
      <c r="G78" s="517">
        <v>3</v>
      </c>
      <c r="H78" s="294"/>
      <c r="I78" s="293" t="s">
        <v>771</v>
      </c>
      <c r="J78" t="s">
        <v>772</v>
      </c>
      <c r="K78" s="246"/>
      <c r="L78" s="246"/>
    </row>
    <row r="79" spans="1:12" x14ac:dyDescent="0.25">
      <c r="A79" s="515">
        <v>45150</v>
      </c>
      <c r="B79" s="293" t="s">
        <v>38</v>
      </c>
      <c r="C79" s="282">
        <v>56</v>
      </c>
      <c r="D79" s="294">
        <v>6</v>
      </c>
      <c r="E79" s="293" t="s">
        <v>122</v>
      </c>
      <c r="F79" s="517">
        <v>25</v>
      </c>
      <c r="G79" s="517">
        <v>6</v>
      </c>
      <c r="H79" s="294"/>
      <c r="I79" s="293" t="s">
        <v>512</v>
      </c>
      <c r="J79" t="s">
        <v>762</v>
      </c>
      <c r="K79" s="246"/>
      <c r="L79" s="246"/>
    </row>
    <row r="80" spans="1:12" x14ac:dyDescent="0.25">
      <c r="A80" s="515">
        <v>45150</v>
      </c>
      <c r="B80" s="293" t="s">
        <v>30</v>
      </c>
      <c r="C80" s="282">
        <v>19</v>
      </c>
      <c r="D80" s="294">
        <v>17</v>
      </c>
      <c r="E80" s="293" t="s">
        <v>32</v>
      </c>
      <c r="F80" s="517">
        <v>6</v>
      </c>
      <c r="G80" s="517">
        <v>0</v>
      </c>
      <c r="H80" s="294"/>
      <c r="I80" s="293" t="s">
        <v>708</v>
      </c>
      <c r="J80" t="s">
        <v>274</v>
      </c>
      <c r="K80" s="246"/>
      <c r="L80" s="246"/>
    </row>
    <row r="81" spans="1:12" x14ac:dyDescent="0.25">
      <c r="A81" s="515">
        <v>45150</v>
      </c>
      <c r="B81" s="293" t="s">
        <v>34</v>
      </c>
      <c r="C81" s="282">
        <v>30</v>
      </c>
      <c r="D81" s="294">
        <v>27</v>
      </c>
      <c r="E81" s="293" t="s">
        <v>35</v>
      </c>
      <c r="F81" s="517">
        <v>13</v>
      </c>
      <c r="G81" s="517">
        <v>10</v>
      </c>
      <c r="H81" s="294"/>
      <c r="I81" s="293" t="s">
        <v>708</v>
      </c>
      <c r="J81" t="s">
        <v>761</v>
      </c>
      <c r="K81" s="246"/>
      <c r="L81" s="246"/>
    </row>
    <row r="82" spans="1:12" x14ac:dyDescent="0.25">
      <c r="A82" s="515">
        <v>45150</v>
      </c>
      <c r="B82" s="293" t="s">
        <v>124</v>
      </c>
      <c r="C82" s="282">
        <v>46</v>
      </c>
      <c r="D82" s="294">
        <v>20</v>
      </c>
      <c r="E82" s="293" t="s">
        <v>60</v>
      </c>
      <c r="F82" s="517">
        <v>22</v>
      </c>
      <c r="G82" s="517">
        <v>13</v>
      </c>
      <c r="H82" s="294"/>
      <c r="I82" s="293" t="s">
        <v>512</v>
      </c>
      <c r="J82" t="s">
        <v>773</v>
      </c>
      <c r="K82" s="246"/>
      <c r="L82" s="246"/>
    </row>
    <row r="83" spans="1:12" x14ac:dyDescent="0.25">
      <c r="A83" s="515">
        <v>45150</v>
      </c>
      <c r="B83" s="293" t="s">
        <v>192</v>
      </c>
      <c r="C83" s="282">
        <v>26</v>
      </c>
      <c r="D83" s="294">
        <v>28</v>
      </c>
      <c r="E83" s="293" t="s">
        <v>121</v>
      </c>
      <c r="F83" s="517">
        <v>19</v>
      </c>
      <c r="G83" s="517">
        <v>7</v>
      </c>
      <c r="H83" s="294"/>
      <c r="I83" s="293" t="s">
        <v>512</v>
      </c>
      <c r="J83" t="s">
        <v>778</v>
      </c>
      <c r="K83" s="246"/>
      <c r="L83" s="246"/>
    </row>
    <row r="84" spans="1:12" x14ac:dyDescent="0.25">
      <c r="A84" s="515">
        <v>45153</v>
      </c>
      <c r="B84" s="293" t="s">
        <v>118</v>
      </c>
      <c r="C84" s="282">
        <v>36</v>
      </c>
      <c r="D84" s="294">
        <v>12</v>
      </c>
      <c r="E84" s="293" t="s">
        <v>40</v>
      </c>
      <c r="F84" s="517">
        <v>26</v>
      </c>
      <c r="G84" s="517">
        <v>0</v>
      </c>
      <c r="H84" s="294"/>
      <c r="I84" s="293" t="s">
        <v>787</v>
      </c>
      <c r="J84" t="s">
        <v>772</v>
      </c>
      <c r="K84" s="246"/>
      <c r="L84" s="246"/>
    </row>
    <row r="85" spans="1:12" x14ac:dyDescent="0.25">
      <c r="A85" s="515">
        <v>45157</v>
      </c>
      <c r="B85" s="293" t="s">
        <v>32</v>
      </c>
      <c r="C85" s="282">
        <v>16</v>
      </c>
      <c r="D85" s="294">
        <v>52</v>
      </c>
      <c r="E85" s="293" t="s">
        <v>125</v>
      </c>
      <c r="F85" s="517">
        <v>9</v>
      </c>
      <c r="G85" s="517">
        <v>24</v>
      </c>
      <c r="H85" s="294"/>
      <c r="I85" s="293" t="s">
        <v>788</v>
      </c>
      <c r="J85" t="s">
        <v>188</v>
      </c>
      <c r="K85" s="246"/>
      <c r="L85" s="246"/>
    </row>
    <row r="86" spans="1:12" x14ac:dyDescent="0.25">
      <c r="A86" s="515">
        <v>45157</v>
      </c>
      <c r="B86" s="293" t="s">
        <v>38</v>
      </c>
      <c r="C86" s="282">
        <v>22</v>
      </c>
      <c r="D86" s="294">
        <v>7</v>
      </c>
      <c r="E86" s="293" t="s">
        <v>60</v>
      </c>
      <c r="F86" s="517">
        <v>12</v>
      </c>
      <c r="G86" s="517">
        <v>7</v>
      </c>
      <c r="H86" s="294"/>
      <c r="I86" s="293" t="s">
        <v>512</v>
      </c>
      <c r="J86" t="s">
        <v>762</v>
      </c>
      <c r="K86" s="246"/>
      <c r="L86" s="246"/>
    </row>
    <row r="87" spans="1:12" x14ac:dyDescent="0.25">
      <c r="A87" s="515">
        <v>45157</v>
      </c>
      <c r="B87" s="293" t="s">
        <v>39</v>
      </c>
      <c r="C87" s="282">
        <v>29</v>
      </c>
      <c r="D87" s="294">
        <v>10</v>
      </c>
      <c r="E87" s="293" t="s">
        <v>30</v>
      </c>
      <c r="F87" s="517">
        <v>12</v>
      </c>
      <c r="G87" s="517">
        <v>3</v>
      </c>
      <c r="H87" s="294"/>
      <c r="I87" s="293" t="s">
        <v>708</v>
      </c>
      <c r="J87" t="s">
        <v>337</v>
      </c>
      <c r="K87" s="246"/>
      <c r="L87" s="246"/>
    </row>
    <row r="88" spans="1:12" x14ac:dyDescent="0.25">
      <c r="A88" s="515">
        <v>45157</v>
      </c>
      <c r="B88" s="293" t="s">
        <v>33</v>
      </c>
      <c r="C88" s="282">
        <v>57</v>
      </c>
      <c r="D88" s="294">
        <v>7</v>
      </c>
      <c r="E88" s="293" t="s">
        <v>122</v>
      </c>
      <c r="F88" s="517">
        <v>31</v>
      </c>
      <c r="G88" s="517">
        <v>7</v>
      </c>
      <c r="H88" s="294"/>
      <c r="I88" s="293" t="s">
        <v>708</v>
      </c>
      <c r="J88" t="s">
        <v>796</v>
      </c>
      <c r="K88" s="246"/>
      <c r="L88" s="246"/>
    </row>
    <row r="89" spans="1:12" x14ac:dyDescent="0.25">
      <c r="A89" s="515">
        <v>45157</v>
      </c>
      <c r="B89" s="293" t="s">
        <v>34</v>
      </c>
      <c r="C89" s="282">
        <v>34</v>
      </c>
      <c r="D89" s="294">
        <v>17</v>
      </c>
      <c r="E89" s="293" t="s">
        <v>31</v>
      </c>
      <c r="F89" s="517">
        <v>21</v>
      </c>
      <c r="G89" s="517">
        <v>10</v>
      </c>
      <c r="H89" s="294"/>
      <c r="I89" s="293" t="s">
        <v>708</v>
      </c>
      <c r="J89" t="s">
        <v>797</v>
      </c>
      <c r="K89" s="246"/>
      <c r="L89" s="246"/>
    </row>
    <row r="90" spans="1:12" x14ac:dyDescent="0.25">
      <c r="A90" s="515">
        <v>45163</v>
      </c>
      <c r="B90" s="293" t="s">
        <v>572</v>
      </c>
      <c r="C90" s="282">
        <v>7</v>
      </c>
      <c r="D90" s="294">
        <v>35</v>
      </c>
      <c r="E90" s="293" t="s">
        <v>125</v>
      </c>
      <c r="F90" s="517">
        <v>0</v>
      </c>
      <c r="G90" s="517">
        <v>14</v>
      </c>
      <c r="H90" s="294"/>
      <c r="I90" s="293" t="s">
        <v>512</v>
      </c>
      <c r="J90" t="s">
        <v>274</v>
      </c>
      <c r="K90" s="246"/>
      <c r="L90" s="246"/>
    </row>
    <row r="91" spans="1:12" x14ac:dyDescent="0.25">
      <c r="A91" s="515">
        <v>45164</v>
      </c>
      <c r="B91" s="293" t="s">
        <v>30</v>
      </c>
      <c r="C91" s="282">
        <v>22</v>
      </c>
      <c r="D91" s="294">
        <v>30</v>
      </c>
      <c r="E91" s="293" t="s">
        <v>31</v>
      </c>
      <c r="F91" s="517">
        <v>8</v>
      </c>
      <c r="G91" s="517">
        <v>3</v>
      </c>
      <c r="H91" s="294"/>
      <c r="I91" s="293" t="s">
        <v>708</v>
      </c>
      <c r="J91" t="s">
        <v>274</v>
      </c>
      <c r="K91" s="246"/>
      <c r="L91" s="246"/>
    </row>
    <row r="92" spans="1:12" x14ac:dyDescent="0.25">
      <c r="A92" s="515">
        <v>45164</v>
      </c>
      <c r="B92" s="293" t="s">
        <v>33</v>
      </c>
      <c r="C92" s="282">
        <v>42</v>
      </c>
      <c r="D92" s="294">
        <v>21</v>
      </c>
      <c r="E92" s="293" t="s">
        <v>36</v>
      </c>
      <c r="F92" s="517">
        <v>17</v>
      </c>
      <c r="G92" s="517">
        <v>8</v>
      </c>
      <c r="H92" s="294"/>
      <c r="I92" s="293" t="s">
        <v>708</v>
      </c>
      <c r="J92" t="s">
        <v>808</v>
      </c>
      <c r="K92" s="246"/>
      <c r="L92" s="246"/>
    </row>
    <row r="93" spans="1:12" x14ac:dyDescent="0.25">
      <c r="A93" s="515">
        <v>45164</v>
      </c>
      <c r="B93" s="293" t="s">
        <v>35</v>
      </c>
      <c r="C93" s="282">
        <v>33</v>
      </c>
      <c r="D93" s="294">
        <v>6</v>
      </c>
      <c r="E93" s="293" t="s">
        <v>38</v>
      </c>
      <c r="F93" s="517">
        <v>0</v>
      </c>
      <c r="G93" s="517">
        <v>6</v>
      </c>
      <c r="H93" s="294"/>
      <c r="I93" s="293" t="s">
        <v>708</v>
      </c>
      <c r="J93" t="s">
        <v>709</v>
      </c>
      <c r="K93" s="246"/>
      <c r="L93" s="246"/>
    </row>
    <row r="94" spans="1:12" x14ac:dyDescent="0.25">
      <c r="A94" s="515">
        <v>45164</v>
      </c>
      <c r="B94" s="293" t="s">
        <v>123</v>
      </c>
      <c r="C94" s="282">
        <v>3</v>
      </c>
      <c r="D94" s="294">
        <v>62</v>
      </c>
      <c r="E94" s="293" t="s">
        <v>37</v>
      </c>
      <c r="F94" s="517">
        <v>3</v>
      </c>
      <c r="G94" s="517">
        <v>31</v>
      </c>
      <c r="H94" s="294"/>
      <c r="I94" s="293" t="s">
        <v>512</v>
      </c>
      <c r="J94" t="s">
        <v>809</v>
      </c>
      <c r="K94" s="246"/>
      <c r="L94" s="246"/>
    </row>
    <row r="95" spans="1:12" x14ac:dyDescent="0.25">
      <c r="A95" s="515">
        <v>45164</v>
      </c>
      <c r="B95" s="293" t="s">
        <v>39</v>
      </c>
      <c r="C95" s="282">
        <v>17</v>
      </c>
      <c r="D95" s="294">
        <v>13</v>
      </c>
      <c r="E95" s="293" t="s">
        <v>119</v>
      </c>
      <c r="F95" s="517">
        <v>7</v>
      </c>
      <c r="G95" s="517">
        <v>7</v>
      </c>
      <c r="H95" s="294"/>
      <c r="I95" s="293" t="s">
        <v>708</v>
      </c>
      <c r="J95" t="s">
        <v>810</v>
      </c>
      <c r="K95" s="246"/>
      <c r="L95" s="246"/>
    </row>
    <row r="96" spans="1:12" x14ac:dyDescent="0.25">
      <c r="A96" s="515">
        <v>45165</v>
      </c>
      <c r="B96" s="293" t="s">
        <v>34</v>
      </c>
      <c r="C96" s="282">
        <v>41</v>
      </c>
      <c r="D96" s="294">
        <v>17</v>
      </c>
      <c r="E96" s="293" t="s">
        <v>29</v>
      </c>
      <c r="F96" s="517">
        <v>16</v>
      </c>
      <c r="G96" s="517">
        <v>5</v>
      </c>
      <c r="H96" s="294"/>
      <c r="I96" s="293" t="s">
        <v>708</v>
      </c>
      <c r="J96" t="s">
        <v>418</v>
      </c>
      <c r="K96" s="246"/>
      <c r="L96" s="246"/>
    </row>
    <row r="97" spans="1:12" x14ac:dyDescent="0.25">
      <c r="A97" s="515">
        <v>45177</v>
      </c>
      <c r="B97" s="293" t="s">
        <v>34</v>
      </c>
      <c r="C97" s="282">
        <v>27</v>
      </c>
      <c r="D97" s="294">
        <v>13</v>
      </c>
      <c r="E97" s="293" t="s">
        <v>126</v>
      </c>
      <c r="F97" s="517">
        <v>9</v>
      </c>
      <c r="G97" s="517">
        <v>8</v>
      </c>
      <c r="H97" s="294"/>
      <c r="I97" s="293" t="s">
        <v>816</v>
      </c>
      <c r="J97" t="s">
        <v>418</v>
      </c>
      <c r="K97" s="246"/>
      <c r="L97" s="246"/>
    </row>
    <row r="98" spans="1:12" x14ac:dyDescent="0.25">
      <c r="A98" s="515">
        <v>45178</v>
      </c>
      <c r="B98" s="293" t="s">
        <v>33</v>
      </c>
      <c r="C98" s="282">
        <v>52</v>
      </c>
      <c r="D98" s="294">
        <v>8</v>
      </c>
      <c r="E98" s="293" t="s">
        <v>121</v>
      </c>
      <c r="F98" s="517">
        <v>17</v>
      </c>
      <c r="G98" s="517">
        <v>8</v>
      </c>
      <c r="H98" s="294"/>
      <c r="I98" s="293" t="s">
        <v>816</v>
      </c>
      <c r="J98" t="s">
        <v>761</v>
      </c>
      <c r="K98" s="246"/>
      <c r="L98" s="246"/>
    </row>
    <row r="99" spans="1:12" x14ac:dyDescent="0.25">
      <c r="A99" s="515">
        <v>45178</v>
      </c>
      <c r="B99" s="293" t="s">
        <v>39</v>
      </c>
      <c r="C99" s="282">
        <v>82</v>
      </c>
      <c r="D99" s="294">
        <v>8</v>
      </c>
      <c r="E99" s="293" t="s">
        <v>122</v>
      </c>
      <c r="F99" s="517">
        <v>33</v>
      </c>
      <c r="G99" s="517">
        <v>8</v>
      </c>
      <c r="H99" s="294"/>
      <c r="I99" s="293" t="s">
        <v>819</v>
      </c>
      <c r="J99" t="s">
        <v>820</v>
      </c>
      <c r="K99" s="246"/>
      <c r="L99" s="246"/>
    </row>
    <row r="100" spans="1:12" x14ac:dyDescent="0.25">
      <c r="A100" s="515">
        <v>45178</v>
      </c>
      <c r="B100" s="293" t="s">
        <v>29</v>
      </c>
      <c r="C100" s="282">
        <v>35</v>
      </c>
      <c r="D100" s="294">
        <v>15</v>
      </c>
      <c r="E100" s="293" t="s">
        <v>38</v>
      </c>
      <c r="F100" s="517">
        <v>21</v>
      </c>
      <c r="G100" s="517">
        <v>3</v>
      </c>
      <c r="H100" s="294"/>
      <c r="I100" s="293" t="s">
        <v>823</v>
      </c>
      <c r="J100" t="s">
        <v>418</v>
      </c>
      <c r="K100" s="246"/>
      <c r="L100" s="246"/>
    </row>
    <row r="101" spans="1:12" x14ac:dyDescent="0.25">
      <c r="A101" s="515">
        <v>45178</v>
      </c>
      <c r="B101" s="293" t="s">
        <v>30</v>
      </c>
      <c r="C101" s="282">
        <v>27</v>
      </c>
      <c r="D101" s="294">
        <v>10</v>
      </c>
      <c r="E101" s="293" t="s">
        <v>37</v>
      </c>
      <c r="F101" s="517">
        <v>12</v>
      </c>
      <c r="G101" s="517">
        <v>3</v>
      </c>
      <c r="H101" s="294"/>
      <c r="I101" s="293" t="s">
        <v>824</v>
      </c>
      <c r="J101" t="s">
        <v>825</v>
      </c>
      <c r="K101" s="246"/>
      <c r="L101" s="246"/>
    </row>
    <row r="102" spans="1:12" x14ac:dyDescent="0.25">
      <c r="A102" s="515">
        <v>45179</v>
      </c>
      <c r="B102" s="293" t="s">
        <v>36</v>
      </c>
      <c r="C102" s="282">
        <v>42</v>
      </c>
      <c r="D102" s="294">
        <v>12</v>
      </c>
      <c r="E102" s="293" t="s">
        <v>192</v>
      </c>
      <c r="F102" s="517">
        <v>21</v>
      </c>
      <c r="G102" s="517">
        <v>7</v>
      </c>
      <c r="H102" s="294"/>
      <c r="I102" s="293" t="s">
        <v>824</v>
      </c>
      <c r="J102" t="s">
        <v>566</v>
      </c>
      <c r="K102" s="246"/>
      <c r="L102" s="246"/>
    </row>
    <row r="103" spans="1:12" x14ac:dyDescent="0.25">
      <c r="A103" s="515">
        <v>45179</v>
      </c>
      <c r="B103" s="293" t="s">
        <v>125</v>
      </c>
      <c r="C103" s="282">
        <v>18</v>
      </c>
      <c r="D103" s="294">
        <v>3</v>
      </c>
      <c r="E103" s="293" t="s">
        <v>35</v>
      </c>
      <c r="F103" s="517">
        <v>6</v>
      </c>
      <c r="G103" s="517">
        <v>3</v>
      </c>
      <c r="H103" s="294"/>
      <c r="I103" s="293" t="s">
        <v>819</v>
      </c>
      <c r="J103" t="s">
        <v>825</v>
      </c>
      <c r="K103" s="246"/>
      <c r="L103" s="246"/>
    </row>
    <row r="104" spans="1:12" x14ac:dyDescent="0.25">
      <c r="A104" s="515">
        <v>45179</v>
      </c>
      <c r="B104" s="293" t="s">
        <v>32</v>
      </c>
      <c r="C104" s="282">
        <v>32</v>
      </c>
      <c r="D104" s="294">
        <v>26</v>
      </c>
      <c r="E104" s="293" t="s">
        <v>31</v>
      </c>
      <c r="F104" s="517">
        <v>18</v>
      </c>
      <c r="G104" s="517">
        <v>14</v>
      </c>
      <c r="H104" s="294"/>
      <c r="I104" s="293" t="s">
        <v>823</v>
      </c>
      <c r="J104" t="s">
        <v>820</v>
      </c>
      <c r="K104" s="246"/>
      <c r="L104" s="246"/>
    </row>
    <row r="105" spans="1:12" x14ac:dyDescent="0.25">
      <c r="A105" s="515">
        <v>45183</v>
      </c>
      <c r="B105" s="293" t="s">
        <v>34</v>
      </c>
      <c r="C105" s="282">
        <v>27</v>
      </c>
      <c r="D105" s="294">
        <v>12</v>
      </c>
      <c r="E105" s="293" t="s">
        <v>105</v>
      </c>
      <c r="F105" s="283">
        <v>13</v>
      </c>
      <c r="G105" s="283">
        <v>5</v>
      </c>
      <c r="H105" s="293"/>
      <c r="I105" s="293" t="s">
        <v>816</v>
      </c>
      <c r="J105" t="s">
        <v>852</v>
      </c>
      <c r="K105" s="246"/>
      <c r="L105" s="246"/>
    </row>
    <row r="106" spans="1:12" x14ac:dyDescent="0.25">
      <c r="A106" s="515">
        <v>45184</v>
      </c>
      <c r="B106" s="246" t="s">
        <v>572</v>
      </c>
      <c r="C106" s="282">
        <v>71</v>
      </c>
      <c r="D106" s="294">
        <v>3</v>
      </c>
      <c r="E106" s="293" t="s">
        <v>121</v>
      </c>
      <c r="F106" s="517">
        <v>38</v>
      </c>
      <c r="G106" s="517">
        <v>3</v>
      </c>
      <c r="H106" s="294"/>
      <c r="I106" s="293" t="s">
        <v>816</v>
      </c>
      <c r="J106" t="s">
        <v>566</v>
      </c>
      <c r="K106" s="246"/>
      <c r="L106" s="246"/>
    </row>
    <row r="107" spans="1:12" x14ac:dyDescent="0.25">
      <c r="A107" s="515">
        <v>45185</v>
      </c>
      <c r="B107" s="246" t="s">
        <v>119</v>
      </c>
      <c r="C107" s="282">
        <v>43</v>
      </c>
      <c r="D107" s="294">
        <v>10</v>
      </c>
      <c r="E107" s="293" t="s">
        <v>192</v>
      </c>
      <c r="F107" s="517">
        <v>19</v>
      </c>
      <c r="G107" s="517">
        <v>10</v>
      </c>
      <c r="H107" s="294"/>
      <c r="I107" s="293" t="s">
        <v>824</v>
      </c>
      <c r="J107" t="s">
        <v>820</v>
      </c>
      <c r="K107" s="246"/>
      <c r="L107" s="246"/>
    </row>
    <row r="108" spans="1:12" x14ac:dyDescent="0.25">
      <c r="A108" s="515">
        <v>45185</v>
      </c>
      <c r="B108" s="246" t="s">
        <v>32</v>
      </c>
      <c r="C108" s="517">
        <v>28</v>
      </c>
      <c r="D108" s="519">
        <v>8</v>
      </c>
      <c r="E108" s="293" t="s">
        <v>124</v>
      </c>
      <c r="F108" s="517">
        <v>14</v>
      </c>
      <c r="G108" s="517">
        <v>3</v>
      </c>
      <c r="H108" s="294"/>
      <c r="I108" s="293" t="s">
        <v>823</v>
      </c>
      <c r="J108" t="s">
        <v>878</v>
      </c>
      <c r="K108" s="246"/>
      <c r="L108" s="246"/>
    </row>
    <row r="109" spans="1:12" x14ac:dyDescent="0.25">
      <c r="A109" s="515">
        <v>45185</v>
      </c>
      <c r="B109" s="246" t="s">
        <v>39</v>
      </c>
      <c r="C109" s="517">
        <v>59</v>
      </c>
      <c r="D109" s="519">
        <v>16</v>
      </c>
      <c r="E109" s="293" t="s">
        <v>118</v>
      </c>
      <c r="F109" s="517">
        <v>31</v>
      </c>
      <c r="G109" s="517">
        <v>13</v>
      </c>
      <c r="H109" s="294"/>
      <c r="I109" s="293" t="s">
        <v>819</v>
      </c>
      <c r="J109" t="s">
        <v>797</v>
      </c>
      <c r="K109" s="246"/>
      <c r="L109" s="246"/>
    </row>
    <row r="110" spans="1:12" x14ac:dyDescent="0.25">
      <c r="A110" s="515">
        <v>45186</v>
      </c>
      <c r="B110" s="246" t="s">
        <v>125</v>
      </c>
      <c r="C110" s="282">
        <v>76</v>
      </c>
      <c r="D110" s="294">
        <v>0</v>
      </c>
      <c r="E110" s="293" t="s">
        <v>122</v>
      </c>
      <c r="F110" s="517">
        <v>33</v>
      </c>
      <c r="G110" s="517">
        <v>0</v>
      </c>
      <c r="H110" s="294"/>
      <c r="I110" s="293" t="s">
        <v>819</v>
      </c>
      <c r="J110" t="s">
        <v>820</v>
      </c>
      <c r="K110" s="246"/>
      <c r="L110" s="246"/>
    </row>
    <row r="111" spans="1:12" x14ac:dyDescent="0.25">
      <c r="A111" s="515">
        <f>Res!$A$110</f>
        <v>45186</v>
      </c>
      <c r="B111" s="246" t="s">
        <v>29</v>
      </c>
      <c r="C111" s="282">
        <v>15</v>
      </c>
      <c r="D111" s="294">
        <v>22</v>
      </c>
      <c r="E111" s="293" t="s">
        <v>31</v>
      </c>
      <c r="F111" s="517">
        <v>8</v>
      </c>
      <c r="G111" s="517">
        <v>12</v>
      </c>
      <c r="H111" s="294"/>
      <c r="I111" s="293" t="s">
        <v>823</v>
      </c>
      <c r="J111" t="s">
        <v>761</v>
      </c>
      <c r="K111" s="246"/>
      <c r="L111" s="246"/>
    </row>
    <row r="112" spans="1:12" x14ac:dyDescent="0.25">
      <c r="A112" s="515">
        <f>Res!$A$110</f>
        <v>45186</v>
      </c>
      <c r="B112" s="246" t="s">
        <v>30</v>
      </c>
      <c r="C112" s="282">
        <v>34</v>
      </c>
      <c r="D112" s="294">
        <v>12</v>
      </c>
      <c r="E112" s="293" t="s">
        <v>36</v>
      </c>
      <c r="F112" s="517">
        <v>13</v>
      </c>
      <c r="G112" s="517">
        <v>9</v>
      </c>
      <c r="H112" s="294"/>
      <c r="I112" s="293" t="s">
        <v>824</v>
      </c>
      <c r="J112" t="s">
        <v>878</v>
      </c>
      <c r="K112" s="246"/>
      <c r="L112" s="246"/>
    </row>
    <row r="113" spans="1:12" x14ac:dyDescent="0.25">
      <c r="A113" s="515">
        <v>45189</v>
      </c>
      <c r="B113" s="246" t="s">
        <v>33</v>
      </c>
      <c r="C113" s="517">
        <v>38</v>
      </c>
      <c r="D113" s="519">
        <v>17</v>
      </c>
      <c r="E113" s="293" t="s">
        <v>105</v>
      </c>
      <c r="F113" s="517">
        <v>7</v>
      </c>
      <c r="G113" s="517">
        <v>17</v>
      </c>
      <c r="H113" s="294"/>
      <c r="I113" s="293" t="s">
        <v>816</v>
      </c>
      <c r="J113" t="s">
        <v>878</v>
      </c>
      <c r="K113" s="246"/>
      <c r="L113" s="246"/>
    </row>
    <row r="114" spans="1:12" x14ac:dyDescent="0.25">
      <c r="A114" s="515">
        <v>45190</v>
      </c>
      <c r="B114" s="246" t="s">
        <v>34</v>
      </c>
      <c r="C114" s="282">
        <v>96</v>
      </c>
      <c r="D114" s="294">
        <v>0</v>
      </c>
      <c r="E114" s="293" t="s">
        <v>121</v>
      </c>
      <c r="F114" s="517">
        <v>54</v>
      </c>
      <c r="G114" s="517">
        <v>0</v>
      </c>
      <c r="H114" s="294"/>
      <c r="I114" s="293" t="s">
        <v>816</v>
      </c>
      <c r="J114" t="s">
        <v>825</v>
      </c>
      <c r="K114" s="246"/>
      <c r="L114" s="246"/>
    </row>
    <row r="115" spans="1:12" x14ac:dyDescent="0.25">
      <c r="A115" s="515">
        <v>45191</v>
      </c>
      <c r="B115" s="246" t="s">
        <v>37</v>
      </c>
      <c r="C115" s="282">
        <v>19</v>
      </c>
      <c r="D115" s="294">
        <v>10</v>
      </c>
      <c r="E115" s="293" t="s">
        <v>119</v>
      </c>
      <c r="F115" s="517">
        <v>13</v>
      </c>
      <c r="G115" s="517">
        <v>3</v>
      </c>
      <c r="H115" s="294"/>
      <c r="I115" s="293" t="s">
        <v>824</v>
      </c>
      <c r="J115" t="s">
        <v>761</v>
      </c>
      <c r="K115" s="246"/>
      <c r="L115" s="246"/>
    </row>
    <row r="116" spans="1:12" x14ac:dyDescent="0.25">
      <c r="A116" s="515">
        <v>45192</v>
      </c>
      <c r="B116" s="246" t="s">
        <v>38</v>
      </c>
      <c r="C116" s="282">
        <v>18</v>
      </c>
      <c r="D116" s="294">
        <v>18</v>
      </c>
      <c r="E116" s="293" t="s">
        <v>124</v>
      </c>
      <c r="F116" s="517">
        <v>13</v>
      </c>
      <c r="G116" s="517">
        <v>5</v>
      </c>
      <c r="H116" s="294"/>
      <c r="I116" s="293" t="s">
        <v>823</v>
      </c>
      <c r="J116" t="s">
        <v>566</v>
      </c>
      <c r="K116" s="246"/>
      <c r="L116" s="246"/>
    </row>
    <row r="117" spans="1:12" x14ac:dyDescent="0.25">
      <c r="A117" s="515">
        <v>45192</v>
      </c>
      <c r="B117" s="246" t="s">
        <v>30</v>
      </c>
      <c r="C117" s="282">
        <v>71</v>
      </c>
      <c r="D117" s="294">
        <v>0</v>
      </c>
      <c r="E117" s="293" t="s">
        <v>192</v>
      </c>
      <c r="F117" s="283">
        <v>31</v>
      </c>
      <c r="G117" s="283">
        <v>0</v>
      </c>
      <c r="H117" s="293"/>
      <c r="I117" s="293" t="s">
        <v>824</v>
      </c>
      <c r="J117" t="s">
        <v>852</v>
      </c>
      <c r="K117" s="246"/>
      <c r="L117" s="246"/>
    </row>
    <row r="118" spans="1:12" x14ac:dyDescent="0.25">
      <c r="A118" s="515">
        <v>45192</v>
      </c>
      <c r="B118" s="246" t="s">
        <v>125</v>
      </c>
      <c r="C118" s="282">
        <v>8</v>
      </c>
      <c r="D118" s="294">
        <v>13</v>
      </c>
      <c r="E118" s="293" t="s">
        <v>39</v>
      </c>
      <c r="F118" s="283">
        <v>3</v>
      </c>
      <c r="G118" s="283">
        <v>7</v>
      </c>
      <c r="H118" s="294"/>
      <c r="I118" s="293" t="s">
        <v>819</v>
      </c>
      <c r="J118" t="s">
        <v>418</v>
      </c>
      <c r="K118" s="246"/>
      <c r="L118" s="246"/>
    </row>
    <row r="119" spans="1:12" x14ac:dyDescent="0.25">
      <c r="A119" s="515">
        <v>45193</v>
      </c>
      <c r="B119" s="246" t="s">
        <v>35</v>
      </c>
      <c r="C119" s="282">
        <v>45</v>
      </c>
      <c r="D119" s="294">
        <v>17</v>
      </c>
      <c r="E119" s="293" t="s">
        <v>118</v>
      </c>
      <c r="F119" s="283">
        <v>24</v>
      </c>
      <c r="G119" s="283">
        <v>10</v>
      </c>
      <c r="H119" s="294"/>
      <c r="I119" s="293" t="s">
        <v>819</v>
      </c>
      <c r="J119" t="s">
        <v>878</v>
      </c>
      <c r="K119" s="246"/>
      <c r="L119" s="246"/>
    </row>
    <row r="120" spans="1:12" x14ac:dyDescent="0.25">
      <c r="A120" s="515">
        <v>45193</v>
      </c>
      <c r="B120" s="246" t="s">
        <v>32</v>
      </c>
      <c r="C120" s="282">
        <v>40</v>
      </c>
      <c r="D120" s="294">
        <v>6</v>
      </c>
      <c r="E120" s="293" t="s">
        <v>29</v>
      </c>
      <c r="F120" s="283">
        <v>16</v>
      </c>
      <c r="G120" s="283">
        <v>6</v>
      </c>
      <c r="H120" s="294"/>
      <c r="I120" s="293" t="s">
        <v>823</v>
      </c>
      <c r="J120" t="s">
        <v>910</v>
      </c>
      <c r="K120" s="246"/>
      <c r="L120" s="246"/>
    </row>
    <row r="121" spans="1:12" x14ac:dyDescent="0.25">
      <c r="A121" s="515">
        <v>45196</v>
      </c>
      <c r="B121" s="246" t="s">
        <v>105</v>
      </c>
      <c r="C121" s="282">
        <v>36</v>
      </c>
      <c r="D121" s="294">
        <v>26</v>
      </c>
      <c r="E121" s="293" t="s">
        <v>121</v>
      </c>
      <c r="F121" s="283">
        <v>12</v>
      </c>
      <c r="G121" s="283">
        <v>20</v>
      </c>
      <c r="H121" s="294"/>
      <c r="I121" s="293" t="s">
        <v>816</v>
      </c>
      <c r="J121" t="s">
        <v>910</v>
      </c>
      <c r="K121" s="246"/>
      <c r="L121" s="246"/>
    </row>
    <row r="122" spans="1:12" x14ac:dyDescent="0.25">
      <c r="A122" s="515">
        <v>45197</v>
      </c>
      <c r="B122" s="246" t="s">
        <v>36</v>
      </c>
      <c r="C122" s="282">
        <v>28</v>
      </c>
      <c r="D122" s="294">
        <v>22</v>
      </c>
      <c r="E122" s="293" t="s">
        <v>119</v>
      </c>
      <c r="F122" s="283">
        <v>17</v>
      </c>
      <c r="G122" s="283">
        <v>8</v>
      </c>
      <c r="H122" s="294"/>
      <c r="I122" s="293" t="s">
        <v>824</v>
      </c>
      <c r="J122" t="s">
        <v>566</v>
      </c>
      <c r="K122" s="246"/>
      <c r="L122" s="246"/>
    </row>
    <row r="123" spans="1:12" x14ac:dyDescent="0.25">
      <c r="A123" s="515">
        <v>45198</v>
      </c>
      <c r="B123" s="246" t="s">
        <v>572</v>
      </c>
      <c r="C123" s="282">
        <v>96</v>
      </c>
      <c r="D123" s="294">
        <v>17</v>
      </c>
      <c r="E123" s="293" t="s">
        <v>33</v>
      </c>
      <c r="F123" s="283">
        <v>49</v>
      </c>
      <c r="G123" s="283">
        <v>3</v>
      </c>
      <c r="H123" s="294"/>
      <c r="I123" s="293" t="s">
        <v>816</v>
      </c>
      <c r="J123" t="s">
        <v>910</v>
      </c>
      <c r="K123" s="246"/>
      <c r="L123" s="246"/>
    </row>
    <row r="124" spans="1:12" x14ac:dyDescent="0.25">
      <c r="A124" s="515">
        <v>45199</v>
      </c>
      <c r="B124" s="246" t="s">
        <v>522</v>
      </c>
      <c r="C124" s="282">
        <v>36</v>
      </c>
      <c r="D124" s="294">
        <v>8</v>
      </c>
      <c r="E124" s="293" t="s">
        <v>502</v>
      </c>
      <c r="F124" s="283">
        <v>8</v>
      </c>
      <c r="G124" s="283">
        <v>8</v>
      </c>
      <c r="H124" s="526" t="s">
        <v>58</v>
      </c>
      <c r="I124" s="293" t="s">
        <v>1005</v>
      </c>
      <c r="J124" t="s">
        <v>1007</v>
      </c>
      <c r="K124" s="246"/>
      <c r="L124" s="246"/>
    </row>
    <row r="125" spans="1:12" x14ac:dyDescent="0.25">
      <c r="A125" s="515">
        <v>45199</v>
      </c>
      <c r="B125" s="246" t="s">
        <v>37</v>
      </c>
      <c r="C125" s="282">
        <v>59</v>
      </c>
      <c r="D125" s="294">
        <v>5</v>
      </c>
      <c r="E125" s="293" t="s">
        <v>192</v>
      </c>
      <c r="F125" s="283">
        <v>24</v>
      </c>
      <c r="G125" s="283">
        <v>0</v>
      </c>
      <c r="H125" s="294"/>
      <c r="I125" s="293" t="s">
        <v>824</v>
      </c>
      <c r="J125" t="s">
        <v>797</v>
      </c>
      <c r="K125" s="246"/>
      <c r="L125" s="246"/>
    </row>
    <row r="126" spans="1:12" x14ac:dyDescent="0.25">
      <c r="A126" s="515">
        <v>45199</v>
      </c>
      <c r="B126" s="246" t="s">
        <v>1008</v>
      </c>
      <c r="C126" s="282">
        <v>10</v>
      </c>
      <c r="D126" s="294">
        <v>53</v>
      </c>
      <c r="E126" s="293" t="s">
        <v>515</v>
      </c>
      <c r="F126" s="283">
        <v>3</v>
      </c>
      <c r="G126" s="283">
        <v>27</v>
      </c>
      <c r="H126" s="294"/>
      <c r="I126" s="293" t="s">
        <v>1005</v>
      </c>
      <c r="J126" t="s">
        <v>1011</v>
      </c>
      <c r="K126" s="246"/>
      <c r="L126" s="246"/>
    </row>
    <row r="127" spans="1:12" x14ac:dyDescent="0.25">
      <c r="A127" s="515">
        <v>45199</v>
      </c>
      <c r="B127" s="246" t="s">
        <v>525</v>
      </c>
      <c r="C127" s="282">
        <v>14</v>
      </c>
      <c r="D127" s="294">
        <v>33</v>
      </c>
      <c r="E127" s="293" t="s">
        <v>1009</v>
      </c>
      <c r="F127" s="283">
        <v>9</v>
      </c>
      <c r="G127" s="283">
        <v>13</v>
      </c>
      <c r="H127" s="294"/>
      <c r="I127" s="293" t="s">
        <v>1005</v>
      </c>
      <c r="J127" t="s">
        <v>1010</v>
      </c>
      <c r="K127" s="246"/>
      <c r="L127" s="246"/>
    </row>
    <row r="128" spans="1:12" x14ac:dyDescent="0.25">
      <c r="A128" s="515">
        <v>45199</v>
      </c>
      <c r="B128" s="246" t="s">
        <v>31</v>
      </c>
      <c r="C128" s="282">
        <v>17</v>
      </c>
      <c r="D128" s="294">
        <v>12</v>
      </c>
      <c r="E128" s="293" t="s">
        <v>38</v>
      </c>
      <c r="F128" s="283">
        <v>0</v>
      </c>
      <c r="G128" s="283">
        <v>9</v>
      </c>
      <c r="H128" s="294"/>
      <c r="I128" s="293" t="s">
        <v>823</v>
      </c>
      <c r="J128" t="s">
        <v>820</v>
      </c>
      <c r="K128" s="246"/>
      <c r="L128" s="246"/>
    </row>
    <row r="129" spans="1:12" x14ac:dyDescent="0.25">
      <c r="A129" s="515">
        <v>45199</v>
      </c>
      <c r="B129" s="246" t="s">
        <v>35</v>
      </c>
      <c r="C129" s="282">
        <v>84</v>
      </c>
      <c r="D129" s="294">
        <v>0</v>
      </c>
      <c r="E129" s="293" t="s">
        <v>122</v>
      </c>
      <c r="F129" s="283">
        <v>42</v>
      </c>
      <c r="G129" s="283">
        <v>0</v>
      </c>
      <c r="H129" s="294"/>
      <c r="I129" s="293" t="s">
        <v>819</v>
      </c>
      <c r="J129" t="s">
        <v>852</v>
      </c>
      <c r="K129" s="246"/>
      <c r="L129" s="246"/>
    </row>
    <row r="130" spans="1:12" x14ac:dyDescent="0.25">
      <c r="A130" s="515">
        <v>45200</v>
      </c>
      <c r="B130" s="246" t="s">
        <v>29</v>
      </c>
      <c r="C130" s="282">
        <v>34</v>
      </c>
      <c r="D130" s="294">
        <v>14</v>
      </c>
      <c r="E130" s="293" t="s">
        <v>124</v>
      </c>
      <c r="F130" s="283">
        <v>24</v>
      </c>
      <c r="G130" s="283">
        <v>7</v>
      </c>
      <c r="H130" s="294"/>
      <c r="I130" s="293" t="s">
        <v>823</v>
      </c>
      <c r="J130" t="s">
        <v>761</v>
      </c>
      <c r="K130" s="246"/>
      <c r="L130" s="246"/>
    </row>
    <row r="131" spans="1:12" x14ac:dyDescent="0.25">
      <c r="A131" s="515">
        <v>45200</v>
      </c>
      <c r="B131" s="246" t="s">
        <v>125</v>
      </c>
      <c r="C131" s="282">
        <v>49</v>
      </c>
      <c r="D131" s="294">
        <v>18</v>
      </c>
      <c r="E131" s="293" t="s">
        <v>118</v>
      </c>
      <c r="F131" s="283">
        <v>21</v>
      </c>
      <c r="G131" s="283">
        <v>8</v>
      </c>
      <c r="H131" s="294"/>
      <c r="I131" s="293" t="s">
        <v>819</v>
      </c>
      <c r="J131" t="s">
        <v>825</v>
      </c>
      <c r="K131" s="246"/>
      <c r="L131" s="246"/>
    </row>
    <row r="132" spans="1:12" x14ac:dyDescent="0.25">
      <c r="A132" s="515">
        <v>45204</v>
      </c>
      <c r="B132" s="246" t="s">
        <v>572</v>
      </c>
      <c r="C132" s="282">
        <v>73</v>
      </c>
      <c r="D132" s="294">
        <v>0</v>
      </c>
      <c r="E132" s="293" t="s">
        <v>105</v>
      </c>
      <c r="F132" s="283">
        <v>26</v>
      </c>
      <c r="G132" s="283">
        <v>0</v>
      </c>
      <c r="H132" s="294"/>
      <c r="I132" s="293" t="s">
        <v>816</v>
      </c>
      <c r="J132" t="s">
        <v>910</v>
      </c>
      <c r="K132" s="246"/>
      <c r="L132" s="246"/>
    </row>
    <row r="133" spans="1:12" x14ac:dyDescent="0.25">
      <c r="A133" s="515">
        <v>45205</v>
      </c>
      <c r="B133" s="246" t="s">
        <v>34</v>
      </c>
      <c r="C133" s="282">
        <v>60</v>
      </c>
      <c r="D133" s="294">
        <v>7</v>
      </c>
      <c r="E133" s="293" t="s">
        <v>33</v>
      </c>
      <c r="F133" s="283">
        <v>31</v>
      </c>
      <c r="G133" s="283">
        <v>0</v>
      </c>
      <c r="H133" s="294"/>
      <c r="I133" s="293" t="s">
        <v>816</v>
      </c>
      <c r="J133" t="s">
        <v>910</v>
      </c>
      <c r="K133" s="246"/>
      <c r="L133" s="246"/>
    </row>
    <row r="134" spans="1:12" x14ac:dyDescent="0.25">
      <c r="A134" s="515">
        <v>45206</v>
      </c>
      <c r="B134" s="246" t="s">
        <v>1003</v>
      </c>
      <c r="C134" s="282">
        <v>31</v>
      </c>
      <c r="D134" s="294">
        <v>11</v>
      </c>
      <c r="E134" s="293" t="s">
        <v>508</v>
      </c>
      <c r="F134" s="283">
        <v>17</v>
      </c>
      <c r="G134" s="283">
        <v>6</v>
      </c>
      <c r="H134" s="294"/>
      <c r="I134" s="293" t="s">
        <v>1005</v>
      </c>
      <c r="J134" t="s">
        <v>1004</v>
      </c>
      <c r="K134" s="246"/>
      <c r="L134" s="246"/>
    </row>
    <row r="135" spans="1:12" x14ac:dyDescent="0.25">
      <c r="A135" s="515">
        <v>45206</v>
      </c>
      <c r="B135" s="246" t="s">
        <v>503</v>
      </c>
      <c r="C135" s="282">
        <v>14</v>
      </c>
      <c r="D135" s="294">
        <v>10</v>
      </c>
      <c r="E135" s="293" t="s">
        <v>522</v>
      </c>
      <c r="F135" s="283">
        <v>14</v>
      </c>
      <c r="G135" s="283">
        <v>10</v>
      </c>
      <c r="H135" s="294"/>
      <c r="I135" s="293" t="s">
        <v>1005</v>
      </c>
      <c r="J135" t="s">
        <v>1006</v>
      </c>
      <c r="K135" s="246"/>
      <c r="L135" s="246"/>
    </row>
    <row r="136" spans="1:12" x14ac:dyDescent="0.25">
      <c r="A136" s="515">
        <v>45206</v>
      </c>
      <c r="B136" s="246" t="s">
        <v>32</v>
      </c>
      <c r="C136" s="282">
        <v>43</v>
      </c>
      <c r="D136" s="294">
        <v>19</v>
      </c>
      <c r="E136" s="293" t="s">
        <v>38</v>
      </c>
      <c r="F136" s="283">
        <v>17</v>
      </c>
      <c r="G136" s="283">
        <v>7</v>
      </c>
      <c r="H136" s="294"/>
      <c r="I136" s="293" t="s">
        <v>823</v>
      </c>
      <c r="J136" t="s">
        <v>797</v>
      </c>
      <c r="K136" s="246"/>
      <c r="L136" s="246"/>
    </row>
    <row r="137" spans="1:12" x14ac:dyDescent="0.25">
      <c r="A137" s="515">
        <v>45206</v>
      </c>
      <c r="B137" s="246" t="s">
        <v>30</v>
      </c>
      <c r="C137" s="282">
        <v>18</v>
      </c>
      <c r="D137" s="294">
        <v>17</v>
      </c>
      <c r="E137" s="293" t="s">
        <v>119</v>
      </c>
      <c r="F137" s="283">
        <v>8</v>
      </c>
      <c r="G137" s="283">
        <v>14</v>
      </c>
      <c r="H137" s="294"/>
      <c r="I137" s="293" t="s">
        <v>824</v>
      </c>
      <c r="J137" t="s">
        <v>852</v>
      </c>
      <c r="K137" s="246"/>
      <c r="L137" s="246"/>
    </row>
    <row r="138" spans="1:12" x14ac:dyDescent="0.25">
      <c r="A138" s="515">
        <v>45206</v>
      </c>
      <c r="B138" s="246" t="s">
        <v>39</v>
      </c>
      <c r="C138" s="282">
        <v>36</v>
      </c>
      <c r="D138" s="294">
        <v>14</v>
      </c>
      <c r="E138" s="293" t="s">
        <v>35</v>
      </c>
      <c r="F138" s="283">
        <v>26</v>
      </c>
      <c r="G138" s="283">
        <v>0</v>
      </c>
      <c r="H138" s="294"/>
      <c r="I138" s="293" t="s">
        <v>819</v>
      </c>
      <c r="J138" t="s">
        <v>418</v>
      </c>
      <c r="K138" s="246"/>
      <c r="L138" s="246"/>
    </row>
    <row r="139" spans="1:12" x14ac:dyDescent="0.25">
      <c r="A139" s="515">
        <v>45207</v>
      </c>
      <c r="B139" s="246" t="s">
        <v>36</v>
      </c>
      <c r="C139" s="282">
        <v>27</v>
      </c>
      <c r="D139" s="294">
        <v>39</v>
      </c>
      <c r="E139" s="293" t="s">
        <v>37</v>
      </c>
      <c r="F139" s="283">
        <v>14</v>
      </c>
      <c r="G139" s="283">
        <v>15</v>
      </c>
      <c r="H139" s="294"/>
      <c r="I139" s="293" t="s">
        <v>824</v>
      </c>
      <c r="J139" t="s">
        <v>797</v>
      </c>
      <c r="K139" s="246"/>
      <c r="L139" s="246"/>
    </row>
    <row r="140" spans="1:12" x14ac:dyDescent="0.25">
      <c r="A140" s="515">
        <v>45207</v>
      </c>
      <c r="B140" s="246" t="s">
        <v>118</v>
      </c>
      <c r="C140" s="282">
        <v>45</v>
      </c>
      <c r="D140" s="294">
        <v>24</v>
      </c>
      <c r="E140" s="293" t="s">
        <v>122</v>
      </c>
      <c r="F140" s="283">
        <v>21</v>
      </c>
      <c r="G140" s="283">
        <v>17</v>
      </c>
      <c r="H140" s="294"/>
      <c r="I140" s="293" t="s">
        <v>819</v>
      </c>
      <c r="J140" t="s">
        <v>852</v>
      </c>
      <c r="K140" s="246"/>
      <c r="L140" s="246"/>
    </row>
    <row r="141" spans="1:12" x14ac:dyDescent="0.25">
      <c r="A141" s="515">
        <v>45207</v>
      </c>
      <c r="B141" s="246" t="s">
        <v>31</v>
      </c>
      <c r="C141" s="282">
        <v>23</v>
      </c>
      <c r="D141" s="294">
        <v>24</v>
      </c>
      <c r="E141" s="293" t="s">
        <v>124</v>
      </c>
      <c r="F141" s="283">
        <v>3</v>
      </c>
      <c r="G141" s="283">
        <v>3</v>
      </c>
      <c r="H141" s="294"/>
      <c r="I141" s="293" t="s">
        <v>823</v>
      </c>
      <c r="J141" t="s">
        <v>566</v>
      </c>
      <c r="K141" s="246"/>
      <c r="L141" s="246"/>
    </row>
    <row r="142" spans="1:12" x14ac:dyDescent="0.25">
      <c r="A142" s="515">
        <v>45213</v>
      </c>
      <c r="B142" s="246" t="s">
        <v>507</v>
      </c>
      <c r="C142" s="282">
        <v>10</v>
      </c>
      <c r="D142" s="294">
        <v>59</v>
      </c>
      <c r="E142" s="293" t="s">
        <v>1012</v>
      </c>
      <c r="F142" s="283">
        <v>10</v>
      </c>
      <c r="G142" s="283">
        <v>40</v>
      </c>
      <c r="H142" s="294"/>
      <c r="I142" s="293" t="s">
        <v>1005</v>
      </c>
      <c r="J142" t="s">
        <v>509</v>
      </c>
      <c r="K142" s="246"/>
      <c r="L142" s="246"/>
    </row>
    <row r="143" spans="1:12" x14ac:dyDescent="0.25">
      <c r="A143" s="515">
        <v>45213</v>
      </c>
      <c r="B143" s="246" t="s">
        <v>515</v>
      </c>
      <c r="C143" s="282">
        <v>17</v>
      </c>
      <c r="D143" s="294">
        <v>29</v>
      </c>
      <c r="E143" s="293" t="s">
        <v>498</v>
      </c>
      <c r="F143" s="283">
        <v>10</v>
      </c>
      <c r="G143" s="283">
        <v>10</v>
      </c>
      <c r="H143" s="294"/>
      <c r="I143" s="293" t="s">
        <v>1005</v>
      </c>
      <c r="J143" t="s">
        <v>517</v>
      </c>
      <c r="K143" s="246"/>
      <c r="L143" s="246"/>
    </row>
    <row r="144" spans="1:12" x14ac:dyDescent="0.25">
      <c r="A144" s="515">
        <v>45213</v>
      </c>
      <c r="B144" s="246" t="s">
        <v>32</v>
      </c>
      <c r="C144" s="282">
        <v>17</v>
      </c>
      <c r="D144" s="294">
        <v>29</v>
      </c>
      <c r="E144" s="293" t="s">
        <v>37</v>
      </c>
      <c r="F144" s="283">
        <v>10</v>
      </c>
      <c r="G144" s="283">
        <v>6</v>
      </c>
      <c r="H144" s="294"/>
      <c r="I144" s="293" t="s">
        <v>972</v>
      </c>
      <c r="J144" t="s">
        <v>825</v>
      </c>
      <c r="K144" s="246"/>
      <c r="L144" s="246"/>
    </row>
    <row r="145" spans="1:12" x14ac:dyDescent="0.25">
      <c r="A145" s="515">
        <v>45213</v>
      </c>
      <c r="B145" s="246" t="s">
        <v>39</v>
      </c>
      <c r="C145" s="282">
        <v>24</v>
      </c>
      <c r="D145" s="294">
        <v>28</v>
      </c>
      <c r="E145" s="293" t="s">
        <v>126</v>
      </c>
      <c r="F145" s="283">
        <v>17</v>
      </c>
      <c r="G145" s="283">
        <v>18</v>
      </c>
      <c r="H145" s="294"/>
      <c r="I145" s="293" t="s">
        <v>972</v>
      </c>
      <c r="J145" t="s">
        <v>418</v>
      </c>
      <c r="K145" s="246"/>
      <c r="L145" s="246"/>
    </row>
    <row r="146" spans="1:12" x14ac:dyDescent="0.25">
      <c r="A146" s="515">
        <v>45214</v>
      </c>
      <c r="B146" s="246" t="s">
        <v>30</v>
      </c>
      <c r="C146" s="282">
        <v>30</v>
      </c>
      <c r="D146" s="294">
        <v>24</v>
      </c>
      <c r="E146" s="293" t="s">
        <v>31</v>
      </c>
      <c r="F146" s="283">
        <v>21</v>
      </c>
      <c r="G146" s="283">
        <v>10</v>
      </c>
      <c r="H146" s="294"/>
      <c r="I146" s="293" t="s">
        <v>972</v>
      </c>
      <c r="J146" t="s">
        <v>825</v>
      </c>
      <c r="K146" s="246"/>
      <c r="L146" s="246"/>
    </row>
    <row r="147" spans="1:12" x14ac:dyDescent="0.25">
      <c r="A147" s="515">
        <v>45214</v>
      </c>
      <c r="B147" s="246" t="s">
        <v>34</v>
      </c>
      <c r="C147" s="282">
        <v>28</v>
      </c>
      <c r="D147" s="294">
        <v>29</v>
      </c>
      <c r="E147" s="293" t="s">
        <v>125</v>
      </c>
      <c r="F147" s="283">
        <v>22</v>
      </c>
      <c r="G147" s="283">
        <v>19</v>
      </c>
      <c r="H147" s="294"/>
      <c r="I147" s="293" t="s">
        <v>972</v>
      </c>
      <c r="J147" t="s">
        <v>418</v>
      </c>
      <c r="K147" s="246"/>
      <c r="L147" s="246"/>
    </row>
    <row r="148" spans="1:12" x14ac:dyDescent="0.25">
      <c r="A148" s="515">
        <v>45219</v>
      </c>
      <c r="B148" s="246" t="s">
        <v>37</v>
      </c>
      <c r="C148" s="282">
        <v>6</v>
      </c>
      <c r="D148" s="294">
        <v>44</v>
      </c>
      <c r="E148" s="293" t="s">
        <v>126</v>
      </c>
      <c r="F148" s="283">
        <v>6</v>
      </c>
      <c r="G148" s="283">
        <v>20</v>
      </c>
      <c r="H148" s="294"/>
      <c r="I148" s="293" t="s">
        <v>982</v>
      </c>
      <c r="J148" t="s">
        <v>418</v>
      </c>
      <c r="K148" s="246"/>
      <c r="L148" s="246"/>
    </row>
    <row r="149" spans="1:12" x14ac:dyDescent="0.25">
      <c r="A149" s="515">
        <v>45220</v>
      </c>
      <c r="B149" s="246" t="s">
        <v>503</v>
      </c>
      <c r="C149" s="282">
        <v>17</v>
      </c>
      <c r="D149" s="294">
        <v>46</v>
      </c>
      <c r="E149" s="293" t="s">
        <v>516</v>
      </c>
      <c r="F149" s="283">
        <v>10</v>
      </c>
      <c r="G149" s="283">
        <v>19</v>
      </c>
      <c r="H149" s="294"/>
      <c r="I149" s="293" t="s">
        <v>1005</v>
      </c>
      <c r="J149" t="s">
        <v>1006</v>
      </c>
      <c r="K149" s="246"/>
      <c r="L149" s="246"/>
    </row>
    <row r="150" spans="1:12" x14ac:dyDescent="0.25">
      <c r="A150" s="515">
        <v>45220</v>
      </c>
      <c r="B150" s="246" t="s">
        <v>498</v>
      </c>
      <c r="C150" s="282">
        <v>22</v>
      </c>
      <c r="D150" s="294">
        <v>17</v>
      </c>
      <c r="E150" s="293" t="s">
        <v>507</v>
      </c>
      <c r="F150" s="283">
        <v>15</v>
      </c>
      <c r="G150" s="283">
        <v>10</v>
      </c>
      <c r="H150" s="294"/>
      <c r="I150" s="293" t="s">
        <v>1005</v>
      </c>
      <c r="J150" t="s">
        <v>1013</v>
      </c>
      <c r="K150" s="246"/>
      <c r="L150" s="246"/>
    </row>
    <row r="151" spans="1:12" x14ac:dyDescent="0.25">
      <c r="A151" s="515">
        <v>45220</v>
      </c>
      <c r="B151" s="246" t="s">
        <v>30</v>
      </c>
      <c r="C151" s="282">
        <v>15</v>
      </c>
      <c r="D151" s="294">
        <v>16</v>
      </c>
      <c r="E151" s="293" t="s">
        <v>125</v>
      </c>
      <c r="F151" s="283">
        <v>12</v>
      </c>
      <c r="G151" s="283">
        <v>6</v>
      </c>
      <c r="H151" s="294"/>
      <c r="I151" s="293" t="s">
        <v>982</v>
      </c>
      <c r="J151" t="s">
        <v>418</v>
      </c>
      <c r="K151" s="246"/>
      <c r="L151" s="246"/>
    </row>
    <row r="152" spans="1:12" x14ac:dyDescent="0.25">
      <c r="A152" s="515">
        <v>45226</v>
      </c>
      <c r="B152" s="246" t="s">
        <v>37</v>
      </c>
      <c r="C152" s="282">
        <v>23</v>
      </c>
      <c r="D152" s="294">
        <v>26</v>
      </c>
      <c r="E152" s="293" t="s">
        <v>30</v>
      </c>
      <c r="F152" s="283">
        <v>10</v>
      </c>
      <c r="G152" s="283">
        <v>16</v>
      </c>
      <c r="H152" s="294"/>
      <c r="I152" s="293" t="s">
        <v>986</v>
      </c>
      <c r="J152" t="s">
        <v>418</v>
      </c>
      <c r="K152" s="246"/>
      <c r="L152" s="246"/>
    </row>
    <row r="153" spans="1:12" x14ac:dyDescent="0.25">
      <c r="A153" s="515">
        <v>45593</v>
      </c>
      <c r="B153" s="246" t="s">
        <v>479</v>
      </c>
      <c r="C153" s="282">
        <v>48</v>
      </c>
      <c r="D153" s="294">
        <v>37</v>
      </c>
      <c r="E153" s="293" t="s">
        <v>495</v>
      </c>
      <c r="F153" s="283">
        <v>17</v>
      </c>
      <c r="G153" s="283">
        <v>18</v>
      </c>
      <c r="H153" s="294"/>
      <c r="I153" s="293" t="s">
        <v>442</v>
      </c>
      <c r="J153" t="s">
        <v>1002</v>
      </c>
      <c r="K153" s="246"/>
      <c r="L153" s="246"/>
    </row>
    <row r="154" spans="1:12" x14ac:dyDescent="0.25">
      <c r="A154" s="515">
        <v>45593</v>
      </c>
      <c r="B154" s="246" t="s">
        <v>998</v>
      </c>
      <c r="C154" s="282">
        <v>30</v>
      </c>
      <c r="D154" s="294">
        <v>8</v>
      </c>
      <c r="E154" s="293" t="s">
        <v>999</v>
      </c>
      <c r="F154" s="283">
        <v>18</v>
      </c>
      <c r="G154" s="283">
        <v>3</v>
      </c>
      <c r="H154" s="294"/>
      <c r="I154" s="293" t="s">
        <v>1000</v>
      </c>
      <c r="J154" t="s">
        <v>1001</v>
      </c>
      <c r="K154" s="246"/>
      <c r="L154" s="246"/>
    </row>
    <row r="155" spans="1:12" x14ac:dyDescent="0.25">
      <c r="A155" s="515">
        <v>45593</v>
      </c>
      <c r="B155" s="246" t="s">
        <v>500</v>
      </c>
      <c r="C155" s="282">
        <v>40</v>
      </c>
      <c r="D155" s="294">
        <v>24</v>
      </c>
      <c r="E155" s="293" t="s">
        <v>525</v>
      </c>
      <c r="F155" s="283">
        <v>17</v>
      </c>
      <c r="G155" s="283">
        <v>10</v>
      </c>
      <c r="H155" s="294"/>
      <c r="I155" s="293" t="s">
        <v>1005</v>
      </c>
      <c r="J155" t="s">
        <v>501</v>
      </c>
      <c r="K155" s="246"/>
      <c r="L155" s="246"/>
    </row>
    <row r="156" spans="1:12" x14ac:dyDescent="0.25">
      <c r="A156" s="515">
        <v>45227</v>
      </c>
      <c r="B156" s="246" t="s">
        <v>572</v>
      </c>
      <c r="C156" s="282">
        <v>11</v>
      </c>
      <c r="D156" s="294">
        <v>12</v>
      </c>
      <c r="E156" s="293" t="s">
        <v>125</v>
      </c>
      <c r="F156" s="283">
        <v>6</v>
      </c>
      <c r="G156" s="283">
        <v>12</v>
      </c>
      <c r="H156" s="294"/>
      <c r="I156" s="293" t="s">
        <v>989</v>
      </c>
      <c r="J156" t="s">
        <v>418</v>
      </c>
      <c r="K156" s="246"/>
      <c r="L156" s="246"/>
    </row>
    <row r="157" spans="1:12" x14ac:dyDescent="0.25">
      <c r="A157" s="515">
        <v>45597</v>
      </c>
      <c r="B157" s="246" t="s">
        <v>1014</v>
      </c>
      <c r="C157" s="282">
        <v>42</v>
      </c>
      <c r="D157" s="294">
        <v>12</v>
      </c>
      <c r="E157" s="293" t="s">
        <v>999</v>
      </c>
      <c r="F157" s="283">
        <v>23</v>
      </c>
      <c r="G157" s="283">
        <v>6</v>
      </c>
      <c r="H157" s="294"/>
      <c r="I157" s="293" t="s">
        <v>1000</v>
      </c>
      <c r="J157" t="s">
        <v>1016</v>
      </c>
      <c r="K157" s="246"/>
      <c r="L157" s="246"/>
    </row>
    <row r="158" spans="1:12" x14ac:dyDescent="0.25">
      <c r="A158" s="515">
        <v>45600</v>
      </c>
      <c r="B158" s="246" t="s">
        <v>495</v>
      </c>
      <c r="C158" s="282">
        <v>48</v>
      </c>
      <c r="D158" s="294">
        <v>22</v>
      </c>
      <c r="E158" s="293" t="s">
        <v>486</v>
      </c>
      <c r="F158" s="283">
        <v>36</v>
      </c>
      <c r="G158" s="283">
        <v>7</v>
      </c>
      <c r="H158" s="294"/>
      <c r="I158" s="293" t="s">
        <v>442</v>
      </c>
      <c r="J158" t="s">
        <v>1018</v>
      </c>
      <c r="K158" s="246"/>
      <c r="L158" s="246"/>
    </row>
    <row r="159" spans="1:12" x14ac:dyDescent="0.25">
      <c r="A159" s="515">
        <v>45600</v>
      </c>
      <c r="B159" s="246" t="s">
        <v>488</v>
      </c>
      <c r="C159" s="282">
        <v>22</v>
      </c>
      <c r="D159" s="294">
        <v>17</v>
      </c>
      <c r="E159" s="293" t="s">
        <v>489</v>
      </c>
      <c r="F159" s="283">
        <v>15</v>
      </c>
      <c r="G159" s="283">
        <v>0</v>
      </c>
      <c r="H159" s="294"/>
      <c r="I159" s="293" t="s">
        <v>1005</v>
      </c>
      <c r="J159" t="s">
        <v>491</v>
      </c>
      <c r="K159" s="246"/>
      <c r="L159" s="246"/>
    </row>
    <row r="160" spans="1:12" x14ac:dyDescent="0.25">
      <c r="A160" s="515">
        <v>45600</v>
      </c>
      <c r="B160" s="246" t="s">
        <v>440</v>
      </c>
      <c r="C160" s="282">
        <v>14</v>
      </c>
      <c r="D160" s="294">
        <v>32</v>
      </c>
      <c r="E160" s="293" t="s">
        <v>485</v>
      </c>
      <c r="F160" s="283">
        <v>0</v>
      </c>
      <c r="G160" s="283">
        <v>22</v>
      </c>
      <c r="H160" s="294"/>
      <c r="I160" s="293" t="s">
        <v>442</v>
      </c>
      <c r="J160" t="s">
        <v>1019</v>
      </c>
      <c r="K160" s="246"/>
      <c r="L160" s="246"/>
    </row>
    <row r="161" spans="1:12" x14ac:dyDescent="0.25">
      <c r="A161" s="515">
        <v>45600</v>
      </c>
      <c r="B161" s="246" t="s">
        <v>441</v>
      </c>
      <c r="C161" s="282">
        <v>23</v>
      </c>
      <c r="D161" s="294">
        <v>12</v>
      </c>
      <c r="E161" s="293" t="s">
        <v>479</v>
      </c>
      <c r="F161" s="283">
        <v>14</v>
      </c>
      <c r="G161" s="283">
        <v>0</v>
      </c>
      <c r="H161" s="294"/>
      <c r="I161" s="293" t="s">
        <v>442</v>
      </c>
      <c r="J161" t="s">
        <v>1020</v>
      </c>
      <c r="K161" s="246"/>
      <c r="L161" s="246"/>
    </row>
    <row r="162" spans="1:12" x14ac:dyDescent="0.25">
      <c r="A162" s="515">
        <v>45600</v>
      </c>
      <c r="B162" s="246" t="s">
        <v>1012</v>
      </c>
      <c r="C162" s="282">
        <v>27</v>
      </c>
      <c r="D162" s="294">
        <v>14</v>
      </c>
      <c r="E162" s="293" t="s">
        <v>1008</v>
      </c>
      <c r="F162" s="283">
        <v>12</v>
      </c>
      <c r="G162" s="283">
        <v>14</v>
      </c>
      <c r="H162" s="294"/>
      <c r="I162" s="293" t="s">
        <v>1005</v>
      </c>
      <c r="J162" t="s">
        <v>1021</v>
      </c>
      <c r="K162" s="246"/>
      <c r="L162" s="246"/>
    </row>
    <row r="163" spans="1:12" x14ac:dyDescent="0.25">
      <c r="A163" s="515">
        <v>45601</v>
      </c>
      <c r="B163" s="246" t="s">
        <v>998</v>
      </c>
      <c r="C163" s="282">
        <v>21</v>
      </c>
      <c r="D163" s="294">
        <v>20</v>
      </c>
      <c r="E163" s="293" t="s">
        <v>1014</v>
      </c>
      <c r="F163" s="283">
        <v>13</v>
      </c>
      <c r="G163" s="283">
        <v>12</v>
      </c>
      <c r="H163" s="294"/>
      <c r="I163" s="293" t="s">
        <v>1017</v>
      </c>
      <c r="J163" t="s">
        <v>1001</v>
      </c>
      <c r="K163" s="246"/>
      <c r="L163" s="246"/>
    </row>
    <row r="164" spans="1:12" x14ac:dyDescent="0.25">
      <c r="A164" s="515">
        <v>45607</v>
      </c>
      <c r="B164" s="246" t="s">
        <v>494</v>
      </c>
      <c r="C164" s="282">
        <v>53</v>
      </c>
      <c r="D164" s="294">
        <v>8</v>
      </c>
      <c r="E164" s="293" t="s">
        <v>505</v>
      </c>
      <c r="F164" s="283">
        <v>29</v>
      </c>
      <c r="G164" s="283">
        <v>0</v>
      </c>
      <c r="H164" s="294"/>
      <c r="I164" s="293" t="s">
        <v>1005</v>
      </c>
      <c r="J164" t="s">
        <v>1024</v>
      </c>
      <c r="K164" s="246"/>
      <c r="L164" s="246"/>
    </row>
    <row r="165" spans="1:12" x14ac:dyDescent="0.25">
      <c r="A165" s="515">
        <v>45607</v>
      </c>
      <c r="B165" s="246" t="s">
        <v>1023</v>
      </c>
      <c r="C165" s="282">
        <v>17</v>
      </c>
      <c r="D165" s="294">
        <v>31</v>
      </c>
      <c r="E165" s="293" t="s">
        <v>441</v>
      </c>
      <c r="F165" s="283">
        <v>7</v>
      </c>
      <c r="G165" s="283">
        <v>3</v>
      </c>
      <c r="H165" s="294"/>
      <c r="I165" s="293" t="s">
        <v>442</v>
      </c>
      <c r="J165" t="s">
        <v>1022</v>
      </c>
      <c r="K165" s="246"/>
      <c r="L165" s="246"/>
    </row>
    <row r="166" spans="1:12" x14ac:dyDescent="0.25">
      <c r="A166" s="515">
        <v>45607</v>
      </c>
      <c r="B166" s="246" t="s">
        <v>1014</v>
      </c>
      <c r="C166" s="282">
        <v>20</v>
      </c>
      <c r="D166" s="294">
        <v>13</v>
      </c>
      <c r="E166" s="293" t="s">
        <v>998</v>
      </c>
      <c r="F166" s="283">
        <v>10</v>
      </c>
      <c r="G166" s="283">
        <v>3</v>
      </c>
      <c r="H166" s="294"/>
      <c r="I166" s="293" t="s">
        <v>1015</v>
      </c>
      <c r="J166" t="s">
        <v>1042</v>
      </c>
      <c r="K166" s="246"/>
      <c r="L166" s="246"/>
    </row>
    <row r="167" spans="1:12" x14ac:dyDescent="0.25">
      <c r="A167" s="515">
        <v>45607</v>
      </c>
      <c r="B167" s="246" t="s">
        <v>440</v>
      </c>
      <c r="C167" s="282">
        <v>5</v>
      </c>
      <c r="D167" s="294">
        <v>41</v>
      </c>
      <c r="E167" s="293" t="s">
        <v>486</v>
      </c>
      <c r="F167" s="283">
        <v>0</v>
      </c>
      <c r="G167" s="283">
        <v>27</v>
      </c>
      <c r="H167" s="294"/>
      <c r="I167" s="293" t="s">
        <v>442</v>
      </c>
      <c r="J167" t="s">
        <v>1019</v>
      </c>
      <c r="K167" s="246"/>
      <c r="L167" s="246"/>
    </row>
    <row r="168" spans="1:12" x14ac:dyDescent="0.25">
      <c r="A168" s="515">
        <v>45607</v>
      </c>
      <c r="B168" s="246" t="s">
        <v>60</v>
      </c>
      <c r="C168" s="282">
        <v>48</v>
      </c>
      <c r="D168" s="294">
        <v>3</v>
      </c>
      <c r="E168" s="293" t="s">
        <v>1038</v>
      </c>
      <c r="F168" s="283">
        <v>22</v>
      </c>
      <c r="G168" s="283">
        <v>3</v>
      </c>
      <c r="H168" s="294"/>
      <c r="I168" s="293" t="s">
        <v>1044</v>
      </c>
      <c r="J168" t="s">
        <v>1043</v>
      </c>
      <c r="K168" s="246"/>
      <c r="L168" s="246"/>
    </row>
    <row r="169" spans="1:12" x14ac:dyDescent="0.25">
      <c r="A169" s="515">
        <v>45607</v>
      </c>
      <c r="B169" s="246" t="s">
        <v>123</v>
      </c>
      <c r="C169" s="282">
        <v>42</v>
      </c>
      <c r="D169" s="294">
        <v>20</v>
      </c>
      <c r="E169" s="293" t="s">
        <v>40</v>
      </c>
      <c r="F169" s="283">
        <v>26</v>
      </c>
      <c r="G169" s="283">
        <v>6</v>
      </c>
      <c r="H169" s="294"/>
      <c r="I169" s="293" t="s">
        <v>1044</v>
      </c>
      <c r="J169" t="s">
        <v>1043</v>
      </c>
      <c r="K169" s="246"/>
      <c r="L169" s="246"/>
    </row>
    <row r="170" spans="1:12" x14ac:dyDescent="0.25">
      <c r="A170" s="515">
        <v>45610</v>
      </c>
      <c r="B170" s="246" t="s">
        <v>1025</v>
      </c>
      <c r="C170" s="282">
        <v>29</v>
      </c>
      <c r="D170" s="294">
        <v>16</v>
      </c>
      <c r="E170" s="293" t="s">
        <v>290</v>
      </c>
      <c r="F170" s="283">
        <v>12</v>
      </c>
      <c r="G170" s="283">
        <v>13</v>
      </c>
      <c r="H170" s="294"/>
      <c r="I170" s="293" t="s">
        <v>771</v>
      </c>
      <c r="J170" t="s">
        <v>1026</v>
      </c>
      <c r="K170" s="246"/>
      <c r="L170" s="246"/>
    </row>
    <row r="171" spans="1:12" x14ac:dyDescent="0.25">
      <c r="A171" s="515">
        <v>45614</v>
      </c>
      <c r="B171" s="246" t="s">
        <v>1025</v>
      </c>
      <c r="C171" s="282">
        <v>46</v>
      </c>
      <c r="D171" s="294">
        <v>10</v>
      </c>
      <c r="E171" s="293" t="s">
        <v>290</v>
      </c>
      <c r="F171" s="283">
        <v>22</v>
      </c>
      <c r="G171" s="283">
        <v>10</v>
      </c>
      <c r="H171" s="294"/>
      <c r="I171" s="293" t="s">
        <v>787</v>
      </c>
      <c r="J171" t="s">
        <v>1027</v>
      </c>
      <c r="K171" s="246"/>
      <c r="L171" s="246"/>
    </row>
    <row r="172" spans="1:12" x14ac:dyDescent="0.25">
      <c r="A172" s="515">
        <v>45614</v>
      </c>
      <c r="B172" s="246" t="s">
        <v>486</v>
      </c>
      <c r="C172" s="282">
        <v>20</v>
      </c>
      <c r="D172" s="294">
        <v>22</v>
      </c>
      <c r="E172" s="293" t="s">
        <v>479</v>
      </c>
      <c r="F172" s="283">
        <v>10</v>
      </c>
      <c r="G172" s="283">
        <v>19</v>
      </c>
      <c r="H172" s="294"/>
      <c r="I172" s="293" t="s">
        <v>442</v>
      </c>
      <c r="J172" t="s">
        <v>1028</v>
      </c>
      <c r="K172" s="246"/>
      <c r="L172" s="246"/>
    </row>
    <row r="173" spans="1:12" x14ac:dyDescent="0.25">
      <c r="A173" s="515">
        <v>45614</v>
      </c>
      <c r="B173" s="246" t="s">
        <v>1038</v>
      </c>
      <c r="C173" s="282">
        <v>15</v>
      </c>
      <c r="D173" s="294">
        <v>40</v>
      </c>
      <c r="E173" s="293" t="s">
        <v>40</v>
      </c>
      <c r="F173" s="283">
        <v>10</v>
      </c>
      <c r="G173" s="283">
        <v>14</v>
      </c>
      <c r="H173" s="294"/>
      <c r="I173" s="293" t="s">
        <v>1045</v>
      </c>
      <c r="J173" t="s">
        <v>1043</v>
      </c>
      <c r="K173" s="246"/>
      <c r="L173" s="246"/>
    </row>
    <row r="174" spans="1:12" x14ac:dyDescent="0.25">
      <c r="A174" s="515">
        <v>45614</v>
      </c>
      <c r="B174" s="246" t="s">
        <v>123</v>
      </c>
      <c r="C174" s="282">
        <v>12</v>
      </c>
      <c r="D174" s="294">
        <v>42</v>
      </c>
      <c r="E174" s="293" t="s">
        <v>60</v>
      </c>
      <c r="F174" s="283">
        <v>13</v>
      </c>
      <c r="G174" s="283">
        <v>7</v>
      </c>
      <c r="H174" s="294"/>
      <c r="I174" s="293" t="s">
        <v>1046</v>
      </c>
      <c r="J174" t="s">
        <v>1043</v>
      </c>
      <c r="K174" s="246"/>
      <c r="L174" s="246"/>
    </row>
    <row r="175" spans="1:12" x14ac:dyDescent="0.25">
      <c r="A175" s="515">
        <v>45618</v>
      </c>
      <c r="B175" s="246" t="s">
        <v>1029</v>
      </c>
      <c r="C175" s="282">
        <v>14</v>
      </c>
      <c r="D175" s="294">
        <v>20</v>
      </c>
      <c r="E175" s="293" t="s">
        <v>998</v>
      </c>
      <c r="F175" s="283">
        <v>7</v>
      </c>
      <c r="G175" s="283">
        <v>7</v>
      </c>
      <c r="H175" s="294"/>
      <c r="I175" s="293" t="s">
        <v>771</v>
      </c>
      <c r="J175" t="s">
        <v>1030</v>
      </c>
      <c r="K175" s="246"/>
      <c r="L175" s="246"/>
    </row>
    <row r="176" spans="1:12" x14ac:dyDescent="0.25">
      <c r="A176" s="515">
        <v>45621</v>
      </c>
      <c r="B176" s="246" t="s">
        <v>495</v>
      </c>
      <c r="C176" s="282">
        <v>34</v>
      </c>
      <c r="D176" s="294">
        <v>24</v>
      </c>
      <c r="E176" s="293" t="s">
        <v>485</v>
      </c>
      <c r="F176" s="283">
        <v>14</v>
      </c>
      <c r="G176" s="283">
        <v>13</v>
      </c>
      <c r="H176" s="294"/>
      <c r="I176" s="293" t="s">
        <v>442</v>
      </c>
      <c r="J176" t="s">
        <v>1018</v>
      </c>
      <c r="K176" s="246"/>
      <c r="L176" s="246"/>
    </row>
    <row r="177" spans="1:12" x14ac:dyDescent="0.25">
      <c r="A177" s="515">
        <v>45623</v>
      </c>
      <c r="B177" s="246" t="s">
        <v>1029</v>
      </c>
      <c r="C177" s="282">
        <v>13</v>
      </c>
      <c r="D177" s="294">
        <v>28</v>
      </c>
      <c r="E177" s="293" t="s">
        <v>998</v>
      </c>
      <c r="F177" s="283">
        <v>6</v>
      </c>
      <c r="G177" s="283">
        <v>10</v>
      </c>
      <c r="H177" s="294"/>
      <c r="I177" s="293" t="s">
        <v>787</v>
      </c>
      <c r="J177" t="s">
        <v>1030</v>
      </c>
      <c r="K177" s="246"/>
      <c r="L177" s="246"/>
    </row>
    <row r="178" spans="1:12" x14ac:dyDescent="0.25">
      <c r="A178" s="515">
        <v>45630</v>
      </c>
      <c r="B178" s="246" t="s">
        <v>1031</v>
      </c>
      <c r="C178" s="282">
        <v>27</v>
      </c>
      <c r="D178" s="294">
        <v>0</v>
      </c>
      <c r="E178" s="293" t="s">
        <v>524</v>
      </c>
      <c r="F178" s="283" t="s">
        <v>106</v>
      </c>
      <c r="G178" s="283" t="s">
        <v>106</v>
      </c>
      <c r="H178" s="294"/>
      <c r="I178" s="293" t="s">
        <v>1032</v>
      </c>
      <c r="J178" t="s">
        <v>1033</v>
      </c>
      <c r="K178" s="246"/>
      <c r="L178" s="246"/>
    </row>
    <row r="179" spans="1:12" x14ac:dyDescent="0.25">
      <c r="A179" s="515"/>
      <c r="B179" s="246"/>
      <c r="C179" s="282"/>
      <c r="D179" s="294"/>
      <c r="E179" s="293"/>
      <c r="F179" s="283"/>
      <c r="G179" s="283"/>
      <c r="H179" s="294"/>
      <c r="I179" s="293"/>
      <c r="K179" s="246"/>
      <c r="L179" s="246"/>
    </row>
    <row r="180" spans="1:12" x14ac:dyDescent="0.25">
      <c r="A180" s="515"/>
      <c r="B180" s="371" t="s">
        <v>28</v>
      </c>
      <c r="C180" s="282"/>
      <c r="D180" s="294"/>
      <c r="E180" s="293"/>
      <c r="F180" s="882" t="s">
        <v>169</v>
      </c>
      <c r="G180" s="882"/>
      <c r="H180" s="882"/>
      <c r="I180" s="293"/>
      <c r="K180" s="246"/>
      <c r="L180" s="246"/>
    </row>
    <row r="181" spans="1:12" x14ac:dyDescent="0.25">
      <c r="A181" s="515"/>
      <c r="B181" s="246"/>
      <c r="C181" s="282"/>
      <c r="D181" s="294"/>
      <c r="E181" s="293"/>
      <c r="F181" s="283"/>
      <c r="G181" s="283"/>
      <c r="H181" s="294"/>
      <c r="I181" s="293"/>
      <c r="K181" s="246"/>
      <c r="L181" s="246"/>
    </row>
    <row r="182" spans="1:12" x14ac:dyDescent="0.25">
      <c r="A182" s="515"/>
      <c r="B182" s="246"/>
      <c r="C182" s="282"/>
      <c r="D182" s="294"/>
      <c r="E182" s="293"/>
      <c r="F182" s="283"/>
      <c r="G182" s="283"/>
      <c r="H182" s="294"/>
      <c r="I182" s="293"/>
      <c r="K182" s="246"/>
      <c r="L182" s="246"/>
    </row>
    <row r="183" spans="1:12" x14ac:dyDescent="0.25">
      <c r="A183" s="515"/>
      <c r="B183" s="246"/>
      <c r="C183" s="282"/>
      <c r="D183" s="294"/>
      <c r="E183" s="293"/>
      <c r="F183" s="283"/>
      <c r="G183" s="283"/>
      <c r="H183" s="294"/>
      <c r="I183" s="293"/>
      <c r="K183" s="246"/>
      <c r="L183" s="246"/>
    </row>
    <row r="184" spans="1:12" x14ac:dyDescent="0.25">
      <c r="A184" s="515"/>
      <c r="B184" s="246"/>
      <c r="C184" s="282"/>
      <c r="D184" s="294"/>
      <c r="E184" s="293"/>
      <c r="F184" s="283"/>
      <c r="G184" s="283"/>
      <c r="H184" s="294"/>
      <c r="I184" s="293"/>
      <c r="K184" s="246"/>
      <c r="L184" s="246"/>
    </row>
    <row r="185" spans="1:12" x14ac:dyDescent="0.25">
      <c r="A185" s="515"/>
      <c r="B185" s="246"/>
      <c r="C185" s="282"/>
      <c r="D185" s="294"/>
      <c r="E185" s="293"/>
      <c r="F185" s="283"/>
      <c r="G185" s="283"/>
      <c r="H185" s="294"/>
      <c r="I185" s="293"/>
      <c r="K185" s="246"/>
      <c r="L185" s="246"/>
    </row>
    <row r="186" spans="1:12" x14ac:dyDescent="0.25">
      <c r="A186" s="515"/>
      <c r="B186" s="246"/>
      <c r="C186" s="282"/>
      <c r="D186" s="294"/>
      <c r="E186" s="293"/>
      <c r="F186" s="283"/>
      <c r="G186" s="283"/>
      <c r="H186" s="294"/>
      <c r="I186" s="293"/>
      <c r="K186" s="246"/>
      <c r="L186" s="246"/>
    </row>
    <row r="187" spans="1:12" x14ac:dyDescent="0.25">
      <c r="A187" s="515"/>
      <c r="B187" s="246"/>
      <c r="C187" s="282"/>
      <c r="D187" s="294"/>
      <c r="E187" s="293"/>
      <c r="F187" s="283"/>
      <c r="G187" s="283"/>
      <c r="H187" s="294"/>
      <c r="I187" s="293"/>
      <c r="K187" s="246"/>
      <c r="L187" s="246"/>
    </row>
    <row r="188" spans="1:12" x14ac:dyDescent="0.25">
      <c r="A188" s="515"/>
      <c r="B188" s="246"/>
      <c r="C188" s="282"/>
      <c r="D188" s="294"/>
      <c r="E188" s="293"/>
      <c r="F188" s="293"/>
      <c r="G188" s="283"/>
      <c r="H188" s="293"/>
      <c r="I188" s="293"/>
      <c r="K188" s="246"/>
      <c r="L188" s="246"/>
    </row>
    <row r="189" spans="1:12" x14ac:dyDescent="0.25">
      <c r="A189" s="515"/>
      <c r="B189" s="246"/>
      <c r="C189" s="282"/>
      <c r="D189" s="294"/>
      <c r="E189" s="293"/>
      <c r="F189" s="283"/>
      <c r="G189" s="283"/>
      <c r="H189" s="294"/>
      <c r="I189" s="293"/>
      <c r="K189" s="246"/>
      <c r="L189" s="246"/>
    </row>
    <row r="190" spans="1:12" x14ac:dyDescent="0.25">
      <c r="A190" s="515"/>
      <c r="B190" s="246"/>
      <c r="C190" s="282"/>
      <c r="D190" s="294"/>
      <c r="E190" s="293"/>
      <c r="F190" s="283"/>
      <c r="G190" s="283"/>
      <c r="H190" s="294"/>
      <c r="I190" s="293"/>
      <c r="K190" s="246"/>
      <c r="L190" s="246"/>
    </row>
    <row r="191" spans="1:12" x14ac:dyDescent="0.25">
      <c r="A191" s="515"/>
      <c r="B191" s="246"/>
      <c r="C191" s="282"/>
      <c r="D191" s="294"/>
      <c r="E191" s="293"/>
      <c r="F191" s="283"/>
      <c r="G191" s="283"/>
      <c r="H191" s="294"/>
      <c r="I191" s="293"/>
      <c r="K191" s="246"/>
      <c r="L191" s="246"/>
    </row>
    <row r="192" spans="1:12" x14ac:dyDescent="0.25">
      <c r="A192" s="515"/>
      <c r="B192" s="246"/>
      <c r="C192" s="282"/>
      <c r="D192" s="294"/>
      <c r="E192" s="293"/>
      <c r="F192" s="283"/>
      <c r="G192" s="283"/>
      <c r="H192" s="294"/>
      <c r="I192" s="293"/>
      <c r="J192" s="293"/>
      <c r="K192" s="246"/>
      <c r="L192" s="246"/>
    </row>
    <row r="193" spans="1:12" x14ac:dyDescent="0.25">
      <c r="A193" s="515"/>
      <c r="B193" s="246"/>
      <c r="C193" s="282"/>
      <c r="D193" s="294"/>
      <c r="E193" s="293"/>
      <c r="F193" s="283"/>
      <c r="G193" s="283"/>
      <c r="H193" s="294"/>
      <c r="I193" s="293"/>
      <c r="K193" s="246"/>
      <c r="L193" s="246"/>
    </row>
    <row r="194" spans="1:12" x14ac:dyDescent="0.25">
      <c r="A194" s="515"/>
      <c r="B194" s="246"/>
      <c r="C194" s="282"/>
      <c r="D194" s="294"/>
      <c r="E194" s="293"/>
      <c r="F194" s="283"/>
      <c r="G194" s="283"/>
      <c r="H194" s="294"/>
      <c r="I194" s="293"/>
      <c r="K194" s="246"/>
      <c r="L194" s="246"/>
    </row>
    <row r="195" spans="1:12" x14ac:dyDescent="0.25">
      <c r="A195" s="515"/>
      <c r="B195" s="246"/>
      <c r="C195" s="282"/>
      <c r="D195" s="294"/>
      <c r="E195" s="293"/>
      <c r="F195" s="283"/>
      <c r="G195" s="283"/>
      <c r="H195" s="294"/>
      <c r="I195" s="293"/>
      <c r="K195" s="246"/>
      <c r="L195" s="246"/>
    </row>
    <row r="196" spans="1:12" x14ac:dyDescent="0.25">
      <c r="A196" s="515"/>
      <c r="B196" s="246"/>
      <c r="C196" s="282"/>
      <c r="D196" s="294"/>
      <c r="E196" s="293"/>
      <c r="F196" s="283"/>
      <c r="G196" s="283"/>
      <c r="H196" s="294"/>
      <c r="I196" s="293"/>
      <c r="K196" s="246"/>
      <c r="L196" s="246"/>
    </row>
    <row r="197" spans="1:12" x14ac:dyDescent="0.25">
      <c r="A197" s="515"/>
      <c r="B197" s="246"/>
      <c r="C197" s="282"/>
      <c r="D197" s="294"/>
      <c r="E197" s="293"/>
      <c r="F197" s="882"/>
      <c r="G197" s="882"/>
      <c r="H197" s="882"/>
      <c r="I197" s="293"/>
      <c r="K197" s="246"/>
      <c r="L197" s="246"/>
    </row>
    <row r="198" spans="1:12" x14ac:dyDescent="0.25">
      <c r="A198" s="515"/>
      <c r="B198" s="246"/>
      <c r="C198" s="282"/>
      <c r="D198" s="294"/>
      <c r="E198" s="293"/>
      <c r="F198" s="283"/>
      <c r="G198" s="283"/>
      <c r="H198" s="294"/>
      <c r="I198" s="293"/>
      <c r="K198" s="246"/>
      <c r="L198" s="246"/>
    </row>
    <row r="199" spans="1:12" x14ac:dyDescent="0.25">
      <c r="A199" s="515"/>
      <c r="B199" s="246"/>
      <c r="C199" s="282"/>
      <c r="D199" s="294"/>
      <c r="E199" s="293"/>
      <c r="F199" s="283"/>
      <c r="G199" s="283"/>
      <c r="H199" s="294"/>
      <c r="I199" s="293"/>
      <c r="K199" s="246"/>
      <c r="L199" s="246"/>
    </row>
    <row r="200" spans="1:12" x14ac:dyDescent="0.25">
      <c r="A200" s="515"/>
      <c r="B200" s="246"/>
      <c r="C200" s="282"/>
      <c r="D200" s="294"/>
      <c r="E200" s="293"/>
      <c r="F200" s="283"/>
      <c r="G200" s="283"/>
      <c r="H200" s="294"/>
      <c r="I200" s="293"/>
      <c r="K200" s="246"/>
      <c r="L200" s="246"/>
    </row>
    <row r="201" spans="1:12" x14ac:dyDescent="0.25">
      <c r="A201" s="515"/>
      <c r="B201" s="246"/>
      <c r="C201" s="282"/>
      <c r="D201" s="294"/>
      <c r="E201" s="293"/>
      <c r="F201" s="283"/>
      <c r="G201" s="283"/>
      <c r="H201" s="293"/>
      <c r="I201" s="293"/>
      <c r="K201" s="246"/>
      <c r="L201" s="246"/>
    </row>
    <row r="202" spans="1:12" x14ac:dyDescent="0.25">
      <c r="A202" s="515"/>
      <c r="B202" s="246"/>
      <c r="C202" s="282"/>
      <c r="D202" s="294"/>
      <c r="E202" s="293"/>
      <c r="F202" s="283"/>
      <c r="G202" s="283"/>
      <c r="H202" s="294"/>
      <c r="I202" s="293"/>
      <c r="K202" s="246"/>
      <c r="L202" s="246"/>
    </row>
    <row r="203" spans="1:12" x14ac:dyDescent="0.25">
      <c r="A203" s="515"/>
      <c r="B203" s="246"/>
      <c r="C203" s="282"/>
      <c r="D203" s="294"/>
      <c r="E203" s="293"/>
      <c r="F203" s="283"/>
      <c r="G203" s="283"/>
      <c r="H203" s="294"/>
      <c r="I203" s="293"/>
      <c r="K203" s="246"/>
      <c r="L203" s="246"/>
    </row>
    <row r="204" spans="1:12" x14ac:dyDescent="0.25">
      <c r="A204" s="515"/>
      <c r="B204" s="246"/>
      <c r="C204" s="282"/>
      <c r="D204" s="294"/>
      <c r="E204" s="293"/>
      <c r="F204" s="283"/>
      <c r="G204" s="283"/>
      <c r="H204" s="294"/>
      <c r="I204" s="293"/>
      <c r="K204" s="246"/>
      <c r="L204" s="246"/>
    </row>
    <row r="205" spans="1:12" x14ac:dyDescent="0.25">
      <c r="A205" s="515"/>
      <c r="B205" s="246"/>
      <c r="C205" s="282"/>
      <c r="D205" s="294"/>
      <c r="E205" s="293"/>
      <c r="F205" s="283"/>
      <c r="G205" s="283"/>
      <c r="H205" s="294"/>
      <c r="I205" s="293"/>
      <c r="K205" s="246"/>
      <c r="L205" s="246"/>
    </row>
    <row r="206" spans="1:12" x14ac:dyDescent="0.25">
      <c r="A206" s="515"/>
      <c r="B206" s="246"/>
      <c r="C206" s="282"/>
      <c r="D206" s="294"/>
      <c r="E206" s="293"/>
      <c r="F206" s="283"/>
      <c r="G206" s="283"/>
      <c r="H206" s="294"/>
      <c r="I206" s="293"/>
      <c r="K206" s="246"/>
      <c r="L206" s="246"/>
    </row>
    <row r="207" spans="1:12" x14ac:dyDescent="0.25">
      <c r="A207" s="515"/>
      <c r="B207" s="246"/>
      <c r="C207" s="282"/>
      <c r="D207" s="294"/>
      <c r="E207" s="293"/>
      <c r="F207" s="283"/>
      <c r="G207" s="283"/>
      <c r="H207" s="294"/>
      <c r="I207" s="293"/>
      <c r="K207" s="246"/>
      <c r="L207" s="246"/>
    </row>
    <row r="208" spans="1:12" x14ac:dyDescent="0.25">
      <c r="A208" s="515"/>
      <c r="B208" s="246"/>
      <c r="C208" s="282"/>
      <c r="D208" s="294"/>
      <c r="E208" s="293"/>
      <c r="F208" s="283"/>
      <c r="G208" s="283"/>
      <c r="H208" s="294"/>
      <c r="I208" s="293"/>
      <c r="K208" s="246"/>
      <c r="L208" s="246"/>
    </row>
    <row r="209" spans="1:12" x14ac:dyDescent="0.25">
      <c r="A209" s="515"/>
      <c r="B209" s="246"/>
      <c r="C209" s="282"/>
      <c r="D209" s="294"/>
      <c r="E209" s="293"/>
      <c r="F209" s="283"/>
      <c r="G209" s="283"/>
      <c r="H209" s="294"/>
      <c r="I209" s="293"/>
      <c r="K209" s="246"/>
      <c r="L209" s="246"/>
    </row>
    <row r="210" spans="1:12" x14ac:dyDescent="0.25">
      <c r="A210" s="515"/>
      <c r="B210" s="246"/>
      <c r="C210" s="282"/>
      <c r="D210" s="294"/>
      <c r="E210" s="293"/>
      <c r="F210" s="283"/>
      <c r="G210" s="283"/>
      <c r="H210" s="294"/>
      <c r="I210" s="293"/>
      <c r="K210" s="246"/>
      <c r="L210" s="246"/>
    </row>
    <row r="211" spans="1:12" x14ac:dyDescent="0.25">
      <c r="A211" s="515"/>
      <c r="B211" s="246"/>
      <c r="C211" s="282"/>
      <c r="D211" s="294"/>
      <c r="E211" s="293"/>
      <c r="F211" s="283"/>
      <c r="G211" s="283"/>
      <c r="H211" s="294"/>
      <c r="I211" s="293"/>
      <c r="K211" s="246"/>
      <c r="L211" s="246"/>
    </row>
    <row r="212" spans="1:12" x14ac:dyDescent="0.25">
      <c r="A212" s="515"/>
      <c r="B212" s="246"/>
      <c r="C212" s="282"/>
      <c r="D212" s="294"/>
      <c r="E212" s="293"/>
      <c r="F212" s="283"/>
      <c r="G212" s="283"/>
      <c r="H212" s="294"/>
      <c r="I212" s="293"/>
      <c r="K212" s="246"/>
      <c r="L212" s="246"/>
    </row>
    <row r="213" spans="1:12" x14ac:dyDescent="0.25">
      <c r="A213" s="515"/>
      <c r="B213" s="246"/>
      <c r="C213" s="282"/>
      <c r="D213" s="294"/>
      <c r="E213" s="293"/>
      <c r="F213" s="283"/>
      <c r="G213" s="283"/>
      <c r="H213" s="294"/>
      <c r="I213" s="293"/>
      <c r="K213" s="246"/>
      <c r="L213" s="246"/>
    </row>
    <row r="214" spans="1:12" x14ac:dyDescent="0.25">
      <c r="A214" s="515"/>
      <c r="B214" s="246"/>
      <c r="C214" s="282"/>
      <c r="D214" s="294"/>
      <c r="E214" s="293"/>
      <c r="F214" s="283"/>
      <c r="G214" s="283"/>
      <c r="H214" s="294"/>
      <c r="I214" s="293"/>
      <c r="K214" s="246"/>
      <c r="L214" s="246"/>
    </row>
    <row r="215" spans="1:12" x14ac:dyDescent="0.25">
      <c r="A215" s="515"/>
      <c r="B215" s="246"/>
      <c r="C215" s="282"/>
      <c r="D215" s="294"/>
      <c r="E215" s="293"/>
      <c r="F215" s="283"/>
      <c r="G215" s="283"/>
      <c r="H215" s="294"/>
      <c r="I215" s="293"/>
      <c r="K215" s="246"/>
      <c r="L215" s="246"/>
    </row>
    <row r="216" spans="1:12" x14ac:dyDescent="0.25">
      <c r="A216" s="515"/>
      <c r="B216" s="246"/>
      <c r="C216" s="282"/>
      <c r="D216" s="294"/>
      <c r="E216" s="293"/>
      <c r="F216" s="283"/>
      <c r="G216" s="283"/>
      <c r="H216" s="294"/>
      <c r="I216" s="293"/>
      <c r="K216" s="246"/>
      <c r="L216" s="246"/>
    </row>
    <row r="217" spans="1:12" x14ac:dyDescent="0.25">
      <c r="A217" s="515"/>
      <c r="B217" s="246"/>
      <c r="C217" s="282"/>
      <c r="D217" s="294"/>
      <c r="E217" s="293"/>
      <c r="F217" s="283"/>
      <c r="G217" s="283"/>
      <c r="H217" s="294"/>
      <c r="I217" s="293"/>
      <c r="K217" s="246"/>
      <c r="L217" s="246"/>
    </row>
    <row r="218" spans="1:12" x14ac:dyDescent="0.25">
      <c r="A218" s="515"/>
      <c r="B218" s="246"/>
      <c r="C218" s="282"/>
      <c r="D218" s="294"/>
      <c r="E218" s="293"/>
      <c r="F218" s="283"/>
      <c r="G218" s="283"/>
      <c r="H218" s="294"/>
      <c r="I218" s="293"/>
      <c r="K218" s="246"/>
      <c r="L218" s="246"/>
    </row>
    <row r="219" spans="1:12" x14ac:dyDescent="0.25">
      <c r="A219" s="515"/>
      <c r="B219" s="246"/>
      <c r="C219" s="282"/>
      <c r="D219" s="294"/>
      <c r="E219" s="293"/>
      <c r="F219" s="283"/>
      <c r="G219" s="283"/>
      <c r="H219" s="294"/>
      <c r="I219" s="293"/>
      <c r="K219" s="246"/>
      <c r="L219" s="246"/>
    </row>
    <row r="220" spans="1:12" x14ac:dyDescent="0.25">
      <c r="A220" s="515"/>
      <c r="B220" s="246"/>
      <c r="C220" s="282"/>
      <c r="D220" s="294"/>
      <c r="E220" s="293"/>
      <c r="F220" s="283"/>
      <c r="G220" s="283"/>
      <c r="H220" s="294"/>
      <c r="I220" s="293"/>
      <c r="J220" s="293"/>
      <c r="K220" s="246"/>
      <c r="L220" s="246"/>
    </row>
    <row r="221" spans="1:12" x14ac:dyDescent="0.25">
      <c r="A221" s="515"/>
      <c r="B221" s="246"/>
      <c r="C221" s="282"/>
      <c r="D221" s="294"/>
      <c r="E221" s="293"/>
      <c r="F221" s="293"/>
      <c r="G221" s="283"/>
      <c r="H221" s="293"/>
      <c r="I221" s="293"/>
      <c r="K221" s="246"/>
      <c r="L221" s="246"/>
    </row>
    <row r="222" spans="1:12" x14ac:dyDescent="0.25">
      <c r="A222" s="515"/>
      <c r="B222" s="246"/>
      <c r="C222" s="282"/>
      <c r="D222" s="294"/>
      <c r="E222" s="293"/>
      <c r="F222" s="283"/>
      <c r="G222" s="283"/>
      <c r="H222" s="294"/>
      <c r="I222" s="293"/>
      <c r="K222" s="246"/>
      <c r="L222" s="246"/>
    </row>
    <row r="223" spans="1:12" x14ac:dyDescent="0.25">
      <c r="A223" s="515"/>
      <c r="B223" s="246"/>
      <c r="C223" s="282"/>
      <c r="D223" s="294"/>
      <c r="E223" s="293"/>
      <c r="F223" s="283"/>
      <c r="G223" s="283"/>
      <c r="H223" s="294"/>
      <c r="I223" s="293"/>
      <c r="K223" s="246"/>
      <c r="L223" s="246"/>
    </row>
    <row r="224" spans="1:12" x14ac:dyDescent="0.25">
      <c r="A224" s="515"/>
      <c r="B224" s="246"/>
      <c r="C224" s="282"/>
      <c r="D224" s="294"/>
      <c r="E224" s="293"/>
      <c r="F224" s="283"/>
      <c r="G224" s="283"/>
      <c r="H224" s="294"/>
      <c r="I224" s="293"/>
      <c r="K224" s="246"/>
      <c r="L224" s="246"/>
    </row>
    <row r="225" spans="1:12" x14ac:dyDescent="0.25">
      <c r="A225" s="515"/>
      <c r="B225" s="246"/>
      <c r="C225" s="282"/>
      <c r="D225" s="294"/>
      <c r="E225" s="293"/>
      <c r="F225" s="283"/>
      <c r="G225" s="283"/>
      <c r="H225" s="294"/>
      <c r="I225" s="293"/>
      <c r="K225" s="246"/>
      <c r="L225" s="246"/>
    </row>
    <row r="226" spans="1:12" x14ac:dyDescent="0.25">
      <c r="A226" s="515"/>
      <c r="B226" s="246"/>
      <c r="C226" s="282"/>
      <c r="D226" s="294"/>
      <c r="E226" s="293"/>
      <c r="F226" s="283"/>
      <c r="G226" s="283"/>
      <c r="H226" s="294"/>
      <c r="I226" s="293"/>
      <c r="K226" s="246"/>
      <c r="L226" s="246"/>
    </row>
    <row r="227" spans="1:12" x14ac:dyDescent="0.25">
      <c r="A227" s="515"/>
      <c r="B227" s="246"/>
      <c r="C227" s="282"/>
      <c r="D227" s="294"/>
      <c r="E227" s="293"/>
      <c r="F227" s="283"/>
      <c r="G227" s="283"/>
      <c r="H227" s="294"/>
      <c r="I227" s="293"/>
      <c r="K227" s="246"/>
      <c r="L227" s="246"/>
    </row>
    <row r="228" spans="1:12" x14ac:dyDescent="0.25">
      <c r="A228" s="515"/>
      <c r="B228" s="246"/>
      <c r="C228" s="282"/>
      <c r="D228" s="294"/>
      <c r="E228" s="293"/>
      <c r="F228" s="283"/>
      <c r="G228" s="283"/>
      <c r="H228" s="294"/>
      <c r="I228" s="293"/>
      <c r="K228" s="246"/>
      <c r="L228" s="246"/>
    </row>
    <row r="229" spans="1:12" x14ac:dyDescent="0.25">
      <c r="A229" s="515"/>
      <c r="B229" s="246"/>
      <c r="C229" s="282"/>
      <c r="D229" s="294"/>
      <c r="E229" s="293"/>
      <c r="F229" s="283"/>
      <c r="G229" s="283"/>
      <c r="H229" s="294"/>
      <c r="I229" s="293"/>
      <c r="K229" s="246"/>
      <c r="L229" s="246"/>
    </row>
    <row r="230" spans="1:12" x14ac:dyDescent="0.25">
      <c r="A230" s="515"/>
      <c r="B230" s="246"/>
      <c r="C230" s="282"/>
      <c r="D230" s="294"/>
      <c r="E230" s="293"/>
      <c r="F230" s="283"/>
      <c r="G230" s="283"/>
      <c r="H230" s="294"/>
      <c r="I230" s="293"/>
      <c r="K230" s="246"/>
      <c r="L230" s="246"/>
    </row>
    <row r="231" spans="1:12" x14ac:dyDescent="0.25">
      <c r="A231" s="515"/>
      <c r="B231" s="246"/>
      <c r="C231" s="282"/>
      <c r="D231" s="294"/>
      <c r="E231" s="293"/>
      <c r="F231" s="283"/>
      <c r="G231" s="283"/>
      <c r="H231" s="294"/>
      <c r="I231" s="293"/>
      <c r="K231" s="246"/>
      <c r="L231" s="246"/>
    </row>
    <row r="232" spans="1:12" x14ac:dyDescent="0.25">
      <c r="A232" s="515"/>
      <c r="B232" s="246"/>
      <c r="C232" s="282"/>
      <c r="D232" s="294"/>
      <c r="E232" s="293"/>
      <c r="F232" s="283"/>
      <c r="G232" s="283"/>
      <c r="H232" s="294"/>
      <c r="I232" s="293"/>
      <c r="K232" s="246"/>
      <c r="L232" s="246"/>
    </row>
    <row r="233" spans="1:12" x14ac:dyDescent="0.25">
      <c r="A233" s="515"/>
      <c r="B233" s="246"/>
      <c r="C233" s="282"/>
      <c r="D233" s="294"/>
      <c r="E233" s="293"/>
      <c r="F233" s="283"/>
      <c r="G233" s="283"/>
      <c r="H233" s="294"/>
      <c r="I233" s="293"/>
      <c r="K233" s="246"/>
      <c r="L233" s="246"/>
    </row>
    <row r="234" spans="1:12" x14ac:dyDescent="0.25">
      <c r="A234" s="515"/>
      <c r="B234" s="246"/>
      <c r="C234" s="282"/>
      <c r="D234" s="294"/>
      <c r="E234" s="293"/>
      <c r="F234" s="283"/>
      <c r="G234" s="283"/>
      <c r="H234" s="294"/>
      <c r="I234" s="293"/>
      <c r="K234" s="246"/>
      <c r="L234" s="246"/>
    </row>
    <row r="235" spans="1:12" x14ac:dyDescent="0.25">
      <c r="A235" s="515"/>
      <c r="B235" s="246"/>
      <c r="C235" s="282"/>
      <c r="D235" s="294"/>
      <c r="E235" s="293"/>
      <c r="F235" s="283"/>
      <c r="G235" s="283"/>
      <c r="H235" s="294"/>
      <c r="I235" s="293"/>
      <c r="K235" s="246"/>
      <c r="L235" s="246"/>
    </row>
    <row r="236" spans="1:12" x14ac:dyDescent="0.25">
      <c r="A236" s="515"/>
      <c r="B236" s="246"/>
      <c r="C236" s="282"/>
      <c r="D236" s="294"/>
      <c r="E236" s="293"/>
      <c r="F236" s="283"/>
      <c r="G236" s="283"/>
      <c r="H236" s="294"/>
      <c r="I236" s="293"/>
      <c r="K236" s="246"/>
      <c r="L236" s="246"/>
    </row>
    <row r="237" spans="1:12" x14ac:dyDescent="0.25">
      <c r="A237" s="515"/>
      <c r="B237" s="246"/>
      <c r="C237" s="282"/>
      <c r="D237" s="294"/>
      <c r="E237" s="293"/>
      <c r="F237" s="283"/>
      <c r="G237" s="283"/>
      <c r="H237" s="294"/>
      <c r="I237" s="293"/>
      <c r="K237" s="246"/>
      <c r="L237" s="246"/>
    </row>
    <row r="238" spans="1:12" x14ac:dyDescent="0.25">
      <c r="A238" s="515"/>
      <c r="B238" s="246"/>
      <c r="C238" s="282"/>
      <c r="D238" s="294"/>
      <c r="E238" s="293"/>
      <c r="F238" s="283"/>
      <c r="G238" s="283"/>
      <c r="H238" s="294"/>
      <c r="I238" s="293"/>
      <c r="K238" s="246"/>
      <c r="L238" s="246"/>
    </row>
    <row r="239" spans="1:12" x14ac:dyDescent="0.25">
      <c r="A239" s="515"/>
      <c r="B239" s="246"/>
      <c r="C239" s="282"/>
      <c r="D239" s="294"/>
      <c r="E239" s="293"/>
      <c r="F239" s="283"/>
      <c r="G239" s="283"/>
      <c r="H239" s="294"/>
      <c r="I239" s="293"/>
      <c r="K239" s="246"/>
      <c r="L239" s="246"/>
    </row>
    <row r="240" spans="1:12" x14ac:dyDescent="0.25">
      <c r="A240" s="515"/>
      <c r="B240" s="246"/>
      <c r="C240" s="282"/>
      <c r="D240" s="294"/>
      <c r="E240" s="293"/>
      <c r="F240" s="283"/>
      <c r="G240" s="283"/>
      <c r="H240" s="294"/>
      <c r="I240" s="293"/>
      <c r="K240" s="246"/>
      <c r="L240" s="246"/>
    </row>
    <row r="241" spans="1:12" x14ac:dyDescent="0.25">
      <c r="A241" s="515"/>
      <c r="B241" s="246"/>
      <c r="C241" s="282"/>
      <c r="D241" s="294"/>
      <c r="E241" s="293"/>
      <c r="F241" s="283"/>
      <c r="G241" s="283"/>
      <c r="H241" s="294"/>
      <c r="I241" s="293"/>
      <c r="K241" s="246"/>
      <c r="L241" s="246"/>
    </row>
    <row r="242" spans="1:12" x14ac:dyDescent="0.25">
      <c r="A242" s="515"/>
      <c r="B242" s="246"/>
      <c r="C242" s="282"/>
      <c r="D242" s="294"/>
      <c r="E242" s="293"/>
      <c r="F242" s="283"/>
      <c r="G242" s="283"/>
      <c r="H242" s="294"/>
      <c r="I242" s="293"/>
      <c r="K242" s="246"/>
      <c r="L242" s="246"/>
    </row>
    <row r="243" spans="1:12" x14ac:dyDescent="0.25">
      <c r="A243" s="515"/>
      <c r="B243" s="246"/>
      <c r="C243" s="282"/>
      <c r="D243" s="294"/>
      <c r="E243" s="293"/>
      <c r="F243" s="283"/>
      <c r="G243" s="283"/>
      <c r="H243" s="526"/>
      <c r="I243" s="293"/>
      <c r="K243" s="246"/>
      <c r="L243" s="246"/>
    </row>
    <row r="244" spans="1:12" x14ac:dyDescent="0.25">
      <c r="A244" s="515"/>
      <c r="B244" s="246"/>
      <c r="C244" s="282"/>
      <c r="D244" s="294"/>
      <c r="E244" s="293"/>
      <c r="F244" s="283"/>
      <c r="G244" s="283"/>
      <c r="H244" s="526"/>
      <c r="I244" s="293"/>
      <c r="J244" s="293"/>
      <c r="K244" s="246"/>
      <c r="L244" s="246"/>
    </row>
    <row r="245" spans="1:12" x14ac:dyDescent="0.25">
      <c r="A245" s="515"/>
      <c r="B245" s="246"/>
      <c r="C245" s="282"/>
      <c r="D245" s="294"/>
      <c r="E245" s="293"/>
      <c r="F245" s="283"/>
      <c r="G245" s="283"/>
      <c r="H245" s="526"/>
      <c r="I245" s="293"/>
      <c r="J245" s="293"/>
      <c r="K245" s="246"/>
      <c r="L245" s="246"/>
    </row>
    <row r="246" spans="1:12" x14ac:dyDescent="0.25">
      <c r="A246" s="515"/>
      <c r="B246" s="246"/>
      <c r="C246" s="282"/>
      <c r="D246" s="294"/>
      <c r="E246" s="293"/>
      <c r="F246" s="283"/>
      <c r="G246" s="283"/>
      <c r="H246" s="294"/>
      <c r="I246" s="293"/>
      <c r="K246" s="246"/>
      <c r="L246" s="246"/>
    </row>
    <row r="247" spans="1:12" x14ac:dyDescent="0.25">
      <c r="A247" s="515"/>
      <c r="B247" s="246"/>
      <c r="C247" s="282"/>
      <c r="D247" s="294"/>
      <c r="E247" s="293"/>
      <c r="F247" s="283"/>
      <c r="G247" s="283"/>
      <c r="H247" s="294"/>
      <c r="I247" s="293"/>
      <c r="K247" s="246"/>
      <c r="L247" s="246"/>
    </row>
    <row r="248" spans="1:12" x14ac:dyDescent="0.25">
      <c r="A248" s="515"/>
      <c r="B248" s="246"/>
      <c r="C248" s="282"/>
      <c r="D248" s="294"/>
      <c r="E248" s="293"/>
      <c r="F248" s="283"/>
      <c r="G248" s="283"/>
      <c r="H248" s="294"/>
      <c r="I248" s="293"/>
      <c r="K248" s="246"/>
      <c r="L248" s="246"/>
    </row>
    <row r="249" spans="1:12" x14ac:dyDescent="0.25">
      <c r="A249" s="515"/>
      <c r="B249" s="246"/>
      <c r="C249" s="282"/>
      <c r="D249" s="294"/>
      <c r="E249" s="293"/>
      <c r="F249" s="283"/>
      <c r="G249" s="283"/>
      <c r="H249" s="294"/>
      <c r="I249" s="293"/>
      <c r="K249" s="246"/>
      <c r="L249" s="246"/>
    </row>
    <row r="250" spans="1:12" x14ac:dyDescent="0.25">
      <c r="A250" s="515"/>
      <c r="B250" s="246"/>
      <c r="C250" s="282"/>
      <c r="D250" s="294"/>
      <c r="E250" s="293"/>
      <c r="F250" s="283"/>
      <c r="G250" s="283"/>
      <c r="H250" s="294"/>
      <c r="I250" s="293"/>
      <c r="K250" s="246"/>
      <c r="L250" s="246"/>
    </row>
    <row r="251" spans="1:12" x14ac:dyDescent="0.25">
      <c r="A251" s="515"/>
      <c r="B251" s="246"/>
      <c r="C251" s="282"/>
      <c r="D251" s="294"/>
      <c r="E251" s="293"/>
      <c r="F251" s="283"/>
      <c r="G251" s="283"/>
      <c r="H251" s="294"/>
      <c r="I251" s="293"/>
      <c r="K251" s="246"/>
      <c r="L251" s="246"/>
    </row>
    <row r="252" spans="1:12" x14ac:dyDescent="0.25">
      <c r="A252" s="515"/>
      <c r="B252" s="246"/>
      <c r="C252" s="282"/>
      <c r="D252" s="294"/>
      <c r="E252" s="293"/>
      <c r="F252" s="283"/>
      <c r="G252" s="283"/>
      <c r="H252" s="294"/>
      <c r="I252" s="293"/>
      <c r="K252" s="246"/>
      <c r="L252" s="246"/>
    </row>
    <row r="253" spans="1:12" x14ac:dyDescent="0.25">
      <c r="A253" s="515"/>
      <c r="B253" s="246"/>
      <c r="C253" s="282"/>
      <c r="D253" s="294"/>
      <c r="E253" s="293"/>
      <c r="F253" s="283"/>
      <c r="G253" s="283"/>
      <c r="H253" s="294"/>
      <c r="I253" s="293"/>
      <c r="K253" s="246"/>
      <c r="L253" s="246"/>
    </row>
    <row r="254" spans="1:12" x14ac:dyDescent="0.25">
      <c r="A254" s="515"/>
      <c r="B254" s="246"/>
      <c r="C254" s="282"/>
      <c r="D254" s="294"/>
      <c r="E254" s="293"/>
      <c r="F254" s="283"/>
      <c r="G254" s="283"/>
      <c r="H254" s="294"/>
      <c r="I254" s="293"/>
      <c r="K254" s="246"/>
      <c r="L254" s="246"/>
    </row>
    <row r="255" spans="1:12" x14ac:dyDescent="0.25">
      <c r="A255" s="515"/>
      <c r="B255" s="246"/>
      <c r="C255" s="282"/>
      <c r="D255" s="294"/>
      <c r="E255" s="293"/>
      <c r="F255" s="283"/>
      <c r="G255" s="283"/>
      <c r="H255" s="294"/>
      <c r="I255" s="293"/>
      <c r="K255" s="246"/>
      <c r="L255" s="246"/>
    </row>
    <row r="256" spans="1:12" x14ac:dyDescent="0.25">
      <c r="A256" s="515"/>
      <c r="B256" s="246"/>
      <c r="C256" s="282"/>
      <c r="D256" s="294"/>
      <c r="E256" s="293"/>
      <c r="F256" s="283"/>
      <c r="G256" s="283"/>
      <c r="H256" s="294"/>
      <c r="I256" s="293"/>
      <c r="K256" s="246"/>
      <c r="L256" s="246"/>
    </row>
    <row r="257" spans="1:12" x14ac:dyDescent="0.25">
      <c r="A257" s="515"/>
      <c r="B257" s="246"/>
      <c r="C257" s="282"/>
      <c r="D257" s="294"/>
      <c r="E257" s="293"/>
      <c r="F257" s="283"/>
      <c r="G257" s="283"/>
      <c r="H257" s="294"/>
      <c r="I257" s="293"/>
      <c r="K257" s="246"/>
      <c r="L257" s="246"/>
    </row>
    <row r="258" spans="1:12" x14ac:dyDescent="0.25">
      <c r="A258" s="515"/>
      <c r="B258" s="246"/>
      <c r="C258" s="282"/>
      <c r="D258" s="294"/>
      <c r="E258" s="293"/>
      <c r="F258" s="283"/>
      <c r="G258" s="283"/>
      <c r="H258" s="294"/>
      <c r="I258" s="293"/>
      <c r="K258" s="246"/>
      <c r="L258" s="246"/>
    </row>
    <row r="259" spans="1:12" x14ac:dyDescent="0.25">
      <c r="A259" s="515"/>
      <c r="B259" s="246"/>
      <c r="C259" s="282"/>
      <c r="D259" s="294"/>
      <c r="E259" s="293"/>
      <c r="F259" s="283"/>
      <c r="G259" s="283"/>
      <c r="H259" s="294"/>
      <c r="I259" s="293"/>
      <c r="K259" s="246"/>
      <c r="L259" s="246"/>
    </row>
    <row r="260" spans="1:12" x14ac:dyDescent="0.25">
      <c r="A260" s="515"/>
      <c r="B260" s="246"/>
      <c r="C260" s="282"/>
      <c r="D260" s="294"/>
      <c r="E260" s="293"/>
      <c r="F260" s="283"/>
      <c r="G260" s="283"/>
      <c r="H260" s="294"/>
      <c r="I260" s="293"/>
      <c r="K260" s="246"/>
      <c r="L260" s="246"/>
    </row>
    <row r="261" spans="1:12" x14ac:dyDescent="0.25">
      <c r="A261" s="515"/>
      <c r="B261" s="246"/>
      <c r="C261" s="282"/>
      <c r="D261" s="294"/>
      <c r="E261" s="293"/>
      <c r="F261" s="283"/>
      <c r="G261" s="283"/>
      <c r="H261" s="294"/>
      <c r="I261" s="293"/>
      <c r="K261" s="246"/>
      <c r="L261" s="246"/>
    </row>
    <row r="262" spans="1:12" x14ac:dyDescent="0.25">
      <c r="A262" s="515"/>
      <c r="B262" s="246"/>
      <c r="C262" s="282"/>
      <c r="D262" s="294"/>
      <c r="E262" s="293"/>
      <c r="F262" s="283"/>
      <c r="G262" s="283"/>
      <c r="H262" s="294"/>
      <c r="I262" s="293"/>
      <c r="K262" s="246"/>
      <c r="L262" s="246"/>
    </row>
    <row r="263" spans="1:12" x14ac:dyDescent="0.25">
      <c r="A263" s="515"/>
      <c r="B263" s="246"/>
      <c r="C263" s="282"/>
      <c r="D263" s="294"/>
      <c r="E263" s="293"/>
      <c r="F263" s="283"/>
      <c r="G263" s="283"/>
      <c r="H263" s="294"/>
      <c r="I263" s="293"/>
      <c r="K263" s="246"/>
      <c r="L263" s="246"/>
    </row>
    <row r="264" spans="1:12" x14ac:dyDescent="0.25">
      <c r="A264" s="515"/>
      <c r="B264" s="246"/>
      <c r="C264" s="282"/>
      <c r="D264" s="294"/>
      <c r="E264" s="293"/>
      <c r="F264" s="283"/>
      <c r="G264" s="283"/>
      <c r="H264" s="294"/>
      <c r="I264" s="293"/>
      <c r="K264" s="246"/>
      <c r="L264" s="246"/>
    </row>
    <row r="265" spans="1:12" x14ac:dyDescent="0.25">
      <c r="A265" s="515"/>
      <c r="B265" s="246"/>
      <c r="C265" s="282"/>
      <c r="D265" s="294"/>
      <c r="E265" s="293"/>
      <c r="F265" s="283"/>
      <c r="G265" s="283"/>
      <c r="H265" s="294"/>
      <c r="I265" s="293"/>
      <c r="K265" s="246"/>
      <c r="L265" s="246"/>
    </row>
    <row r="266" spans="1:12" x14ac:dyDescent="0.25">
      <c r="A266" s="515"/>
      <c r="B266" s="246"/>
      <c r="C266" s="282"/>
      <c r="D266" s="294"/>
      <c r="E266" s="293"/>
      <c r="F266" s="283"/>
      <c r="G266" s="283"/>
      <c r="H266" s="294"/>
      <c r="I266" s="293"/>
      <c r="K266" s="246"/>
      <c r="L266" s="246"/>
    </row>
    <row r="267" spans="1:12" x14ac:dyDescent="0.25">
      <c r="A267" s="515"/>
      <c r="B267" s="246"/>
      <c r="C267" s="282"/>
      <c r="D267" s="294"/>
      <c r="E267" s="293"/>
      <c r="F267" s="283"/>
      <c r="G267" s="283"/>
      <c r="H267" s="294"/>
      <c r="I267" s="293"/>
      <c r="K267" s="246"/>
      <c r="L267" s="246"/>
    </row>
    <row r="268" spans="1:12" x14ac:dyDescent="0.25">
      <c r="A268" s="515"/>
      <c r="B268" s="246"/>
      <c r="C268" s="282"/>
      <c r="D268" s="294"/>
      <c r="E268" s="293"/>
      <c r="F268" s="283"/>
      <c r="G268" s="283"/>
      <c r="H268" s="294"/>
      <c r="I268" s="293"/>
      <c r="K268" s="246"/>
      <c r="L268" s="246"/>
    </row>
    <row r="269" spans="1:12" x14ac:dyDescent="0.25">
      <c r="A269" s="515"/>
      <c r="B269" s="246"/>
      <c r="C269" s="282"/>
      <c r="D269" s="294"/>
      <c r="E269" s="293"/>
      <c r="F269" s="283"/>
      <c r="G269" s="283"/>
      <c r="H269" s="294"/>
      <c r="I269" s="293"/>
      <c r="K269" s="246"/>
      <c r="L269" s="246"/>
    </row>
    <row r="270" spans="1:12" x14ac:dyDescent="0.25">
      <c r="A270" s="515"/>
      <c r="B270" s="246"/>
      <c r="C270" s="282"/>
      <c r="D270" s="294"/>
      <c r="E270" s="293"/>
      <c r="F270" s="283"/>
      <c r="G270" s="283"/>
      <c r="H270" s="294"/>
      <c r="I270" s="293"/>
      <c r="K270" s="246"/>
      <c r="L270" s="246"/>
    </row>
    <row r="271" spans="1:12" x14ac:dyDescent="0.25">
      <c r="A271" s="515"/>
      <c r="B271" s="246"/>
      <c r="C271" s="282"/>
      <c r="D271" s="294"/>
      <c r="E271" s="293"/>
      <c r="F271" s="283"/>
      <c r="G271" s="283"/>
      <c r="H271" s="294"/>
      <c r="I271" s="293"/>
      <c r="K271" s="246"/>
      <c r="L271" s="246"/>
    </row>
    <row r="272" spans="1:12" x14ac:dyDescent="0.25">
      <c r="A272" s="515"/>
      <c r="B272" s="246"/>
      <c r="C272" s="282"/>
      <c r="D272" s="294"/>
      <c r="E272" s="293"/>
      <c r="F272" s="283"/>
      <c r="G272" s="283"/>
      <c r="H272" s="294"/>
      <c r="I272" s="293"/>
      <c r="K272" s="246"/>
      <c r="L272" s="246"/>
    </row>
    <row r="273" spans="1:12" x14ac:dyDescent="0.25">
      <c r="A273" s="515"/>
      <c r="B273" s="246"/>
      <c r="C273" s="282"/>
      <c r="D273" s="294"/>
      <c r="E273" s="293"/>
      <c r="F273" s="293"/>
      <c r="G273" s="293"/>
      <c r="H273" s="293"/>
      <c r="I273" s="293"/>
      <c r="K273" s="246"/>
      <c r="L273" s="246"/>
    </row>
    <row r="274" spans="1:12" x14ac:dyDescent="0.25">
      <c r="A274" s="515"/>
      <c r="B274" s="246"/>
      <c r="C274" s="282"/>
      <c r="D274" s="294"/>
      <c r="E274" s="293"/>
      <c r="F274" s="293"/>
      <c r="G274" s="293"/>
      <c r="H274" s="293"/>
      <c r="I274" s="293"/>
      <c r="K274" s="246"/>
      <c r="L274" s="246"/>
    </row>
    <row r="275" spans="1:12" x14ac:dyDescent="0.25">
      <c r="A275" s="515"/>
      <c r="B275" s="246"/>
      <c r="C275" s="282"/>
      <c r="D275" s="294"/>
      <c r="E275" s="293"/>
      <c r="F275" s="293"/>
      <c r="G275" s="293"/>
      <c r="H275" s="293"/>
      <c r="I275" s="293"/>
      <c r="K275" s="246"/>
      <c r="L275" s="246"/>
    </row>
    <row r="276" spans="1:12" x14ac:dyDescent="0.25">
      <c r="A276" s="515"/>
      <c r="B276" s="246"/>
      <c r="C276" s="282"/>
      <c r="D276" s="294"/>
      <c r="E276" s="293"/>
      <c r="F276" s="283"/>
      <c r="G276" s="283"/>
      <c r="H276" s="294"/>
      <c r="I276" s="293"/>
      <c r="K276" s="246"/>
      <c r="L276" s="246"/>
    </row>
    <row r="277" spans="1:12" x14ac:dyDescent="0.25">
      <c r="A277" s="515"/>
      <c r="B277" s="246"/>
      <c r="C277" s="282"/>
      <c r="D277" s="294"/>
      <c r="E277" s="293"/>
      <c r="F277" s="283"/>
      <c r="G277" s="283"/>
      <c r="H277" s="294"/>
      <c r="I277" s="293"/>
      <c r="K277" s="246"/>
      <c r="L277" s="246"/>
    </row>
    <row r="278" spans="1:12" x14ac:dyDescent="0.25">
      <c r="A278" s="515"/>
      <c r="B278" s="246"/>
      <c r="C278" s="282"/>
      <c r="D278" s="294"/>
      <c r="E278" s="293"/>
      <c r="F278" s="283"/>
      <c r="G278" s="283"/>
      <c r="H278" s="294"/>
      <c r="I278" s="293"/>
      <c r="K278" s="246"/>
      <c r="L278" s="246"/>
    </row>
    <row r="279" spans="1:12" x14ac:dyDescent="0.25">
      <c r="A279" s="515"/>
      <c r="B279" s="246"/>
      <c r="C279" s="282"/>
      <c r="D279" s="294"/>
      <c r="E279" s="293"/>
      <c r="F279" s="283"/>
      <c r="G279" s="283"/>
      <c r="H279" s="294"/>
      <c r="I279" s="293"/>
      <c r="K279" s="246"/>
      <c r="L279" s="246"/>
    </row>
    <row r="280" spans="1:12" x14ac:dyDescent="0.25">
      <c r="A280" s="515"/>
      <c r="B280" s="246"/>
      <c r="C280" s="282"/>
      <c r="D280" s="294"/>
      <c r="E280" s="293"/>
      <c r="F280" s="283"/>
      <c r="G280" s="283"/>
      <c r="H280" s="294"/>
      <c r="I280" s="293"/>
      <c r="K280" s="246"/>
      <c r="L280" s="246"/>
    </row>
    <row r="281" spans="1:12" x14ac:dyDescent="0.25">
      <c r="A281" s="515"/>
      <c r="B281" s="246"/>
      <c r="C281" s="282"/>
      <c r="D281" s="294"/>
      <c r="E281" s="293"/>
      <c r="F281" s="283"/>
      <c r="G281" s="283"/>
      <c r="H281" s="294"/>
      <c r="I281" s="293"/>
      <c r="K281" s="246"/>
      <c r="L281" s="246"/>
    </row>
    <row r="282" spans="1:12" x14ac:dyDescent="0.25">
      <c r="A282" s="515"/>
      <c r="B282" s="246"/>
      <c r="C282" s="282"/>
      <c r="D282" s="294"/>
      <c r="E282" s="293"/>
      <c r="F282" s="283"/>
      <c r="G282" s="283"/>
      <c r="H282" s="294"/>
      <c r="I282" s="293"/>
      <c r="K282" s="246"/>
      <c r="L282" s="246"/>
    </row>
    <row r="283" spans="1:12" x14ac:dyDescent="0.25">
      <c r="A283" s="515"/>
      <c r="B283" s="246"/>
      <c r="C283" s="282"/>
      <c r="D283" s="294"/>
      <c r="E283" s="293"/>
      <c r="F283" s="283"/>
      <c r="G283" s="283"/>
      <c r="H283" s="294"/>
      <c r="I283" s="293"/>
      <c r="K283" s="246"/>
      <c r="L283" s="246"/>
    </row>
    <row r="284" spans="1:12" x14ac:dyDescent="0.25">
      <c r="A284" s="515"/>
      <c r="B284" s="246"/>
      <c r="C284" s="282"/>
      <c r="D284" s="294"/>
      <c r="E284" s="293"/>
      <c r="F284" s="283"/>
      <c r="G284" s="283"/>
      <c r="H284" s="294"/>
      <c r="I284" s="293"/>
      <c r="K284" s="246"/>
      <c r="L284" s="246"/>
    </row>
    <row r="285" spans="1:12" x14ac:dyDescent="0.25">
      <c r="A285" s="515"/>
      <c r="B285" s="246"/>
      <c r="C285" s="282"/>
      <c r="D285" s="294"/>
      <c r="E285" s="293"/>
      <c r="F285" s="283"/>
      <c r="G285" s="283"/>
      <c r="H285" s="294"/>
      <c r="I285" s="293"/>
      <c r="K285" s="246"/>
      <c r="L285" s="246"/>
    </row>
    <row r="286" spans="1:12" x14ac:dyDescent="0.25">
      <c r="A286" s="515"/>
      <c r="B286" s="246"/>
      <c r="C286" s="282"/>
      <c r="D286" s="294"/>
      <c r="E286" s="293"/>
      <c r="F286" s="283"/>
      <c r="G286" s="283"/>
      <c r="H286" s="294"/>
      <c r="I286" s="293"/>
      <c r="K286" s="246"/>
      <c r="L286" s="246"/>
    </row>
    <row r="287" spans="1:12" x14ac:dyDescent="0.25">
      <c r="A287" s="515"/>
      <c r="B287" s="246"/>
      <c r="C287" s="282"/>
      <c r="D287" s="294"/>
      <c r="E287" s="293"/>
      <c r="F287" s="293"/>
      <c r="G287" s="293"/>
      <c r="H287" s="293"/>
      <c r="I287" s="293"/>
      <c r="K287" s="246"/>
      <c r="L287" s="246"/>
    </row>
    <row r="288" spans="1:12" x14ac:dyDescent="0.25">
      <c r="A288" s="515"/>
      <c r="B288" s="246"/>
      <c r="C288" s="282"/>
      <c r="D288" s="294"/>
      <c r="E288" s="293"/>
      <c r="F288" s="283"/>
      <c r="G288" s="283"/>
      <c r="H288" s="294"/>
      <c r="I288" s="293"/>
      <c r="K288" s="246"/>
      <c r="L288" s="246"/>
    </row>
    <row r="289" spans="1:12" x14ac:dyDescent="0.25">
      <c r="A289" s="515"/>
      <c r="B289" s="246"/>
      <c r="C289" s="282"/>
      <c r="D289" s="294"/>
      <c r="E289" s="293"/>
      <c r="F289" s="283"/>
      <c r="G289" s="283"/>
      <c r="H289" s="294"/>
      <c r="I289" s="293"/>
      <c r="K289" s="246"/>
      <c r="L289" s="246"/>
    </row>
    <row r="290" spans="1:12" x14ac:dyDescent="0.25">
      <c r="A290" s="515"/>
      <c r="B290" s="246"/>
      <c r="C290" s="282"/>
      <c r="D290" s="294"/>
      <c r="E290" s="293"/>
      <c r="F290" s="283"/>
      <c r="G290" s="283"/>
      <c r="H290" s="294"/>
      <c r="I290" s="293"/>
      <c r="K290" s="246"/>
      <c r="L290" s="246"/>
    </row>
    <row r="291" spans="1:12" x14ac:dyDescent="0.25">
      <c r="A291" s="515"/>
      <c r="B291" s="246"/>
      <c r="C291" s="282"/>
      <c r="D291" s="294"/>
      <c r="E291" s="293"/>
      <c r="F291" s="283"/>
      <c r="G291" s="283"/>
      <c r="H291" s="294"/>
      <c r="I291" s="293"/>
      <c r="K291" s="246"/>
      <c r="L291" s="246"/>
    </row>
    <row r="292" spans="1:12" x14ac:dyDescent="0.25">
      <c r="A292" s="515"/>
      <c r="B292" s="246"/>
      <c r="C292" s="282"/>
      <c r="D292" s="294"/>
      <c r="E292" s="293"/>
      <c r="F292" s="283"/>
      <c r="G292" s="283"/>
      <c r="H292" s="294"/>
      <c r="I292" s="293"/>
      <c r="K292" s="246"/>
      <c r="L292" s="246"/>
    </row>
    <row r="293" spans="1:12" x14ac:dyDescent="0.25">
      <c r="A293" s="515"/>
      <c r="B293" s="246"/>
      <c r="C293" s="282"/>
      <c r="D293" s="294"/>
      <c r="E293" s="293"/>
      <c r="F293" s="283"/>
      <c r="G293" s="283"/>
      <c r="H293" s="294"/>
      <c r="I293" s="293"/>
      <c r="K293" s="246"/>
      <c r="L293" s="246"/>
    </row>
    <row r="294" spans="1:12" x14ac:dyDescent="0.25">
      <c r="A294" s="515"/>
      <c r="B294" s="246"/>
      <c r="C294" s="282"/>
      <c r="D294" s="294"/>
      <c r="E294" s="293"/>
      <c r="F294" s="283"/>
      <c r="G294" s="283"/>
      <c r="H294" s="294"/>
      <c r="I294" s="293"/>
      <c r="K294" s="246"/>
      <c r="L294" s="246"/>
    </row>
    <row r="295" spans="1:12" x14ac:dyDescent="0.25">
      <c r="A295" s="515"/>
      <c r="B295" s="246"/>
      <c r="C295" s="282"/>
      <c r="D295" s="294"/>
      <c r="E295" s="293"/>
      <c r="F295" s="283"/>
      <c r="G295" s="283"/>
      <c r="H295" s="294"/>
      <c r="I295" s="293"/>
      <c r="K295" s="246"/>
      <c r="L295" s="246"/>
    </row>
    <row r="296" spans="1:12" x14ac:dyDescent="0.25">
      <c r="A296" s="515"/>
      <c r="B296" s="246"/>
      <c r="C296" s="282"/>
      <c r="D296" s="294"/>
      <c r="E296" s="293"/>
      <c r="F296" s="283"/>
      <c r="G296" s="283"/>
      <c r="H296" s="294"/>
      <c r="I296" s="293"/>
      <c r="K296" s="246"/>
      <c r="L296" s="246"/>
    </row>
    <row r="297" spans="1:12" x14ac:dyDescent="0.25">
      <c r="A297" s="515"/>
      <c r="B297" s="246"/>
      <c r="C297" s="282"/>
      <c r="D297" s="294"/>
      <c r="E297" s="293"/>
      <c r="F297" s="283"/>
      <c r="G297" s="283"/>
      <c r="H297" s="294"/>
      <c r="I297" s="293"/>
      <c r="K297" s="246"/>
      <c r="L297" s="246"/>
    </row>
    <row r="298" spans="1:12" x14ac:dyDescent="0.25">
      <c r="A298" s="515"/>
      <c r="B298" s="246"/>
      <c r="C298" s="282"/>
      <c r="D298" s="294"/>
      <c r="E298" s="293"/>
      <c r="F298" s="283"/>
      <c r="G298" s="283"/>
      <c r="H298" s="294"/>
      <c r="I298" s="293"/>
      <c r="K298" s="246"/>
      <c r="L298" s="246"/>
    </row>
    <row r="299" spans="1:12" x14ac:dyDescent="0.25">
      <c r="A299" s="515"/>
      <c r="B299" s="246"/>
      <c r="C299" s="282"/>
      <c r="D299" s="294"/>
      <c r="E299" s="293"/>
      <c r="F299" s="283"/>
      <c r="G299" s="283"/>
      <c r="H299" s="294"/>
      <c r="I299" s="293"/>
      <c r="K299" s="246"/>
      <c r="L299" s="246"/>
    </row>
    <row r="300" spans="1:12" x14ac:dyDescent="0.25">
      <c r="A300" s="515"/>
      <c r="B300" s="246"/>
      <c r="C300" s="282"/>
      <c r="D300" s="294"/>
      <c r="E300" s="293"/>
      <c r="F300" s="283"/>
      <c r="G300" s="283"/>
      <c r="H300" s="294"/>
      <c r="I300" s="293"/>
      <c r="K300" s="246"/>
      <c r="L300" s="246"/>
    </row>
    <row r="301" spans="1:12" x14ac:dyDescent="0.25">
      <c r="A301" s="515"/>
      <c r="B301" s="246"/>
      <c r="C301" s="282"/>
      <c r="D301" s="294"/>
      <c r="E301" s="293"/>
      <c r="F301" s="283"/>
      <c r="G301" s="283"/>
      <c r="H301" s="294"/>
      <c r="I301" s="293"/>
      <c r="K301" s="246"/>
      <c r="L301" s="246"/>
    </row>
    <row r="302" spans="1:12" x14ac:dyDescent="0.25">
      <c r="A302" s="515"/>
      <c r="B302" s="246"/>
      <c r="C302" s="282"/>
      <c r="D302" s="294"/>
      <c r="E302" s="293"/>
      <c r="F302" s="283"/>
      <c r="G302" s="283"/>
      <c r="H302" s="294"/>
      <c r="I302" s="293"/>
      <c r="K302" s="246"/>
      <c r="L302" s="246"/>
    </row>
    <row r="303" spans="1:12" x14ac:dyDescent="0.25">
      <c r="A303" s="515"/>
      <c r="B303" s="246"/>
      <c r="C303" s="282"/>
      <c r="D303" s="294"/>
      <c r="E303" s="293"/>
      <c r="F303" s="283"/>
      <c r="G303" s="283"/>
      <c r="H303" s="294"/>
      <c r="I303" s="293"/>
      <c r="K303" s="246"/>
      <c r="L303" s="246"/>
    </row>
    <row r="304" spans="1:12" x14ac:dyDescent="0.25">
      <c r="A304" s="515"/>
      <c r="B304" s="246"/>
      <c r="C304" s="282"/>
      <c r="D304" s="294"/>
      <c r="E304" s="293"/>
      <c r="F304" s="283"/>
      <c r="G304" s="283"/>
      <c r="H304" s="294"/>
      <c r="I304" s="293"/>
      <c r="K304" s="246"/>
      <c r="L304" s="246"/>
    </row>
    <row r="305" spans="1:13" x14ac:dyDescent="0.25">
      <c r="A305" s="515"/>
      <c r="B305" s="246"/>
      <c r="C305" s="282"/>
      <c r="D305" s="294"/>
      <c r="E305" s="293"/>
      <c r="F305" s="283"/>
      <c r="G305" s="283"/>
      <c r="H305" s="294"/>
      <c r="I305" s="293"/>
      <c r="K305" s="246"/>
      <c r="L305" s="246"/>
    </row>
    <row r="306" spans="1:13" x14ac:dyDescent="0.25">
      <c r="A306" s="515"/>
      <c r="C306" s="282"/>
      <c r="D306" s="294"/>
      <c r="E306" s="293"/>
      <c r="H306" s="294"/>
      <c r="I306" s="293"/>
      <c r="K306" s="246"/>
      <c r="L306" s="246"/>
    </row>
    <row r="307" spans="1:13" x14ac:dyDescent="0.25">
      <c r="A307" s="515"/>
      <c r="B307" s="246"/>
      <c r="C307" s="282"/>
      <c r="D307" s="294"/>
      <c r="E307" s="293"/>
      <c r="F307" s="283"/>
      <c r="G307" s="283"/>
      <c r="H307" s="294"/>
      <c r="I307" s="293"/>
      <c r="K307" s="246"/>
      <c r="L307" s="246"/>
    </row>
    <row r="308" spans="1:13" x14ac:dyDescent="0.25">
      <c r="A308" s="515"/>
      <c r="B308" s="246"/>
      <c r="C308" s="282"/>
      <c r="D308" s="294"/>
      <c r="E308" s="293"/>
      <c r="F308" s="283"/>
      <c r="G308" s="283"/>
      <c r="H308" s="294"/>
      <c r="I308" s="293"/>
      <c r="K308" s="246"/>
      <c r="L308" s="246"/>
    </row>
    <row r="309" spans="1:13" x14ac:dyDescent="0.25">
      <c r="A309" s="515"/>
      <c r="B309" s="246"/>
      <c r="C309" s="282"/>
      <c r="D309" s="294"/>
      <c r="E309" s="293"/>
      <c r="F309" s="283"/>
      <c r="G309" s="283"/>
      <c r="H309" s="294"/>
      <c r="I309" s="293"/>
      <c r="K309" s="246"/>
      <c r="L309" s="246"/>
    </row>
    <row r="310" spans="1:13" x14ac:dyDescent="0.25">
      <c r="A310" s="515"/>
      <c r="C310" s="282"/>
      <c r="D310" s="294"/>
      <c r="E310" s="293"/>
      <c r="H310" s="294"/>
      <c r="I310" s="293"/>
      <c r="K310" s="246"/>
      <c r="L310" s="246"/>
    </row>
    <row r="311" spans="1:13" x14ac:dyDescent="0.25">
      <c r="A311" s="515"/>
      <c r="B311" s="246"/>
      <c r="C311" s="282"/>
      <c r="D311" s="294"/>
      <c r="E311" s="293"/>
      <c r="F311" s="283"/>
      <c r="G311" s="283"/>
      <c r="H311" s="294"/>
      <c r="I311" s="293"/>
      <c r="K311" s="246"/>
      <c r="L311" s="246"/>
    </row>
    <row r="312" spans="1:13" x14ac:dyDescent="0.25">
      <c r="A312" s="515"/>
      <c r="B312" s="246"/>
      <c r="C312" s="282"/>
      <c r="D312" s="294"/>
      <c r="E312" s="293"/>
      <c r="F312" s="283"/>
      <c r="G312" s="283"/>
      <c r="H312" s="294"/>
      <c r="I312" s="293"/>
      <c r="K312" s="246"/>
      <c r="L312" s="246"/>
      <c r="M312" s="246"/>
    </row>
    <row r="313" spans="1:13" x14ac:dyDescent="0.25">
      <c r="A313" s="515"/>
      <c r="B313" s="246"/>
      <c r="C313" s="282"/>
      <c r="D313" s="294"/>
      <c r="E313" s="293"/>
      <c r="F313" s="283"/>
      <c r="G313" s="283"/>
      <c r="H313" s="294"/>
      <c r="I313" s="293"/>
      <c r="K313" s="246"/>
      <c r="L313" s="246"/>
      <c r="M313" s="246"/>
    </row>
    <row r="314" spans="1:13" x14ac:dyDescent="0.25">
      <c r="A314" s="515"/>
      <c r="B314" s="246"/>
      <c r="C314" s="282"/>
      <c r="D314" s="294"/>
      <c r="E314" s="293"/>
      <c r="F314" s="283"/>
      <c r="G314" s="283"/>
      <c r="H314" s="294"/>
      <c r="I314" s="293"/>
      <c r="K314" s="246"/>
      <c r="L314" s="246"/>
    </row>
    <row r="315" spans="1:13" x14ac:dyDescent="0.25">
      <c r="A315" s="515"/>
      <c r="C315" s="282"/>
      <c r="D315" s="294"/>
      <c r="E315" s="293"/>
      <c r="H315" s="294"/>
      <c r="I315" s="293"/>
      <c r="K315" s="246"/>
      <c r="L315" s="246"/>
    </row>
    <row r="316" spans="1:13" x14ac:dyDescent="0.25">
      <c r="A316" s="515"/>
      <c r="B316" s="246"/>
      <c r="C316" s="282"/>
      <c r="D316" s="294"/>
      <c r="E316" s="293"/>
      <c r="F316" s="283"/>
      <c r="G316" s="283"/>
      <c r="H316" s="294"/>
      <c r="I316" s="293"/>
      <c r="K316" s="246"/>
      <c r="L316" s="246"/>
    </row>
    <row r="317" spans="1:13" x14ac:dyDescent="0.25">
      <c r="A317" s="515"/>
      <c r="B317" s="246"/>
      <c r="C317" s="282"/>
      <c r="D317" s="294"/>
      <c r="E317" s="293"/>
      <c r="F317" s="283"/>
      <c r="G317" s="283"/>
      <c r="H317" s="294"/>
      <c r="I317" s="293"/>
      <c r="K317" s="246"/>
      <c r="L317" s="246"/>
    </row>
    <row r="318" spans="1:13" x14ac:dyDescent="0.25">
      <c r="A318" s="515"/>
      <c r="B318" s="246"/>
      <c r="C318" s="282"/>
      <c r="D318" s="294"/>
      <c r="E318" s="293"/>
      <c r="F318" s="283"/>
      <c r="G318" s="283"/>
      <c r="H318" s="294"/>
      <c r="I318" s="293"/>
      <c r="K318" s="246"/>
      <c r="L318" s="246"/>
    </row>
    <row r="319" spans="1:13" x14ac:dyDescent="0.25">
      <c r="A319" s="515"/>
      <c r="C319" s="282"/>
      <c r="D319" s="294"/>
      <c r="E319" s="293"/>
      <c r="H319" s="294"/>
      <c r="I319" s="293"/>
      <c r="K319" s="246"/>
      <c r="L319" s="246"/>
    </row>
    <row r="320" spans="1:13" x14ac:dyDescent="0.25">
      <c r="A320" s="515"/>
      <c r="B320" s="371"/>
      <c r="C320" s="282"/>
      <c r="D320" s="294"/>
      <c r="E320" s="293"/>
      <c r="H320" s="294"/>
      <c r="I320" s="293"/>
      <c r="K320" s="246"/>
      <c r="L320" s="246"/>
    </row>
    <row r="321" spans="2:12" x14ac:dyDescent="0.25">
      <c r="C321" s="282"/>
      <c r="D321" s="294"/>
      <c r="E321" s="293"/>
      <c r="H321" s="294"/>
      <c r="I321" s="293"/>
      <c r="K321" s="246"/>
      <c r="L321" s="246"/>
    </row>
    <row r="322" spans="2:12" x14ac:dyDescent="0.25">
      <c r="C322" s="282"/>
      <c r="D322" s="294"/>
      <c r="E322" s="293"/>
      <c r="H322" s="294"/>
      <c r="I322" s="293"/>
      <c r="K322" s="246"/>
      <c r="L322" s="246"/>
    </row>
    <row r="323" spans="2:12" x14ac:dyDescent="0.25">
      <c r="C323" s="282"/>
      <c r="D323" s="294"/>
      <c r="E323" s="293"/>
      <c r="H323" s="294"/>
      <c r="I323" s="293"/>
      <c r="K323" s="246"/>
      <c r="L323" s="246"/>
    </row>
    <row r="324" spans="2:12" x14ac:dyDescent="0.25">
      <c r="C324" s="282"/>
      <c r="D324" s="294"/>
      <c r="E324" s="293"/>
      <c r="H324" s="294"/>
      <c r="I324" s="293"/>
      <c r="K324" s="246"/>
      <c r="L324" s="246"/>
    </row>
    <row r="325" spans="2:12" x14ac:dyDescent="0.25">
      <c r="B325" s="371"/>
      <c r="C325" s="282"/>
      <c r="D325" s="294"/>
      <c r="E325" s="293"/>
      <c r="F325" s="882"/>
      <c r="G325" s="882"/>
      <c r="H325" s="882"/>
      <c r="I325" s="293"/>
      <c r="K325" s="246"/>
      <c r="L325" s="246"/>
    </row>
    <row r="326" spans="2:12" x14ac:dyDescent="0.25">
      <c r="C326" s="282"/>
      <c r="D326" s="294"/>
      <c r="E326" s="293"/>
      <c r="H326" s="294"/>
      <c r="I326" s="293"/>
      <c r="K326" s="246"/>
      <c r="L326" s="246"/>
    </row>
    <row r="327" spans="2:12" x14ac:dyDescent="0.25">
      <c r="C327" s="282"/>
      <c r="D327" s="294"/>
      <c r="E327" s="293"/>
      <c r="H327" s="294"/>
      <c r="I327" s="293"/>
      <c r="K327" s="246"/>
      <c r="L327" s="246"/>
    </row>
    <row r="328" spans="2:12" x14ac:dyDescent="0.25">
      <c r="C328" s="282"/>
      <c r="D328" s="294"/>
      <c r="E328" s="293"/>
      <c r="H328" s="294"/>
      <c r="I328" s="293"/>
      <c r="K328" s="246"/>
      <c r="L328" s="246"/>
    </row>
    <row r="329" spans="2:12" x14ac:dyDescent="0.25">
      <c r="C329" s="282"/>
      <c r="D329" s="294"/>
      <c r="E329" s="293"/>
      <c r="H329" s="294"/>
      <c r="I329" s="293"/>
      <c r="K329" s="246"/>
      <c r="L329" s="246"/>
    </row>
    <row r="330" spans="2:12" x14ac:dyDescent="0.25">
      <c r="C330" s="282"/>
      <c r="D330" s="294"/>
      <c r="E330" s="293"/>
      <c r="H330" s="294"/>
      <c r="I330" s="293"/>
      <c r="K330" s="246"/>
      <c r="L330" s="246"/>
    </row>
    <row r="331" spans="2:12" x14ac:dyDescent="0.25">
      <c r="C331" s="282"/>
      <c r="D331" s="294"/>
      <c r="E331" s="293"/>
      <c r="H331" s="294"/>
      <c r="I331" s="293"/>
      <c r="K331" s="246"/>
      <c r="L331" s="246"/>
    </row>
    <row r="332" spans="2:12" x14ac:dyDescent="0.25">
      <c r="C332" s="282"/>
      <c r="D332" s="294"/>
      <c r="E332" s="293"/>
      <c r="H332" s="294"/>
      <c r="I332" s="293"/>
      <c r="K332" s="246"/>
      <c r="L332" s="246"/>
    </row>
    <row r="333" spans="2:12" x14ac:dyDescent="0.25">
      <c r="C333" s="282"/>
      <c r="D333" s="294"/>
      <c r="E333" s="293"/>
      <c r="H333" s="294"/>
      <c r="I333" s="293"/>
      <c r="K333" s="246"/>
      <c r="L333" s="246"/>
    </row>
    <row r="334" spans="2:12" x14ac:dyDescent="0.25">
      <c r="C334" s="282"/>
      <c r="D334" s="294"/>
      <c r="E334" s="293"/>
      <c r="H334" s="294"/>
      <c r="I334" s="293"/>
      <c r="K334" s="246"/>
      <c r="L334" s="246"/>
    </row>
    <row r="335" spans="2:12" x14ac:dyDescent="0.25">
      <c r="C335" s="282"/>
      <c r="D335" s="294"/>
      <c r="E335" s="293"/>
      <c r="H335" s="294"/>
      <c r="I335" s="293"/>
      <c r="K335" s="246"/>
      <c r="L335" s="246"/>
    </row>
    <row r="336" spans="2:12" x14ac:dyDescent="0.25">
      <c r="C336" s="282"/>
      <c r="D336" s="294"/>
      <c r="E336" s="293"/>
      <c r="H336" s="294"/>
      <c r="I336" s="293"/>
      <c r="K336" s="246"/>
      <c r="L336" s="246"/>
    </row>
    <row r="337" spans="3:12" x14ac:dyDescent="0.25">
      <c r="C337" s="282"/>
      <c r="D337" s="294"/>
      <c r="E337" s="293"/>
      <c r="H337" s="294"/>
      <c r="I337" s="293"/>
      <c r="K337" s="246"/>
      <c r="L337" s="246"/>
    </row>
    <row r="338" spans="3:12" x14ac:dyDescent="0.25">
      <c r="C338" s="282"/>
      <c r="D338" s="294"/>
      <c r="E338" s="293"/>
      <c r="H338" s="294"/>
      <c r="I338" s="293"/>
      <c r="K338" s="246"/>
      <c r="L338" s="246"/>
    </row>
    <row r="339" spans="3:12" x14ac:dyDescent="0.25">
      <c r="C339" s="282"/>
      <c r="D339" s="294"/>
      <c r="E339" s="293"/>
      <c r="H339" s="294"/>
      <c r="I339" s="293"/>
      <c r="K339" s="246"/>
      <c r="L339" s="246"/>
    </row>
    <row r="340" spans="3:12" x14ac:dyDescent="0.25">
      <c r="C340" s="282"/>
      <c r="D340" s="294"/>
      <c r="E340" s="293"/>
      <c r="H340" s="294"/>
      <c r="I340" s="293"/>
      <c r="K340" s="246"/>
      <c r="L340" s="246"/>
    </row>
    <row r="341" spans="3:12" x14ac:dyDescent="0.25">
      <c r="C341" s="282"/>
      <c r="D341" s="294"/>
      <c r="E341" s="293"/>
      <c r="H341" s="294"/>
      <c r="I341" s="293"/>
      <c r="K341" s="246"/>
      <c r="L341" s="246"/>
    </row>
    <row r="342" spans="3:12" x14ac:dyDescent="0.25">
      <c r="C342" s="282"/>
      <c r="D342" s="294"/>
      <c r="E342" s="293"/>
      <c r="H342" s="294"/>
      <c r="I342" s="293"/>
      <c r="K342" s="246"/>
      <c r="L342" s="246"/>
    </row>
    <row r="343" spans="3:12" x14ac:dyDescent="0.25">
      <c r="C343" s="282"/>
      <c r="D343" s="294"/>
      <c r="E343" s="293"/>
      <c r="H343" s="294"/>
      <c r="I343" s="293"/>
      <c r="K343" s="246"/>
      <c r="L343" s="246"/>
    </row>
    <row r="344" spans="3:12" x14ac:dyDescent="0.25">
      <c r="C344" s="282"/>
      <c r="D344" s="294"/>
      <c r="E344" s="293"/>
      <c r="H344" s="294"/>
      <c r="I344" s="293"/>
      <c r="K344" s="246"/>
      <c r="L344" s="246"/>
    </row>
    <row r="345" spans="3:12" x14ac:dyDescent="0.25">
      <c r="C345" s="282"/>
      <c r="D345" s="294"/>
      <c r="E345" s="293"/>
      <c r="H345" s="294"/>
      <c r="I345" s="293"/>
      <c r="K345" s="246"/>
      <c r="L345" s="246"/>
    </row>
    <row r="346" spans="3:12" x14ac:dyDescent="0.25">
      <c r="C346" s="282"/>
      <c r="D346" s="294"/>
      <c r="E346" s="293"/>
      <c r="H346" s="294"/>
      <c r="I346" s="293"/>
      <c r="K346" s="246"/>
      <c r="L346" s="246"/>
    </row>
    <row r="347" spans="3:12" x14ac:dyDescent="0.25">
      <c r="C347" s="282"/>
      <c r="D347" s="294"/>
      <c r="E347" s="293"/>
      <c r="H347" s="294"/>
      <c r="I347" s="293"/>
      <c r="K347" s="246"/>
      <c r="L347" s="246"/>
    </row>
    <row r="348" spans="3:12" x14ac:dyDescent="0.25">
      <c r="C348" s="282"/>
      <c r="D348" s="294"/>
      <c r="E348" s="293"/>
      <c r="H348" s="294"/>
      <c r="I348" s="293"/>
      <c r="K348" s="246"/>
      <c r="L348" s="246"/>
    </row>
    <row r="349" spans="3:12" x14ac:dyDescent="0.25">
      <c r="C349" s="282"/>
      <c r="D349" s="294"/>
      <c r="E349" s="293"/>
      <c r="H349" s="294"/>
      <c r="I349" s="293"/>
      <c r="K349" s="246"/>
      <c r="L349" s="246"/>
    </row>
    <row r="350" spans="3:12" x14ac:dyDescent="0.25">
      <c r="C350" s="282"/>
      <c r="D350" s="294"/>
      <c r="E350" s="293"/>
      <c r="H350" s="294"/>
      <c r="I350" s="293"/>
      <c r="K350" s="246"/>
      <c r="L350" s="246"/>
    </row>
    <row r="351" spans="3:12" x14ac:dyDescent="0.25">
      <c r="C351" s="282"/>
      <c r="D351" s="294"/>
      <c r="E351" s="293"/>
      <c r="H351" s="294"/>
      <c r="I351" s="293"/>
      <c r="K351" s="246"/>
      <c r="L351" s="246"/>
    </row>
    <row r="352" spans="3:12" x14ac:dyDescent="0.25">
      <c r="C352" s="282"/>
      <c r="D352" s="294"/>
      <c r="E352" s="293"/>
      <c r="H352" s="294"/>
      <c r="I352" s="293"/>
      <c r="K352" s="246"/>
      <c r="L352" s="246"/>
    </row>
    <row r="353" spans="3:12" x14ac:dyDescent="0.25">
      <c r="C353" s="282"/>
      <c r="D353" s="294"/>
      <c r="E353" s="293"/>
      <c r="H353" s="294"/>
      <c r="I353" s="293"/>
      <c r="K353" s="246"/>
      <c r="L353" s="246"/>
    </row>
    <row r="354" spans="3:12" x14ac:dyDescent="0.25">
      <c r="C354" s="282"/>
      <c r="D354" s="294"/>
      <c r="E354" s="293"/>
      <c r="H354" s="294"/>
      <c r="I354" s="293"/>
      <c r="K354" s="246"/>
      <c r="L354" s="246"/>
    </row>
    <row r="355" spans="3:12" x14ac:dyDescent="0.25">
      <c r="C355" s="282"/>
      <c r="D355" s="294"/>
      <c r="E355" s="293"/>
      <c r="H355" s="294"/>
      <c r="I355" s="293"/>
      <c r="K355" s="246"/>
      <c r="L355" s="246"/>
    </row>
    <row r="356" spans="3:12" x14ac:dyDescent="0.25">
      <c r="C356" s="282"/>
      <c r="D356" s="294"/>
      <c r="E356" s="293"/>
      <c r="H356" s="294"/>
      <c r="I356" s="293"/>
      <c r="K356" s="246"/>
      <c r="L356" s="246"/>
    </row>
    <row r="357" spans="3:12" x14ac:dyDescent="0.25">
      <c r="C357" s="282"/>
      <c r="D357" s="294"/>
      <c r="E357" s="293"/>
      <c r="H357" s="294"/>
      <c r="I357" s="293"/>
      <c r="K357" s="246"/>
      <c r="L357" s="246"/>
    </row>
    <row r="358" spans="3:12" x14ac:dyDescent="0.25">
      <c r="C358" s="282"/>
      <c r="D358" s="294"/>
      <c r="E358" s="293"/>
      <c r="H358" s="294"/>
      <c r="I358" s="293"/>
      <c r="K358" s="246"/>
      <c r="L358" s="246"/>
    </row>
    <row r="359" spans="3:12" x14ac:dyDescent="0.25">
      <c r="C359" s="282"/>
      <c r="D359" s="294"/>
      <c r="E359" s="293"/>
      <c r="H359" s="294"/>
      <c r="I359" s="293"/>
      <c r="K359" s="246"/>
      <c r="L359" s="246"/>
    </row>
    <row r="360" spans="3:12" x14ac:dyDescent="0.25">
      <c r="C360" s="282"/>
      <c r="D360" s="294"/>
      <c r="E360" s="293"/>
      <c r="H360" s="294"/>
      <c r="I360" s="293"/>
      <c r="K360" s="246"/>
      <c r="L360" s="246"/>
    </row>
    <row r="361" spans="3:12" x14ac:dyDescent="0.25">
      <c r="C361" s="282"/>
      <c r="D361" s="294"/>
      <c r="E361" s="293"/>
      <c r="H361" s="294"/>
      <c r="I361" s="293"/>
      <c r="K361" s="246"/>
      <c r="L361" s="246"/>
    </row>
    <row r="362" spans="3:12" x14ac:dyDescent="0.25">
      <c r="C362" s="282"/>
      <c r="D362" s="294"/>
      <c r="E362" s="293"/>
      <c r="H362" s="294"/>
      <c r="I362" s="293"/>
      <c r="K362" s="246"/>
      <c r="L362" s="246"/>
    </row>
    <row r="363" spans="3:12" x14ac:dyDescent="0.25">
      <c r="C363" s="282"/>
      <c r="D363" s="294"/>
      <c r="E363" s="293"/>
      <c r="H363" s="294"/>
      <c r="I363" s="293"/>
      <c r="K363" s="246"/>
      <c r="L363" s="246"/>
    </row>
    <row r="364" spans="3:12" x14ac:dyDescent="0.25">
      <c r="C364" s="282"/>
      <c r="D364" s="294"/>
      <c r="E364" s="293"/>
      <c r="H364" s="294"/>
      <c r="I364" s="293"/>
      <c r="K364" s="246"/>
      <c r="L364" s="246"/>
    </row>
    <row r="365" spans="3:12" x14ac:dyDescent="0.25">
      <c r="C365" s="282"/>
      <c r="D365" s="294"/>
      <c r="E365" s="293"/>
      <c r="H365" s="294"/>
      <c r="I365" s="293"/>
      <c r="K365" s="246"/>
      <c r="L365" s="246"/>
    </row>
    <row r="366" spans="3:12" x14ac:dyDescent="0.25">
      <c r="C366" s="282"/>
      <c r="D366" s="294"/>
      <c r="E366" s="293"/>
      <c r="H366" s="294"/>
      <c r="I366" s="293"/>
      <c r="K366" s="246"/>
      <c r="L366" s="246"/>
    </row>
    <row r="367" spans="3:12" x14ac:dyDescent="0.25">
      <c r="C367" s="282"/>
      <c r="D367" s="294"/>
      <c r="E367" s="293"/>
      <c r="H367" s="294"/>
      <c r="I367" s="293"/>
      <c r="K367" s="246"/>
      <c r="L367" s="246"/>
    </row>
    <row r="368" spans="3:12" x14ac:dyDescent="0.25">
      <c r="C368" s="282"/>
      <c r="D368" s="294"/>
      <c r="E368" s="293"/>
      <c r="H368" s="294"/>
      <c r="I368" s="293"/>
      <c r="K368" s="246"/>
      <c r="L368" s="246"/>
    </row>
    <row r="369" spans="3:13" x14ac:dyDescent="0.25">
      <c r="C369" s="282"/>
      <c r="D369" s="294"/>
      <c r="E369" s="293"/>
      <c r="H369" s="294"/>
      <c r="I369" s="293"/>
      <c r="K369" s="246"/>
      <c r="L369" s="246"/>
    </row>
    <row r="370" spans="3:13" x14ac:dyDescent="0.25">
      <c r="C370" s="282"/>
      <c r="D370" s="294"/>
      <c r="E370" s="293"/>
      <c r="H370" s="294"/>
      <c r="I370" s="293"/>
      <c r="K370" s="246"/>
      <c r="L370" s="246"/>
    </row>
    <row r="371" spans="3:13" x14ac:dyDescent="0.25">
      <c r="C371" s="282"/>
      <c r="D371" s="294"/>
      <c r="E371" s="293"/>
      <c r="H371" s="294"/>
      <c r="I371" s="293"/>
      <c r="K371" s="246"/>
      <c r="L371" s="246"/>
    </row>
    <row r="372" spans="3:13" x14ac:dyDescent="0.25">
      <c r="C372" s="282"/>
      <c r="D372" s="294"/>
      <c r="E372" s="293"/>
      <c r="H372" s="294"/>
      <c r="I372" s="293"/>
      <c r="K372" s="246"/>
      <c r="L372" s="246"/>
    </row>
    <row r="373" spans="3:13" x14ac:dyDescent="0.25">
      <c r="C373" s="282"/>
      <c r="D373" s="294"/>
      <c r="E373" s="293"/>
      <c r="H373" s="294"/>
      <c r="I373" s="293"/>
      <c r="K373" s="246"/>
      <c r="L373" s="246"/>
      <c r="M373" s="246"/>
    </row>
    <row r="374" spans="3:13" x14ac:dyDescent="0.25">
      <c r="C374" s="282"/>
      <c r="D374" s="294"/>
      <c r="E374" s="293"/>
      <c r="H374" s="294"/>
      <c r="I374" s="293"/>
      <c r="K374" s="246"/>
      <c r="L374" s="246"/>
      <c r="M374" s="246"/>
    </row>
    <row r="375" spans="3:13" x14ac:dyDescent="0.25">
      <c r="C375" s="282"/>
      <c r="D375" s="294"/>
      <c r="E375" s="293"/>
      <c r="H375" s="294"/>
      <c r="I375" s="293"/>
      <c r="K375" s="246"/>
      <c r="L375" s="246"/>
      <c r="M375" s="246"/>
    </row>
    <row r="376" spans="3:13" x14ac:dyDescent="0.25">
      <c r="C376" s="282"/>
      <c r="D376" s="294"/>
      <c r="E376" s="293"/>
      <c r="H376" s="294"/>
      <c r="I376" s="293"/>
      <c r="K376" s="246"/>
      <c r="L376" s="246"/>
      <c r="M376" s="246"/>
    </row>
    <row r="377" spans="3:13" x14ac:dyDescent="0.25">
      <c r="C377" s="282"/>
      <c r="D377" s="294"/>
      <c r="E377" s="293"/>
      <c r="H377" s="294"/>
      <c r="I377" s="293"/>
      <c r="K377" s="246"/>
      <c r="L377" s="246"/>
      <c r="M377" s="246"/>
    </row>
    <row r="378" spans="3:13" x14ac:dyDescent="0.25">
      <c r="C378" s="282"/>
      <c r="D378" s="294"/>
      <c r="E378" s="293"/>
      <c r="H378" s="294"/>
      <c r="I378" s="293"/>
      <c r="K378" s="246"/>
      <c r="L378" s="246"/>
      <c r="M378" s="246"/>
    </row>
    <row r="379" spans="3:13" x14ac:dyDescent="0.25">
      <c r="C379" s="282"/>
      <c r="D379" s="294"/>
      <c r="E379" s="293"/>
      <c r="H379" s="294"/>
      <c r="I379" s="293"/>
      <c r="K379" s="246"/>
      <c r="L379" s="246"/>
      <c r="M379" s="246"/>
    </row>
    <row r="380" spans="3:13" x14ac:dyDescent="0.25">
      <c r="C380" s="282"/>
      <c r="D380" s="294"/>
      <c r="E380" s="293"/>
      <c r="H380" s="294"/>
      <c r="I380" s="293"/>
      <c r="K380" s="246"/>
      <c r="L380" s="246"/>
      <c r="M380" s="246"/>
    </row>
    <row r="381" spans="3:13" x14ac:dyDescent="0.25">
      <c r="C381" s="282"/>
      <c r="D381" s="294"/>
      <c r="E381" s="293"/>
      <c r="H381" s="294"/>
      <c r="I381" s="293"/>
      <c r="K381" s="246"/>
      <c r="L381" s="246"/>
      <c r="M381" s="246"/>
    </row>
    <row r="382" spans="3:13" x14ac:dyDescent="0.25">
      <c r="C382" s="282"/>
      <c r="D382" s="294"/>
      <c r="E382" s="293"/>
      <c r="H382" s="294"/>
      <c r="I382" s="293"/>
      <c r="K382" s="246"/>
      <c r="L382" s="246"/>
      <c r="M382" s="246"/>
    </row>
    <row r="383" spans="3:13" x14ac:dyDescent="0.25">
      <c r="C383" s="282"/>
      <c r="D383" s="294"/>
      <c r="E383" s="293"/>
      <c r="H383" s="294"/>
      <c r="I383" s="293"/>
      <c r="K383" s="246"/>
      <c r="L383" s="246"/>
      <c r="M383" s="246"/>
    </row>
    <row r="384" spans="3:13" x14ac:dyDescent="0.25">
      <c r="C384" s="282"/>
      <c r="D384" s="294"/>
      <c r="E384" s="293"/>
      <c r="H384" s="294"/>
      <c r="I384" s="293"/>
      <c r="K384" s="246"/>
      <c r="L384" s="246"/>
      <c r="M384" s="246"/>
    </row>
    <row r="385" spans="3:13" x14ac:dyDescent="0.25">
      <c r="C385" s="282"/>
      <c r="D385" s="294"/>
      <c r="E385" s="293"/>
      <c r="H385" s="294"/>
      <c r="I385" s="293"/>
      <c r="K385" s="246"/>
      <c r="L385" s="246"/>
      <c r="M385" s="246"/>
    </row>
    <row r="386" spans="3:13" x14ac:dyDescent="0.25">
      <c r="C386" s="282"/>
      <c r="D386" s="294"/>
      <c r="E386" s="293"/>
      <c r="H386" s="294"/>
      <c r="I386" s="293"/>
      <c r="L386" s="246"/>
      <c r="M386" s="246"/>
    </row>
    <row r="387" spans="3:13" x14ac:dyDescent="0.25">
      <c r="C387" s="282"/>
      <c r="D387" s="294"/>
      <c r="E387" s="293"/>
      <c r="H387" s="294"/>
      <c r="I387" s="293"/>
      <c r="L387" s="246"/>
      <c r="M387" s="246"/>
    </row>
    <row r="388" spans="3:13" x14ac:dyDescent="0.25">
      <c r="C388" s="282"/>
      <c r="D388" s="294"/>
      <c r="E388" s="293"/>
      <c r="H388" s="294"/>
      <c r="I388" s="293"/>
      <c r="L388" s="246"/>
      <c r="M388" s="246"/>
    </row>
    <row r="389" spans="3:13" x14ac:dyDescent="0.25">
      <c r="C389" s="282"/>
      <c r="D389" s="294"/>
      <c r="E389" s="293"/>
      <c r="H389" s="294"/>
      <c r="I389" s="293"/>
      <c r="L389" s="246"/>
      <c r="M389" s="246"/>
    </row>
    <row r="390" spans="3:13" x14ac:dyDescent="0.25">
      <c r="C390" s="282"/>
      <c r="D390" s="294"/>
      <c r="E390" s="293"/>
      <c r="H390" s="294"/>
      <c r="I390" s="293"/>
      <c r="L390" s="246"/>
      <c r="M390" s="246"/>
    </row>
    <row r="391" spans="3:13" x14ac:dyDescent="0.25">
      <c r="C391" s="282"/>
      <c r="D391" s="294"/>
      <c r="E391" s="293"/>
      <c r="H391" s="294"/>
      <c r="I391" s="293"/>
      <c r="L391" s="246"/>
      <c r="M391" s="246"/>
    </row>
    <row r="392" spans="3:13" x14ac:dyDescent="0.25">
      <c r="C392" s="282"/>
      <c r="D392" s="294"/>
      <c r="E392" s="293"/>
      <c r="H392" s="294"/>
      <c r="I392" s="293"/>
      <c r="L392" s="246"/>
      <c r="M392" s="246"/>
    </row>
    <row r="393" spans="3:13" x14ac:dyDescent="0.25">
      <c r="C393" s="282"/>
      <c r="D393" s="294"/>
      <c r="E393" s="293"/>
      <c r="H393" s="294"/>
      <c r="I393" s="293"/>
      <c r="L393" s="246"/>
      <c r="M393" s="246"/>
    </row>
    <row r="394" spans="3:13" x14ac:dyDescent="0.25">
      <c r="C394" s="282"/>
      <c r="D394" s="294"/>
      <c r="E394" s="293"/>
      <c r="H394" s="294"/>
      <c r="I394" s="293"/>
      <c r="L394" s="246"/>
      <c r="M394" s="246"/>
    </row>
    <row r="395" spans="3:13" x14ac:dyDescent="0.25">
      <c r="C395" s="282"/>
      <c r="D395" s="294"/>
      <c r="E395" s="293"/>
      <c r="H395" s="294"/>
      <c r="I395" s="293"/>
      <c r="L395" s="246"/>
      <c r="M395" s="246"/>
    </row>
    <row r="396" spans="3:13" x14ac:dyDescent="0.25">
      <c r="C396" s="282"/>
      <c r="D396" s="294"/>
      <c r="E396" s="293"/>
      <c r="H396" s="294"/>
      <c r="I396" s="293"/>
      <c r="L396" s="246"/>
    </row>
    <row r="397" spans="3:13" x14ac:dyDescent="0.25">
      <c r="C397" s="282"/>
      <c r="D397" s="294"/>
      <c r="E397" s="293"/>
      <c r="H397" s="294"/>
      <c r="I397" s="293"/>
      <c r="L397" s="246"/>
    </row>
    <row r="398" spans="3:13" x14ac:dyDescent="0.25">
      <c r="C398" s="282"/>
      <c r="D398" s="294"/>
      <c r="E398" s="293"/>
      <c r="H398" s="294"/>
      <c r="I398" s="293"/>
      <c r="L398" s="246"/>
    </row>
    <row r="399" spans="3:13" x14ac:dyDescent="0.25">
      <c r="C399" s="282"/>
      <c r="D399" s="294"/>
      <c r="E399" s="293"/>
      <c r="H399" s="294"/>
      <c r="I399" s="293"/>
      <c r="L399" s="246"/>
    </row>
    <row r="400" spans="3:13" x14ac:dyDescent="0.25">
      <c r="C400" s="282"/>
      <c r="D400" s="294"/>
      <c r="E400" s="293"/>
      <c r="H400" s="294"/>
      <c r="I400" s="293"/>
      <c r="L400" s="246"/>
    </row>
    <row r="401" spans="3:12" x14ac:dyDescent="0.25">
      <c r="C401" s="282"/>
      <c r="D401" s="294"/>
      <c r="E401" s="293"/>
      <c r="H401" s="294"/>
      <c r="I401" s="293"/>
      <c r="L401" s="246"/>
    </row>
    <row r="402" spans="3:12" x14ac:dyDescent="0.25">
      <c r="C402" s="282"/>
      <c r="D402" s="294"/>
      <c r="E402" s="293"/>
      <c r="H402" s="294"/>
      <c r="I402" s="293"/>
      <c r="L402" s="246"/>
    </row>
    <row r="403" spans="3:12" x14ac:dyDescent="0.25">
      <c r="C403" s="282"/>
      <c r="D403" s="294"/>
      <c r="E403" s="293"/>
      <c r="H403" s="294"/>
      <c r="I403" s="293"/>
      <c r="L403" s="246"/>
    </row>
    <row r="404" spans="3:12" x14ac:dyDescent="0.25">
      <c r="C404" s="282"/>
      <c r="D404" s="294"/>
      <c r="E404" s="293"/>
      <c r="H404" s="294"/>
      <c r="I404" s="293"/>
      <c r="L404" s="246"/>
    </row>
    <row r="405" spans="3:12" x14ac:dyDescent="0.25">
      <c r="C405" s="282"/>
      <c r="D405" s="294"/>
      <c r="E405" s="293"/>
      <c r="H405" s="294"/>
      <c r="I405" s="293"/>
      <c r="L405" s="246"/>
    </row>
    <row r="406" spans="3:12" x14ac:dyDescent="0.25">
      <c r="C406" s="282"/>
      <c r="D406" s="294"/>
      <c r="E406" s="293"/>
      <c r="H406" s="294"/>
      <c r="I406" s="293"/>
      <c r="L406" s="246"/>
    </row>
    <row r="407" spans="3:12" x14ac:dyDescent="0.25">
      <c r="C407" s="282"/>
      <c r="D407" s="294"/>
      <c r="E407" s="293"/>
      <c r="H407" s="294"/>
      <c r="I407" s="293"/>
      <c r="L407" s="246"/>
    </row>
    <row r="408" spans="3:12" x14ac:dyDescent="0.25">
      <c r="C408" s="282"/>
      <c r="D408" s="294"/>
      <c r="E408" s="293"/>
      <c r="H408" s="294"/>
      <c r="I408" s="293"/>
    </row>
    <row r="409" spans="3:12" x14ac:dyDescent="0.25">
      <c r="C409" s="282"/>
      <c r="D409" s="294"/>
      <c r="E409" s="293"/>
      <c r="H409" s="294"/>
      <c r="I409" s="293"/>
    </row>
    <row r="410" spans="3:12" x14ac:dyDescent="0.25">
      <c r="C410" s="282"/>
      <c r="D410" s="294"/>
      <c r="E410" s="293"/>
      <c r="H410" s="294"/>
      <c r="I410" s="293"/>
    </row>
    <row r="411" spans="3:12" x14ac:dyDescent="0.25">
      <c r="C411" s="282"/>
      <c r="D411" s="294"/>
      <c r="E411" s="293"/>
      <c r="H411" s="294"/>
      <c r="I411" s="293"/>
    </row>
    <row r="412" spans="3:12" x14ac:dyDescent="0.25">
      <c r="C412" s="282"/>
      <c r="D412" s="294"/>
      <c r="E412" s="293"/>
      <c r="H412" s="294"/>
      <c r="I412" s="293"/>
    </row>
    <row r="413" spans="3:12" x14ac:dyDescent="0.25">
      <c r="C413" s="282"/>
      <c r="D413" s="294"/>
      <c r="E413" s="293"/>
      <c r="H413" s="294"/>
      <c r="I413" s="293"/>
    </row>
    <row r="414" spans="3:12" x14ac:dyDescent="0.25">
      <c r="C414" s="282"/>
      <c r="D414" s="294"/>
      <c r="E414" s="293"/>
      <c r="H414" s="294"/>
      <c r="I414" s="293"/>
    </row>
    <row r="415" spans="3:12" x14ac:dyDescent="0.25">
      <c r="C415" s="282"/>
      <c r="D415" s="294"/>
      <c r="E415" s="293"/>
      <c r="H415" s="294"/>
      <c r="I415" s="293"/>
    </row>
    <row r="416" spans="3:12" x14ac:dyDescent="0.25">
      <c r="C416" s="282"/>
      <c r="D416" s="294"/>
      <c r="E416" s="293"/>
      <c r="H416" s="294"/>
      <c r="I416" s="293"/>
    </row>
    <row r="417" spans="3:9" x14ac:dyDescent="0.25">
      <c r="C417" s="282"/>
      <c r="D417" s="294"/>
      <c r="E417" s="293"/>
      <c r="H417" s="294"/>
      <c r="I417" s="293"/>
    </row>
    <row r="418" spans="3:9" x14ac:dyDescent="0.25">
      <c r="C418" s="282"/>
      <c r="D418" s="294"/>
      <c r="E418" s="293"/>
      <c r="H418" s="294"/>
      <c r="I418" s="293"/>
    </row>
    <row r="419" spans="3:9" x14ac:dyDescent="0.25">
      <c r="C419" s="282"/>
      <c r="D419" s="294"/>
      <c r="E419" s="293"/>
      <c r="H419" s="294"/>
      <c r="I419" s="293"/>
    </row>
  </sheetData>
  <mergeCells count="3">
    <mergeCell ref="F197:H197"/>
    <mergeCell ref="F325:H325"/>
    <mergeCell ref="F180:H180"/>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T32"/>
  <sheetViews>
    <sheetView workbookViewId="0">
      <pane ySplit="2" topLeftCell="A3" activePane="bottomLeft" state="frozen"/>
      <selection pane="bottomLeft" activeCell="V23" sqref="V23"/>
    </sheetView>
  </sheetViews>
  <sheetFormatPr defaultRowHeight="14.95" customHeight="1" x14ac:dyDescent="0.25"/>
  <cols>
    <col min="1" max="1" width="7.5" customWidth="1"/>
    <col min="2" max="2" width="5.125" bestFit="1" customWidth="1"/>
    <col min="3" max="3" width="11.5" customWidth="1"/>
    <col min="4" max="4" width="4.125" customWidth="1"/>
    <col min="5" max="5" width="3.625" customWidth="1"/>
    <col min="6" max="7" width="4" bestFit="1" customWidth="1"/>
    <col min="8" max="13" width="3.625" customWidth="1"/>
    <col min="14" max="14" width="4.125" customWidth="1"/>
    <col min="15" max="18" width="3.625" customWidth="1"/>
    <col min="19" max="20" width="6.375" customWidth="1"/>
    <col min="21" max="21" width="30.5" customWidth="1"/>
    <col min="22" max="22" width="22.5" customWidth="1"/>
    <col min="23" max="23" width="21.625" customWidth="1"/>
    <col min="24" max="24" width="30.5" customWidth="1"/>
    <col min="25" max="40" width="3.625" customWidth="1"/>
    <col min="42" max="42" width="13.125" bestFit="1" customWidth="1"/>
    <col min="45" max="45" width="13.125" bestFit="1" customWidth="1"/>
  </cols>
  <sheetData>
    <row r="1" spans="1:46" ht="14.95" customHeight="1" thickBot="1" x14ac:dyDescent="0.3">
      <c r="A1" s="1050" t="s">
        <v>208</v>
      </c>
      <c r="B1" s="1051"/>
      <c r="C1" s="1051"/>
      <c r="D1" s="143"/>
      <c r="E1" s="1052" t="s">
        <v>24</v>
      </c>
      <c r="F1" s="1053"/>
      <c r="G1" s="1054"/>
      <c r="H1" s="1052" t="s">
        <v>23</v>
      </c>
      <c r="I1" s="1054"/>
      <c r="J1" s="1046" t="s">
        <v>6</v>
      </c>
      <c r="K1" s="1047"/>
      <c r="L1" s="1047"/>
      <c r="M1" s="1048"/>
      <c r="N1" s="1046" t="s">
        <v>7</v>
      </c>
      <c r="O1" s="1048"/>
      <c r="P1" s="1046" t="s">
        <v>25</v>
      </c>
      <c r="Q1" s="1047"/>
      <c r="R1" s="1048"/>
      <c r="S1" s="347" t="s">
        <v>8</v>
      </c>
      <c r="T1" s="347" t="s">
        <v>9</v>
      </c>
      <c r="U1" s="55" t="s">
        <v>10</v>
      </c>
      <c r="V1" s="54" t="s">
        <v>11</v>
      </c>
      <c r="W1" s="56" t="s">
        <v>26</v>
      </c>
      <c r="X1" s="155" t="s">
        <v>27</v>
      </c>
      <c r="Y1" s="1049" t="s">
        <v>20</v>
      </c>
      <c r="Z1" s="963"/>
      <c r="AA1" s="963"/>
      <c r="AB1" s="964"/>
      <c r="AC1" s="1049" t="s">
        <v>61</v>
      </c>
      <c r="AD1" s="963"/>
      <c r="AE1" s="963"/>
      <c r="AF1" s="964"/>
      <c r="AG1" s="1049" t="s">
        <v>62</v>
      </c>
      <c r="AH1" s="963"/>
      <c r="AI1" s="963"/>
      <c r="AJ1" s="964"/>
      <c r="AK1" s="1049" t="s">
        <v>63</v>
      </c>
      <c r="AL1" s="963"/>
      <c r="AM1" s="963"/>
      <c r="AN1" s="964"/>
      <c r="AP1" s="325" t="s">
        <v>147</v>
      </c>
      <c r="AQ1" s="322"/>
      <c r="AR1" s="322"/>
      <c r="AS1" s="325" t="s">
        <v>147</v>
      </c>
    </row>
    <row r="2" spans="1:46" ht="14.95" customHeight="1" thickBot="1" x14ac:dyDescent="0.3">
      <c r="A2" s="57" t="s">
        <v>19</v>
      </c>
      <c r="B2" s="58" t="s">
        <v>18</v>
      </c>
      <c r="C2" s="59" t="s">
        <v>17</v>
      </c>
      <c r="D2" s="59" t="s">
        <v>41</v>
      </c>
      <c r="E2" s="60" t="s">
        <v>16</v>
      </c>
      <c r="F2" s="60" t="s">
        <v>4</v>
      </c>
      <c r="G2" s="60" t="s">
        <v>5</v>
      </c>
      <c r="H2" s="61" t="s">
        <v>12</v>
      </c>
      <c r="I2" s="61" t="s">
        <v>3</v>
      </c>
      <c r="J2" s="61" t="s">
        <v>12</v>
      </c>
      <c r="K2" s="61" t="s">
        <v>13</v>
      </c>
      <c r="L2" s="61" t="s">
        <v>2</v>
      </c>
      <c r="M2" s="61" t="s">
        <v>14</v>
      </c>
      <c r="N2" s="61" t="s">
        <v>15</v>
      </c>
      <c r="O2" s="61" t="s">
        <v>16</v>
      </c>
      <c r="P2" s="61" t="s">
        <v>21</v>
      </c>
      <c r="Q2" s="61" t="s">
        <v>22</v>
      </c>
      <c r="R2" s="61" t="s">
        <v>12</v>
      </c>
      <c r="S2" s="62"/>
      <c r="T2" s="63"/>
      <c r="U2" s="64"/>
      <c r="V2" s="62"/>
      <c r="W2" s="65"/>
      <c r="X2" s="66"/>
      <c r="Y2" s="292" t="s">
        <v>0</v>
      </c>
      <c r="Z2" s="292" t="s">
        <v>1</v>
      </c>
      <c r="AA2" s="292" t="s">
        <v>2</v>
      </c>
      <c r="AB2" s="292" t="s">
        <v>3</v>
      </c>
      <c r="AC2" s="292" t="s">
        <v>0</v>
      </c>
      <c r="AD2" s="292" t="s">
        <v>1</v>
      </c>
      <c r="AE2" s="292" t="s">
        <v>2</v>
      </c>
      <c r="AF2" s="292" t="s">
        <v>3</v>
      </c>
      <c r="AG2" s="292" t="s">
        <v>0</v>
      </c>
      <c r="AH2" s="292" t="s">
        <v>1</v>
      </c>
      <c r="AI2" s="292" t="s">
        <v>2</v>
      </c>
      <c r="AJ2" s="292" t="s">
        <v>3</v>
      </c>
      <c r="AK2" s="292" t="s">
        <v>0</v>
      </c>
      <c r="AL2" s="292" t="s">
        <v>1</v>
      </c>
      <c r="AM2" s="292" t="s">
        <v>2</v>
      </c>
      <c r="AN2" s="292" t="s">
        <v>3</v>
      </c>
      <c r="AP2" s="305" t="s">
        <v>107</v>
      </c>
      <c r="AQ2" s="189"/>
      <c r="AS2" s="336" t="s">
        <v>128</v>
      </c>
      <c r="AT2" s="189"/>
    </row>
    <row r="3" spans="1:46" ht="14.95" customHeight="1" thickBot="1" x14ac:dyDescent="0.35">
      <c r="A3" s="396" t="s">
        <v>317</v>
      </c>
      <c r="B3" s="398" t="s">
        <v>46</v>
      </c>
      <c r="C3" s="398" t="s">
        <v>32</v>
      </c>
      <c r="D3" s="398" t="s">
        <v>111</v>
      </c>
      <c r="E3" s="399" t="s">
        <v>1</v>
      </c>
      <c r="F3" s="399">
        <v>34</v>
      </c>
      <c r="G3" s="399">
        <v>10</v>
      </c>
      <c r="H3" s="399">
        <v>1</v>
      </c>
      <c r="I3" s="399">
        <v>0</v>
      </c>
      <c r="J3" s="399">
        <v>4</v>
      </c>
      <c r="K3" s="399">
        <v>4</v>
      </c>
      <c r="L3" s="399">
        <v>0</v>
      </c>
      <c r="M3" s="399">
        <v>2</v>
      </c>
      <c r="N3" s="399">
        <v>0</v>
      </c>
      <c r="O3" s="399">
        <v>0</v>
      </c>
      <c r="P3" s="399">
        <v>0</v>
      </c>
      <c r="Q3" s="399">
        <v>0</v>
      </c>
      <c r="R3" s="399">
        <v>1</v>
      </c>
      <c r="S3" s="406">
        <v>74500</v>
      </c>
      <c r="T3" s="407" t="s">
        <v>267</v>
      </c>
      <c r="U3" s="408" t="s">
        <v>263</v>
      </c>
      <c r="V3" s="406" t="s">
        <v>264</v>
      </c>
      <c r="W3" s="401" t="s">
        <v>265</v>
      </c>
      <c r="X3" s="409" t="s">
        <v>266</v>
      </c>
      <c r="Y3" s="404">
        <v>1</v>
      </c>
      <c r="Z3" s="404">
        <v>1</v>
      </c>
      <c r="AA3" s="404">
        <v>0</v>
      </c>
      <c r="AB3" s="405">
        <v>0</v>
      </c>
      <c r="AC3" s="404">
        <v>0</v>
      </c>
      <c r="AD3" s="404">
        <v>0</v>
      </c>
      <c r="AE3" s="404">
        <v>0</v>
      </c>
      <c r="AF3" s="405">
        <v>0</v>
      </c>
      <c r="AG3" s="404">
        <v>1</v>
      </c>
      <c r="AH3" s="404">
        <v>1</v>
      </c>
      <c r="AI3" s="404">
        <v>0</v>
      </c>
      <c r="AJ3" s="405">
        <v>0</v>
      </c>
      <c r="AK3" s="404">
        <v>0</v>
      </c>
      <c r="AL3" s="404">
        <v>0</v>
      </c>
      <c r="AM3" s="404">
        <v>0</v>
      </c>
      <c r="AN3" s="405">
        <v>0</v>
      </c>
      <c r="AP3" s="316" t="s">
        <v>130</v>
      </c>
      <c r="AQ3" s="317">
        <f>Irelandalltestshistplayed</f>
        <v>747</v>
      </c>
      <c r="AS3" s="316" t="s">
        <v>130</v>
      </c>
      <c r="AT3" s="317">
        <f>IrelandRWChistplayed</f>
        <v>45</v>
      </c>
    </row>
    <row r="4" spans="1:46" ht="14.95" customHeight="1" thickBot="1" x14ac:dyDescent="0.35">
      <c r="A4" s="423" t="s">
        <v>356</v>
      </c>
      <c r="B4" s="424" t="s">
        <v>46</v>
      </c>
      <c r="C4" s="424" t="s">
        <v>34</v>
      </c>
      <c r="D4" s="424" t="s">
        <v>114</v>
      </c>
      <c r="E4" s="425" t="s">
        <v>1</v>
      </c>
      <c r="F4" s="425">
        <v>32</v>
      </c>
      <c r="G4" s="425">
        <v>19</v>
      </c>
      <c r="H4" s="425">
        <v>1</v>
      </c>
      <c r="I4" s="425">
        <v>0</v>
      </c>
      <c r="J4" s="425">
        <v>4</v>
      </c>
      <c r="K4" s="425">
        <v>3</v>
      </c>
      <c r="L4" s="425">
        <v>0</v>
      </c>
      <c r="M4" s="425">
        <v>2</v>
      </c>
      <c r="N4" s="425">
        <v>0</v>
      </c>
      <c r="O4" s="425">
        <v>0</v>
      </c>
      <c r="P4" s="425">
        <v>0</v>
      </c>
      <c r="Q4" s="425">
        <v>0</v>
      </c>
      <c r="R4" s="425">
        <v>1</v>
      </c>
      <c r="S4" s="426">
        <v>51700</v>
      </c>
      <c r="T4" s="438" t="s">
        <v>339</v>
      </c>
      <c r="U4" s="428" t="s">
        <v>340</v>
      </c>
      <c r="V4" s="426" t="s">
        <v>270</v>
      </c>
      <c r="W4" s="429" t="s">
        <v>278</v>
      </c>
      <c r="X4" s="430" t="s">
        <v>281</v>
      </c>
      <c r="Y4" s="431">
        <v>1</v>
      </c>
      <c r="Z4" s="431">
        <v>1</v>
      </c>
      <c r="AA4" s="431">
        <v>0</v>
      </c>
      <c r="AB4" s="432">
        <v>0</v>
      </c>
      <c r="AC4" s="431">
        <v>1</v>
      </c>
      <c r="AD4" s="431">
        <v>1</v>
      </c>
      <c r="AE4" s="431">
        <v>0</v>
      </c>
      <c r="AF4" s="432">
        <v>0</v>
      </c>
      <c r="AG4" s="431">
        <v>0</v>
      </c>
      <c r="AH4" s="431">
        <v>0</v>
      </c>
      <c r="AI4" s="431">
        <v>0</v>
      </c>
      <c r="AJ4" s="432">
        <v>0</v>
      </c>
      <c r="AK4" s="431">
        <v>0</v>
      </c>
      <c r="AL4" s="431">
        <v>0</v>
      </c>
      <c r="AM4" s="431">
        <v>0</v>
      </c>
      <c r="AN4" s="432">
        <v>0</v>
      </c>
      <c r="AP4" s="318" t="s">
        <v>131</v>
      </c>
      <c r="AQ4" s="319">
        <f>Irelandalltestshistwon</f>
        <v>353</v>
      </c>
      <c r="AS4" s="318" t="s">
        <v>131</v>
      </c>
      <c r="AT4" s="319">
        <f>IrelandRWChistwon</f>
        <v>28</v>
      </c>
    </row>
    <row r="5" spans="1:46" ht="14.95" customHeight="1" thickBot="1" x14ac:dyDescent="0.35">
      <c r="A5" s="396" t="s">
        <v>319</v>
      </c>
      <c r="B5" s="398" t="s">
        <v>46</v>
      </c>
      <c r="C5" s="398" t="s">
        <v>33</v>
      </c>
      <c r="D5" s="398" t="s">
        <v>113</v>
      </c>
      <c r="E5" s="399" t="s">
        <v>1</v>
      </c>
      <c r="F5" s="399">
        <v>34</v>
      </c>
      <c r="G5" s="399">
        <v>20</v>
      </c>
      <c r="H5" s="399">
        <v>1</v>
      </c>
      <c r="I5" s="399">
        <v>0</v>
      </c>
      <c r="J5" s="399">
        <v>5</v>
      </c>
      <c r="K5" s="399">
        <v>3</v>
      </c>
      <c r="L5" s="399">
        <v>0</v>
      </c>
      <c r="M5" s="399">
        <v>1</v>
      </c>
      <c r="N5" s="399">
        <v>0</v>
      </c>
      <c r="O5" s="399">
        <v>0</v>
      </c>
      <c r="P5" s="399">
        <v>0</v>
      </c>
      <c r="Q5" s="399">
        <v>0</v>
      </c>
      <c r="R5" s="399">
        <v>2</v>
      </c>
      <c r="S5" s="406">
        <v>51034</v>
      </c>
      <c r="T5" s="407" t="s">
        <v>415</v>
      </c>
      <c r="U5" s="408" t="s">
        <v>412</v>
      </c>
      <c r="V5" s="406" t="s">
        <v>413</v>
      </c>
      <c r="W5" s="401" t="s">
        <v>340</v>
      </c>
      <c r="X5" s="409" t="s">
        <v>414</v>
      </c>
      <c r="Y5" s="404">
        <v>1</v>
      </c>
      <c r="Z5" s="404">
        <v>1</v>
      </c>
      <c r="AA5" s="404">
        <v>0</v>
      </c>
      <c r="AB5" s="405">
        <v>0</v>
      </c>
      <c r="AC5" s="404">
        <v>0</v>
      </c>
      <c r="AD5" s="404">
        <v>0</v>
      </c>
      <c r="AE5" s="404">
        <v>0</v>
      </c>
      <c r="AF5" s="405">
        <v>0</v>
      </c>
      <c r="AG5" s="404">
        <v>1</v>
      </c>
      <c r="AH5" s="404">
        <v>1</v>
      </c>
      <c r="AI5" s="404">
        <v>0</v>
      </c>
      <c r="AJ5" s="405">
        <v>0</v>
      </c>
      <c r="AK5" s="404">
        <v>0</v>
      </c>
      <c r="AL5" s="404">
        <v>0</v>
      </c>
      <c r="AM5" s="404">
        <v>0</v>
      </c>
      <c r="AN5" s="405">
        <v>0</v>
      </c>
      <c r="AP5" s="318" t="s">
        <v>137</v>
      </c>
      <c r="AQ5" s="319">
        <f>Irelandalltestshistdrawn</f>
        <v>32</v>
      </c>
      <c r="AS5" s="318" t="s">
        <v>137</v>
      </c>
      <c r="AT5" s="319">
        <f>IrelandRWChistdrawn</f>
        <v>0</v>
      </c>
    </row>
    <row r="6" spans="1:46" ht="14.95" customHeight="1" thickBot="1" x14ac:dyDescent="0.35">
      <c r="A6" s="396" t="s">
        <v>357</v>
      </c>
      <c r="B6" s="398" t="s">
        <v>46</v>
      </c>
      <c r="C6" s="398" t="s">
        <v>35</v>
      </c>
      <c r="D6" s="398" t="s">
        <v>116</v>
      </c>
      <c r="E6" s="399" t="s">
        <v>1</v>
      </c>
      <c r="F6" s="399">
        <v>22</v>
      </c>
      <c r="G6" s="399">
        <v>7</v>
      </c>
      <c r="H6" s="399">
        <v>0</v>
      </c>
      <c r="I6" s="399">
        <v>0</v>
      </c>
      <c r="J6" s="399">
        <v>3</v>
      </c>
      <c r="K6" s="399">
        <v>2</v>
      </c>
      <c r="L6" s="399">
        <v>0</v>
      </c>
      <c r="M6" s="399">
        <v>1</v>
      </c>
      <c r="N6" s="399">
        <v>0</v>
      </c>
      <c r="O6" s="399">
        <v>0</v>
      </c>
      <c r="P6" s="399">
        <v>0</v>
      </c>
      <c r="Q6" s="399">
        <v>0</v>
      </c>
      <c r="R6" s="399">
        <v>1</v>
      </c>
      <c r="S6" s="406">
        <v>67144</v>
      </c>
      <c r="T6" s="407" t="s">
        <v>437</v>
      </c>
      <c r="U6" s="408" t="s">
        <v>266</v>
      </c>
      <c r="V6" s="406" t="s">
        <v>435</v>
      </c>
      <c r="W6" s="401" t="s">
        <v>340</v>
      </c>
      <c r="X6" s="409" t="s">
        <v>436</v>
      </c>
      <c r="Y6" s="404">
        <v>1</v>
      </c>
      <c r="Z6" s="404">
        <v>1</v>
      </c>
      <c r="AA6" s="404">
        <v>0</v>
      </c>
      <c r="AB6" s="405">
        <v>0</v>
      </c>
      <c r="AC6" s="404">
        <v>0</v>
      </c>
      <c r="AD6" s="404">
        <v>0</v>
      </c>
      <c r="AE6" s="404">
        <v>0</v>
      </c>
      <c r="AF6" s="405">
        <v>0</v>
      </c>
      <c r="AG6" s="404">
        <v>1</v>
      </c>
      <c r="AH6" s="404">
        <v>1</v>
      </c>
      <c r="AI6" s="404">
        <v>0</v>
      </c>
      <c r="AJ6" s="404">
        <v>0</v>
      </c>
      <c r="AK6" s="404">
        <v>0</v>
      </c>
      <c r="AL6" s="404">
        <v>0</v>
      </c>
      <c r="AM6" s="404">
        <v>0</v>
      </c>
      <c r="AN6" s="404">
        <v>0</v>
      </c>
      <c r="AP6" s="318" t="s">
        <v>132</v>
      </c>
      <c r="AQ6" s="319">
        <f>Irelandalltestshistlost</f>
        <v>362</v>
      </c>
      <c r="AS6" s="318" t="s">
        <v>132</v>
      </c>
      <c r="AT6" s="319">
        <f>IrelandRWChistlost</f>
        <v>17</v>
      </c>
    </row>
    <row r="7" spans="1:46" ht="14.95" customHeight="1" thickBot="1" x14ac:dyDescent="0.35">
      <c r="A7" s="423" t="s">
        <v>321</v>
      </c>
      <c r="B7" s="424" t="s">
        <v>46</v>
      </c>
      <c r="C7" s="424" t="s">
        <v>30</v>
      </c>
      <c r="D7" s="424" t="s">
        <v>114</v>
      </c>
      <c r="E7" s="425" t="s">
        <v>1</v>
      </c>
      <c r="F7" s="425">
        <v>29</v>
      </c>
      <c r="G7" s="425">
        <v>16</v>
      </c>
      <c r="H7" s="425">
        <v>1</v>
      </c>
      <c r="I7" s="425">
        <v>0</v>
      </c>
      <c r="J7" s="425">
        <v>4</v>
      </c>
      <c r="K7" s="425">
        <v>3</v>
      </c>
      <c r="L7" s="425">
        <v>0</v>
      </c>
      <c r="M7" s="425">
        <v>1</v>
      </c>
      <c r="N7" s="425">
        <v>0</v>
      </c>
      <c r="O7" s="425">
        <v>0</v>
      </c>
      <c r="P7" s="425">
        <v>0</v>
      </c>
      <c r="Q7" s="425">
        <v>0</v>
      </c>
      <c r="R7" s="425">
        <v>1</v>
      </c>
      <c r="S7" s="429">
        <v>51700</v>
      </c>
      <c r="T7" s="447" t="s">
        <v>466</v>
      </c>
      <c r="U7" s="429" t="s">
        <v>433</v>
      </c>
      <c r="V7" s="429" t="s">
        <v>413</v>
      </c>
      <c r="W7" s="429" t="s">
        <v>271</v>
      </c>
      <c r="X7" s="430" t="s">
        <v>467</v>
      </c>
      <c r="Y7" s="431">
        <v>1</v>
      </c>
      <c r="Z7" s="431">
        <v>1</v>
      </c>
      <c r="AA7" s="431">
        <v>0</v>
      </c>
      <c r="AB7" s="432">
        <v>0</v>
      </c>
      <c r="AC7" s="431">
        <v>1</v>
      </c>
      <c r="AD7" s="431">
        <v>1</v>
      </c>
      <c r="AE7" s="431">
        <v>0</v>
      </c>
      <c r="AF7" s="432">
        <v>0</v>
      </c>
      <c r="AG7" s="431">
        <v>0</v>
      </c>
      <c r="AH7" s="431">
        <v>0</v>
      </c>
      <c r="AI7" s="431">
        <v>0</v>
      </c>
      <c r="AJ7" s="431">
        <v>0</v>
      </c>
      <c r="AK7" s="431">
        <v>0</v>
      </c>
      <c r="AL7" s="431">
        <v>0</v>
      </c>
      <c r="AM7" s="431">
        <v>0</v>
      </c>
      <c r="AN7" s="431">
        <v>0</v>
      </c>
      <c r="AP7" s="318" t="s">
        <v>138</v>
      </c>
      <c r="AQ7" s="319">
        <f>Irelandalltestshistptsscored</f>
        <v>12091</v>
      </c>
      <c r="AS7" s="318" t="s">
        <v>138</v>
      </c>
      <c r="AT7" s="319">
        <f>IrelandRWChistptsscored</f>
        <v>1322</v>
      </c>
    </row>
    <row r="8" spans="1:46" ht="14.95" customHeight="1" thickBot="1" x14ac:dyDescent="0.35">
      <c r="A8" s="440" t="s">
        <v>322</v>
      </c>
      <c r="B8" s="441" t="s">
        <v>615</v>
      </c>
      <c r="C8" s="441" t="s">
        <v>33</v>
      </c>
      <c r="D8" s="441" t="s">
        <v>114</v>
      </c>
      <c r="E8" s="425" t="s">
        <v>1</v>
      </c>
      <c r="F8" s="425">
        <v>33</v>
      </c>
      <c r="G8" s="425">
        <v>17</v>
      </c>
      <c r="H8" s="425" t="s">
        <v>106</v>
      </c>
      <c r="I8" s="425" t="s">
        <v>106</v>
      </c>
      <c r="J8" s="425">
        <v>5</v>
      </c>
      <c r="K8" s="425">
        <v>4</v>
      </c>
      <c r="L8" s="425">
        <v>0</v>
      </c>
      <c r="M8" s="425">
        <v>0</v>
      </c>
      <c r="N8" s="425">
        <v>0</v>
      </c>
      <c r="O8" s="425">
        <v>0</v>
      </c>
      <c r="P8" s="425" t="s">
        <v>106</v>
      </c>
      <c r="Q8" s="425" t="s">
        <v>106</v>
      </c>
      <c r="R8" s="425">
        <v>2</v>
      </c>
      <c r="S8" s="429">
        <v>52000</v>
      </c>
      <c r="T8" s="447" t="s">
        <v>725</v>
      </c>
      <c r="U8" s="429" t="s">
        <v>364</v>
      </c>
      <c r="V8" s="429" t="s">
        <v>363</v>
      </c>
      <c r="W8" s="429" t="s">
        <v>467</v>
      </c>
      <c r="X8" s="429" t="s">
        <v>730</v>
      </c>
      <c r="Y8" s="431">
        <v>1</v>
      </c>
      <c r="Z8" s="431">
        <v>1</v>
      </c>
      <c r="AA8" s="431">
        <v>0</v>
      </c>
      <c r="AB8" s="432">
        <v>0</v>
      </c>
      <c r="AC8" s="431">
        <v>1</v>
      </c>
      <c r="AD8" s="431">
        <v>1</v>
      </c>
      <c r="AE8" s="431">
        <v>0</v>
      </c>
      <c r="AF8" s="432">
        <v>0</v>
      </c>
      <c r="AG8" s="431">
        <v>0</v>
      </c>
      <c r="AH8" s="431">
        <v>0</v>
      </c>
      <c r="AI8" s="431">
        <v>0</v>
      </c>
      <c r="AJ8" s="431">
        <v>0</v>
      </c>
      <c r="AK8" s="431">
        <v>0</v>
      </c>
      <c r="AL8" s="431">
        <v>0</v>
      </c>
      <c r="AM8" s="431">
        <v>0</v>
      </c>
      <c r="AN8" s="431">
        <v>0</v>
      </c>
      <c r="AP8" s="318" t="s">
        <v>139</v>
      </c>
      <c r="AQ8" s="319">
        <f>Irelandalltestshistptsagainst</f>
        <v>10687</v>
      </c>
      <c r="AS8" s="318" t="s">
        <v>139</v>
      </c>
      <c r="AT8" s="319">
        <f>IrelandRWChistptsagainst</f>
        <v>809</v>
      </c>
    </row>
    <row r="9" spans="1:46" ht="14.95" customHeight="1" thickBot="1" x14ac:dyDescent="0.35">
      <c r="A9" s="444" t="s">
        <v>324</v>
      </c>
      <c r="B9" s="441" t="s">
        <v>615</v>
      </c>
      <c r="C9" s="445" t="s">
        <v>30</v>
      </c>
      <c r="D9" s="441" t="s">
        <v>114</v>
      </c>
      <c r="E9" s="442" t="s">
        <v>1</v>
      </c>
      <c r="F9" s="425">
        <v>29</v>
      </c>
      <c r="G9" s="425">
        <v>10</v>
      </c>
      <c r="H9" s="425" t="s">
        <v>106</v>
      </c>
      <c r="I9" s="425" t="s">
        <v>106</v>
      </c>
      <c r="J9" s="425">
        <v>5</v>
      </c>
      <c r="K9" s="425">
        <v>2</v>
      </c>
      <c r="L9" s="425">
        <v>0</v>
      </c>
      <c r="M9" s="425">
        <v>0</v>
      </c>
      <c r="N9" s="425">
        <v>0</v>
      </c>
      <c r="O9" s="425">
        <v>0</v>
      </c>
      <c r="P9" s="425" t="s">
        <v>106</v>
      </c>
      <c r="Q9" s="425" t="s">
        <v>106</v>
      </c>
      <c r="R9" s="425">
        <v>1</v>
      </c>
      <c r="S9" s="429">
        <v>51000</v>
      </c>
      <c r="T9" s="447" t="s">
        <v>376</v>
      </c>
      <c r="U9" s="429" t="s">
        <v>269</v>
      </c>
      <c r="V9" s="429" t="s">
        <v>279</v>
      </c>
      <c r="W9" s="429" t="s">
        <v>414</v>
      </c>
      <c r="X9" s="429" t="s">
        <v>790</v>
      </c>
      <c r="Y9" s="431">
        <v>1</v>
      </c>
      <c r="Z9" s="431">
        <v>1</v>
      </c>
      <c r="AA9" s="431">
        <v>0</v>
      </c>
      <c r="AB9" s="432">
        <v>0</v>
      </c>
      <c r="AC9" s="431">
        <v>1</v>
      </c>
      <c r="AD9" s="431">
        <v>1</v>
      </c>
      <c r="AE9" s="431">
        <v>0</v>
      </c>
      <c r="AF9" s="432">
        <v>0</v>
      </c>
      <c r="AG9" s="431">
        <v>0</v>
      </c>
      <c r="AH9" s="431">
        <v>0</v>
      </c>
      <c r="AI9" s="431">
        <v>0</v>
      </c>
      <c r="AJ9" s="431">
        <v>0</v>
      </c>
      <c r="AK9" s="431">
        <v>0</v>
      </c>
      <c r="AL9" s="431">
        <v>0</v>
      </c>
      <c r="AM9" s="431">
        <v>0</v>
      </c>
      <c r="AN9" s="431">
        <v>0</v>
      </c>
      <c r="AP9" s="318" t="s">
        <v>129</v>
      </c>
      <c r="AQ9" s="319">
        <f>Irelandalltestshisttriesscored</f>
        <v>1506</v>
      </c>
      <c r="AS9" s="318" t="s">
        <v>129</v>
      </c>
      <c r="AT9" s="319">
        <f>IrelandRWChisttriesscored</f>
        <v>164</v>
      </c>
    </row>
    <row r="10" spans="1:46" ht="14.95" customHeight="1" thickBot="1" x14ac:dyDescent="0.3">
      <c r="A10" s="561" t="s">
        <v>325</v>
      </c>
      <c r="B10" s="490" t="s">
        <v>615</v>
      </c>
      <c r="C10" s="524" t="s">
        <v>119</v>
      </c>
      <c r="D10" s="490" t="s">
        <v>616</v>
      </c>
      <c r="E10" s="366" t="s">
        <v>1</v>
      </c>
      <c r="F10" s="453">
        <v>17</v>
      </c>
      <c r="G10" s="453">
        <v>13</v>
      </c>
      <c r="H10" s="453" t="s">
        <v>106</v>
      </c>
      <c r="I10" s="453" t="s">
        <v>106</v>
      </c>
      <c r="J10" s="453">
        <v>3</v>
      </c>
      <c r="K10" s="453">
        <v>1</v>
      </c>
      <c r="L10" s="453">
        <v>0</v>
      </c>
      <c r="M10" s="453">
        <v>0</v>
      </c>
      <c r="N10" s="453">
        <v>0</v>
      </c>
      <c r="O10" s="453">
        <v>0</v>
      </c>
      <c r="P10" s="453" t="s">
        <v>106</v>
      </c>
      <c r="Q10" s="453" t="s">
        <v>106</v>
      </c>
      <c r="R10" s="453">
        <v>1</v>
      </c>
      <c r="S10" s="463">
        <v>14370</v>
      </c>
      <c r="T10" s="550" t="s">
        <v>805</v>
      </c>
      <c r="U10" s="463" t="s">
        <v>340</v>
      </c>
      <c r="V10" s="463" t="s">
        <v>793</v>
      </c>
      <c r="W10" s="463" t="s">
        <v>420</v>
      </c>
      <c r="X10" s="463" t="s">
        <v>711</v>
      </c>
      <c r="Y10" s="364">
        <v>1</v>
      </c>
      <c r="Z10" s="364">
        <v>1</v>
      </c>
      <c r="AA10" s="364">
        <v>0</v>
      </c>
      <c r="AB10" s="454">
        <v>0</v>
      </c>
      <c r="AC10" s="364">
        <v>0</v>
      </c>
      <c r="AD10" s="364">
        <v>0</v>
      </c>
      <c r="AE10" s="364">
        <v>0</v>
      </c>
      <c r="AF10" s="454">
        <v>0</v>
      </c>
      <c r="AG10" s="364">
        <v>0</v>
      </c>
      <c r="AH10" s="364">
        <v>0</v>
      </c>
      <c r="AI10" s="364">
        <v>0</v>
      </c>
      <c r="AJ10" s="364">
        <v>0</v>
      </c>
      <c r="AK10" s="364">
        <v>1</v>
      </c>
      <c r="AL10" s="364">
        <v>1</v>
      </c>
      <c r="AM10" s="364">
        <v>0</v>
      </c>
      <c r="AN10" s="364">
        <v>0</v>
      </c>
    </row>
    <row r="11" spans="1:46" ht="14.95" customHeight="1" thickBot="1" x14ac:dyDescent="0.35">
      <c r="A11" s="489" t="s">
        <v>326</v>
      </c>
      <c r="B11" s="490" t="s">
        <v>198</v>
      </c>
      <c r="C11" s="490" t="s">
        <v>122</v>
      </c>
      <c r="D11" s="490" t="s">
        <v>228</v>
      </c>
      <c r="E11" s="366" t="s">
        <v>1</v>
      </c>
      <c r="F11" s="453">
        <v>82</v>
      </c>
      <c r="G11" s="453">
        <v>8</v>
      </c>
      <c r="H11" s="453">
        <v>1</v>
      </c>
      <c r="I11" s="453">
        <v>0</v>
      </c>
      <c r="J11" s="453">
        <v>12</v>
      </c>
      <c r="K11" s="453">
        <v>11</v>
      </c>
      <c r="L11" s="453">
        <v>0</v>
      </c>
      <c r="M11" s="453">
        <v>0</v>
      </c>
      <c r="N11" s="453">
        <v>0</v>
      </c>
      <c r="O11" s="453">
        <v>0</v>
      </c>
      <c r="P11" s="453">
        <v>0</v>
      </c>
      <c r="Q11" s="453">
        <v>0</v>
      </c>
      <c r="R11" s="453">
        <v>1</v>
      </c>
      <c r="S11" s="463">
        <v>41570</v>
      </c>
      <c r="T11" s="491" t="s">
        <v>821</v>
      </c>
      <c r="U11" s="463" t="s">
        <v>402</v>
      </c>
      <c r="V11" s="463" t="s">
        <v>340</v>
      </c>
      <c r="W11" s="463" t="s">
        <v>420</v>
      </c>
      <c r="X11" s="463" t="s">
        <v>270</v>
      </c>
      <c r="Y11" s="364">
        <v>1</v>
      </c>
      <c r="Z11" s="364">
        <v>1</v>
      </c>
      <c r="AA11" s="364">
        <v>0</v>
      </c>
      <c r="AB11" s="454">
        <v>0</v>
      </c>
      <c r="AC11" s="364">
        <v>0</v>
      </c>
      <c r="AD11" s="364">
        <v>0</v>
      </c>
      <c r="AE11" s="364">
        <v>0</v>
      </c>
      <c r="AF11" s="454">
        <v>0</v>
      </c>
      <c r="AG11" s="364">
        <v>0</v>
      </c>
      <c r="AH11" s="364">
        <v>0</v>
      </c>
      <c r="AI11" s="364">
        <v>0</v>
      </c>
      <c r="AJ11" s="364">
        <v>0</v>
      </c>
      <c r="AK11" s="364">
        <v>1</v>
      </c>
      <c r="AL11" s="364">
        <v>1</v>
      </c>
      <c r="AM11" s="364">
        <v>0</v>
      </c>
      <c r="AN11" s="364">
        <v>0</v>
      </c>
    </row>
    <row r="12" spans="1:46" ht="14.95" customHeight="1" thickBot="1" x14ac:dyDescent="0.35">
      <c r="A12" s="489" t="s">
        <v>358</v>
      </c>
      <c r="B12" s="490" t="s">
        <v>198</v>
      </c>
      <c r="C12" s="490" t="s">
        <v>118</v>
      </c>
      <c r="D12" s="490" t="s">
        <v>224</v>
      </c>
      <c r="E12" s="453" t="s">
        <v>1</v>
      </c>
      <c r="F12" s="453">
        <v>59</v>
      </c>
      <c r="G12" s="453">
        <v>16</v>
      </c>
      <c r="H12" s="453">
        <v>1</v>
      </c>
      <c r="I12" s="453">
        <v>0</v>
      </c>
      <c r="J12" s="453">
        <v>8</v>
      </c>
      <c r="K12" s="453">
        <v>8</v>
      </c>
      <c r="L12" s="453">
        <v>0</v>
      </c>
      <c r="M12" s="453">
        <v>1</v>
      </c>
      <c r="N12" s="453">
        <v>1</v>
      </c>
      <c r="O12" s="453">
        <v>0</v>
      </c>
      <c r="P12" s="453">
        <v>0</v>
      </c>
      <c r="Q12" s="453">
        <v>0</v>
      </c>
      <c r="R12" s="453">
        <v>1</v>
      </c>
      <c r="S12" s="463">
        <v>31673</v>
      </c>
      <c r="T12" s="491" t="s">
        <v>880</v>
      </c>
      <c r="U12" s="463" t="s">
        <v>340</v>
      </c>
      <c r="V12" s="463" t="s">
        <v>264</v>
      </c>
      <c r="W12" s="463" t="s">
        <v>278</v>
      </c>
      <c r="X12" s="463" t="s">
        <v>414</v>
      </c>
      <c r="Y12" s="364">
        <v>1</v>
      </c>
      <c r="Z12" s="364">
        <v>1</v>
      </c>
      <c r="AA12" s="364">
        <v>0</v>
      </c>
      <c r="AB12" s="454">
        <v>0</v>
      </c>
      <c r="AC12" s="364">
        <v>0</v>
      </c>
      <c r="AD12" s="364">
        <v>0</v>
      </c>
      <c r="AE12" s="364">
        <v>0</v>
      </c>
      <c r="AF12" s="454">
        <v>0</v>
      </c>
      <c r="AG12" s="364">
        <v>0</v>
      </c>
      <c r="AH12" s="364">
        <v>0</v>
      </c>
      <c r="AI12" s="364">
        <v>0</v>
      </c>
      <c r="AJ12" s="364">
        <v>0</v>
      </c>
      <c r="AK12" s="364">
        <v>1</v>
      </c>
      <c r="AL12" s="364">
        <v>1</v>
      </c>
      <c r="AM12" s="364">
        <v>0</v>
      </c>
      <c r="AN12" s="364">
        <v>0</v>
      </c>
    </row>
    <row r="13" spans="1:46" ht="14.95" customHeight="1" thickBot="1" x14ac:dyDescent="0.35">
      <c r="A13" s="489" t="s">
        <v>328</v>
      </c>
      <c r="B13" s="490" t="s">
        <v>198</v>
      </c>
      <c r="C13" s="524" t="s">
        <v>170</v>
      </c>
      <c r="D13" s="490" t="s">
        <v>112</v>
      </c>
      <c r="E13" s="453" t="s">
        <v>1</v>
      </c>
      <c r="F13" s="453">
        <v>13</v>
      </c>
      <c r="G13" s="453">
        <v>8</v>
      </c>
      <c r="H13" s="453">
        <v>0</v>
      </c>
      <c r="I13" s="453">
        <v>0</v>
      </c>
      <c r="J13" s="453">
        <v>1</v>
      </c>
      <c r="K13" s="453">
        <v>1</v>
      </c>
      <c r="L13" s="453">
        <v>0</v>
      </c>
      <c r="M13" s="453">
        <v>2</v>
      </c>
      <c r="N13" s="453">
        <v>0</v>
      </c>
      <c r="O13" s="453">
        <v>0</v>
      </c>
      <c r="P13" s="453">
        <v>0</v>
      </c>
      <c r="Q13" s="453">
        <v>1</v>
      </c>
      <c r="R13" s="453">
        <v>1</v>
      </c>
      <c r="S13" s="463">
        <v>78542</v>
      </c>
      <c r="T13" s="491" t="s">
        <v>906</v>
      </c>
      <c r="U13" s="463" t="s">
        <v>271</v>
      </c>
      <c r="V13" s="463" t="s">
        <v>270</v>
      </c>
      <c r="W13" s="463" t="s">
        <v>364</v>
      </c>
      <c r="X13" s="463" t="s">
        <v>272</v>
      </c>
      <c r="Y13" s="364">
        <v>1</v>
      </c>
      <c r="Z13" s="364">
        <v>1</v>
      </c>
      <c r="AA13" s="364">
        <v>0</v>
      </c>
      <c r="AB13" s="454">
        <v>0</v>
      </c>
      <c r="AC13" s="364">
        <v>0</v>
      </c>
      <c r="AD13" s="364">
        <v>0</v>
      </c>
      <c r="AE13" s="364">
        <v>0</v>
      </c>
      <c r="AF13" s="454">
        <v>0</v>
      </c>
      <c r="AG13" s="364">
        <v>0</v>
      </c>
      <c r="AH13" s="364">
        <v>0</v>
      </c>
      <c r="AI13" s="364">
        <v>0</v>
      </c>
      <c r="AJ13" s="364">
        <v>0</v>
      </c>
      <c r="AK13" s="364">
        <v>1</v>
      </c>
      <c r="AL13" s="364">
        <v>1</v>
      </c>
      <c r="AM13" s="364">
        <v>0</v>
      </c>
      <c r="AN13" s="364">
        <v>0</v>
      </c>
    </row>
    <row r="14" spans="1:46" ht="14.95" customHeight="1" thickBot="1" x14ac:dyDescent="0.35">
      <c r="A14" s="489" t="s">
        <v>329</v>
      </c>
      <c r="B14" s="490" t="s">
        <v>198</v>
      </c>
      <c r="C14" s="524" t="s">
        <v>35</v>
      </c>
      <c r="D14" s="490" t="s">
        <v>112</v>
      </c>
      <c r="E14" s="453" t="s">
        <v>1</v>
      </c>
      <c r="F14" s="453">
        <v>36</v>
      </c>
      <c r="G14" s="453">
        <v>14</v>
      </c>
      <c r="H14" s="453">
        <v>1</v>
      </c>
      <c r="I14" s="453">
        <v>0</v>
      </c>
      <c r="J14" s="453">
        <v>6</v>
      </c>
      <c r="K14" s="453">
        <v>3</v>
      </c>
      <c r="L14" s="453">
        <v>0</v>
      </c>
      <c r="M14" s="453">
        <v>0</v>
      </c>
      <c r="N14" s="453">
        <v>0</v>
      </c>
      <c r="O14" s="453">
        <v>0</v>
      </c>
      <c r="P14" s="453">
        <v>0</v>
      </c>
      <c r="Q14" s="453">
        <v>0</v>
      </c>
      <c r="R14" s="453">
        <v>2</v>
      </c>
      <c r="S14" s="463">
        <v>78400</v>
      </c>
      <c r="T14" s="491" t="s">
        <v>783</v>
      </c>
      <c r="U14" s="463" t="s">
        <v>280</v>
      </c>
      <c r="V14" s="463" t="s">
        <v>432</v>
      </c>
      <c r="W14" s="463" t="s">
        <v>340</v>
      </c>
      <c r="X14" s="463" t="s">
        <v>281</v>
      </c>
      <c r="Y14" s="364">
        <v>1</v>
      </c>
      <c r="Z14" s="364">
        <v>1</v>
      </c>
      <c r="AA14" s="364">
        <v>0</v>
      </c>
      <c r="AB14" s="454">
        <v>0</v>
      </c>
      <c r="AC14" s="364">
        <v>0</v>
      </c>
      <c r="AD14" s="364">
        <v>0</v>
      </c>
      <c r="AE14" s="364">
        <v>0</v>
      </c>
      <c r="AF14" s="454">
        <v>0</v>
      </c>
      <c r="AG14" s="364">
        <v>0</v>
      </c>
      <c r="AH14" s="364">
        <v>0</v>
      </c>
      <c r="AI14" s="364">
        <v>0</v>
      </c>
      <c r="AJ14" s="364">
        <v>0</v>
      </c>
      <c r="AK14" s="364">
        <v>1</v>
      </c>
      <c r="AL14" s="364">
        <v>1</v>
      </c>
      <c r="AM14" s="364">
        <v>0</v>
      </c>
      <c r="AN14" s="364">
        <v>0</v>
      </c>
    </row>
    <row r="15" spans="1:46" ht="14.95" customHeight="1" thickBot="1" x14ac:dyDescent="0.3">
      <c r="A15" s="489" t="s">
        <v>952</v>
      </c>
      <c r="B15" s="490" t="s">
        <v>233</v>
      </c>
      <c r="C15" s="490" t="s">
        <v>117</v>
      </c>
      <c r="D15" s="566" t="s">
        <v>112</v>
      </c>
      <c r="E15" s="453" t="s">
        <v>3</v>
      </c>
      <c r="F15" s="453">
        <v>24</v>
      </c>
      <c r="G15" s="453">
        <v>28</v>
      </c>
      <c r="H15" s="453" t="s">
        <v>106</v>
      </c>
      <c r="I15" s="453" t="s">
        <v>106</v>
      </c>
      <c r="J15" s="453">
        <v>3</v>
      </c>
      <c r="K15" s="453">
        <v>2</v>
      </c>
      <c r="L15" s="453">
        <v>0</v>
      </c>
      <c r="M15" s="453">
        <v>1</v>
      </c>
      <c r="N15" s="453">
        <v>0</v>
      </c>
      <c r="O15" s="453">
        <v>0</v>
      </c>
      <c r="P15" s="453" t="s">
        <v>106</v>
      </c>
      <c r="Q15" s="453" t="s">
        <v>106</v>
      </c>
      <c r="R15" s="453">
        <v>3</v>
      </c>
      <c r="S15" s="463">
        <v>78845</v>
      </c>
      <c r="T15" s="493" t="s">
        <v>977</v>
      </c>
      <c r="U15" s="463" t="s">
        <v>340</v>
      </c>
      <c r="V15" s="463" t="s">
        <v>264</v>
      </c>
      <c r="W15" s="463" t="s">
        <v>278</v>
      </c>
      <c r="X15" s="463" t="s">
        <v>436</v>
      </c>
      <c r="Y15" s="364">
        <v>1</v>
      </c>
      <c r="Z15" s="364">
        <v>0</v>
      </c>
      <c r="AA15" s="364">
        <v>0</v>
      </c>
      <c r="AB15" s="454">
        <v>1</v>
      </c>
      <c r="AC15" s="364">
        <v>0</v>
      </c>
      <c r="AD15" s="364">
        <v>0</v>
      </c>
      <c r="AE15" s="364">
        <v>0</v>
      </c>
      <c r="AF15" s="454">
        <v>0</v>
      </c>
      <c r="AG15" s="364">
        <v>0</v>
      </c>
      <c r="AH15" s="364">
        <v>0</v>
      </c>
      <c r="AI15" s="364">
        <v>0</v>
      </c>
      <c r="AJ15" s="364">
        <v>0</v>
      </c>
      <c r="AK15" s="364">
        <v>1</v>
      </c>
      <c r="AL15" s="364">
        <v>0</v>
      </c>
      <c r="AM15" s="364">
        <v>0</v>
      </c>
      <c r="AN15" s="364">
        <v>1</v>
      </c>
    </row>
    <row r="16" spans="1:46" ht="14.95" customHeight="1" thickBot="1" x14ac:dyDescent="0.3">
      <c r="A16" s="266"/>
      <c r="B16" s="267"/>
      <c r="C16" s="997" t="s">
        <v>108</v>
      </c>
      <c r="D16" s="998"/>
      <c r="E16" s="999"/>
      <c r="F16" s="265">
        <f>SUM(F3:F7)</f>
        <v>151</v>
      </c>
      <c r="G16" s="265">
        <f t="shared" ref="G16:R16" si="0">SUM(G3:G7)</f>
        <v>72</v>
      </c>
      <c r="H16" s="265">
        <f t="shared" si="0"/>
        <v>4</v>
      </c>
      <c r="I16" s="265">
        <f t="shared" si="0"/>
        <v>0</v>
      </c>
      <c r="J16" s="265">
        <f t="shared" si="0"/>
        <v>20</v>
      </c>
      <c r="K16" s="265">
        <f t="shared" si="0"/>
        <v>15</v>
      </c>
      <c r="L16" s="265">
        <f t="shared" si="0"/>
        <v>0</v>
      </c>
      <c r="M16" s="265">
        <f t="shared" si="0"/>
        <v>7</v>
      </c>
      <c r="N16" s="265">
        <f t="shared" si="0"/>
        <v>0</v>
      </c>
      <c r="O16" s="265">
        <f t="shared" si="0"/>
        <v>0</v>
      </c>
      <c r="P16" s="265">
        <f t="shared" si="0"/>
        <v>0</v>
      </c>
      <c r="Q16" s="265">
        <f t="shared" si="0"/>
        <v>0</v>
      </c>
      <c r="R16" s="265">
        <f t="shared" si="0"/>
        <v>6</v>
      </c>
      <c r="W16" s="262"/>
      <c r="X16" s="370" t="s">
        <v>108</v>
      </c>
      <c r="Y16" s="265">
        <f t="shared" ref="Y16:AN16" si="1">SUM(Y3:Y7)</f>
        <v>5</v>
      </c>
      <c r="Z16" s="265">
        <f t="shared" si="1"/>
        <v>5</v>
      </c>
      <c r="AA16" s="265">
        <f t="shared" si="1"/>
        <v>0</v>
      </c>
      <c r="AB16" s="265">
        <f t="shared" si="1"/>
        <v>0</v>
      </c>
      <c r="AC16" s="263">
        <f t="shared" si="1"/>
        <v>2</v>
      </c>
      <c r="AD16" s="263">
        <f t="shared" si="1"/>
        <v>2</v>
      </c>
      <c r="AE16" s="263">
        <f t="shared" si="1"/>
        <v>0</v>
      </c>
      <c r="AF16" s="263">
        <f t="shared" si="1"/>
        <v>0</v>
      </c>
      <c r="AG16" s="264">
        <f t="shared" si="1"/>
        <v>3</v>
      </c>
      <c r="AH16" s="264">
        <f t="shared" si="1"/>
        <v>3</v>
      </c>
      <c r="AI16" s="264">
        <f t="shared" si="1"/>
        <v>0</v>
      </c>
      <c r="AJ16" s="264">
        <f t="shared" si="1"/>
        <v>0</v>
      </c>
      <c r="AK16" s="265">
        <f t="shared" si="1"/>
        <v>0</v>
      </c>
      <c r="AL16" s="265">
        <f t="shared" si="1"/>
        <v>0</v>
      </c>
      <c r="AM16" s="265">
        <f t="shared" si="1"/>
        <v>0</v>
      </c>
      <c r="AN16" s="265">
        <f t="shared" si="1"/>
        <v>0</v>
      </c>
    </row>
    <row r="17" spans="1:40" ht="14.95" customHeight="1" thickBot="1" x14ac:dyDescent="0.3">
      <c r="A17" s="479"/>
      <c r="B17" s="480"/>
      <c r="C17" s="937" t="s">
        <v>721</v>
      </c>
      <c r="D17" s="938"/>
      <c r="E17" s="939"/>
      <c r="F17" s="476">
        <f>SUM(F8:F10)</f>
        <v>79</v>
      </c>
      <c r="G17" s="476">
        <f>SUM(G8:G10)</f>
        <v>40</v>
      </c>
      <c r="H17" s="476" t="s">
        <v>106</v>
      </c>
      <c r="I17" s="476" t="s">
        <v>106</v>
      </c>
      <c r="J17" s="476">
        <f t="shared" ref="J17:O17" si="2">SUM(J8:J10)</f>
        <v>13</v>
      </c>
      <c r="K17" s="476">
        <f t="shared" si="2"/>
        <v>7</v>
      </c>
      <c r="L17" s="476">
        <f t="shared" si="2"/>
        <v>0</v>
      </c>
      <c r="M17" s="476">
        <f t="shared" si="2"/>
        <v>0</v>
      </c>
      <c r="N17" s="476">
        <f t="shared" si="2"/>
        <v>0</v>
      </c>
      <c r="O17" s="476">
        <f t="shared" si="2"/>
        <v>0</v>
      </c>
      <c r="P17" s="476" t="s">
        <v>106</v>
      </c>
      <c r="Q17" s="476" t="s">
        <v>106</v>
      </c>
      <c r="R17" s="476">
        <f>SUM(R8:R10)</f>
        <v>4</v>
      </c>
      <c r="S17" s="473"/>
      <c r="T17" s="473"/>
      <c r="U17" s="473"/>
      <c r="V17" s="473"/>
      <c r="W17" s="474"/>
      <c r="X17" s="475" t="s">
        <v>722</v>
      </c>
      <c r="Y17" s="476">
        <f t="shared" ref="Y17:AN17" si="3">SUM(Y8:Y10)</f>
        <v>3</v>
      </c>
      <c r="Z17" s="476">
        <f t="shared" si="3"/>
        <v>3</v>
      </c>
      <c r="AA17" s="476">
        <f t="shared" si="3"/>
        <v>0</v>
      </c>
      <c r="AB17" s="476">
        <f t="shared" si="3"/>
        <v>0</v>
      </c>
      <c r="AC17" s="477">
        <f t="shared" si="3"/>
        <v>2</v>
      </c>
      <c r="AD17" s="477">
        <f t="shared" si="3"/>
        <v>2</v>
      </c>
      <c r="AE17" s="477">
        <f t="shared" si="3"/>
        <v>0</v>
      </c>
      <c r="AF17" s="477">
        <f t="shared" si="3"/>
        <v>0</v>
      </c>
      <c r="AG17" s="478">
        <f t="shared" si="3"/>
        <v>0</v>
      </c>
      <c r="AH17" s="478">
        <f t="shared" si="3"/>
        <v>0</v>
      </c>
      <c r="AI17" s="478">
        <f t="shared" si="3"/>
        <v>0</v>
      </c>
      <c r="AJ17" s="478">
        <f t="shared" si="3"/>
        <v>0</v>
      </c>
      <c r="AK17" s="476">
        <f t="shared" si="3"/>
        <v>1</v>
      </c>
      <c r="AL17" s="476">
        <f t="shared" si="3"/>
        <v>1</v>
      </c>
      <c r="AM17" s="476">
        <f t="shared" si="3"/>
        <v>0</v>
      </c>
      <c r="AN17" s="476">
        <f t="shared" si="3"/>
        <v>0</v>
      </c>
    </row>
    <row r="18" spans="1:40" ht="14.95" customHeight="1" thickBot="1" x14ac:dyDescent="0.3">
      <c r="A18" s="266"/>
      <c r="B18" s="267"/>
      <c r="C18" s="940" t="s">
        <v>625</v>
      </c>
      <c r="D18" s="941"/>
      <c r="E18" s="942"/>
      <c r="F18" s="708">
        <f t="shared" ref="F18:R18" si="4">SUM(F11:F14)</f>
        <v>190</v>
      </c>
      <c r="G18" s="708">
        <f t="shared" si="4"/>
        <v>46</v>
      </c>
      <c r="H18" s="708">
        <f t="shared" si="4"/>
        <v>3</v>
      </c>
      <c r="I18" s="708">
        <f t="shared" si="4"/>
        <v>0</v>
      </c>
      <c r="J18" s="708">
        <f t="shared" si="4"/>
        <v>27</v>
      </c>
      <c r="K18" s="708">
        <f t="shared" si="4"/>
        <v>23</v>
      </c>
      <c r="L18" s="708">
        <f t="shared" si="4"/>
        <v>0</v>
      </c>
      <c r="M18" s="708">
        <f t="shared" si="4"/>
        <v>3</v>
      </c>
      <c r="N18" s="708">
        <f t="shared" si="4"/>
        <v>1</v>
      </c>
      <c r="O18" s="708">
        <f t="shared" si="4"/>
        <v>0</v>
      </c>
      <c r="P18" s="708">
        <f t="shared" si="4"/>
        <v>0</v>
      </c>
      <c r="Q18" s="708">
        <f t="shared" si="4"/>
        <v>1</v>
      </c>
      <c r="R18" s="708">
        <f t="shared" si="4"/>
        <v>5</v>
      </c>
      <c r="S18" s="709"/>
      <c r="T18" s="709"/>
      <c r="U18" s="709"/>
      <c r="V18" s="709"/>
      <c r="W18" s="710"/>
      <c r="X18" s="711" t="s">
        <v>625</v>
      </c>
      <c r="Y18" s="712">
        <f t="shared" ref="Y18:AN18" si="5">SUM(Y11:Y14)</f>
        <v>4</v>
      </c>
      <c r="Z18" s="708">
        <f t="shared" si="5"/>
        <v>4</v>
      </c>
      <c r="AA18" s="708">
        <f t="shared" si="5"/>
        <v>0</v>
      </c>
      <c r="AB18" s="708">
        <f t="shared" si="5"/>
        <v>0</v>
      </c>
      <c r="AC18" s="713">
        <f t="shared" si="5"/>
        <v>0</v>
      </c>
      <c r="AD18" s="713">
        <f t="shared" si="5"/>
        <v>0</v>
      </c>
      <c r="AE18" s="713">
        <f t="shared" si="5"/>
        <v>0</v>
      </c>
      <c r="AF18" s="713">
        <f t="shared" si="5"/>
        <v>0</v>
      </c>
      <c r="AG18" s="714">
        <f t="shared" si="5"/>
        <v>0</v>
      </c>
      <c r="AH18" s="714">
        <f t="shared" si="5"/>
        <v>0</v>
      </c>
      <c r="AI18" s="714">
        <f t="shared" si="5"/>
        <v>0</v>
      </c>
      <c r="AJ18" s="714">
        <f t="shared" si="5"/>
        <v>0</v>
      </c>
      <c r="AK18" s="708">
        <f t="shared" si="5"/>
        <v>4</v>
      </c>
      <c r="AL18" s="708">
        <f t="shared" si="5"/>
        <v>4</v>
      </c>
      <c r="AM18" s="708">
        <f t="shared" si="5"/>
        <v>0</v>
      </c>
      <c r="AN18" s="708">
        <f t="shared" si="5"/>
        <v>0</v>
      </c>
    </row>
    <row r="19" spans="1:40" ht="14.95" customHeight="1" thickBot="1" x14ac:dyDescent="0.3">
      <c r="A19" s="266"/>
      <c r="B19" s="267"/>
      <c r="C19" s="940" t="s">
        <v>626</v>
      </c>
      <c r="D19" s="943"/>
      <c r="E19" s="944"/>
      <c r="F19" s="708">
        <f t="shared" ref="F19:R19" si="6">SUM(F15:F15)</f>
        <v>24</v>
      </c>
      <c r="G19" s="708">
        <f t="shared" si="6"/>
        <v>28</v>
      </c>
      <c r="H19" s="708">
        <f t="shared" si="6"/>
        <v>0</v>
      </c>
      <c r="I19" s="708">
        <f t="shared" si="6"/>
        <v>0</v>
      </c>
      <c r="J19" s="708">
        <f t="shared" si="6"/>
        <v>3</v>
      </c>
      <c r="K19" s="708">
        <f t="shared" si="6"/>
        <v>2</v>
      </c>
      <c r="L19" s="708">
        <f t="shared" si="6"/>
        <v>0</v>
      </c>
      <c r="M19" s="708">
        <f t="shared" si="6"/>
        <v>1</v>
      </c>
      <c r="N19" s="708">
        <f t="shared" si="6"/>
        <v>0</v>
      </c>
      <c r="O19" s="708">
        <f t="shared" si="6"/>
        <v>0</v>
      </c>
      <c r="P19" s="708">
        <f t="shared" si="6"/>
        <v>0</v>
      </c>
      <c r="Q19" s="708">
        <f t="shared" si="6"/>
        <v>0</v>
      </c>
      <c r="R19" s="708">
        <f t="shared" si="6"/>
        <v>3</v>
      </c>
      <c r="S19" s="709"/>
      <c r="T19" s="709"/>
      <c r="U19" s="709"/>
      <c r="V19" s="709"/>
      <c r="W19" s="710"/>
      <c r="X19" s="711" t="s">
        <v>626</v>
      </c>
      <c r="Y19" s="712">
        <f t="shared" ref="Y19:AN19" si="7">SUM(Y15:Y15)</f>
        <v>1</v>
      </c>
      <c r="Z19" s="708">
        <f t="shared" si="7"/>
        <v>0</v>
      </c>
      <c r="AA19" s="708">
        <f t="shared" si="7"/>
        <v>0</v>
      </c>
      <c r="AB19" s="708">
        <f t="shared" si="7"/>
        <v>1</v>
      </c>
      <c r="AC19" s="713">
        <f t="shared" si="7"/>
        <v>0</v>
      </c>
      <c r="AD19" s="713">
        <f t="shared" si="7"/>
        <v>0</v>
      </c>
      <c r="AE19" s="713">
        <f t="shared" si="7"/>
        <v>0</v>
      </c>
      <c r="AF19" s="713">
        <f t="shared" si="7"/>
        <v>0</v>
      </c>
      <c r="AG19" s="714">
        <f t="shared" si="7"/>
        <v>0</v>
      </c>
      <c r="AH19" s="714">
        <f t="shared" si="7"/>
        <v>0</v>
      </c>
      <c r="AI19" s="714">
        <f t="shared" si="7"/>
        <v>0</v>
      </c>
      <c r="AJ19" s="714">
        <f t="shared" si="7"/>
        <v>0</v>
      </c>
      <c r="AK19" s="708">
        <f t="shared" si="7"/>
        <v>1</v>
      </c>
      <c r="AL19" s="708">
        <f t="shared" si="7"/>
        <v>0</v>
      </c>
      <c r="AM19" s="708">
        <f t="shared" si="7"/>
        <v>0</v>
      </c>
      <c r="AN19" s="708">
        <f t="shared" si="7"/>
        <v>1</v>
      </c>
    </row>
    <row r="20" spans="1:40" ht="14.95" customHeight="1" thickBot="1" x14ac:dyDescent="0.3">
      <c r="A20" s="266"/>
      <c r="B20" s="267"/>
      <c r="C20" s="940" t="s">
        <v>627</v>
      </c>
      <c r="D20" s="943"/>
      <c r="E20" s="944"/>
      <c r="F20" s="708">
        <f>SUM(F18+F19)</f>
        <v>214</v>
      </c>
      <c r="G20" s="708">
        <f t="shared" ref="G20:R20" si="8">SUM(G18+G19)</f>
        <v>74</v>
      </c>
      <c r="H20" s="708">
        <f t="shared" si="8"/>
        <v>3</v>
      </c>
      <c r="I20" s="708">
        <f t="shared" si="8"/>
        <v>0</v>
      </c>
      <c r="J20" s="708">
        <f t="shared" si="8"/>
        <v>30</v>
      </c>
      <c r="K20" s="708">
        <f t="shared" si="8"/>
        <v>25</v>
      </c>
      <c r="L20" s="708">
        <f t="shared" si="8"/>
        <v>0</v>
      </c>
      <c r="M20" s="708">
        <f t="shared" si="8"/>
        <v>4</v>
      </c>
      <c r="N20" s="708">
        <f t="shared" si="8"/>
        <v>1</v>
      </c>
      <c r="O20" s="708">
        <f t="shared" si="8"/>
        <v>0</v>
      </c>
      <c r="P20" s="708">
        <f t="shared" si="8"/>
        <v>0</v>
      </c>
      <c r="Q20" s="708">
        <f t="shared" si="8"/>
        <v>1</v>
      </c>
      <c r="R20" s="708">
        <f t="shared" si="8"/>
        <v>8</v>
      </c>
      <c r="S20" s="709"/>
      <c r="T20" s="709"/>
      <c r="U20" s="709"/>
      <c r="V20" s="709"/>
      <c r="W20" s="710"/>
      <c r="X20" s="711" t="s">
        <v>627</v>
      </c>
      <c r="Y20" s="712">
        <f t="shared" ref="Y20:AN20" si="9">SUM(Y18+Y19)</f>
        <v>5</v>
      </c>
      <c r="Z20" s="708">
        <f t="shared" si="9"/>
        <v>4</v>
      </c>
      <c r="AA20" s="708">
        <f t="shared" si="9"/>
        <v>0</v>
      </c>
      <c r="AB20" s="708">
        <f t="shared" si="9"/>
        <v>1</v>
      </c>
      <c r="AC20" s="713">
        <f t="shared" si="9"/>
        <v>0</v>
      </c>
      <c r="AD20" s="713">
        <f t="shared" si="9"/>
        <v>0</v>
      </c>
      <c r="AE20" s="713">
        <f t="shared" si="9"/>
        <v>0</v>
      </c>
      <c r="AF20" s="713">
        <f t="shared" si="9"/>
        <v>0</v>
      </c>
      <c r="AG20" s="714">
        <f t="shared" si="9"/>
        <v>0</v>
      </c>
      <c r="AH20" s="714">
        <f t="shared" si="9"/>
        <v>0</v>
      </c>
      <c r="AI20" s="714">
        <f t="shared" si="9"/>
        <v>0</v>
      </c>
      <c r="AJ20" s="714">
        <f t="shared" si="9"/>
        <v>0</v>
      </c>
      <c r="AK20" s="708">
        <f t="shared" si="9"/>
        <v>5</v>
      </c>
      <c r="AL20" s="708">
        <f t="shared" si="9"/>
        <v>4</v>
      </c>
      <c r="AM20" s="708">
        <f t="shared" si="9"/>
        <v>0</v>
      </c>
      <c r="AN20" s="708">
        <f t="shared" si="9"/>
        <v>1</v>
      </c>
    </row>
    <row r="21" spans="1:40" ht="14.95" customHeight="1" thickBot="1" x14ac:dyDescent="0.3">
      <c r="A21" s="266"/>
      <c r="B21" s="267"/>
      <c r="C21" s="946" t="s">
        <v>107</v>
      </c>
      <c r="D21" s="947"/>
      <c r="E21" s="948"/>
      <c r="F21" s="343">
        <f t="shared" ref="F21:R21" si="10">SUM(F3:F15)</f>
        <v>444</v>
      </c>
      <c r="G21" s="343">
        <f t="shared" si="10"/>
        <v>186</v>
      </c>
      <c r="H21" s="343">
        <f t="shared" si="10"/>
        <v>7</v>
      </c>
      <c r="I21" s="343">
        <f t="shared" si="10"/>
        <v>0</v>
      </c>
      <c r="J21" s="343">
        <f t="shared" si="10"/>
        <v>63</v>
      </c>
      <c r="K21" s="343">
        <f t="shared" si="10"/>
        <v>47</v>
      </c>
      <c r="L21" s="343">
        <f t="shared" si="10"/>
        <v>0</v>
      </c>
      <c r="M21" s="343">
        <f t="shared" si="10"/>
        <v>11</v>
      </c>
      <c r="N21" s="343">
        <f t="shared" si="10"/>
        <v>1</v>
      </c>
      <c r="O21" s="343">
        <f t="shared" si="10"/>
        <v>0</v>
      </c>
      <c r="P21" s="343">
        <f t="shared" si="10"/>
        <v>0</v>
      </c>
      <c r="Q21" s="343">
        <f t="shared" si="10"/>
        <v>1</v>
      </c>
      <c r="R21" s="343">
        <f t="shared" si="10"/>
        <v>18</v>
      </c>
      <c r="S21" s="340"/>
      <c r="T21" s="340"/>
      <c r="U21" s="340"/>
      <c r="V21" s="340"/>
      <c r="W21" s="13"/>
      <c r="X21" s="364" t="s">
        <v>107</v>
      </c>
      <c r="Y21" s="343">
        <f t="shared" ref="Y21:AN21" si="11">SUM(Y3:Y15)</f>
        <v>13</v>
      </c>
      <c r="Z21" s="343">
        <f t="shared" si="11"/>
        <v>12</v>
      </c>
      <c r="AA21" s="343">
        <f t="shared" si="11"/>
        <v>0</v>
      </c>
      <c r="AB21" s="343">
        <f t="shared" si="11"/>
        <v>1</v>
      </c>
      <c r="AC21" s="341">
        <f t="shared" si="11"/>
        <v>4</v>
      </c>
      <c r="AD21" s="341">
        <f t="shared" si="11"/>
        <v>4</v>
      </c>
      <c r="AE21" s="341">
        <f t="shared" si="11"/>
        <v>0</v>
      </c>
      <c r="AF21" s="341">
        <f t="shared" si="11"/>
        <v>0</v>
      </c>
      <c r="AG21" s="342">
        <f t="shared" si="11"/>
        <v>3</v>
      </c>
      <c r="AH21" s="342">
        <f t="shared" si="11"/>
        <v>3</v>
      </c>
      <c r="AI21" s="342">
        <f t="shared" si="11"/>
        <v>0</v>
      </c>
      <c r="AJ21" s="342">
        <f t="shared" si="11"/>
        <v>0</v>
      </c>
      <c r="AK21" s="343">
        <f t="shared" si="11"/>
        <v>6</v>
      </c>
      <c r="AL21" s="343">
        <f t="shared" si="11"/>
        <v>5</v>
      </c>
      <c r="AM21" s="343">
        <f t="shared" si="11"/>
        <v>0</v>
      </c>
      <c r="AN21" s="343">
        <f t="shared" si="11"/>
        <v>1</v>
      </c>
    </row>
    <row r="22" spans="1:40" ht="14.95" customHeight="1" x14ac:dyDescent="0.25">
      <c r="A22" s="965"/>
      <c r="B22" s="886"/>
      <c r="C22" s="886"/>
      <c r="D22" s="886"/>
      <c r="E22" s="886"/>
      <c r="F22" s="886"/>
      <c r="G22" s="886"/>
      <c r="H22" s="886"/>
      <c r="I22" s="886"/>
      <c r="J22" s="886"/>
      <c r="K22" s="886"/>
      <c r="L22" s="886"/>
      <c r="M22" s="886"/>
      <c r="N22" s="886"/>
      <c r="O22" s="886"/>
      <c r="P22" s="886"/>
      <c r="Q22" s="886"/>
      <c r="R22" s="886"/>
      <c r="S22" s="886"/>
      <c r="T22" s="886"/>
      <c r="U22" s="886"/>
      <c r="V22" s="886"/>
      <c r="W22" s="886"/>
      <c r="X22" s="886"/>
      <c r="Y22" s="886"/>
      <c r="Z22" s="886"/>
      <c r="AA22" s="886"/>
      <c r="AB22" s="886"/>
      <c r="AC22" s="886"/>
      <c r="AD22" s="886"/>
      <c r="AE22" s="886"/>
      <c r="AF22" s="886"/>
      <c r="AG22" s="886"/>
      <c r="AH22" s="886"/>
      <c r="AI22" s="886"/>
      <c r="AJ22" s="886"/>
      <c r="AK22" s="886"/>
      <c r="AL22" s="886"/>
      <c r="AM22" s="886"/>
      <c r="AN22" s="886"/>
    </row>
    <row r="23" spans="1:40" ht="14.95" customHeight="1" x14ac:dyDescent="0.25">
      <c r="A23" t="s">
        <v>164</v>
      </c>
      <c r="F23" s="14"/>
      <c r="G23" s="14"/>
      <c r="H23" s="13"/>
      <c r="I23" s="14"/>
      <c r="J23" s="14"/>
      <c r="K23" s="14"/>
      <c r="L23" s="14"/>
      <c r="M23" s="14"/>
      <c r="N23" s="14"/>
      <c r="O23" s="14"/>
      <c r="P23" s="14"/>
      <c r="Q23" s="14"/>
      <c r="R23" s="14"/>
    </row>
    <row r="24" spans="1:40" ht="14.95" customHeight="1" x14ac:dyDescent="0.25">
      <c r="A24" t="s">
        <v>617</v>
      </c>
      <c r="F24" s="14"/>
      <c r="G24" s="14"/>
      <c r="H24" s="13"/>
      <c r="I24" s="14"/>
      <c r="J24" s="14"/>
      <c r="K24" s="14"/>
      <c r="L24" s="14"/>
      <c r="M24" s="14"/>
      <c r="N24" s="14"/>
      <c r="O24" s="14"/>
      <c r="P24" s="14"/>
      <c r="Q24" s="14"/>
      <c r="R24" s="14"/>
    </row>
    <row r="25" spans="1:40" ht="14.95" customHeight="1" x14ac:dyDescent="0.25">
      <c r="A25" t="s">
        <v>239</v>
      </c>
    </row>
    <row r="26" spans="1:40" ht="14.95" customHeight="1" x14ac:dyDescent="0.25">
      <c r="A26" t="s">
        <v>608</v>
      </c>
    </row>
    <row r="27" spans="1:40" ht="14.95" customHeight="1" x14ac:dyDescent="0.25">
      <c r="A27" s="965" t="s">
        <v>642</v>
      </c>
      <c r="B27" s="886"/>
      <c r="C27" s="886"/>
      <c r="D27" s="886"/>
      <c r="E27" s="886"/>
      <c r="F27" s="886"/>
      <c r="G27" s="886"/>
      <c r="H27" s="886"/>
      <c r="I27" s="886"/>
      <c r="J27" s="886"/>
      <c r="K27" s="886"/>
      <c r="L27" s="886"/>
      <c r="M27" s="886"/>
      <c r="N27" s="886"/>
      <c r="O27" s="886"/>
      <c r="P27" s="886"/>
      <c r="Q27" s="886"/>
      <c r="R27" s="886"/>
      <c r="S27" s="886"/>
      <c r="T27" s="886"/>
      <c r="U27" s="886"/>
      <c r="V27" s="886"/>
      <c r="W27" s="886"/>
      <c r="X27" s="886"/>
      <c r="Y27" s="886"/>
      <c r="Z27" s="886"/>
      <c r="AA27" s="886"/>
      <c r="AB27" s="886"/>
      <c r="AC27" s="886"/>
      <c r="AD27" s="886"/>
      <c r="AE27" s="886"/>
      <c r="AF27" s="886"/>
      <c r="AG27" s="886"/>
      <c r="AH27" s="886"/>
      <c r="AI27" s="886"/>
      <c r="AJ27" s="886"/>
      <c r="AK27" s="886"/>
      <c r="AL27" s="886"/>
      <c r="AM27" s="886"/>
      <c r="AN27" s="886"/>
    </row>
    <row r="28" spans="1:40" ht="14.95" customHeight="1" x14ac:dyDescent="0.25">
      <c r="A28" t="s">
        <v>182</v>
      </c>
    </row>
    <row r="29" spans="1:40" ht="14.95" customHeight="1" x14ac:dyDescent="0.25">
      <c r="A29" s="575"/>
      <c r="B29" t="s">
        <v>44</v>
      </c>
    </row>
    <row r="30" spans="1:40" ht="14.95" customHeight="1" x14ac:dyDescent="0.25">
      <c r="A30" s="576"/>
      <c r="B30" t="s">
        <v>42</v>
      </c>
    </row>
    <row r="31" spans="1:40" ht="14.95" customHeight="1" x14ac:dyDescent="0.25">
      <c r="A31" s="577"/>
      <c r="B31" t="s">
        <v>43</v>
      </c>
    </row>
    <row r="32" spans="1:40" ht="14.95" customHeight="1" x14ac:dyDescent="0.25">
      <c r="A32" s="15" t="s">
        <v>28</v>
      </c>
    </row>
  </sheetData>
  <mergeCells count="18">
    <mergeCell ref="C19:E19"/>
    <mergeCell ref="C20:E20"/>
    <mergeCell ref="A27:AN27"/>
    <mergeCell ref="J1:M1"/>
    <mergeCell ref="N1:O1"/>
    <mergeCell ref="C17:E17"/>
    <mergeCell ref="A22:AN22"/>
    <mergeCell ref="Y1:AB1"/>
    <mergeCell ref="AC1:AF1"/>
    <mergeCell ref="AG1:AJ1"/>
    <mergeCell ref="AK1:AN1"/>
    <mergeCell ref="P1:R1"/>
    <mergeCell ref="C16:E16"/>
    <mergeCell ref="C21:E21"/>
    <mergeCell ref="A1:C1"/>
    <mergeCell ref="E1:G1"/>
    <mergeCell ref="H1:I1"/>
    <mergeCell ref="C18:E18"/>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T33"/>
  <sheetViews>
    <sheetView zoomScaleNormal="100" workbookViewId="0">
      <pane ySplit="2" topLeftCell="A3" activePane="bottomLeft" state="frozen"/>
      <selection pane="bottomLeft" activeCell="U4" sqref="U4"/>
    </sheetView>
  </sheetViews>
  <sheetFormatPr defaultRowHeight="14.95" customHeight="1" x14ac:dyDescent="0.25"/>
  <cols>
    <col min="1" max="1" width="7.5" customWidth="1"/>
    <col min="2" max="2" width="5.125" bestFit="1" customWidth="1"/>
    <col min="3" max="3" width="11.5" customWidth="1"/>
    <col min="4" max="4" width="4.375" customWidth="1"/>
    <col min="5" max="5" width="3.625" customWidth="1"/>
    <col min="6" max="7" width="4" bestFit="1" customWidth="1"/>
    <col min="8" max="18" width="3.625" customWidth="1"/>
    <col min="19" max="20" width="6.375" customWidth="1"/>
    <col min="21" max="21" width="21.625" bestFit="1" customWidth="1"/>
    <col min="22" max="22" width="24.125" bestFit="1" customWidth="1"/>
    <col min="23" max="23" width="22.125" bestFit="1" customWidth="1"/>
    <col min="24" max="24" width="30.5" customWidth="1"/>
    <col min="25" max="40" width="3.625" customWidth="1"/>
    <col min="42" max="42" width="13.125" bestFit="1" customWidth="1"/>
    <col min="45" max="45" width="13.125" bestFit="1" customWidth="1"/>
  </cols>
  <sheetData>
    <row r="1" spans="1:46" ht="14.95" customHeight="1" thickBot="1" x14ac:dyDescent="0.3">
      <c r="A1" s="1061" t="s">
        <v>209</v>
      </c>
      <c r="B1" s="1062"/>
      <c r="C1" s="1062"/>
      <c r="D1" s="373"/>
      <c r="E1" s="1063" t="s">
        <v>24</v>
      </c>
      <c r="F1" s="1064"/>
      <c r="G1" s="1065"/>
      <c r="H1" s="1063" t="s">
        <v>23</v>
      </c>
      <c r="I1" s="1065"/>
      <c r="J1" s="1055" t="s">
        <v>6</v>
      </c>
      <c r="K1" s="1056"/>
      <c r="L1" s="1056"/>
      <c r="M1" s="1057"/>
      <c r="N1" s="1055" t="s">
        <v>7</v>
      </c>
      <c r="O1" s="1057"/>
      <c r="P1" s="1055" t="s">
        <v>25</v>
      </c>
      <c r="Q1" s="1056"/>
      <c r="R1" s="1057"/>
      <c r="S1" s="374" t="s">
        <v>8</v>
      </c>
      <c r="T1" s="374" t="s">
        <v>9</v>
      </c>
      <c r="U1" s="375" t="s">
        <v>10</v>
      </c>
      <c r="V1" s="376" t="s">
        <v>11</v>
      </c>
      <c r="W1" s="377" t="s">
        <v>26</v>
      </c>
      <c r="X1" s="378" t="s">
        <v>27</v>
      </c>
      <c r="Y1" s="1058" t="s">
        <v>20</v>
      </c>
      <c r="Z1" s="1059"/>
      <c r="AA1" s="1059"/>
      <c r="AB1" s="1060"/>
      <c r="AC1" s="1058" t="s">
        <v>61</v>
      </c>
      <c r="AD1" s="1059"/>
      <c r="AE1" s="1059"/>
      <c r="AF1" s="1060"/>
      <c r="AG1" s="1058" t="s">
        <v>62</v>
      </c>
      <c r="AH1" s="1059"/>
      <c r="AI1" s="1059"/>
      <c r="AJ1" s="1060"/>
      <c r="AK1" s="1058" t="s">
        <v>63</v>
      </c>
      <c r="AL1" s="1059"/>
      <c r="AM1" s="1059"/>
      <c r="AN1" s="1060"/>
      <c r="AP1" s="390" t="s">
        <v>148</v>
      </c>
      <c r="AQ1" s="322"/>
      <c r="AR1" s="322"/>
      <c r="AS1" s="390" t="s">
        <v>148</v>
      </c>
    </row>
    <row r="2" spans="1:46" ht="14.95" customHeight="1" thickBot="1" x14ac:dyDescent="0.3">
      <c r="A2" s="379" t="s">
        <v>19</v>
      </c>
      <c r="B2" s="380" t="s">
        <v>18</v>
      </c>
      <c r="C2" s="381" t="s">
        <v>17</v>
      </c>
      <c r="D2" s="381" t="s">
        <v>41</v>
      </c>
      <c r="E2" s="382" t="s">
        <v>16</v>
      </c>
      <c r="F2" s="382" t="s">
        <v>4</v>
      </c>
      <c r="G2" s="382" t="s">
        <v>5</v>
      </c>
      <c r="H2" s="383" t="s">
        <v>12</v>
      </c>
      <c r="I2" s="383" t="s">
        <v>3</v>
      </c>
      <c r="J2" s="383" t="s">
        <v>12</v>
      </c>
      <c r="K2" s="383" t="s">
        <v>13</v>
      </c>
      <c r="L2" s="383" t="s">
        <v>2</v>
      </c>
      <c r="M2" s="383" t="s">
        <v>14</v>
      </c>
      <c r="N2" s="383" t="s">
        <v>15</v>
      </c>
      <c r="O2" s="383" t="s">
        <v>16</v>
      </c>
      <c r="P2" s="383" t="s">
        <v>21</v>
      </c>
      <c r="Q2" s="383" t="s">
        <v>22</v>
      </c>
      <c r="R2" s="383" t="s">
        <v>12</v>
      </c>
      <c r="S2" s="384"/>
      <c r="T2" s="385"/>
      <c r="U2" s="386"/>
      <c r="V2" s="384"/>
      <c r="W2" s="387"/>
      <c r="X2" s="388"/>
      <c r="Y2" s="389" t="s">
        <v>0</v>
      </c>
      <c r="Z2" s="389" t="s">
        <v>1</v>
      </c>
      <c r="AA2" s="389" t="s">
        <v>2</v>
      </c>
      <c r="AB2" s="389" t="s">
        <v>3</v>
      </c>
      <c r="AC2" s="389" t="s">
        <v>0</v>
      </c>
      <c r="AD2" s="389" t="s">
        <v>1</v>
      </c>
      <c r="AE2" s="389" t="s">
        <v>2</v>
      </c>
      <c r="AF2" s="389" t="s">
        <v>3</v>
      </c>
      <c r="AG2" s="389" t="s">
        <v>0</v>
      </c>
      <c r="AH2" s="389" t="s">
        <v>1</v>
      </c>
      <c r="AI2" s="389" t="s">
        <v>2</v>
      </c>
      <c r="AJ2" s="389" t="s">
        <v>3</v>
      </c>
      <c r="AK2" s="389" t="s">
        <v>0</v>
      </c>
      <c r="AL2" s="389" t="s">
        <v>1</v>
      </c>
      <c r="AM2" s="389" t="s">
        <v>2</v>
      </c>
      <c r="AN2" s="389" t="s">
        <v>3</v>
      </c>
      <c r="AP2" s="305" t="s">
        <v>107</v>
      </c>
      <c r="AQ2" s="189" t="s">
        <v>58</v>
      </c>
      <c r="AS2" s="306" t="s">
        <v>128</v>
      </c>
      <c r="AT2" s="189" t="s">
        <v>58</v>
      </c>
    </row>
    <row r="3" spans="1:46" ht="14.95" customHeight="1" thickBot="1" x14ac:dyDescent="0.3">
      <c r="A3" s="423" t="s">
        <v>331</v>
      </c>
      <c r="B3" s="424" t="s">
        <v>46</v>
      </c>
      <c r="C3" s="424" t="s">
        <v>34</v>
      </c>
      <c r="D3" s="424" t="s">
        <v>113</v>
      </c>
      <c r="E3" s="425" t="s">
        <v>3</v>
      </c>
      <c r="F3" s="425">
        <v>24</v>
      </c>
      <c r="G3" s="425">
        <v>29</v>
      </c>
      <c r="H3" s="425">
        <v>0</v>
      </c>
      <c r="I3" s="425">
        <v>1</v>
      </c>
      <c r="J3" s="425">
        <v>2</v>
      </c>
      <c r="K3" s="425">
        <v>0</v>
      </c>
      <c r="L3" s="425">
        <v>0</v>
      </c>
      <c r="M3" s="425">
        <v>4</v>
      </c>
      <c r="N3" s="425">
        <v>0</v>
      </c>
      <c r="O3" s="425">
        <v>0</v>
      </c>
      <c r="P3" s="425">
        <v>1</v>
      </c>
      <c r="Q3" s="425">
        <v>0</v>
      </c>
      <c r="R3" s="425">
        <v>4</v>
      </c>
      <c r="S3" s="426">
        <v>41232</v>
      </c>
      <c r="T3" s="427" t="s">
        <v>277</v>
      </c>
      <c r="U3" s="428" t="s">
        <v>278</v>
      </c>
      <c r="V3" s="426" t="s">
        <v>279</v>
      </c>
      <c r="W3" s="429" t="s">
        <v>280</v>
      </c>
      <c r="X3" s="430" t="s">
        <v>281</v>
      </c>
      <c r="Y3" s="431">
        <v>1</v>
      </c>
      <c r="Z3" s="431">
        <v>0</v>
      </c>
      <c r="AA3" s="431">
        <v>0</v>
      </c>
      <c r="AB3" s="432">
        <v>1</v>
      </c>
      <c r="AC3" s="431">
        <v>1</v>
      </c>
      <c r="AD3" s="431">
        <v>0</v>
      </c>
      <c r="AE3" s="431">
        <v>0</v>
      </c>
      <c r="AF3" s="432">
        <v>1</v>
      </c>
      <c r="AG3" s="431">
        <v>0</v>
      </c>
      <c r="AH3" s="431">
        <v>0</v>
      </c>
      <c r="AI3" s="431">
        <v>0</v>
      </c>
      <c r="AJ3" s="432">
        <v>0</v>
      </c>
      <c r="AK3" s="431">
        <v>0</v>
      </c>
      <c r="AL3" s="431">
        <v>0</v>
      </c>
      <c r="AM3" s="431">
        <v>0</v>
      </c>
      <c r="AN3" s="432">
        <v>0</v>
      </c>
      <c r="AP3" s="316" t="s">
        <v>130</v>
      </c>
      <c r="AQ3" s="317">
        <f>Italyalltestshistplayed</f>
        <v>546</v>
      </c>
      <c r="AS3" s="316" t="s">
        <v>130</v>
      </c>
      <c r="AT3" s="317">
        <f>ItalyRWChistplayed</f>
        <v>35</v>
      </c>
    </row>
    <row r="4" spans="1:46" ht="14.95" customHeight="1" thickBot="1" x14ac:dyDescent="0.3">
      <c r="A4" s="396" t="s">
        <v>318</v>
      </c>
      <c r="B4" s="398" t="s">
        <v>46</v>
      </c>
      <c r="C4" s="398" t="s">
        <v>30</v>
      </c>
      <c r="D4" s="398" t="s">
        <v>115</v>
      </c>
      <c r="E4" s="399" t="s">
        <v>3</v>
      </c>
      <c r="F4" s="399">
        <v>14</v>
      </c>
      <c r="G4" s="399">
        <v>31</v>
      </c>
      <c r="H4" s="399">
        <v>0</v>
      </c>
      <c r="I4" s="399">
        <v>0</v>
      </c>
      <c r="J4" s="399">
        <v>2</v>
      </c>
      <c r="K4" s="399">
        <v>2</v>
      </c>
      <c r="L4" s="399">
        <v>0</v>
      </c>
      <c r="M4" s="399">
        <v>0</v>
      </c>
      <c r="N4" s="399">
        <v>2</v>
      </c>
      <c r="O4" s="399">
        <v>0</v>
      </c>
      <c r="P4" s="399">
        <v>1</v>
      </c>
      <c r="Q4" s="399">
        <v>0</v>
      </c>
      <c r="R4" s="399">
        <v>5</v>
      </c>
      <c r="S4" s="406">
        <v>81609</v>
      </c>
      <c r="T4" s="410" t="s">
        <v>366</v>
      </c>
      <c r="U4" s="408" t="s">
        <v>272</v>
      </c>
      <c r="V4" s="406" t="s">
        <v>363</v>
      </c>
      <c r="W4" s="401" t="s">
        <v>364</v>
      </c>
      <c r="X4" s="409" t="s">
        <v>365</v>
      </c>
      <c r="Y4" s="404">
        <v>1</v>
      </c>
      <c r="Z4" s="404">
        <v>0</v>
      </c>
      <c r="AA4" s="404">
        <v>0</v>
      </c>
      <c r="AB4" s="405">
        <v>1</v>
      </c>
      <c r="AC4" s="404">
        <v>0</v>
      </c>
      <c r="AD4" s="404">
        <v>0</v>
      </c>
      <c r="AE4" s="404">
        <v>0</v>
      </c>
      <c r="AF4" s="405">
        <v>0</v>
      </c>
      <c r="AG4" s="404">
        <v>1</v>
      </c>
      <c r="AH4" s="404">
        <v>0</v>
      </c>
      <c r="AI4" s="404">
        <v>0</v>
      </c>
      <c r="AJ4" s="405">
        <v>1</v>
      </c>
      <c r="AK4" s="404">
        <v>0</v>
      </c>
      <c r="AL4" s="404">
        <v>0</v>
      </c>
      <c r="AM4" s="404">
        <v>0</v>
      </c>
      <c r="AN4" s="405">
        <v>0</v>
      </c>
      <c r="AP4" s="318" t="s">
        <v>131</v>
      </c>
      <c r="AQ4" s="319">
        <f>Italyalltestshistwon</f>
        <v>197</v>
      </c>
      <c r="AS4" s="318" t="s">
        <v>131</v>
      </c>
      <c r="AT4" s="319">
        <f>ItalyRWChistwon</f>
        <v>15</v>
      </c>
    </row>
    <row r="5" spans="1:46" ht="14.95" customHeight="1" thickBot="1" x14ac:dyDescent="0.3">
      <c r="A5" s="423" t="s">
        <v>319</v>
      </c>
      <c r="B5" s="424" t="s">
        <v>46</v>
      </c>
      <c r="C5" s="424" t="s">
        <v>39</v>
      </c>
      <c r="D5" s="424" t="s">
        <v>113</v>
      </c>
      <c r="E5" s="425" t="s">
        <v>3</v>
      </c>
      <c r="F5" s="425">
        <v>20</v>
      </c>
      <c r="G5" s="425">
        <v>34</v>
      </c>
      <c r="H5" s="425">
        <v>0</v>
      </c>
      <c r="I5" s="425">
        <v>0</v>
      </c>
      <c r="J5" s="425">
        <v>2</v>
      </c>
      <c r="K5" s="425">
        <v>2</v>
      </c>
      <c r="L5" s="425">
        <v>0</v>
      </c>
      <c r="M5" s="425">
        <v>2</v>
      </c>
      <c r="N5" s="425">
        <v>0</v>
      </c>
      <c r="O5" s="425">
        <v>0</v>
      </c>
      <c r="P5" s="425">
        <v>1</v>
      </c>
      <c r="Q5" s="425">
        <v>0</v>
      </c>
      <c r="R5" s="425">
        <v>5</v>
      </c>
      <c r="S5" s="426">
        <v>51034</v>
      </c>
      <c r="T5" s="427" t="s">
        <v>411</v>
      </c>
      <c r="U5" s="428" t="s">
        <v>412</v>
      </c>
      <c r="V5" s="426" t="s">
        <v>413</v>
      </c>
      <c r="W5" s="429" t="s">
        <v>340</v>
      </c>
      <c r="X5" s="430" t="s">
        <v>414</v>
      </c>
      <c r="Y5" s="431">
        <v>1</v>
      </c>
      <c r="Z5" s="431">
        <v>0</v>
      </c>
      <c r="AA5" s="431">
        <v>0</v>
      </c>
      <c r="AB5" s="432">
        <v>1</v>
      </c>
      <c r="AC5" s="431">
        <v>1</v>
      </c>
      <c r="AD5" s="431">
        <v>0</v>
      </c>
      <c r="AE5" s="431">
        <v>0</v>
      </c>
      <c r="AF5" s="432">
        <v>1</v>
      </c>
      <c r="AG5" s="431">
        <v>0</v>
      </c>
      <c r="AH5" s="431">
        <v>0</v>
      </c>
      <c r="AI5" s="431">
        <v>0</v>
      </c>
      <c r="AJ5" s="432">
        <v>0</v>
      </c>
      <c r="AK5" s="431">
        <v>0</v>
      </c>
      <c r="AL5" s="431">
        <v>0</v>
      </c>
      <c r="AM5" s="431">
        <v>0</v>
      </c>
      <c r="AN5" s="432">
        <v>0</v>
      </c>
      <c r="AP5" s="318" t="s">
        <v>137</v>
      </c>
      <c r="AQ5" s="319">
        <f>Italyalltestshistdrawn</f>
        <v>14</v>
      </c>
      <c r="AS5" s="318" t="s">
        <v>137</v>
      </c>
      <c r="AT5" s="319">
        <f>ItalyRWChistdrawn</f>
        <v>0</v>
      </c>
    </row>
    <row r="6" spans="1:46" ht="14.95" customHeight="1" thickBot="1" x14ac:dyDescent="0.3">
      <c r="A6" s="423" t="s">
        <v>320</v>
      </c>
      <c r="B6" s="424" t="s">
        <v>46</v>
      </c>
      <c r="C6" s="424" t="s">
        <v>32</v>
      </c>
      <c r="D6" s="424" t="s">
        <v>113</v>
      </c>
      <c r="E6" s="425" t="s">
        <v>3</v>
      </c>
      <c r="F6" s="425">
        <v>17</v>
      </c>
      <c r="G6" s="425">
        <v>29</v>
      </c>
      <c r="H6" s="425">
        <v>0</v>
      </c>
      <c r="I6" s="425">
        <v>0</v>
      </c>
      <c r="J6" s="425">
        <v>2</v>
      </c>
      <c r="K6" s="425">
        <v>2</v>
      </c>
      <c r="L6" s="425">
        <v>0</v>
      </c>
      <c r="M6" s="425">
        <v>1</v>
      </c>
      <c r="N6" s="425">
        <v>2</v>
      </c>
      <c r="O6" s="425">
        <v>0</v>
      </c>
      <c r="P6" s="425">
        <v>0</v>
      </c>
      <c r="Q6" s="425">
        <v>1</v>
      </c>
      <c r="R6" s="425">
        <v>4</v>
      </c>
      <c r="S6" s="426">
        <v>61536</v>
      </c>
      <c r="T6" s="427" t="s">
        <v>429</v>
      </c>
      <c r="U6" s="428" t="s">
        <v>430</v>
      </c>
      <c r="V6" s="426" t="s">
        <v>431</v>
      </c>
      <c r="W6" s="429" t="s">
        <v>263</v>
      </c>
      <c r="X6" s="430" t="s">
        <v>349</v>
      </c>
      <c r="Y6" s="431">
        <v>1</v>
      </c>
      <c r="Z6" s="431">
        <v>0</v>
      </c>
      <c r="AA6" s="431">
        <v>0</v>
      </c>
      <c r="AB6" s="432">
        <v>1</v>
      </c>
      <c r="AC6" s="431">
        <v>1</v>
      </c>
      <c r="AD6" s="431">
        <v>0</v>
      </c>
      <c r="AE6" s="431">
        <v>0</v>
      </c>
      <c r="AF6" s="432">
        <v>1</v>
      </c>
      <c r="AG6" s="431">
        <v>0</v>
      </c>
      <c r="AH6" s="431">
        <v>0</v>
      </c>
      <c r="AI6" s="431">
        <v>0</v>
      </c>
      <c r="AJ6" s="432">
        <v>0</v>
      </c>
      <c r="AK6" s="431">
        <v>0</v>
      </c>
      <c r="AL6" s="431">
        <v>0</v>
      </c>
      <c r="AM6" s="431">
        <v>0</v>
      </c>
      <c r="AN6" s="432">
        <v>0</v>
      </c>
      <c r="AP6" s="318" t="s">
        <v>132</v>
      </c>
      <c r="AQ6" s="319">
        <f>Italyalltestshistlost</f>
        <v>335</v>
      </c>
      <c r="AS6" s="318" t="s">
        <v>132</v>
      </c>
      <c r="AT6" s="319">
        <f>ItalyRWChistlost</f>
        <v>20</v>
      </c>
    </row>
    <row r="7" spans="1:46" ht="14.95" customHeight="1" thickBot="1" x14ac:dyDescent="0.3">
      <c r="A7" s="396" t="s">
        <v>321</v>
      </c>
      <c r="B7" s="398" t="s">
        <v>46</v>
      </c>
      <c r="C7" s="398" t="s">
        <v>35</v>
      </c>
      <c r="D7" s="398" t="s">
        <v>116</v>
      </c>
      <c r="E7" s="399" t="s">
        <v>3</v>
      </c>
      <c r="F7" s="399">
        <v>14</v>
      </c>
      <c r="G7" s="399">
        <v>26</v>
      </c>
      <c r="H7" s="399">
        <v>0</v>
      </c>
      <c r="I7" s="399">
        <v>0</v>
      </c>
      <c r="J7" s="399">
        <v>1</v>
      </c>
      <c r="K7" s="399">
        <v>0</v>
      </c>
      <c r="L7" s="399">
        <v>0</v>
      </c>
      <c r="M7" s="399">
        <v>3</v>
      </c>
      <c r="N7" s="399">
        <v>1</v>
      </c>
      <c r="O7" s="399">
        <v>0</v>
      </c>
      <c r="P7" s="399">
        <v>1</v>
      </c>
      <c r="Q7" s="399">
        <v>0</v>
      </c>
      <c r="R7" s="399">
        <v>4</v>
      </c>
      <c r="S7" s="406">
        <v>67144</v>
      </c>
      <c r="T7" s="410" t="s">
        <v>461</v>
      </c>
      <c r="U7" s="408" t="s">
        <v>265</v>
      </c>
      <c r="V7" s="406" t="s">
        <v>432</v>
      </c>
      <c r="W7" s="401" t="s">
        <v>278</v>
      </c>
      <c r="X7" s="409" t="s">
        <v>414</v>
      </c>
      <c r="Y7" s="404">
        <v>1</v>
      </c>
      <c r="Z7" s="404">
        <v>0</v>
      </c>
      <c r="AA7" s="404">
        <v>0</v>
      </c>
      <c r="AB7" s="405">
        <v>1</v>
      </c>
      <c r="AC7" s="404">
        <v>0</v>
      </c>
      <c r="AD7" s="404">
        <v>0</v>
      </c>
      <c r="AE7" s="404">
        <v>0</v>
      </c>
      <c r="AF7" s="405">
        <v>0</v>
      </c>
      <c r="AG7" s="404">
        <v>1</v>
      </c>
      <c r="AH7" s="404">
        <v>0</v>
      </c>
      <c r="AI7" s="404">
        <v>0</v>
      </c>
      <c r="AJ7" s="405">
        <v>1</v>
      </c>
      <c r="AK7" s="404">
        <v>0</v>
      </c>
      <c r="AL7" s="404">
        <v>0</v>
      </c>
      <c r="AM7" s="404">
        <v>0</v>
      </c>
      <c r="AN7" s="405">
        <v>0</v>
      </c>
      <c r="AP7" s="318" t="s">
        <v>138</v>
      </c>
      <c r="AQ7" s="319">
        <f>Italyalltestshistptsscored</f>
        <v>9506</v>
      </c>
      <c r="AS7" s="318" t="s">
        <v>138</v>
      </c>
      <c r="AT7" s="319">
        <f>ItalyRWChistptsscored</f>
        <v>741</v>
      </c>
    </row>
    <row r="8" spans="1:46" ht="14.95" customHeight="1" thickBot="1" x14ac:dyDescent="0.35">
      <c r="A8" s="396" t="s">
        <v>332</v>
      </c>
      <c r="B8" s="398" t="s">
        <v>615</v>
      </c>
      <c r="C8" s="398" t="s">
        <v>35</v>
      </c>
      <c r="D8" s="398" t="s">
        <v>116</v>
      </c>
      <c r="E8" s="399" t="s">
        <v>3</v>
      </c>
      <c r="F8" s="399">
        <v>13</v>
      </c>
      <c r="G8" s="399">
        <v>25</v>
      </c>
      <c r="H8" s="399" t="s">
        <v>106</v>
      </c>
      <c r="I8" s="399" t="s">
        <v>106</v>
      </c>
      <c r="J8" s="399">
        <v>1</v>
      </c>
      <c r="K8" s="399">
        <v>1</v>
      </c>
      <c r="L8" s="399">
        <v>0</v>
      </c>
      <c r="M8" s="399">
        <v>2</v>
      </c>
      <c r="N8" s="399">
        <v>0</v>
      </c>
      <c r="O8" s="399">
        <v>0</v>
      </c>
      <c r="P8" s="399" t="s">
        <v>106</v>
      </c>
      <c r="Q8" s="399" t="s">
        <v>106</v>
      </c>
      <c r="R8" s="399">
        <v>3</v>
      </c>
      <c r="S8" s="406">
        <v>49977</v>
      </c>
      <c r="T8" s="527" t="s">
        <v>712</v>
      </c>
      <c r="U8" s="408" t="s">
        <v>271</v>
      </c>
      <c r="V8" s="406" t="s">
        <v>279</v>
      </c>
      <c r="W8" s="408" t="s">
        <v>364</v>
      </c>
      <c r="X8" s="406" t="s">
        <v>711</v>
      </c>
      <c r="Y8" s="404">
        <v>1</v>
      </c>
      <c r="Z8" s="404">
        <v>0</v>
      </c>
      <c r="AA8" s="404">
        <v>0</v>
      </c>
      <c r="AB8" s="405">
        <v>1</v>
      </c>
      <c r="AC8" s="404">
        <v>0</v>
      </c>
      <c r="AD8" s="404">
        <v>0</v>
      </c>
      <c r="AE8" s="404">
        <v>0</v>
      </c>
      <c r="AF8" s="405">
        <v>0</v>
      </c>
      <c r="AG8" s="404">
        <v>1</v>
      </c>
      <c r="AH8" s="404">
        <v>0</v>
      </c>
      <c r="AI8" s="404">
        <v>0</v>
      </c>
      <c r="AJ8" s="405">
        <v>1</v>
      </c>
      <c r="AK8" s="404">
        <v>0</v>
      </c>
      <c r="AL8" s="404">
        <v>0</v>
      </c>
      <c r="AM8" s="404">
        <v>0</v>
      </c>
      <c r="AN8" s="405">
        <v>0</v>
      </c>
      <c r="AP8" s="318" t="s">
        <v>139</v>
      </c>
      <c r="AQ8" s="319">
        <f>Italyalltestshistptsagainst</f>
        <v>13100</v>
      </c>
      <c r="AS8" s="318" t="s">
        <v>139</v>
      </c>
      <c r="AT8" s="319">
        <f>ItalyRWChistptsagainst</f>
        <v>1158</v>
      </c>
    </row>
    <row r="9" spans="1:46" ht="14.95" customHeight="1" thickBot="1" x14ac:dyDescent="0.3">
      <c r="A9" s="396" t="s">
        <v>322</v>
      </c>
      <c r="B9" s="398" t="s">
        <v>615</v>
      </c>
      <c r="C9" s="398" t="s">
        <v>39</v>
      </c>
      <c r="D9" s="398" t="s">
        <v>114</v>
      </c>
      <c r="E9" s="399" t="s">
        <v>3</v>
      </c>
      <c r="F9" s="399">
        <v>17</v>
      </c>
      <c r="G9" s="399">
        <v>33</v>
      </c>
      <c r="H9" s="399" t="s">
        <v>106</v>
      </c>
      <c r="I9" s="399" t="s">
        <v>106</v>
      </c>
      <c r="J9" s="399">
        <v>2</v>
      </c>
      <c r="K9" s="399">
        <v>2</v>
      </c>
      <c r="L9" s="399">
        <v>0</v>
      </c>
      <c r="M9" s="399">
        <v>1</v>
      </c>
      <c r="N9" s="399">
        <v>1</v>
      </c>
      <c r="O9" s="399">
        <v>0</v>
      </c>
      <c r="P9" s="399" t="s">
        <v>106</v>
      </c>
      <c r="Q9" s="399" t="s">
        <v>106</v>
      </c>
      <c r="R9" s="399">
        <v>5</v>
      </c>
      <c r="S9" s="406">
        <v>52000</v>
      </c>
      <c r="T9" s="410" t="s">
        <v>724</v>
      </c>
      <c r="U9" s="408" t="s">
        <v>364</v>
      </c>
      <c r="V9" s="406" t="s">
        <v>363</v>
      </c>
      <c r="W9" s="401" t="s">
        <v>467</v>
      </c>
      <c r="X9" s="409" t="s">
        <v>730</v>
      </c>
      <c r="Y9" s="404">
        <v>1</v>
      </c>
      <c r="Z9" s="404">
        <v>0</v>
      </c>
      <c r="AA9" s="404">
        <v>0</v>
      </c>
      <c r="AB9" s="405">
        <v>1</v>
      </c>
      <c r="AC9" s="404">
        <v>0</v>
      </c>
      <c r="AD9" s="404">
        <v>0</v>
      </c>
      <c r="AE9" s="404">
        <v>0</v>
      </c>
      <c r="AF9" s="405">
        <v>0</v>
      </c>
      <c r="AG9" s="404">
        <v>1</v>
      </c>
      <c r="AH9" s="404">
        <v>0</v>
      </c>
      <c r="AI9" s="404">
        <v>0</v>
      </c>
      <c r="AJ9" s="405">
        <v>1</v>
      </c>
      <c r="AK9" s="404">
        <v>0</v>
      </c>
      <c r="AL9" s="404">
        <v>0</v>
      </c>
      <c r="AM9" s="404">
        <v>0</v>
      </c>
      <c r="AN9" s="405">
        <v>0</v>
      </c>
      <c r="AP9" s="318" t="s">
        <v>129</v>
      </c>
      <c r="AQ9" s="319">
        <f>Italyalltestshisttriesscored</f>
        <v>1063</v>
      </c>
      <c r="AS9" s="318" t="s">
        <v>129</v>
      </c>
      <c r="AT9" s="319">
        <f>ItalyRWChisttriesscored</f>
        <v>83</v>
      </c>
    </row>
    <row r="10" spans="1:46" ht="14.95" customHeight="1" thickBot="1" x14ac:dyDescent="0.35">
      <c r="A10" s="423" t="s">
        <v>324</v>
      </c>
      <c r="B10" s="424" t="s">
        <v>615</v>
      </c>
      <c r="C10" s="424" t="s">
        <v>122</v>
      </c>
      <c r="D10" s="424" t="s">
        <v>589</v>
      </c>
      <c r="E10" s="425" t="s">
        <v>1</v>
      </c>
      <c r="F10" s="425">
        <v>57</v>
      </c>
      <c r="G10" s="425">
        <v>7</v>
      </c>
      <c r="H10" s="425" t="s">
        <v>106</v>
      </c>
      <c r="I10" s="425" t="s">
        <v>106</v>
      </c>
      <c r="J10" s="425">
        <v>9</v>
      </c>
      <c r="K10" s="425">
        <v>6</v>
      </c>
      <c r="L10" s="425">
        <v>0</v>
      </c>
      <c r="M10" s="425">
        <v>0</v>
      </c>
      <c r="N10" s="425">
        <v>1</v>
      </c>
      <c r="O10" s="425">
        <v>0</v>
      </c>
      <c r="P10" s="425" t="s">
        <v>106</v>
      </c>
      <c r="Q10" s="425" t="s">
        <v>106</v>
      </c>
      <c r="R10" s="425">
        <v>1</v>
      </c>
      <c r="S10" s="429">
        <v>9122</v>
      </c>
      <c r="T10" s="447" t="s">
        <v>792</v>
      </c>
      <c r="U10" s="429" t="s">
        <v>266</v>
      </c>
      <c r="V10" s="429" t="s">
        <v>793</v>
      </c>
      <c r="W10" s="429" t="s">
        <v>711</v>
      </c>
      <c r="X10" s="430" t="s">
        <v>751</v>
      </c>
      <c r="Y10" s="431">
        <v>1</v>
      </c>
      <c r="Z10" s="431">
        <v>1</v>
      </c>
      <c r="AA10" s="431">
        <v>0</v>
      </c>
      <c r="AB10" s="432">
        <v>0</v>
      </c>
      <c r="AC10" s="431">
        <v>1</v>
      </c>
      <c r="AD10" s="431">
        <v>1</v>
      </c>
      <c r="AE10" s="431">
        <v>0</v>
      </c>
      <c r="AF10" s="432">
        <v>0</v>
      </c>
      <c r="AG10" s="431">
        <v>0</v>
      </c>
      <c r="AH10" s="431">
        <v>0</v>
      </c>
      <c r="AI10" s="431">
        <v>0</v>
      </c>
      <c r="AJ10" s="432">
        <v>0</v>
      </c>
      <c r="AK10" s="431">
        <v>0</v>
      </c>
      <c r="AL10" s="431">
        <v>0</v>
      </c>
      <c r="AM10" s="431">
        <v>0</v>
      </c>
      <c r="AN10" s="432">
        <v>0</v>
      </c>
    </row>
    <row r="11" spans="1:46" ht="14.95" customHeight="1" thickBot="1" x14ac:dyDescent="0.35">
      <c r="A11" s="440" t="s">
        <v>325</v>
      </c>
      <c r="B11" s="441" t="s">
        <v>615</v>
      </c>
      <c r="C11" s="441" t="s">
        <v>36</v>
      </c>
      <c r="D11" s="441" t="s">
        <v>591</v>
      </c>
      <c r="E11" s="425" t="s">
        <v>1</v>
      </c>
      <c r="F11" s="425">
        <v>42</v>
      </c>
      <c r="G11" s="425">
        <v>21</v>
      </c>
      <c r="H11" s="425" t="s">
        <v>106</v>
      </c>
      <c r="I11" s="425" t="s">
        <v>106</v>
      </c>
      <c r="J11" s="425">
        <v>5</v>
      </c>
      <c r="K11" s="425">
        <v>4</v>
      </c>
      <c r="L11" s="425">
        <v>0</v>
      </c>
      <c r="M11" s="425">
        <v>3</v>
      </c>
      <c r="N11" s="425">
        <v>0</v>
      </c>
      <c r="O11" s="425">
        <v>0</v>
      </c>
      <c r="P11" s="425" t="s">
        <v>106</v>
      </c>
      <c r="Q11" s="425" t="s">
        <v>106</v>
      </c>
      <c r="R11" s="425">
        <v>3</v>
      </c>
      <c r="S11" s="429"/>
      <c r="T11" s="447" t="s">
        <v>803</v>
      </c>
      <c r="U11" s="429" t="s">
        <v>263</v>
      </c>
      <c r="V11" s="429" t="s">
        <v>435</v>
      </c>
      <c r="W11" s="429" t="s">
        <v>349</v>
      </c>
      <c r="X11" s="429" t="s">
        <v>751</v>
      </c>
      <c r="Y11" s="431">
        <v>1</v>
      </c>
      <c r="Z11" s="431">
        <v>1</v>
      </c>
      <c r="AA11" s="431">
        <v>0</v>
      </c>
      <c r="AB11" s="432">
        <v>0</v>
      </c>
      <c r="AC11" s="431">
        <v>1</v>
      </c>
      <c r="AD11" s="431">
        <v>1</v>
      </c>
      <c r="AE11" s="431">
        <v>0</v>
      </c>
      <c r="AF11" s="432">
        <v>0</v>
      </c>
      <c r="AG11" s="431">
        <v>0</v>
      </c>
      <c r="AH11" s="431">
        <v>0</v>
      </c>
      <c r="AI11" s="431">
        <v>0</v>
      </c>
      <c r="AJ11" s="432">
        <v>0</v>
      </c>
      <c r="AK11" s="431">
        <v>0</v>
      </c>
      <c r="AL11" s="431">
        <v>0</v>
      </c>
      <c r="AM11" s="431">
        <v>0</v>
      </c>
      <c r="AN11" s="432">
        <v>0</v>
      </c>
    </row>
    <row r="12" spans="1:46" ht="14.95" customHeight="1" thickBot="1" x14ac:dyDescent="0.35">
      <c r="A12" s="489" t="s">
        <v>333</v>
      </c>
      <c r="B12" s="490" t="s">
        <v>198</v>
      </c>
      <c r="C12" s="524" t="s">
        <v>121</v>
      </c>
      <c r="D12" s="490" t="s">
        <v>227</v>
      </c>
      <c r="E12" s="366" t="s">
        <v>1</v>
      </c>
      <c r="F12" s="453">
        <v>52</v>
      </c>
      <c r="G12" s="453">
        <v>8</v>
      </c>
      <c r="H12" s="453">
        <v>1</v>
      </c>
      <c r="I12" s="453">
        <v>0</v>
      </c>
      <c r="J12" s="453">
        <v>7</v>
      </c>
      <c r="K12" s="453">
        <v>7</v>
      </c>
      <c r="L12" s="453">
        <v>0</v>
      </c>
      <c r="M12" s="453">
        <v>1</v>
      </c>
      <c r="N12" s="453">
        <v>0</v>
      </c>
      <c r="O12" s="453">
        <v>0</v>
      </c>
      <c r="P12" s="453">
        <v>0</v>
      </c>
      <c r="Q12" s="453">
        <v>0</v>
      </c>
      <c r="R12" s="453">
        <v>1</v>
      </c>
      <c r="S12" s="463">
        <v>41170</v>
      </c>
      <c r="T12" s="491" t="s">
        <v>803</v>
      </c>
      <c r="U12" s="463" t="s">
        <v>346</v>
      </c>
      <c r="V12" s="463" t="s">
        <v>269</v>
      </c>
      <c r="W12" s="463" t="s">
        <v>349</v>
      </c>
      <c r="X12" s="463" t="s">
        <v>431</v>
      </c>
      <c r="Y12" s="364">
        <v>1</v>
      </c>
      <c r="Z12" s="364">
        <v>1</v>
      </c>
      <c r="AA12" s="364">
        <v>0</v>
      </c>
      <c r="AB12" s="454">
        <v>0</v>
      </c>
      <c r="AC12" s="364">
        <v>0</v>
      </c>
      <c r="AD12" s="364">
        <v>0</v>
      </c>
      <c r="AE12" s="364">
        <v>0</v>
      </c>
      <c r="AF12" s="454">
        <v>0</v>
      </c>
      <c r="AG12" s="364">
        <v>0</v>
      </c>
      <c r="AH12" s="364">
        <v>0</v>
      </c>
      <c r="AI12" s="364">
        <v>0</v>
      </c>
      <c r="AJ12" s="454">
        <v>0</v>
      </c>
      <c r="AK12" s="364">
        <v>1</v>
      </c>
      <c r="AL12" s="364">
        <v>1</v>
      </c>
      <c r="AM12" s="364">
        <v>0</v>
      </c>
      <c r="AN12" s="454">
        <v>0</v>
      </c>
    </row>
    <row r="13" spans="1:46" ht="14.95" customHeight="1" thickBot="1" x14ac:dyDescent="0.3">
      <c r="A13" s="489" t="s">
        <v>334</v>
      </c>
      <c r="B13" s="490" t="s">
        <v>198</v>
      </c>
      <c r="C13" s="490" t="s">
        <v>105</v>
      </c>
      <c r="D13" s="490" t="s">
        <v>231</v>
      </c>
      <c r="E13" s="453" t="s">
        <v>1</v>
      </c>
      <c r="F13" s="453">
        <v>38</v>
      </c>
      <c r="G13" s="453">
        <v>17</v>
      </c>
      <c r="H13" s="453">
        <v>1</v>
      </c>
      <c r="I13" s="453">
        <v>0</v>
      </c>
      <c r="J13" s="453">
        <v>5</v>
      </c>
      <c r="K13" s="453">
        <v>5</v>
      </c>
      <c r="L13" s="453">
        <v>0</v>
      </c>
      <c r="M13" s="453">
        <v>1</v>
      </c>
      <c r="N13" s="453">
        <v>2</v>
      </c>
      <c r="O13" s="453">
        <v>0</v>
      </c>
      <c r="P13" s="453">
        <v>0</v>
      </c>
      <c r="Q13" s="453">
        <v>0</v>
      </c>
      <c r="R13" s="453">
        <v>2</v>
      </c>
      <c r="S13" s="463">
        <v>28627</v>
      </c>
      <c r="T13" s="569" t="s">
        <v>896</v>
      </c>
      <c r="U13" s="463" t="s">
        <v>265</v>
      </c>
      <c r="V13" s="463" t="s">
        <v>264</v>
      </c>
      <c r="W13" s="463" t="s">
        <v>346</v>
      </c>
      <c r="X13" s="463" t="s">
        <v>281</v>
      </c>
      <c r="Y13" s="364">
        <v>1</v>
      </c>
      <c r="Z13" s="364">
        <v>1</v>
      </c>
      <c r="AA13" s="364">
        <v>0</v>
      </c>
      <c r="AB13" s="454">
        <v>0</v>
      </c>
      <c r="AC13" s="364">
        <v>0</v>
      </c>
      <c r="AD13" s="364">
        <v>0</v>
      </c>
      <c r="AE13" s="364">
        <v>0</v>
      </c>
      <c r="AF13" s="454">
        <v>0</v>
      </c>
      <c r="AG13" s="364">
        <v>0</v>
      </c>
      <c r="AH13" s="364">
        <v>0</v>
      </c>
      <c r="AI13" s="364">
        <v>0</v>
      </c>
      <c r="AJ13" s="454">
        <v>0</v>
      </c>
      <c r="AK13" s="364">
        <v>1</v>
      </c>
      <c r="AL13" s="364">
        <v>1</v>
      </c>
      <c r="AM13" s="364">
        <v>0</v>
      </c>
      <c r="AN13" s="454">
        <v>0</v>
      </c>
    </row>
    <row r="14" spans="1:46" ht="14.95" customHeight="1" thickBot="1" x14ac:dyDescent="0.3">
      <c r="A14" s="489" t="s">
        <v>335</v>
      </c>
      <c r="B14" s="490" t="s">
        <v>198</v>
      </c>
      <c r="C14" s="490" t="s">
        <v>117</v>
      </c>
      <c r="D14" s="490" t="s">
        <v>232</v>
      </c>
      <c r="E14" s="453" t="s">
        <v>3</v>
      </c>
      <c r="F14" s="453">
        <v>17</v>
      </c>
      <c r="G14" s="453">
        <v>96</v>
      </c>
      <c r="H14" s="453">
        <v>0</v>
      </c>
      <c r="I14" s="453">
        <v>0</v>
      </c>
      <c r="J14" s="453">
        <v>2</v>
      </c>
      <c r="K14" s="453">
        <v>2</v>
      </c>
      <c r="L14" s="453">
        <v>0</v>
      </c>
      <c r="M14" s="453">
        <v>1</v>
      </c>
      <c r="N14" s="453">
        <v>0</v>
      </c>
      <c r="O14" s="453">
        <v>0</v>
      </c>
      <c r="P14" s="453">
        <v>1</v>
      </c>
      <c r="Q14" s="453">
        <v>0</v>
      </c>
      <c r="R14" s="453">
        <v>14</v>
      </c>
      <c r="S14" s="463">
        <v>57083</v>
      </c>
      <c r="T14" s="493" t="s">
        <v>920</v>
      </c>
      <c r="U14" s="463" t="s">
        <v>278</v>
      </c>
      <c r="V14" s="463" t="s">
        <v>432</v>
      </c>
      <c r="W14" s="463" t="s">
        <v>280</v>
      </c>
      <c r="X14" s="463" t="s">
        <v>436</v>
      </c>
      <c r="Y14" s="364">
        <v>1</v>
      </c>
      <c r="Z14" s="364">
        <v>0</v>
      </c>
      <c r="AA14" s="364">
        <v>0</v>
      </c>
      <c r="AB14" s="454">
        <v>1</v>
      </c>
      <c r="AC14" s="364">
        <v>0</v>
      </c>
      <c r="AD14" s="364">
        <v>0</v>
      </c>
      <c r="AE14" s="364">
        <v>0</v>
      </c>
      <c r="AF14" s="454">
        <v>0</v>
      </c>
      <c r="AG14" s="364">
        <v>0</v>
      </c>
      <c r="AH14" s="364">
        <v>0</v>
      </c>
      <c r="AI14" s="364">
        <v>0</v>
      </c>
      <c r="AJ14" s="454">
        <v>0</v>
      </c>
      <c r="AK14" s="364">
        <v>1</v>
      </c>
      <c r="AL14" s="364">
        <v>0</v>
      </c>
      <c r="AM14" s="364">
        <v>0</v>
      </c>
      <c r="AN14" s="454">
        <v>1</v>
      </c>
    </row>
    <row r="15" spans="1:46" ht="14.95" customHeight="1" thickBot="1" x14ac:dyDescent="0.3">
      <c r="A15" s="413" t="s">
        <v>336</v>
      </c>
      <c r="B15" s="412" t="s">
        <v>198</v>
      </c>
      <c r="C15" s="412" t="s">
        <v>34</v>
      </c>
      <c r="D15" s="412" t="s">
        <v>232</v>
      </c>
      <c r="E15" s="399" t="s">
        <v>3</v>
      </c>
      <c r="F15" s="399">
        <v>7</v>
      </c>
      <c r="G15" s="399">
        <v>60</v>
      </c>
      <c r="H15" s="399">
        <v>0</v>
      </c>
      <c r="I15" s="399">
        <v>0</v>
      </c>
      <c r="J15" s="399">
        <v>1</v>
      </c>
      <c r="K15" s="399">
        <v>1</v>
      </c>
      <c r="L15" s="399">
        <v>0</v>
      </c>
      <c r="M15" s="399">
        <v>0</v>
      </c>
      <c r="N15" s="399">
        <v>0</v>
      </c>
      <c r="O15" s="399">
        <v>0</v>
      </c>
      <c r="P15" s="399">
        <v>1</v>
      </c>
      <c r="Q15" s="399">
        <v>0</v>
      </c>
      <c r="R15" s="399">
        <v>8</v>
      </c>
      <c r="S15" s="401">
        <v>58102</v>
      </c>
      <c r="T15" s="415" t="s">
        <v>545</v>
      </c>
      <c r="U15" s="401" t="s">
        <v>263</v>
      </c>
      <c r="V15" s="401" t="s">
        <v>413</v>
      </c>
      <c r="W15" s="401" t="s">
        <v>266</v>
      </c>
      <c r="X15" s="401" t="s">
        <v>414</v>
      </c>
      <c r="Y15" s="404">
        <v>1</v>
      </c>
      <c r="Z15" s="404">
        <v>0</v>
      </c>
      <c r="AA15" s="404">
        <v>0</v>
      </c>
      <c r="AB15" s="405">
        <v>1</v>
      </c>
      <c r="AC15" s="404">
        <v>0</v>
      </c>
      <c r="AD15" s="404">
        <v>0</v>
      </c>
      <c r="AE15" s="404">
        <v>0</v>
      </c>
      <c r="AF15" s="405">
        <v>0</v>
      </c>
      <c r="AG15" s="404">
        <v>1</v>
      </c>
      <c r="AH15" s="404">
        <v>0</v>
      </c>
      <c r="AI15" s="404">
        <v>0</v>
      </c>
      <c r="AJ15" s="405">
        <v>1</v>
      </c>
      <c r="AK15" s="404">
        <v>0</v>
      </c>
      <c r="AL15" s="404">
        <v>0</v>
      </c>
      <c r="AM15" s="404">
        <v>0</v>
      </c>
      <c r="AN15" s="405">
        <v>0</v>
      </c>
    </row>
    <row r="16" spans="1:46" ht="14.95" customHeight="1" thickBot="1" x14ac:dyDescent="0.3">
      <c r="A16" s="266"/>
      <c r="B16" s="267"/>
      <c r="C16" s="997" t="s">
        <v>108</v>
      </c>
      <c r="D16" s="998"/>
      <c r="E16" s="999"/>
      <c r="F16" s="265">
        <f>SUM(F3:F7)</f>
        <v>89</v>
      </c>
      <c r="G16" s="265">
        <f t="shared" ref="G16:R16" si="0">SUM(G3:G7)</f>
        <v>149</v>
      </c>
      <c r="H16" s="265">
        <f t="shared" si="0"/>
        <v>0</v>
      </c>
      <c r="I16" s="265">
        <f t="shared" si="0"/>
        <v>1</v>
      </c>
      <c r="J16" s="265">
        <f t="shared" si="0"/>
        <v>9</v>
      </c>
      <c r="K16" s="265">
        <f t="shared" si="0"/>
        <v>6</v>
      </c>
      <c r="L16" s="265">
        <f t="shared" si="0"/>
        <v>0</v>
      </c>
      <c r="M16" s="265">
        <f t="shared" si="0"/>
        <v>10</v>
      </c>
      <c r="N16" s="265">
        <f t="shared" si="0"/>
        <v>5</v>
      </c>
      <c r="O16" s="265">
        <f t="shared" si="0"/>
        <v>0</v>
      </c>
      <c r="P16" s="265">
        <f t="shared" si="0"/>
        <v>4</v>
      </c>
      <c r="Q16" s="265">
        <f t="shared" si="0"/>
        <v>1</v>
      </c>
      <c r="R16" s="265">
        <f t="shared" si="0"/>
        <v>22</v>
      </c>
      <c r="W16" s="262"/>
      <c r="X16" s="369" t="s">
        <v>108</v>
      </c>
      <c r="Y16" s="265">
        <f t="shared" ref="Y16:AN16" si="1">SUM(Y3:Y7)</f>
        <v>5</v>
      </c>
      <c r="Z16" s="265">
        <f t="shared" si="1"/>
        <v>0</v>
      </c>
      <c r="AA16" s="265">
        <f t="shared" si="1"/>
        <v>0</v>
      </c>
      <c r="AB16" s="265">
        <f t="shared" si="1"/>
        <v>5</v>
      </c>
      <c r="AC16" s="263">
        <f t="shared" si="1"/>
        <v>3</v>
      </c>
      <c r="AD16" s="263">
        <f t="shared" si="1"/>
        <v>0</v>
      </c>
      <c r="AE16" s="263">
        <f t="shared" si="1"/>
        <v>0</v>
      </c>
      <c r="AF16" s="263">
        <f t="shared" si="1"/>
        <v>3</v>
      </c>
      <c r="AG16" s="264">
        <f t="shared" si="1"/>
        <v>2</v>
      </c>
      <c r="AH16" s="264">
        <f t="shared" si="1"/>
        <v>0</v>
      </c>
      <c r="AI16" s="264">
        <f t="shared" si="1"/>
        <v>0</v>
      </c>
      <c r="AJ16" s="264">
        <f t="shared" si="1"/>
        <v>2</v>
      </c>
      <c r="AK16" s="265">
        <f t="shared" si="1"/>
        <v>0</v>
      </c>
      <c r="AL16" s="265">
        <f t="shared" si="1"/>
        <v>0</v>
      </c>
      <c r="AM16" s="265">
        <f t="shared" si="1"/>
        <v>0</v>
      </c>
      <c r="AN16" s="265">
        <f t="shared" si="1"/>
        <v>0</v>
      </c>
    </row>
    <row r="17" spans="1:40" ht="14.95" customHeight="1" thickBot="1" x14ac:dyDescent="0.3">
      <c r="A17" s="479"/>
      <c r="B17" s="480"/>
      <c r="C17" s="937" t="s">
        <v>721</v>
      </c>
      <c r="D17" s="938"/>
      <c r="E17" s="939"/>
      <c r="F17" s="476">
        <f>SUM(F8:F11)</f>
        <v>129</v>
      </c>
      <c r="G17" s="476">
        <f>SUM(G8:G11)</f>
        <v>86</v>
      </c>
      <c r="H17" s="476" t="s">
        <v>106</v>
      </c>
      <c r="I17" s="476" t="s">
        <v>106</v>
      </c>
      <c r="J17" s="476">
        <f t="shared" ref="J17:O17" si="2">SUM(J8:J11)</f>
        <v>17</v>
      </c>
      <c r="K17" s="476">
        <f t="shared" si="2"/>
        <v>13</v>
      </c>
      <c r="L17" s="476">
        <f t="shared" si="2"/>
        <v>0</v>
      </c>
      <c r="M17" s="476">
        <f t="shared" si="2"/>
        <v>6</v>
      </c>
      <c r="N17" s="476">
        <f t="shared" si="2"/>
        <v>2</v>
      </c>
      <c r="O17" s="476">
        <f t="shared" si="2"/>
        <v>0</v>
      </c>
      <c r="P17" s="476" t="s">
        <v>106</v>
      </c>
      <c r="Q17" s="476" t="s">
        <v>106</v>
      </c>
      <c r="R17" s="476">
        <f>SUM(R8:R11)</f>
        <v>12</v>
      </c>
      <c r="S17" s="473"/>
      <c r="T17" s="473"/>
      <c r="U17" s="473"/>
      <c r="V17" s="473"/>
      <c r="W17" s="474"/>
      <c r="X17" s="475" t="s">
        <v>722</v>
      </c>
      <c r="Y17" s="476">
        <f t="shared" ref="Y17:AN17" si="3">SUM(Y8:Y11)</f>
        <v>4</v>
      </c>
      <c r="Z17" s="476">
        <f t="shared" si="3"/>
        <v>2</v>
      </c>
      <c r="AA17" s="476">
        <f t="shared" si="3"/>
        <v>0</v>
      </c>
      <c r="AB17" s="476">
        <f t="shared" si="3"/>
        <v>2</v>
      </c>
      <c r="AC17" s="477">
        <f t="shared" si="3"/>
        <v>2</v>
      </c>
      <c r="AD17" s="477">
        <f t="shared" si="3"/>
        <v>2</v>
      </c>
      <c r="AE17" s="477">
        <f t="shared" si="3"/>
        <v>0</v>
      </c>
      <c r="AF17" s="477">
        <f t="shared" si="3"/>
        <v>0</v>
      </c>
      <c r="AG17" s="478">
        <f t="shared" si="3"/>
        <v>2</v>
      </c>
      <c r="AH17" s="478">
        <f t="shared" si="3"/>
        <v>0</v>
      </c>
      <c r="AI17" s="478">
        <f t="shared" si="3"/>
        <v>0</v>
      </c>
      <c r="AJ17" s="478">
        <f t="shared" si="3"/>
        <v>2</v>
      </c>
      <c r="AK17" s="476">
        <f t="shared" si="3"/>
        <v>0</v>
      </c>
      <c r="AL17" s="476">
        <f t="shared" si="3"/>
        <v>0</v>
      </c>
      <c r="AM17" s="476">
        <f t="shared" si="3"/>
        <v>0</v>
      </c>
      <c r="AN17" s="476">
        <f t="shared" si="3"/>
        <v>0</v>
      </c>
    </row>
    <row r="18" spans="1:40" ht="14.95" customHeight="1" thickBot="1" x14ac:dyDescent="0.3">
      <c r="A18" s="266"/>
      <c r="B18" s="267"/>
      <c r="C18" s="940" t="s">
        <v>625</v>
      </c>
      <c r="D18" s="941"/>
      <c r="E18" s="942"/>
      <c r="F18" s="708">
        <f t="shared" ref="F18:R18" si="4">SUM(F12:F15)</f>
        <v>114</v>
      </c>
      <c r="G18" s="708">
        <f t="shared" si="4"/>
        <v>181</v>
      </c>
      <c r="H18" s="708">
        <f t="shared" si="4"/>
        <v>2</v>
      </c>
      <c r="I18" s="708">
        <f t="shared" si="4"/>
        <v>0</v>
      </c>
      <c r="J18" s="708">
        <f t="shared" si="4"/>
        <v>15</v>
      </c>
      <c r="K18" s="708">
        <f t="shared" si="4"/>
        <v>15</v>
      </c>
      <c r="L18" s="708">
        <f t="shared" si="4"/>
        <v>0</v>
      </c>
      <c r="M18" s="708">
        <f t="shared" si="4"/>
        <v>3</v>
      </c>
      <c r="N18" s="708">
        <f t="shared" si="4"/>
        <v>2</v>
      </c>
      <c r="O18" s="708">
        <f t="shared" si="4"/>
        <v>0</v>
      </c>
      <c r="P18" s="708">
        <f t="shared" si="4"/>
        <v>2</v>
      </c>
      <c r="Q18" s="708">
        <f t="shared" si="4"/>
        <v>0</v>
      </c>
      <c r="R18" s="708">
        <f t="shared" si="4"/>
        <v>25</v>
      </c>
      <c r="S18" s="709"/>
      <c r="T18" s="709"/>
      <c r="U18" s="709"/>
      <c r="V18" s="709"/>
      <c r="W18" s="710"/>
      <c r="X18" s="711" t="s">
        <v>625</v>
      </c>
      <c r="Y18" s="712">
        <f t="shared" ref="Y18:AN18" si="5">SUM(Y12:Y15)</f>
        <v>4</v>
      </c>
      <c r="Z18" s="708">
        <f t="shared" si="5"/>
        <v>2</v>
      </c>
      <c r="AA18" s="708">
        <f t="shared" si="5"/>
        <v>0</v>
      </c>
      <c r="AB18" s="708">
        <f t="shared" si="5"/>
        <v>2</v>
      </c>
      <c r="AC18" s="713">
        <f t="shared" si="5"/>
        <v>0</v>
      </c>
      <c r="AD18" s="713">
        <f t="shared" si="5"/>
        <v>0</v>
      </c>
      <c r="AE18" s="713">
        <f t="shared" si="5"/>
        <v>0</v>
      </c>
      <c r="AF18" s="713">
        <f t="shared" si="5"/>
        <v>0</v>
      </c>
      <c r="AG18" s="714">
        <f t="shared" si="5"/>
        <v>1</v>
      </c>
      <c r="AH18" s="714">
        <f t="shared" si="5"/>
        <v>0</v>
      </c>
      <c r="AI18" s="714">
        <f t="shared" si="5"/>
        <v>0</v>
      </c>
      <c r="AJ18" s="714">
        <f t="shared" si="5"/>
        <v>1</v>
      </c>
      <c r="AK18" s="708">
        <f t="shared" si="5"/>
        <v>3</v>
      </c>
      <c r="AL18" s="708">
        <f t="shared" si="5"/>
        <v>2</v>
      </c>
      <c r="AM18" s="708">
        <f t="shared" si="5"/>
        <v>0</v>
      </c>
      <c r="AN18" s="708">
        <f t="shared" si="5"/>
        <v>1</v>
      </c>
    </row>
    <row r="19" spans="1:40" ht="14.95" customHeight="1" thickBot="1" x14ac:dyDescent="0.3">
      <c r="A19" s="266"/>
      <c r="B19" s="267"/>
      <c r="C19" s="940" t="s">
        <v>626</v>
      </c>
      <c r="D19" s="943"/>
      <c r="E19" s="944"/>
      <c r="F19" s="708">
        <v>0</v>
      </c>
      <c r="G19" s="708">
        <v>0</v>
      </c>
      <c r="H19" s="708">
        <v>0</v>
      </c>
      <c r="I19" s="708">
        <v>0</v>
      </c>
      <c r="J19" s="708">
        <v>0</v>
      </c>
      <c r="K19" s="708">
        <v>0</v>
      </c>
      <c r="L19" s="708">
        <v>0</v>
      </c>
      <c r="M19" s="708">
        <v>0</v>
      </c>
      <c r="N19" s="708">
        <v>0</v>
      </c>
      <c r="O19" s="708">
        <v>0</v>
      </c>
      <c r="P19" s="708">
        <v>0</v>
      </c>
      <c r="Q19" s="708">
        <v>0</v>
      </c>
      <c r="R19" s="708">
        <v>0</v>
      </c>
      <c r="S19" s="709"/>
      <c r="T19" s="709"/>
      <c r="U19" s="709"/>
      <c r="V19" s="709"/>
      <c r="W19" s="710"/>
      <c r="X19" s="711" t="s">
        <v>626</v>
      </c>
      <c r="Y19" s="712">
        <v>0</v>
      </c>
      <c r="Z19" s="708">
        <v>0</v>
      </c>
      <c r="AA19" s="708">
        <v>0</v>
      </c>
      <c r="AB19" s="708">
        <v>0</v>
      </c>
      <c r="AC19" s="713">
        <v>0</v>
      </c>
      <c r="AD19" s="713">
        <v>0</v>
      </c>
      <c r="AE19" s="713">
        <v>0</v>
      </c>
      <c r="AF19" s="713">
        <v>0</v>
      </c>
      <c r="AG19" s="714">
        <v>0</v>
      </c>
      <c r="AH19" s="714">
        <v>0</v>
      </c>
      <c r="AI19" s="714">
        <v>0</v>
      </c>
      <c r="AJ19" s="714">
        <v>0</v>
      </c>
      <c r="AK19" s="708">
        <v>0</v>
      </c>
      <c r="AL19" s="708">
        <v>0</v>
      </c>
      <c r="AM19" s="708">
        <v>0</v>
      </c>
      <c r="AN19" s="708">
        <v>0</v>
      </c>
    </row>
    <row r="20" spans="1:40" ht="14.95" customHeight="1" thickBot="1" x14ac:dyDescent="0.3">
      <c r="A20" s="266"/>
      <c r="B20" s="267"/>
      <c r="C20" s="940" t="s">
        <v>627</v>
      </c>
      <c r="D20" s="943"/>
      <c r="E20" s="944"/>
      <c r="F20" s="708">
        <f>SUM(F18+F19)</f>
        <v>114</v>
      </c>
      <c r="G20" s="708">
        <f t="shared" ref="G20:R20" si="6">SUM(G18+G19)</f>
        <v>181</v>
      </c>
      <c r="H20" s="708">
        <f t="shared" si="6"/>
        <v>2</v>
      </c>
      <c r="I20" s="708">
        <f t="shared" si="6"/>
        <v>0</v>
      </c>
      <c r="J20" s="708">
        <f t="shared" si="6"/>
        <v>15</v>
      </c>
      <c r="K20" s="708">
        <f t="shared" si="6"/>
        <v>15</v>
      </c>
      <c r="L20" s="708">
        <f t="shared" si="6"/>
        <v>0</v>
      </c>
      <c r="M20" s="708">
        <f t="shared" si="6"/>
        <v>3</v>
      </c>
      <c r="N20" s="708">
        <f t="shared" si="6"/>
        <v>2</v>
      </c>
      <c r="O20" s="708">
        <f t="shared" si="6"/>
        <v>0</v>
      </c>
      <c r="P20" s="708">
        <f t="shared" si="6"/>
        <v>2</v>
      </c>
      <c r="Q20" s="708">
        <f t="shared" si="6"/>
        <v>0</v>
      </c>
      <c r="R20" s="708">
        <f t="shared" si="6"/>
        <v>25</v>
      </c>
      <c r="S20" s="709"/>
      <c r="T20" s="709"/>
      <c r="U20" s="709"/>
      <c r="V20" s="709"/>
      <c r="W20" s="710"/>
      <c r="X20" s="711" t="s">
        <v>627</v>
      </c>
      <c r="Y20" s="712">
        <f t="shared" ref="Y20:AN20" si="7">SUM(Y18+Y19)</f>
        <v>4</v>
      </c>
      <c r="Z20" s="708">
        <f t="shared" si="7"/>
        <v>2</v>
      </c>
      <c r="AA20" s="708">
        <f t="shared" si="7"/>
        <v>0</v>
      </c>
      <c r="AB20" s="708">
        <f t="shared" si="7"/>
        <v>2</v>
      </c>
      <c r="AC20" s="713">
        <f t="shared" si="7"/>
        <v>0</v>
      </c>
      <c r="AD20" s="713">
        <f t="shared" si="7"/>
        <v>0</v>
      </c>
      <c r="AE20" s="713">
        <f t="shared" si="7"/>
        <v>0</v>
      </c>
      <c r="AF20" s="713">
        <f t="shared" si="7"/>
        <v>0</v>
      </c>
      <c r="AG20" s="714">
        <f t="shared" si="7"/>
        <v>1</v>
      </c>
      <c r="AH20" s="714">
        <f t="shared" si="7"/>
        <v>0</v>
      </c>
      <c r="AI20" s="714">
        <f t="shared" si="7"/>
        <v>0</v>
      </c>
      <c r="AJ20" s="714">
        <f t="shared" si="7"/>
        <v>1</v>
      </c>
      <c r="AK20" s="708">
        <f t="shared" si="7"/>
        <v>3</v>
      </c>
      <c r="AL20" s="708">
        <f t="shared" si="7"/>
        <v>2</v>
      </c>
      <c r="AM20" s="708">
        <f t="shared" si="7"/>
        <v>0</v>
      </c>
      <c r="AN20" s="708">
        <f t="shared" si="7"/>
        <v>1</v>
      </c>
    </row>
    <row r="21" spans="1:40" ht="14.95" customHeight="1" thickBot="1" x14ac:dyDescent="0.3">
      <c r="A21" s="266"/>
      <c r="B21" s="267"/>
      <c r="C21" s="946" t="s">
        <v>107</v>
      </c>
      <c r="D21" s="947"/>
      <c r="E21" s="948"/>
      <c r="F21" s="343">
        <f t="shared" ref="F21:R21" si="8">SUM(F3:F15)</f>
        <v>332</v>
      </c>
      <c r="G21" s="343">
        <f t="shared" si="8"/>
        <v>416</v>
      </c>
      <c r="H21" s="343">
        <f t="shared" si="8"/>
        <v>2</v>
      </c>
      <c r="I21" s="343">
        <f t="shared" si="8"/>
        <v>1</v>
      </c>
      <c r="J21" s="343">
        <f t="shared" si="8"/>
        <v>41</v>
      </c>
      <c r="K21" s="343">
        <f t="shared" si="8"/>
        <v>34</v>
      </c>
      <c r="L21" s="343">
        <f t="shared" si="8"/>
        <v>0</v>
      </c>
      <c r="M21" s="343">
        <f t="shared" si="8"/>
        <v>19</v>
      </c>
      <c r="N21" s="343">
        <f t="shared" si="8"/>
        <v>9</v>
      </c>
      <c r="O21" s="343">
        <f t="shared" si="8"/>
        <v>0</v>
      </c>
      <c r="P21" s="343">
        <f t="shared" si="8"/>
        <v>6</v>
      </c>
      <c r="Q21" s="343">
        <f t="shared" si="8"/>
        <v>1</v>
      </c>
      <c r="R21" s="343">
        <f t="shared" si="8"/>
        <v>59</v>
      </c>
      <c r="S21" s="340"/>
      <c r="T21" s="340"/>
      <c r="U21" s="340"/>
      <c r="V21" s="340"/>
      <c r="W21" s="13"/>
      <c r="X21" s="364" t="s">
        <v>107</v>
      </c>
      <c r="Y21" s="343">
        <f t="shared" ref="Y21:AN21" si="9">SUM(Y3:Y15)</f>
        <v>13</v>
      </c>
      <c r="Z21" s="343">
        <f t="shared" si="9"/>
        <v>4</v>
      </c>
      <c r="AA21" s="343">
        <f t="shared" si="9"/>
        <v>0</v>
      </c>
      <c r="AB21" s="343">
        <f t="shared" si="9"/>
        <v>9</v>
      </c>
      <c r="AC21" s="341">
        <f t="shared" si="9"/>
        <v>5</v>
      </c>
      <c r="AD21" s="341">
        <f t="shared" si="9"/>
        <v>2</v>
      </c>
      <c r="AE21" s="341">
        <f t="shared" si="9"/>
        <v>0</v>
      </c>
      <c r="AF21" s="341">
        <f t="shared" si="9"/>
        <v>3</v>
      </c>
      <c r="AG21" s="342">
        <f t="shared" si="9"/>
        <v>5</v>
      </c>
      <c r="AH21" s="342">
        <f t="shared" si="9"/>
        <v>0</v>
      </c>
      <c r="AI21" s="342">
        <f t="shared" si="9"/>
        <v>0</v>
      </c>
      <c r="AJ21" s="342">
        <f t="shared" si="9"/>
        <v>5</v>
      </c>
      <c r="AK21" s="343">
        <f t="shared" si="9"/>
        <v>3</v>
      </c>
      <c r="AL21" s="343">
        <f t="shared" si="9"/>
        <v>2</v>
      </c>
      <c r="AM21" s="343">
        <f t="shared" si="9"/>
        <v>0</v>
      </c>
      <c r="AN21" s="343">
        <f t="shared" si="9"/>
        <v>1</v>
      </c>
    </row>
    <row r="22" spans="1:40" ht="14.95" customHeight="1" x14ac:dyDescent="0.25">
      <c r="A22" s="965" t="s">
        <v>58</v>
      </c>
      <c r="B22" s="886"/>
      <c r="C22" s="886"/>
      <c r="D22" s="886"/>
      <c r="E22" s="886"/>
      <c r="F22" s="886"/>
      <c r="G22" s="886"/>
      <c r="H22" s="886"/>
      <c r="I22" s="886"/>
      <c r="J22" s="886"/>
      <c r="K22" s="886"/>
      <c r="L22" s="886"/>
      <c r="M22" s="886"/>
      <c r="N22" s="886"/>
      <c r="O22" s="886"/>
      <c r="P22" s="886"/>
      <c r="Q22" s="886"/>
      <c r="R22" s="886"/>
      <c r="S22" s="886"/>
      <c r="T22" s="886"/>
      <c r="U22" s="886"/>
      <c r="V22" s="886"/>
      <c r="W22" s="886"/>
      <c r="X22" s="886"/>
      <c r="Y22" s="886"/>
      <c r="Z22" s="886"/>
      <c r="AA22" s="886"/>
      <c r="AB22" s="886"/>
      <c r="AC22" s="886"/>
      <c r="AD22" s="886"/>
      <c r="AE22" s="886"/>
      <c r="AF22" s="886"/>
      <c r="AG22" s="886"/>
      <c r="AH22" s="886"/>
      <c r="AI22" s="886"/>
      <c r="AJ22" s="886"/>
      <c r="AK22" s="886"/>
      <c r="AL22" s="886"/>
      <c r="AM22" s="886"/>
      <c r="AN22" s="886"/>
    </row>
    <row r="23" spans="1:40" ht="14.95" customHeight="1" x14ac:dyDescent="0.25">
      <c r="A23" t="s">
        <v>240</v>
      </c>
      <c r="F23" s="14"/>
      <c r="G23" s="14"/>
      <c r="H23" s="13"/>
      <c r="I23" s="14"/>
      <c r="J23" s="14"/>
      <c r="K23" s="14"/>
      <c r="L23" s="14"/>
      <c r="M23" s="14"/>
      <c r="N23" s="14"/>
      <c r="O23" s="14"/>
      <c r="P23" s="14"/>
      <c r="Q23" s="14"/>
      <c r="R23" s="14"/>
    </row>
    <row r="24" spans="1:40" ht="14.95" customHeight="1" x14ac:dyDescent="0.25">
      <c r="A24" t="s">
        <v>590</v>
      </c>
      <c r="F24" s="14"/>
      <c r="G24" s="14"/>
      <c r="H24" s="13"/>
      <c r="I24" s="14"/>
      <c r="J24" s="14"/>
      <c r="K24" s="14"/>
      <c r="L24" s="14"/>
      <c r="M24" s="14"/>
      <c r="N24" s="14"/>
      <c r="O24" s="14"/>
      <c r="P24" s="14"/>
      <c r="Q24" s="14"/>
      <c r="R24" s="14"/>
    </row>
    <row r="25" spans="1:40" ht="14.95" customHeight="1" x14ac:dyDescent="0.25">
      <c r="A25" t="s">
        <v>650</v>
      </c>
      <c r="F25" s="14"/>
      <c r="G25" s="14"/>
      <c r="H25" s="13"/>
      <c r="I25" s="14"/>
      <c r="J25" s="14"/>
      <c r="K25" s="14"/>
      <c r="L25" s="14"/>
      <c r="M25" s="14"/>
      <c r="N25" s="14"/>
      <c r="O25" s="14"/>
      <c r="P25" s="14"/>
      <c r="Q25" s="14"/>
      <c r="R25" s="14"/>
    </row>
    <row r="26" spans="1:40" ht="14.95" customHeight="1" x14ac:dyDescent="0.25">
      <c r="A26" s="965" t="s">
        <v>651</v>
      </c>
      <c r="B26" s="886"/>
      <c r="C26" s="886"/>
      <c r="D26" s="886"/>
      <c r="E26" s="886"/>
      <c r="F26" s="886"/>
      <c r="G26" s="886"/>
      <c r="H26" s="886"/>
      <c r="I26" s="886"/>
      <c r="J26" s="886"/>
      <c r="K26" s="886"/>
      <c r="L26" s="886"/>
      <c r="M26" s="886"/>
      <c r="N26" s="886"/>
      <c r="O26" s="886"/>
      <c r="P26" s="886"/>
      <c r="Q26" s="886"/>
      <c r="R26" s="886"/>
      <c r="S26" s="886"/>
      <c r="T26" s="886"/>
      <c r="U26" s="886"/>
      <c r="V26" s="886"/>
      <c r="W26" s="886"/>
      <c r="X26" s="886"/>
      <c r="Y26" s="886"/>
      <c r="Z26" s="886"/>
      <c r="AA26" s="886"/>
      <c r="AB26" s="886"/>
      <c r="AC26" s="886"/>
      <c r="AD26" s="886"/>
      <c r="AE26" s="886"/>
      <c r="AF26" s="886"/>
      <c r="AG26" s="886"/>
      <c r="AH26" s="886"/>
      <c r="AI26" s="886"/>
      <c r="AJ26" s="886"/>
      <c r="AK26" s="886"/>
      <c r="AL26" s="886"/>
      <c r="AM26" s="886"/>
      <c r="AN26" s="886"/>
    </row>
    <row r="27" spans="1:40" ht="14.95" customHeight="1" x14ac:dyDescent="0.25">
      <c r="A27" s="965" t="s">
        <v>652</v>
      </c>
      <c r="B27" s="886"/>
      <c r="C27" s="886"/>
      <c r="D27" s="886"/>
      <c r="E27" s="886"/>
      <c r="F27" s="886"/>
      <c r="G27" s="886"/>
      <c r="H27" s="886"/>
      <c r="I27" s="886"/>
      <c r="J27" s="886"/>
      <c r="K27" s="886"/>
      <c r="L27" s="886"/>
      <c r="M27" s="886"/>
      <c r="N27" s="886"/>
      <c r="O27" s="886"/>
      <c r="P27" s="886"/>
      <c r="Q27" s="886"/>
      <c r="R27" s="886"/>
    </row>
    <row r="28" spans="1:40" ht="14.95" customHeight="1" x14ac:dyDescent="0.25">
      <c r="A28" s="965" t="s">
        <v>642</v>
      </c>
      <c r="B28" s="886"/>
      <c r="C28" s="886"/>
      <c r="D28" s="886"/>
      <c r="E28" s="886"/>
      <c r="F28" s="886"/>
      <c r="G28" s="886"/>
      <c r="H28" s="886"/>
      <c r="I28" s="886"/>
      <c r="J28" s="886"/>
      <c r="K28" s="886"/>
      <c r="L28" s="886"/>
      <c r="M28" s="886"/>
      <c r="N28" s="886"/>
      <c r="O28" s="886"/>
      <c r="P28" s="886"/>
      <c r="Q28" s="886"/>
      <c r="R28" s="886"/>
      <c r="S28" s="886"/>
      <c r="T28" s="886"/>
      <c r="U28" s="886"/>
      <c r="V28" s="886"/>
      <c r="W28" s="886"/>
      <c r="X28" s="886"/>
      <c r="Y28" s="886"/>
      <c r="Z28" s="886"/>
      <c r="AA28" s="886"/>
      <c r="AB28" s="886"/>
      <c r="AC28" s="886"/>
      <c r="AD28" s="886"/>
      <c r="AE28" s="886"/>
      <c r="AF28" s="886"/>
      <c r="AG28" s="886"/>
      <c r="AH28" s="886"/>
      <c r="AI28" s="886"/>
      <c r="AJ28" s="886"/>
      <c r="AK28" s="886"/>
      <c r="AL28" s="886"/>
      <c r="AM28" s="886"/>
      <c r="AN28" s="886"/>
    </row>
    <row r="29" spans="1:40" ht="14.95" customHeight="1" x14ac:dyDescent="0.25">
      <c r="A29" t="s">
        <v>276</v>
      </c>
    </row>
    <row r="30" spans="1:40" ht="14.95" customHeight="1" x14ac:dyDescent="0.25">
      <c r="A30" s="575"/>
      <c r="B30" t="s">
        <v>44</v>
      </c>
    </row>
    <row r="31" spans="1:40" ht="14.95" customHeight="1" x14ac:dyDescent="0.25">
      <c r="A31" s="576"/>
      <c r="B31" t="s">
        <v>42</v>
      </c>
    </row>
    <row r="32" spans="1:40" ht="14.95" customHeight="1" x14ac:dyDescent="0.25">
      <c r="A32" s="577"/>
      <c r="B32" t="s">
        <v>43</v>
      </c>
    </row>
    <row r="33" spans="1:1" ht="14.95" customHeight="1" x14ac:dyDescent="0.25">
      <c r="A33" s="371" t="s">
        <v>28</v>
      </c>
    </row>
  </sheetData>
  <mergeCells count="20">
    <mergeCell ref="H1:I1"/>
    <mergeCell ref="C18:E18"/>
    <mergeCell ref="C19:E19"/>
    <mergeCell ref="C20:E20"/>
    <mergeCell ref="A28:AN28"/>
    <mergeCell ref="J1:M1"/>
    <mergeCell ref="A22:AN22"/>
    <mergeCell ref="N1:O1"/>
    <mergeCell ref="C17:E17"/>
    <mergeCell ref="A27:R27"/>
    <mergeCell ref="A26:AN26"/>
    <mergeCell ref="Y1:AB1"/>
    <mergeCell ref="AC1:AF1"/>
    <mergeCell ref="AG1:AJ1"/>
    <mergeCell ref="AK1:AN1"/>
    <mergeCell ref="C16:E16"/>
    <mergeCell ref="C21:E21"/>
    <mergeCell ref="P1:R1"/>
    <mergeCell ref="A1:C1"/>
    <mergeCell ref="E1:G1"/>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T30"/>
  <sheetViews>
    <sheetView zoomScaleNormal="100" workbookViewId="0">
      <pane ySplit="2" topLeftCell="A3" activePane="bottomLeft" state="frozen"/>
      <selection pane="bottomLeft" activeCell="W5" sqref="W5"/>
    </sheetView>
  </sheetViews>
  <sheetFormatPr defaultRowHeight="14.3" x14ac:dyDescent="0.25"/>
  <cols>
    <col min="1" max="1" width="7.5" customWidth="1"/>
    <col min="2" max="2" width="5.125" bestFit="1" customWidth="1"/>
    <col min="3" max="3" width="11.5" customWidth="1"/>
    <col min="4" max="4" width="4.875" bestFit="1" customWidth="1"/>
    <col min="5" max="5" width="3.625" customWidth="1"/>
    <col min="6" max="7" width="4" bestFit="1" customWidth="1"/>
    <col min="8" max="18" width="3.625" customWidth="1"/>
    <col min="19" max="20" width="6.375" customWidth="1"/>
    <col min="21" max="21" width="30.5" customWidth="1"/>
    <col min="22" max="22" width="23.5" bestFit="1" customWidth="1"/>
    <col min="23" max="24" width="23.625" customWidth="1"/>
    <col min="25" max="40" width="3.625" customWidth="1"/>
    <col min="42" max="42" width="13.125" bestFit="1" customWidth="1"/>
    <col min="45" max="45" width="13.125" bestFit="1" customWidth="1"/>
  </cols>
  <sheetData>
    <row r="1" spans="1:46" ht="14.95" customHeight="1" thickBot="1" x14ac:dyDescent="0.3">
      <c r="A1" s="1073" t="s">
        <v>210</v>
      </c>
      <c r="B1" s="1074"/>
      <c r="C1" s="1074"/>
      <c r="D1" s="190"/>
      <c r="E1" s="1075" t="s">
        <v>24</v>
      </c>
      <c r="F1" s="1076"/>
      <c r="G1" s="1077"/>
      <c r="H1" s="1075" t="s">
        <v>23</v>
      </c>
      <c r="I1" s="1077"/>
      <c r="J1" s="1070" t="s">
        <v>6</v>
      </c>
      <c r="K1" s="1071"/>
      <c r="L1" s="1071"/>
      <c r="M1" s="1072"/>
      <c r="N1" s="1070" t="s">
        <v>7</v>
      </c>
      <c r="O1" s="1072"/>
      <c r="P1" s="1070" t="s">
        <v>25</v>
      </c>
      <c r="Q1" s="1071"/>
      <c r="R1" s="1072"/>
      <c r="S1" s="349" t="s">
        <v>8</v>
      </c>
      <c r="T1" s="349" t="s">
        <v>9</v>
      </c>
      <c r="U1" s="192" t="s">
        <v>10</v>
      </c>
      <c r="V1" s="191" t="s">
        <v>11</v>
      </c>
      <c r="W1" s="193" t="s">
        <v>26</v>
      </c>
      <c r="X1" s="194" t="s">
        <v>27</v>
      </c>
      <c r="Y1" s="1069" t="s">
        <v>20</v>
      </c>
      <c r="Z1" s="963"/>
      <c r="AA1" s="963"/>
      <c r="AB1" s="964"/>
      <c r="AC1" s="1069" t="s">
        <v>61</v>
      </c>
      <c r="AD1" s="963"/>
      <c r="AE1" s="963"/>
      <c r="AF1" s="964"/>
      <c r="AG1" s="1069" t="s">
        <v>62</v>
      </c>
      <c r="AH1" s="963"/>
      <c r="AI1" s="963"/>
      <c r="AJ1" s="964"/>
      <c r="AK1" s="1069" t="s">
        <v>63</v>
      </c>
      <c r="AL1" s="963"/>
      <c r="AM1" s="963"/>
      <c r="AN1" s="964"/>
      <c r="AP1" s="327" t="s">
        <v>149</v>
      </c>
      <c r="AQ1" s="322"/>
      <c r="AR1" s="322"/>
      <c r="AS1" s="327" t="s">
        <v>149</v>
      </c>
    </row>
    <row r="2" spans="1:46" ht="14.95" customHeight="1" thickBot="1" x14ac:dyDescent="0.35">
      <c r="A2" s="195" t="s">
        <v>19</v>
      </c>
      <c r="B2" s="196" t="s">
        <v>18</v>
      </c>
      <c r="C2" s="197" t="s">
        <v>17</v>
      </c>
      <c r="D2" s="197" t="s">
        <v>41</v>
      </c>
      <c r="E2" s="198" t="s">
        <v>16</v>
      </c>
      <c r="F2" s="198" t="s">
        <v>4</v>
      </c>
      <c r="G2" s="198" t="s">
        <v>5</v>
      </c>
      <c r="H2" s="199" t="s">
        <v>12</v>
      </c>
      <c r="I2" s="199" t="s">
        <v>3</v>
      </c>
      <c r="J2" s="199" t="s">
        <v>12</v>
      </c>
      <c r="K2" s="199" t="s">
        <v>13</v>
      </c>
      <c r="L2" s="199" t="s">
        <v>2</v>
      </c>
      <c r="M2" s="199" t="s">
        <v>14</v>
      </c>
      <c r="N2" s="199" t="s">
        <v>15</v>
      </c>
      <c r="O2" s="199" t="s">
        <v>16</v>
      </c>
      <c r="P2" s="199" t="s">
        <v>21</v>
      </c>
      <c r="Q2" s="199" t="s">
        <v>22</v>
      </c>
      <c r="R2" s="199" t="s">
        <v>12</v>
      </c>
      <c r="S2" s="200"/>
      <c r="T2" s="201"/>
      <c r="U2" s="281"/>
      <c r="V2" s="200"/>
      <c r="W2" s="202"/>
      <c r="X2" s="203"/>
      <c r="Y2" s="344" t="s">
        <v>0</v>
      </c>
      <c r="Z2" s="344" t="s">
        <v>1</v>
      </c>
      <c r="AA2" s="344" t="s">
        <v>2</v>
      </c>
      <c r="AB2" s="344" t="s">
        <v>3</v>
      </c>
      <c r="AC2" s="344" t="s">
        <v>0</v>
      </c>
      <c r="AD2" s="344" t="s">
        <v>1</v>
      </c>
      <c r="AE2" s="344" t="s">
        <v>2</v>
      </c>
      <c r="AF2" s="344" t="s">
        <v>3</v>
      </c>
      <c r="AG2" s="344" t="s">
        <v>0</v>
      </c>
      <c r="AH2" s="344" t="s">
        <v>1</v>
      </c>
      <c r="AI2" s="344" t="s">
        <v>2</v>
      </c>
      <c r="AJ2" s="344" t="s">
        <v>3</v>
      </c>
      <c r="AK2" s="344" t="s">
        <v>0</v>
      </c>
      <c r="AL2" s="344" t="s">
        <v>1</v>
      </c>
      <c r="AM2" s="344" t="s">
        <v>2</v>
      </c>
      <c r="AN2" s="344" t="s">
        <v>3</v>
      </c>
      <c r="AP2" s="305" t="s">
        <v>107</v>
      </c>
      <c r="AQ2" s="189"/>
      <c r="AS2" s="336" t="s">
        <v>128</v>
      </c>
      <c r="AT2" s="189"/>
    </row>
    <row r="3" spans="1:46" ht="14.95" customHeight="1" thickBot="1" x14ac:dyDescent="0.3">
      <c r="A3" s="423" t="s">
        <v>598</v>
      </c>
      <c r="B3" s="494" t="s">
        <v>45</v>
      </c>
      <c r="C3" s="424" t="s">
        <v>119</v>
      </c>
      <c r="D3" s="424" t="s">
        <v>222</v>
      </c>
      <c r="E3" s="425" t="s">
        <v>3</v>
      </c>
      <c r="F3" s="425">
        <v>22</v>
      </c>
      <c r="G3" s="425">
        <v>24</v>
      </c>
      <c r="H3" s="425" t="s">
        <v>106</v>
      </c>
      <c r="I3" s="425" t="s">
        <v>106</v>
      </c>
      <c r="J3" s="425">
        <v>1</v>
      </c>
      <c r="K3" s="425">
        <v>1</v>
      </c>
      <c r="L3" s="425">
        <v>0</v>
      </c>
      <c r="M3" s="425">
        <v>5</v>
      </c>
      <c r="N3" s="425">
        <v>0</v>
      </c>
      <c r="O3" s="425">
        <v>1</v>
      </c>
      <c r="P3" s="425" t="s">
        <v>106</v>
      </c>
      <c r="Q3" s="425" t="s">
        <v>106</v>
      </c>
      <c r="R3" s="425">
        <v>3</v>
      </c>
      <c r="S3" s="426">
        <v>22063</v>
      </c>
      <c r="T3" s="614" t="s">
        <v>580</v>
      </c>
      <c r="U3" s="428" t="s">
        <v>364</v>
      </c>
      <c r="V3" s="426" t="s">
        <v>363</v>
      </c>
      <c r="W3" s="429" t="s">
        <v>281</v>
      </c>
      <c r="X3" s="430" t="s">
        <v>467</v>
      </c>
      <c r="Y3" s="431">
        <v>1</v>
      </c>
      <c r="Z3" s="431">
        <v>0</v>
      </c>
      <c r="AA3" s="431">
        <v>0</v>
      </c>
      <c r="AB3" s="432">
        <v>1</v>
      </c>
      <c r="AC3" s="431">
        <v>1</v>
      </c>
      <c r="AD3" s="431">
        <v>0</v>
      </c>
      <c r="AE3" s="431">
        <v>0</v>
      </c>
      <c r="AF3" s="431">
        <v>1</v>
      </c>
      <c r="AG3" s="431">
        <v>0</v>
      </c>
      <c r="AH3" s="431">
        <v>0</v>
      </c>
      <c r="AI3" s="431">
        <v>0</v>
      </c>
      <c r="AJ3" s="431">
        <v>0</v>
      </c>
      <c r="AK3" s="431">
        <v>0</v>
      </c>
      <c r="AL3" s="431">
        <v>0</v>
      </c>
      <c r="AM3" s="431">
        <v>0</v>
      </c>
      <c r="AN3" s="431">
        <v>0</v>
      </c>
      <c r="AP3" s="316" t="s">
        <v>130</v>
      </c>
      <c r="AQ3" s="317">
        <f>Japanalltestshistplayed</f>
        <v>377</v>
      </c>
      <c r="AS3" s="316" t="s">
        <v>130</v>
      </c>
      <c r="AT3" s="317">
        <f>JapanRWChistplayed</f>
        <v>37</v>
      </c>
    </row>
    <row r="4" spans="1:46" ht="14.95" customHeight="1" thickBot="1" x14ac:dyDescent="0.35">
      <c r="A4" s="423" t="s">
        <v>332</v>
      </c>
      <c r="B4" s="494" t="s">
        <v>45</v>
      </c>
      <c r="C4" s="424" t="s">
        <v>118</v>
      </c>
      <c r="D4" s="424" t="s">
        <v>603</v>
      </c>
      <c r="E4" s="425" t="s">
        <v>1</v>
      </c>
      <c r="F4" s="425">
        <v>21</v>
      </c>
      <c r="G4" s="425">
        <v>16</v>
      </c>
      <c r="H4" s="425" t="s">
        <v>106</v>
      </c>
      <c r="I4" s="425" t="s">
        <v>106</v>
      </c>
      <c r="J4" s="425">
        <v>3</v>
      </c>
      <c r="K4" s="425">
        <v>0</v>
      </c>
      <c r="L4" s="425">
        <v>0</v>
      </c>
      <c r="M4" s="425">
        <v>2</v>
      </c>
      <c r="N4" s="425">
        <v>0</v>
      </c>
      <c r="O4" s="425">
        <v>0</v>
      </c>
      <c r="P4" s="425" t="s">
        <v>106</v>
      </c>
      <c r="Q4" s="425" t="s">
        <v>106</v>
      </c>
      <c r="R4" s="425">
        <v>2</v>
      </c>
      <c r="S4" s="426">
        <v>27346</v>
      </c>
      <c r="T4" s="438" t="s">
        <v>714</v>
      </c>
      <c r="U4" s="428" t="s">
        <v>278</v>
      </c>
      <c r="V4" s="426" t="s">
        <v>363</v>
      </c>
      <c r="W4" s="429" t="s">
        <v>430</v>
      </c>
      <c r="X4" s="430" t="s">
        <v>281</v>
      </c>
      <c r="Y4" s="431">
        <v>1</v>
      </c>
      <c r="Z4" s="431">
        <v>1</v>
      </c>
      <c r="AA4" s="431">
        <v>0</v>
      </c>
      <c r="AB4" s="432">
        <v>0</v>
      </c>
      <c r="AC4" s="431">
        <v>1</v>
      </c>
      <c r="AD4" s="431">
        <v>1</v>
      </c>
      <c r="AE4" s="431">
        <v>0</v>
      </c>
      <c r="AF4" s="432">
        <v>0</v>
      </c>
      <c r="AG4" s="431">
        <v>0</v>
      </c>
      <c r="AH4" s="431">
        <v>0</v>
      </c>
      <c r="AI4" s="431">
        <v>0</v>
      </c>
      <c r="AJ4" s="432">
        <v>0</v>
      </c>
      <c r="AK4" s="431">
        <v>0</v>
      </c>
      <c r="AL4" s="431">
        <v>0</v>
      </c>
      <c r="AM4" s="431">
        <v>0</v>
      </c>
      <c r="AN4" s="432">
        <v>0</v>
      </c>
      <c r="AP4" s="318" t="s">
        <v>131</v>
      </c>
      <c r="AQ4" s="319">
        <f>Japanalltestshistwon</f>
        <v>163</v>
      </c>
      <c r="AS4" s="318" t="s">
        <v>131</v>
      </c>
      <c r="AT4" s="319">
        <f>JapanRWChistwon</f>
        <v>10</v>
      </c>
    </row>
    <row r="5" spans="1:46" ht="14.95" customHeight="1" thickBot="1" x14ac:dyDescent="0.3">
      <c r="A5" s="423" t="s">
        <v>322</v>
      </c>
      <c r="B5" s="494" t="s">
        <v>45</v>
      </c>
      <c r="C5" s="424" t="s">
        <v>31</v>
      </c>
      <c r="D5" s="424" t="s">
        <v>599</v>
      </c>
      <c r="E5" s="425" t="s">
        <v>3</v>
      </c>
      <c r="F5" s="425">
        <v>12</v>
      </c>
      <c r="G5" s="425">
        <v>35</v>
      </c>
      <c r="H5" s="425" t="s">
        <v>106</v>
      </c>
      <c r="I5" s="425" t="s">
        <v>106</v>
      </c>
      <c r="J5" s="425">
        <v>2</v>
      </c>
      <c r="K5" s="425">
        <v>1</v>
      </c>
      <c r="L5" s="425">
        <v>0</v>
      </c>
      <c r="M5" s="425">
        <v>0</v>
      </c>
      <c r="N5" s="425">
        <v>0</v>
      </c>
      <c r="O5" s="425">
        <v>1</v>
      </c>
      <c r="P5" s="425" t="s">
        <v>106</v>
      </c>
      <c r="Q5" s="425" t="s">
        <v>106</v>
      </c>
      <c r="R5" s="425">
        <v>5</v>
      </c>
      <c r="S5" s="426">
        <v>27000</v>
      </c>
      <c r="T5" s="427" t="s">
        <v>740</v>
      </c>
      <c r="U5" s="428" t="s">
        <v>278</v>
      </c>
      <c r="V5" s="426" t="s">
        <v>270</v>
      </c>
      <c r="W5" s="429" t="s">
        <v>272</v>
      </c>
      <c r="X5" s="430" t="s">
        <v>741</v>
      </c>
      <c r="Y5" s="431">
        <v>1</v>
      </c>
      <c r="Z5" s="431">
        <v>0</v>
      </c>
      <c r="AA5" s="431">
        <v>0</v>
      </c>
      <c r="AB5" s="432">
        <v>1</v>
      </c>
      <c r="AC5" s="431">
        <v>1</v>
      </c>
      <c r="AD5" s="431">
        <v>0</v>
      </c>
      <c r="AE5" s="431">
        <v>0</v>
      </c>
      <c r="AF5" s="432">
        <v>1</v>
      </c>
      <c r="AG5" s="431">
        <v>0</v>
      </c>
      <c r="AH5" s="431">
        <v>0</v>
      </c>
      <c r="AI5" s="431">
        <v>0</v>
      </c>
      <c r="AJ5" s="432">
        <v>0</v>
      </c>
      <c r="AK5" s="431">
        <v>0</v>
      </c>
      <c r="AL5" s="431">
        <v>0</v>
      </c>
      <c r="AM5" s="431">
        <v>0</v>
      </c>
      <c r="AN5" s="432">
        <v>0</v>
      </c>
      <c r="AP5" s="318" t="s">
        <v>137</v>
      </c>
      <c r="AQ5" s="319">
        <f>Japanalltestshistdrawn</f>
        <v>10</v>
      </c>
      <c r="AS5" s="318" t="s">
        <v>137</v>
      </c>
      <c r="AT5" s="319">
        <f>JapanRWChistdrawn</f>
        <v>2</v>
      </c>
    </row>
    <row r="6" spans="1:46" ht="14.95" customHeight="1" thickBot="1" x14ac:dyDescent="0.3">
      <c r="A6" s="396" t="s">
        <v>325</v>
      </c>
      <c r="B6" s="411" t="s">
        <v>615</v>
      </c>
      <c r="C6" s="398" t="s">
        <v>33</v>
      </c>
      <c r="D6" s="398" t="s">
        <v>591</v>
      </c>
      <c r="E6" s="399" t="s">
        <v>3</v>
      </c>
      <c r="F6" s="399">
        <v>21</v>
      </c>
      <c r="G6" s="399">
        <v>42</v>
      </c>
      <c r="H6" s="399" t="s">
        <v>106</v>
      </c>
      <c r="I6" s="399" t="s">
        <v>106</v>
      </c>
      <c r="J6" s="399">
        <v>3</v>
      </c>
      <c r="K6" s="399">
        <v>0</v>
      </c>
      <c r="L6" s="399">
        <v>0</v>
      </c>
      <c r="M6" s="399">
        <v>2</v>
      </c>
      <c r="N6" s="399">
        <v>0</v>
      </c>
      <c r="O6" s="399">
        <v>0</v>
      </c>
      <c r="P6" s="399" t="s">
        <v>106</v>
      </c>
      <c r="Q6" s="399" t="s">
        <v>106</v>
      </c>
      <c r="R6" s="399">
        <v>5</v>
      </c>
      <c r="S6" s="406"/>
      <c r="T6" s="410" t="s">
        <v>804</v>
      </c>
      <c r="U6" s="408" t="s">
        <v>263</v>
      </c>
      <c r="V6" s="406" t="s">
        <v>435</v>
      </c>
      <c r="W6" s="401" t="s">
        <v>349</v>
      </c>
      <c r="X6" s="409" t="s">
        <v>751</v>
      </c>
      <c r="Y6" s="404">
        <v>1</v>
      </c>
      <c r="Z6" s="404">
        <v>0</v>
      </c>
      <c r="AA6" s="404">
        <v>0</v>
      </c>
      <c r="AB6" s="405">
        <v>1</v>
      </c>
      <c r="AC6" s="404">
        <v>0</v>
      </c>
      <c r="AD6" s="404">
        <v>0</v>
      </c>
      <c r="AE6" s="404">
        <v>0</v>
      </c>
      <c r="AF6" s="405">
        <v>0</v>
      </c>
      <c r="AG6" s="404">
        <v>1</v>
      </c>
      <c r="AH6" s="404">
        <v>0</v>
      </c>
      <c r="AI6" s="404">
        <v>0</v>
      </c>
      <c r="AJ6" s="405">
        <v>1</v>
      </c>
      <c r="AK6" s="404">
        <v>0</v>
      </c>
      <c r="AL6" s="404">
        <v>0</v>
      </c>
      <c r="AM6" s="404">
        <v>0</v>
      </c>
      <c r="AN6" s="405">
        <v>0</v>
      </c>
      <c r="AP6" s="318" t="s">
        <v>132</v>
      </c>
      <c r="AQ6" s="319">
        <f>Japanalltestshistlost</f>
        <v>204</v>
      </c>
      <c r="AS6" s="318" t="s">
        <v>132</v>
      </c>
      <c r="AT6" s="319">
        <f>JapanRWChistlost</f>
        <v>25</v>
      </c>
    </row>
    <row r="7" spans="1:46" ht="14.95" customHeight="1" thickBot="1" x14ac:dyDescent="0.35">
      <c r="A7" s="464" t="s">
        <v>359</v>
      </c>
      <c r="B7" s="573" t="s">
        <v>198</v>
      </c>
      <c r="C7" s="465" t="s">
        <v>192</v>
      </c>
      <c r="D7" s="465" t="s">
        <v>197</v>
      </c>
      <c r="E7" s="453" t="s">
        <v>1</v>
      </c>
      <c r="F7" s="453">
        <v>42</v>
      </c>
      <c r="G7" s="453">
        <v>12</v>
      </c>
      <c r="H7" s="453">
        <v>1</v>
      </c>
      <c r="I7" s="453">
        <v>0</v>
      </c>
      <c r="J7" s="453">
        <v>6</v>
      </c>
      <c r="K7" s="453">
        <v>6</v>
      </c>
      <c r="L7" s="453">
        <v>0</v>
      </c>
      <c r="M7" s="453">
        <v>0</v>
      </c>
      <c r="N7" s="453">
        <v>1</v>
      </c>
      <c r="O7" s="453">
        <v>0</v>
      </c>
      <c r="P7" s="453">
        <v>0</v>
      </c>
      <c r="Q7" s="453">
        <v>0</v>
      </c>
      <c r="R7" s="453">
        <v>2</v>
      </c>
      <c r="S7" s="466">
        <v>30187</v>
      </c>
      <c r="T7" s="469" t="s">
        <v>829</v>
      </c>
      <c r="U7" s="467" t="s">
        <v>280</v>
      </c>
      <c r="V7" s="466" t="s">
        <v>264</v>
      </c>
      <c r="W7" s="463" t="s">
        <v>263</v>
      </c>
      <c r="X7" s="468" t="s">
        <v>420</v>
      </c>
      <c r="Y7" s="364">
        <v>1</v>
      </c>
      <c r="Z7" s="364">
        <v>1</v>
      </c>
      <c r="AA7" s="364">
        <v>0</v>
      </c>
      <c r="AB7" s="454">
        <v>0</v>
      </c>
      <c r="AC7" s="364">
        <v>0</v>
      </c>
      <c r="AD7" s="364">
        <v>0</v>
      </c>
      <c r="AE7" s="364">
        <v>0</v>
      </c>
      <c r="AF7" s="454">
        <v>0</v>
      </c>
      <c r="AG7" s="364">
        <v>0</v>
      </c>
      <c r="AH7" s="364">
        <v>0</v>
      </c>
      <c r="AI7" s="364">
        <v>0</v>
      </c>
      <c r="AJ7" s="454">
        <v>0</v>
      </c>
      <c r="AK7" s="364">
        <v>1</v>
      </c>
      <c r="AL7" s="364">
        <v>1</v>
      </c>
      <c r="AM7" s="364">
        <v>0</v>
      </c>
      <c r="AN7" s="454">
        <v>0</v>
      </c>
      <c r="AP7" s="318" t="s">
        <v>138</v>
      </c>
      <c r="AQ7" s="319">
        <f>Japanalltestshistptsscored</f>
        <v>10522</v>
      </c>
      <c r="AS7" s="318" t="s">
        <v>138</v>
      </c>
      <c r="AT7" s="319">
        <f>JapanRWChistptsscored</f>
        <v>753</v>
      </c>
    </row>
    <row r="8" spans="1:46" ht="14.95" customHeight="1" thickBot="1" x14ac:dyDescent="0.3">
      <c r="A8" s="464" t="s">
        <v>327</v>
      </c>
      <c r="B8" s="573" t="s">
        <v>198</v>
      </c>
      <c r="C8" s="465" t="s">
        <v>30</v>
      </c>
      <c r="D8" s="465" t="s">
        <v>231</v>
      </c>
      <c r="E8" s="453" t="s">
        <v>3</v>
      </c>
      <c r="F8" s="453">
        <v>12</v>
      </c>
      <c r="G8" s="453">
        <v>34</v>
      </c>
      <c r="H8" s="453">
        <v>0</v>
      </c>
      <c r="I8" s="453">
        <v>0</v>
      </c>
      <c r="J8" s="453">
        <v>0</v>
      </c>
      <c r="K8" s="453">
        <v>0</v>
      </c>
      <c r="L8" s="453">
        <v>0</v>
      </c>
      <c r="M8" s="453">
        <v>4</v>
      </c>
      <c r="N8" s="453">
        <v>0</v>
      </c>
      <c r="O8" s="453">
        <v>0</v>
      </c>
      <c r="P8" s="453">
        <v>1</v>
      </c>
      <c r="Q8" s="453">
        <v>0</v>
      </c>
      <c r="R8" s="453">
        <v>4</v>
      </c>
      <c r="S8" s="466">
        <v>30500</v>
      </c>
      <c r="T8" s="558" t="s">
        <v>732</v>
      </c>
      <c r="U8" s="467" t="s">
        <v>402</v>
      </c>
      <c r="V8" s="466" t="s">
        <v>431</v>
      </c>
      <c r="W8" s="463" t="s">
        <v>280</v>
      </c>
      <c r="X8" s="468" t="s">
        <v>420</v>
      </c>
      <c r="Y8" s="364">
        <v>1</v>
      </c>
      <c r="Z8" s="364">
        <v>0</v>
      </c>
      <c r="AA8" s="364">
        <v>0</v>
      </c>
      <c r="AB8" s="454">
        <v>1</v>
      </c>
      <c r="AC8" s="364">
        <v>0</v>
      </c>
      <c r="AD8" s="364">
        <v>0</v>
      </c>
      <c r="AE8" s="364">
        <v>0</v>
      </c>
      <c r="AF8" s="454">
        <v>0</v>
      </c>
      <c r="AG8" s="364">
        <v>0</v>
      </c>
      <c r="AH8" s="364">
        <v>0</v>
      </c>
      <c r="AI8" s="364">
        <v>0</v>
      </c>
      <c r="AJ8" s="454">
        <v>0</v>
      </c>
      <c r="AK8" s="364">
        <v>1</v>
      </c>
      <c r="AL8" s="364">
        <v>0</v>
      </c>
      <c r="AM8" s="364">
        <v>0</v>
      </c>
      <c r="AN8" s="454">
        <v>1</v>
      </c>
      <c r="AP8" s="318" t="s">
        <v>139</v>
      </c>
      <c r="AQ8" s="319">
        <f>Japanalltestshistptscon</f>
        <v>10523</v>
      </c>
      <c r="AS8" s="318" t="s">
        <v>139</v>
      </c>
      <c r="AT8" s="319">
        <f>JapanRWChistptsagainst</f>
        <v>1454</v>
      </c>
    </row>
    <row r="9" spans="1:46" ht="14.95" customHeight="1" thickBot="1" x14ac:dyDescent="0.35">
      <c r="A9" s="464" t="s">
        <v>612</v>
      </c>
      <c r="B9" s="573" t="s">
        <v>198</v>
      </c>
      <c r="C9" s="465" t="s">
        <v>119</v>
      </c>
      <c r="D9" s="465" t="s">
        <v>197</v>
      </c>
      <c r="E9" s="453" t="s">
        <v>1</v>
      </c>
      <c r="F9" s="453">
        <v>28</v>
      </c>
      <c r="G9" s="453">
        <v>22</v>
      </c>
      <c r="H9" s="453">
        <v>0</v>
      </c>
      <c r="I9" s="453">
        <v>0</v>
      </c>
      <c r="J9" s="453">
        <v>3</v>
      </c>
      <c r="K9" s="453">
        <v>2</v>
      </c>
      <c r="L9" s="453">
        <v>0</v>
      </c>
      <c r="M9" s="453">
        <v>3</v>
      </c>
      <c r="N9" s="453">
        <v>1</v>
      </c>
      <c r="O9" s="453">
        <v>0</v>
      </c>
      <c r="P9" s="453">
        <v>0</v>
      </c>
      <c r="Q9" s="453">
        <v>1</v>
      </c>
      <c r="R9" s="453">
        <v>3</v>
      </c>
      <c r="S9" s="466">
        <v>30500</v>
      </c>
      <c r="T9" s="469" t="s">
        <v>803</v>
      </c>
      <c r="U9" s="467" t="s">
        <v>433</v>
      </c>
      <c r="V9" s="466" t="s">
        <v>413</v>
      </c>
      <c r="W9" s="463" t="s">
        <v>271</v>
      </c>
      <c r="X9" s="468" t="s">
        <v>414</v>
      </c>
      <c r="Y9" s="364">
        <v>1</v>
      </c>
      <c r="Z9" s="364">
        <v>1</v>
      </c>
      <c r="AA9" s="364">
        <v>0</v>
      </c>
      <c r="AB9" s="454">
        <v>0</v>
      </c>
      <c r="AC9" s="364">
        <v>0</v>
      </c>
      <c r="AD9" s="364">
        <v>0</v>
      </c>
      <c r="AE9" s="364">
        <v>0</v>
      </c>
      <c r="AF9" s="454">
        <v>0</v>
      </c>
      <c r="AG9" s="364">
        <v>0</v>
      </c>
      <c r="AH9" s="364">
        <v>0</v>
      </c>
      <c r="AI9" s="364">
        <v>0</v>
      </c>
      <c r="AJ9" s="454">
        <v>0</v>
      </c>
      <c r="AK9" s="364">
        <v>1</v>
      </c>
      <c r="AL9" s="364">
        <v>1</v>
      </c>
      <c r="AM9" s="364">
        <v>0</v>
      </c>
      <c r="AN9" s="454">
        <v>0</v>
      </c>
      <c r="AP9" s="318" t="s">
        <v>129</v>
      </c>
      <c r="AQ9" s="319">
        <f>Japanalltestshisttriesscoredcorrect</f>
        <v>1427</v>
      </c>
      <c r="AS9" s="318" t="s">
        <v>129</v>
      </c>
      <c r="AT9" s="319">
        <f>JapanRWChisttriesscored</f>
        <v>85</v>
      </c>
    </row>
    <row r="10" spans="1:46" ht="14.95" customHeight="1" thickBot="1" x14ac:dyDescent="0.3">
      <c r="A10" s="464" t="s">
        <v>407</v>
      </c>
      <c r="B10" s="573" t="s">
        <v>198</v>
      </c>
      <c r="C10" s="465" t="s">
        <v>37</v>
      </c>
      <c r="D10" s="465" t="s">
        <v>224</v>
      </c>
      <c r="E10" s="453" t="s">
        <v>3</v>
      </c>
      <c r="F10" s="453">
        <v>27</v>
      </c>
      <c r="G10" s="453">
        <v>39</v>
      </c>
      <c r="H10" s="453">
        <v>0</v>
      </c>
      <c r="I10" s="453">
        <v>0</v>
      </c>
      <c r="J10" s="453">
        <v>3</v>
      </c>
      <c r="K10" s="453">
        <v>3</v>
      </c>
      <c r="L10" s="453">
        <v>1</v>
      </c>
      <c r="M10" s="453">
        <v>1</v>
      </c>
      <c r="N10" s="453">
        <v>1</v>
      </c>
      <c r="O10" s="453">
        <v>0</v>
      </c>
      <c r="P10" s="453">
        <v>1</v>
      </c>
      <c r="Q10" s="453">
        <v>0</v>
      </c>
      <c r="R10" s="453">
        <v>5</v>
      </c>
      <c r="S10" s="466">
        <v>33624</v>
      </c>
      <c r="T10" s="558" t="s">
        <v>954</v>
      </c>
      <c r="U10" s="467" t="s">
        <v>271</v>
      </c>
      <c r="V10" s="466" t="s">
        <v>270</v>
      </c>
      <c r="W10" s="463" t="s">
        <v>269</v>
      </c>
      <c r="X10" s="468" t="s">
        <v>272</v>
      </c>
      <c r="Y10" s="364">
        <v>1</v>
      </c>
      <c r="Z10" s="364">
        <v>0</v>
      </c>
      <c r="AA10" s="364">
        <v>0</v>
      </c>
      <c r="AB10" s="454">
        <v>1</v>
      </c>
      <c r="AC10" s="364">
        <v>0</v>
      </c>
      <c r="AD10" s="364">
        <v>0</v>
      </c>
      <c r="AE10" s="364">
        <v>0</v>
      </c>
      <c r="AF10" s="454">
        <v>0</v>
      </c>
      <c r="AG10" s="364">
        <v>0</v>
      </c>
      <c r="AH10" s="364">
        <v>0</v>
      </c>
      <c r="AI10" s="364">
        <v>0</v>
      </c>
      <c r="AJ10" s="454">
        <v>0</v>
      </c>
      <c r="AK10" s="364">
        <v>1</v>
      </c>
      <c r="AL10" s="364">
        <v>0</v>
      </c>
      <c r="AM10" s="364">
        <v>0</v>
      </c>
      <c r="AN10" s="454">
        <v>1</v>
      </c>
    </row>
    <row r="11" spans="1:46" ht="14.95" customHeight="1" thickBot="1" x14ac:dyDescent="0.3">
      <c r="A11" s="489" t="s">
        <v>223</v>
      </c>
      <c r="B11" s="490" t="s">
        <v>233</v>
      </c>
      <c r="C11" s="490"/>
      <c r="D11" s="566" t="s">
        <v>229</v>
      </c>
      <c r="E11" s="453"/>
      <c r="F11" s="453"/>
      <c r="G11" s="453"/>
      <c r="H11" s="453"/>
      <c r="I11" s="453"/>
      <c r="J11" s="453"/>
      <c r="K11" s="453"/>
      <c r="L11" s="453"/>
      <c r="M11" s="453"/>
      <c r="N11" s="453"/>
      <c r="O11" s="453"/>
      <c r="P11" s="453"/>
      <c r="Q11" s="453"/>
      <c r="R11" s="453"/>
      <c r="S11" s="463"/>
      <c r="T11" s="558"/>
      <c r="U11" s="467"/>
      <c r="V11" s="466"/>
      <c r="W11" s="463"/>
      <c r="X11" s="468"/>
      <c r="Y11" s="364"/>
      <c r="Z11" s="364"/>
      <c r="AA11" s="364"/>
      <c r="AB11" s="454"/>
      <c r="AC11" s="364"/>
      <c r="AD11" s="364"/>
      <c r="AE11" s="364"/>
      <c r="AF11" s="454"/>
      <c r="AG11" s="364"/>
      <c r="AH11" s="364"/>
      <c r="AI11" s="364"/>
      <c r="AJ11" s="454"/>
      <c r="AK11" s="364"/>
      <c r="AL11" s="364"/>
      <c r="AM11" s="364"/>
      <c r="AN11" s="454"/>
    </row>
    <row r="12" spans="1:46" ht="14.95" thickBot="1" x14ac:dyDescent="0.3">
      <c r="A12" s="570" t="s">
        <v>223</v>
      </c>
      <c r="B12" s="490" t="s">
        <v>234</v>
      </c>
      <c r="C12" s="490"/>
      <c r="D12" s="566" t="s">
        <v>112</v>
      </c>
      <c r="E12" s="453"/>
      <c r="F12" s="453"/>
      <c r="G12" s="453"/>
      <c r="H12" s="453"/>
      <c r="I12" s="453"/>
      <c r="J12" s="453"/>
      <c r="K12" s="453"/>
      <c r="L12" s="453"/>
      <c r="M12" s="453"/>
      <c r="N12" s="453"/>
      <c r="O12" s="453"/>
      <c r="P12" s="453"/>
      <c r="Q12" s="453"/>
      <c r="R12" s="453"/>
      <c r="S12" s="463"/>
      <c r="T12" s="558"/>
      <c r="U12" s="467"/>
      <c r="V12" s="466"/>
      <c r="W12" s="463"/>
      <c r="X12" s="468"/>
      <c r="Y12" s="364"/>
      <c r="Z12" s="454"/>
      <c r="AA12" s="454"/>
      <c r="AB12" s="454"/>
      <c r="AC12" s="454"/>
      <c r="AD12" s="454"/>
      <c r="AE12" s="454"/>
      <c r="AF12" s="454"/>
      <c r="AG12" s="454"/>
      <c r="AH12" s="454"/>
      <c r="AI12" s="454"/>
      <c r="AJ12" s="454"/>
      <c r="AK12" s="454"/>
      <c r="AL12" s="454"/>
      <c r="AM12" s="454"/>
      <c r="AN12" s="454"/>
    </row>
    <row r="13" spans="1:46" ht="14.95" thickBot="1" x14ac:dyDescent="0.3">
      <c r="A13" s="489" t="s">
        <v>330</v>
      </c>
      <c r="B13" s="490" t="s">
        <v>235</v>
      </c>
      <c r="C13" s="490"/>
      <c r="D13" s="566" t="s">
        <v>112</v>
      </c>
      <c r="E13" s="453"/>
      <c r="F13" s="453"/>
      <c r="G13" s="453"/>
      <c r="H13" s="453"/>
      <c r="I13" s="453"/>
      <c r="J13" s="453"/>
      <c r="K13" s="453"/>
      <c r="L13" s="453"/>
      <c r="M13" s="453"/>
      <c r="N13" s="453"/>
      <c r="O13" s="453"/>
      <c r="P13" s="453"/>
      <c r="Q13" s="453"/>
      <c r="R13" s="453"/>
      <c r="S13" s="463"/>
      <c r="T13" s="558"/>
      <c r="U13" s="467"/>
      <c r="V13" s="466"/>
      <c r="W13" s="463"/>
      <c r="X13" s="468"/>
      <c r="Y13" s="364"/>
      <c r="Z13" s="454"/>
      <c r="AA13" s="454"/>
      <c r="AB13" s="454"/>
      <c r="AC13" s="454"/>
      <c r="AD13" s="454"/>
      <c r="AE13" s="454"/>
      <c r="AF13" s="454"/>
      <c r="AG13" s="454"/>
      <c r="AH13" s="454"/>
      <c r="AI13" s="454"/>
      <c r="AJ13" s="454"/>
      <c r="AK13" s="454"/>
      <c r="AL13" s="454"/>
      <c r="AM13" s="454"/>
      <c r="AN13" s="454"/>
    </row>
    <row r="14" spans="1:46" ht="14.95" thickBot="1" x14ac:dyDescent="0.3">
      <c r="A14" s="266"/>
      <c r="B14" s="267"/>
      <c r="C14" s="1066" t="s">
        <v>166</v>
      </c>
      <c r="D14" s="1067"/>
      <c r="E14" s="1068"/>
      <c r="F14" s="528">
        <f>SUM(F3:F8)</f>
        <v>130</v>
      </c>
      <c r="G14" s="528">
        <f>SUM(G3:G8)</f>
        <v>163</v>
      </c>
      <c r="H14" s="528" t="s">
        <v>106</v>
      </c>
      <c r="I14" s="528" t="s">
        <v>106</v>
      </c>
      <c r="J14" s="528">
        <f t="shared" ref="J14:O14" si="0">SUM(J3:J8)</f>
        <v>15</v>
      </c>
      <c r="K14" s="528">
        <f t="shared" si="0"/>
        <v>8</v>
      </c>
      <c r="L14" s="528">
        <f t="shared" si="0"/>
        <v>0</v>
      </c>
      <c r="M14" s="528">
        <f t="shared" si="0"/>
        <v>13</v>
      </c>
      <c r="N14" s="528">
        <f t="shared" si="0"/>
        <v>1</v>
      </c>
      <c r="O14" s="528">
        <f t="shared" si="0"/>
        <v>2</v>
      </c>
      <c r="P14" s="528" t="s">
        <v>106</v>
      </c>
      <c r="Q14" s="528" t="s">
        <v>106</v>
      </c>
      <c r="R14" s="528">
        <f>SUM(R3:R8)</f>
        <v>21</v>
      </c>
      <c r="S14" s="779"/>
      <c r="T14" s="781"/>
      <c r="U14" s="782"/>
      <c r="V14" s="782"/>
      <c r="W14" s="780"/>
      <c r="X14" s="529" t="s">
        <v>166</v>
      </c>
      <c r="Y14" s="547">
        <f t="shared" ref="Y14:AN14" si="1">SUM(Y3:Y8)</f>
        <v>6</v>
      </c>
      <c r="Z14" s="547">
        <f t="shared" si="1"/>
        <v>2</v>
      </c>
      <c r="AA14" s="547">
        <f t="shared" si="1"/>
        <v>0</v>
      </c>
      <c r="AB14" s="547">
        <f t="shared" si="1"/>
        <v>4</v>
      </c>
      <c r="AC14" s="547">
        <f t="shared" si="1"/>
        <v>3</v>
      </c>
      <c r="AD14" s="547">
        <f t="shared" si="1"/>
        <v>1</v>
      </c>
      <c r="AE14" s="547">
        <f t="shared" si="1"/>
        <v>0</v>
      </c>
      <c r="AF14" s="547">
        <f t="shared" si="1"/>
        <v>2</v>
      </c>
      <c r="AG14" s="547">
        <f t="shared" si="1"/>
        <v>1</v>
      </c>
      <c r="AH14" s="547">
        <f t="shared" si="1"/>
        <v>0</v>
      </c>
      <c r="AI14" s="547">
        <f t="shared" si="1"/>
        <v>0</v>
      </c>
      <c r="AJ14" s="547">
        <f t="shared" si="1"/>
        <v>1</v>
      </c>
      <c r="AK14" s="547">
        <f t="shared" si="1"/>
        <v>2</v>
      </c>
      <c r="AL14" s="547">
        <f t="shared" si="1"/>
        <v>1</v>
      </c>
      <c r="AM14" s="547">
        <f t="shared" si="1"/>
        <v>0</v>
      </c>
      <c r="AN14" s="547">
        <f t="shared" si="1"/>
        <v>1</v>
      </c>
    </row>
    <row r="15" spans="1:46" ht="14.95" thickBot="1" x14ac:dyDescent="0.3">
      <c r="A15" s="266"/>
      <c r="B15" s="775"/>
      <c r="C15" s="1078" t="s">
        <v>721</v>
      </c>
      <c r="D15" s="1079"/>
      <c r="E15" s="1080"/>
      <c r="F15" s="682">
        <f t="shared" ref="F15:R15" si="2">SUM(F6)</f>
        <v>21</v>
      </c>
      <c r="G15" s="682">
        <f t="shared" si="2"/>
        <v>42</v>
      </c>
      <c r="H15" s="682">
        <f t="shared" si="2"/>
        <v>0</v>
      </c>
      <c r="I15" s="682">
        <f t="shared" si="2"/>
        <v>0</v>
      </c>
      <c r="J15" s="682">
        <f t="shared" si="2"/>
        <v>3</v>
      </c>
      <c r="K15" s="682">
        <f t="shared" si="2"/>
        <v>0</v>
      </c>
      <c r="L15" s="682">
        <f t="shared" si="2"/>
        <v>0</v>
      </c>
      <c r="M15" s="682">
        <f t="shared" si="2"/>
        <v>2</v>
      </c>
      <c r="N15" s="682">
        <f t="shared" si="2"/>
        <v>0</v>
      </c>
      <c r="O15" s="682">
        <f t="shared" si="2"/>
        <v>0</v>
      </c>
      <c r="P15" s="682">
        <f t="shared" si="2"/>
        <v>0</v>
      </c>
      <c r="Q15" s="682">
        <f t="shared" si="2"/>
        <v>0</v>
      </c>
      <c r="R15" s="682">
        <f t="shared" si="2"/>
        <v>5</v>
      </c>
      <c r="S15" s="687"/>
      <c r="T15" s="687"/>
      <c r="U15" s="687"/>
      <c r="V15" s="687"/>
      <c r="W15" s="783"/>
      <c r="X15" s="689" t="s">
        <v>722</v>
      </c>
      <c r="Y15" s="776">
        <f t="shared" ref="Y15:AN15" si="3">SUM(Y6)</f>
        <v>1</v>
      </c>
      <c r="Z15" s="682">
        <f t="shared" si="3"/>
        <v>0</v>
      </c>
      <c r="AA15" s="682">
        <f t="shared" si="3"/>
        <v>0</v>
      </c>
      <c r="AB15" s="682">
        <f t="shared" si="3"/>
        <v>1</v>
      </c>
      <c r="AC15" s="777">
        <f t="shared" si="3"/>
        <v>0</v>
      </c>
      <c r="AD15" s="777">
        <f t="shared" si="3"/>
        <v>0</v>
      </c>
      <c r="AE15" s="777">
        <f t="shared" si="3"/>
        <v>0</v>
      </c>
      <c r="AF15" s="777">
        <f t="shared" si="3"/>
        <v>0</v>
      </c>
      <c r="AG15" s="778">
        <f t="shared" si="3"/>
        <v>1</v>
      </c>
      <c r="AH15" s="778">
        <f t="shared" si="3"/>
        <v>0</v>
      </c>
      <c r="AI15" s="778">
        <f t="shared" si="3"/>
        <v>0</v>
      </c>
      <c r="AJ15" s="778">
        <f t="shared" si="3"/>
        <v>1</v>
      </c>
      <c r="AK15" s="682">
        <f t="shared" si="3"/>
        <v>0</v>
      </c>
      <c r="AL15" s="682">
        <f t="shared" si="3"/>
        <v>0</v>
      </c>
      <c r="AM15" s="682">
        <f t="shared" si="3"/>
        <v>0</v>
      </c>
      <c r="AN15" s="682">
        <f t="shared" si="3"/>
        <v>0</v>
      </c>
    </row>
    <row r="16" spans="1:46" ht="14.3" customHeight="1" thickBot="1" x14ac:dyDescent="0.3">
      <c r="A16" s="266"/>
      <c r="B16" s="267"/>
      <c r="C16" s="940" t="s">
        <v>625</v>
      </c>
      <c r="D16" s="941"/>
      <c r="E16" s="942"/>
      <c r="F16" s="708">
        <f t="shared" ref="F16:R16" si="4">SUM(F7:F10)</f>
        <v>109</v>
      </c>
      <c r="G16" s="708">
        <f t="shared" si="4"/>
        <v>107</v>
      </c>
      <c r="H16" s="708">
        <f t="shared" si="4"/>
        <v>1</v>
      </c>
      <c r="I16" s="708">
        <f t="shared" si="4"/>
        <v>0</v>
      </c>
      <c r="J16" s="708">
        <f t="shared" si="4"/>
        <v>12</v>
      </c>
      <c r="K16" s="708">
        <f t="shared" si="4"/>
        <v>11</v>
      </c>
      <c r="L16" s="708">
        <f t="shared" si="4"/>
        <v>1</v>
      </c>
      <c r="M16" s="708">
        <f t="shared" si="4"/>
        <v>8</v>
      </c>
      <c r="N16" s="708">
        <f t="shared" si="4"/>
        <v>3</v>
      </c>
      <c r="O16" s="708">
        <f t="shared" si="4"/>
        <v>0</v>
      </c>
      <c r="P16" s="708">
        <f t="shared" si="4"/>
        <v>2</v>
      </c>
      <c r="Q16" s="708">
        <f t="shared" si="4"/>
        <v>1</v>
      </c>
      <c r="R16" s="708">
        <f t="shared" si="4"/>
        <v>14</v>
      </c>
      <c r="S16" s="709"/>
      <c r="T16" s="709"/>
      <c r="U16" s="709"/>
      <c r="V16" s="709"/>
      <c r="W16" s="710"/>
      <c r="X16" s="711" t="s">
        <v>625</v>
      </c>
      <c r="Y16" s="712">
        <f t="shared" ref="Y16:AN16" si="5">SUM(Y7:Y10)</f>
        <v>4</v>
      </c>
      <c r="Z16" s="708">
        <f t="shared" si="5"/>
        <v>2</v>
      </c>
      <c r="AA16" s="708">
        <f t="shared" si="5"/>
        <v>0</v>
      </c>
      <c r="AB16" s="708">
        <f t="shared" si="5"/>
        <v>2</v>
      </c>
      <c r="AC16" s="713">
        <f t="shared" si="5"/>
        <v>0</v>
      </c>
      <c r="AD16" s="713">
        <f t="shared" si="5"/>
        <v>0</v>
      </c>
      <c r="AE16" s="713">
        <f t="shared" si="5"/>
        <v>0</v>
      </c>
      <c r="AF16" s="713">
        <f t="shared" si="5"/>
        <v>0</v>
      </c>
      <c r="AG16" s="714">
        <f t="shared" si="5"/>
        <v>0</v>
      </c>
      <c r="AH16" s="714">
        <f t="shared" si="5"/>
        <v>0</v>
      </c>
      <c r="AI16" s="714">
        <f t="shared" si="5"/>
        <v>0</v>
      </c>
      <c r="AJ16" s="714">
        <f t="shared" si="5"/>
        <v>0</v>
      </c>
      <c r="AK16" s="708">
        <f t="shared" si="5"/>
        <v>4</v>
      </c>
      <c r="AL16" s="708">
        <f t="shared" si="5"/>
        <v>2</v>
      </c>
      <c r="AM16" s="708">
        <f t="shared" si="5"/>
        <v>0</v>
      </c>
      <c r="AN16" s="708">
        <f t="shared" si="5"/>
        <v>2</v>
      </c>
    </row>
    <row r="17" spans="1:40" ht="14.3" customHeight="1" thickBot="1" x14ac:dyDescent="0.3">
      <c r="A17" s="266"/>
      <c r="B17" s="267"/>
      <c r="C17" s="940" t="s">
        <v>626</v>
      </c>
      <c r="D17" s="943"/>
      <c r="E17" s="944"/>
      <c r="F17" s="708">
        <f t="shared" ref="F17:R17" si="6">SUM(F11:F13)</f>
        <v>0</v>
      </c>
      <c r="G17" s="708">
        <f t="shared" si="6"/>
        <v>0</v>
      </c>
      <c r="H17" s="708">
        <f t="shared" si="6"/>
        <v>0</v>
      </c>
      <c r="I17" s="708">
        <f t="shared" si="6"/>
        <v>0</v>
      </c>
      <c r="J17" s="708">
        <f t="shared" si="6"/>
        <v>0</v>
      </c>
      <c r="K17" s="708">
        <f t="shared" si="6"/>
        <v>0</v>
      </c>
      <c r="L17" s="708">
        <f t="shared" si="6"/>
        <v>0</v>
      </c>
      <c r="M17" s="708">
        <f t="shared" si="6"/>
        <v>0</v>
      </c>
      <c r="N17" s="708">
        <f t="shared" si="6"/>
        <v>0</v>
      </c>
      <c r="O17" s="708">
        <f t="shared" si="6"/>
        <v>0</v>
      </c>
      <c r="P17" s="708">
        <f t="shared" si="6"/>
        <v>0</v>
      </c>
      <c r="Q17" s="708">
        <f t="shared" si="6"/>
        <v>0</v>
      </c>
      <c r="R17" s="708">
        <f t="shared" si="6"/>
        <v>0</v>
      </c>
      <c r="S17" s="709"/>
      <c r="T17" s="709"/>
      <c r="U17" s="709"/>
      <c r="V17" s="709"/>
      <c r="W17" s="710"/>
      <c r="X17" s="711" t="s">
        <v>626</v>
      </c>
      <c r="Y17" s="712">
        <f t="shared" ref="Y17:AN17" si="7">SUM(Y11:Y13)</f>
        <v>0</v>
      </c>
      <c r="Z17" s="708">
        <f t="shared" si="7"/>
        <v>0</v>
      </c>
      <c r="AA17" s="708">
        <f t="shared" si="7"/>
        <v>0</v>
      </c>
      <c r="AB17" s="708">
        <f t="shared" si="7"/>
        <v>0</v>
      </c>
      <c r="AC17" s="713">
        <f t="shared" si="7"/>
        <v>0</v>
      </c>
      <c r="AD17" s="713">
        <f t="shared" si="7"/>
        <v>0</v>
      </c>
      <c r="AE17" s="713">
        <f t="shared" si="7"/>
        <v>0</v>
      </c>
      <c r="AF17" s="713">
        <f t="shared" si="7"/>
        <v>0</v>
      </c>
      <c r="AG17" s="714">
        <f t="shared" si="7"/>
        <v>0</v>
      </c>
      <c r="AH17" s="714">
        <f t="shared" si="7"/>
        <v>0</v>
      </c>
      <c r="AI17" s="714">
        <f t="shared" si="7"/>
        <v>0</v>
      </c>
      <c r="AJ17" s="714">
        <f t="shared" si="7"/>
        <v>0</v>
      </c>
      <c r="AK17" s="708">
        <f t="shared" si="7"/>
        <v>0</v>
      </c>
      <c r="AL17" s="708">
        <f t="shared" si="7"/>
        <v>0</v>
      </c>
      <c r="AM17" s="708">
        <f t="shared" si="7"/>
        <v>0</v>
      </c>
      <c r="AN17" s="708">
        <f t="shared" si="7"/>
        <v>0</v>
      </c>
    </row>
    <row r="18" spans="1:40" ht="14.3" customHeight="1" thickBot="1" x14ac:dyDescent="0.3">
      <c r="A18" s="266"/>
      <c r="B18" s="267"/>
      <c r="C18" s="940" t="s">
        <v>627</v>
      </c>
      <c r="D18" s="943"/>
      <c r="E18" s="944"/>
      <c r="F18" s="708">
        <f t="shared" ref="F18:R18" si="8">SUM(F16+F17)</f>
        <v>109</v>
      </c>
      <c r="G18" s="708">
        <f t="shared" si="8"/>
        <v>107</v>
      </c>
      <c r="H18" s="708">
        <f t="shared" si="8"/>
        <v>1</v>
      </c>
      <c r="I18" s="708">
        <f t="shared" si="8"/>
        <v>0</v>
      </c>
      <c r="J18" s="708">
        <f t="shared" si="8"/>
        <v>12</v>
      </c>
      <c r="K18" s="708">
        <f t="shared" si="8"/>
        <v>11</v>
      </c>
      <c r="L18" s="708">
        <f t="shared" si="8"/>
        <v>1</v>
      </c>
      <c r="M18" s="708">
        <f t="shared" si="8"/>
        <v>8</v>
      </c>
      <c r="N18" s="708">
        <f t="shared" si="8"/>
        <v>3</v>
      </c>
      <c r="O18" s="708">
        <f t="shared" si="8"/>
        <v>0</v>
      </c>
      <c r="P18" s="708">
        <f t="shared" si="8"/>
        <v>2</v>
      </c>
      <c r="Q18" s="708">
        <f t="shared" si="8"/>
        <v>1</v>
      </c>
      <c r="R18" s="708">
        <f t="shared" si="8"/>
        <v>14</v>
      </c>
      <c r="S18" s="709"/>
      <c r="T18" s="709"/>
      <c r="U18" s="709"/>
      <c r="V18" s="709"/>
      <c r="W18" s="710"/>
      <c r="X18" s="711" t="s">
        <v>627</v>
      </c>
      <c r="Y18" s="712">
        <f t="shared" ref="Y18:AN18" si="9">SUM(Y16+Y17)</f>
        <v>4</v>
      </c>
      <c r="Z18" s="708">
        <f t="shared" si="9"/>
        <v>2</v>
      </c>
      <c r="AA18" s="708">
        <f t="shared" si="9"/>
        <v>0</v>
      </c>
      <c r="AB18" s="708">
        <f t="shared" si="9"/>
        <v>2</v>
      </c>
      <c r="AC18" s="713">
        <f t="shared" si="9"/>
        <v>0</v>
      </c>
      <c r="AD18" s="713">
        <f t="shared" si="9"/>
        <v>0</v>
      </c>
      <c r="AE18" s="713">
        <f t="shared" si="9"/>
        <v>0</v>
      </c>
      <c r="AF18" s="713">
        <f t="shared" si="9"/>
        <v>0</v>
      </c>
      <c r="AG18" s="714">
        <f t="shared" si="9"/>
        <v>0</v>
      </c>
      <c r="AH18" s="714">
        <f t="shared" si="9"/>
        <v>0</v>
      </c>
      <c r="AI18" s="714">
        <f t="shared" si="9"/>
        <v>0</v>
      </c>
      <c r="AJ18" s="714">
        <f t="shared" si="9"/>
        <v>0</v>
      </c>
      <c r="AK18" s="708">
        <f t="shared" si="9"/>
        <v>4</v>
      </c>
      <c r="AL18" s="708">
        <f t="shared" si="9"/>
        <v>2</v>
      </c>
      <c r="AM18" s="708">
        <f t="shared" si="9"/>
        <v>0</v>
      </c>
      <c r="AN18" s="708">
        <f t="shared" si="9"/>
        <v>2</v>
      </c>
    </row>
    <row r="19" spans="1:40" ht="14.95" thickBot="1" x14ac:dyDescent="0.3">
      <c r="A19" s="522"/>
      <c r="C19" s="946" t="s">
        <v>107</v>
      </c>
      <c r="D19" s="947"/>
      <c r="E19" s="948"/>
      <c r="F19" s="366">
        <f t="shared" ref="F19:R19" si="10">SUM(F3:F11)</f>
        <v>185</v>
      </c>
      <c r="G19" s="366">
        <f t="shared" si="10"/>
        <v>224</v>
      </c>
      <c r="H19" s="366">
        <f t="shared" si="10"/>
        <v>1</v>
      </c>
      <c r="I19" s="366">
        <f t="shared" si="10"/>
        <v>0</v>
      </c>
      <c r="J19" s="366">
        <f t="shared" si="10"/>
        <v>21</v>
      </c>
      <c r="K19" s="366">
        <f t="shared" si="10"/>
        <v>13</v>
      </c>
      <c r="L19" s="343">
        <f t="shared" si="10"/>
        <v>1</v>
      </c>
      <c r="M19" s="366">
        <f t="shared" si="10"/>
        <v>17</v>
      </c>
      <c r="N19" s="366">
        <f t="shared" si="10"/>
        <v>3</v>
      </c>
      <c r="O19" s="366">
        <f t="shared" si="10"/>
        <v>2</v>
      </c>
      <c r="P19" s="366">
        <f t="shared" si="10"/>
        <v>2</v>
      </c>
      <c r="Q19" s="343">
        <f t="shared" si="10"/>
        <v>1</v>
      </c>
      <c r="R19" s="366">
        <f t="shared" si="10"/>
        <v>29</v>
      </c>
      <c r="S19" s="679"/>
      <c r="T19" s="679"/>
      <c r="U19" s="679"/>
      <c r="V19" s="679"/>
      <c r="W19" s="13"/>
      <c r="X19" s="454" t="s">
        <v>107</v>
      </c>
      <c r="Y19" s="343">
        <f t="shared" ref="Y19:AN19" si="11">SUM(Y3:Y11)</f>
        <v>8</v>
      </c>
      <c r="Z19" s="343">
        <f t="shared" si="11"/>
        <v>3</v>
      </c>
      <c r="AA19" s="343">
        <f t="shared" si="11"/>
        <v>0</v>
      </c>
      <c r="AB19" s="343">
        <f t="shared" si="11"/>
        <v>5</v>
      </c>
      <c r="AC19" s="341">
        <f t="shared" si="11"/>
        <v>3</v>
      </c>
      <c r="AD19" s="341">
        <f t="shared" si="11"/>
        <v>1</v>
      </c>
      <c r="AE19" s="341">
        <f t="shared" si="11"/>
        <v>0</v>
      </c>
      <c r="AF19" s="341">
        <f t="shared" si="11"/>
        <v>2</v>
      </c>
      <c r="AG19" s="342">
        <f t="shared" si="11"/>
        <v>1</v>
      </c>
      <c r="AH19" s="342">
        <f t="shared" si="11"/>
        <v>0</v>
      </c>
      <c r="AI19" s="342">
        <f t="shared" si="11"/>
        <v>0</v>
      </c>
      <c r="AJ19" s="342">
        <f t="shared" si="11"/>
        <v>1</v>
      </c>
      <c r="AK19" s="784">
        <f t="shared" si="11"/>
        <v>4</v>
      </c>
      <c r="AL19" s="784">
        <f t="shared" si="11"/>
        <v>2</v>
      </c>
      <c r="AM19" s="784">
        <f t="shared" si="11"/>
        <v>0</v>
      </c>
      <c r="AN19" s="784">
        <f t="shared" si="11"/>
        <v>2</v>
      </c>
    </row>
    <row r="20" spans="1:40" x14ac:dyDescent="0.25">
      <c r="A20" s="522"/>
      <c r="B20" s="14"/>
      <c r="C20" s="677"/>
      <c r="D20" s="677"/>
      <c r="E20" s="677"/>
      <c r="F20" s="678"/>
      <c r="G20" s="678"/>
      <c r="H20" s="678"/>
      <c r="I20" s="678"/>
      <c r="J20" s="678"/>
      <c r="K20" s="678"/>
      <c r="L20" s="678"/>
      <c r="M20" s="678"/>
      <c r="N20" s="678"/>
      <c r="O20" s="678"/>
      <c r="P20" s="678"/>
      <c r="Q20" s="678"/>
      <c r="R20" s="678"/>
      <c r="S20" s="679"/>
      <c r="T20" s="679"/>
      <c r="U20" s="679"/>
      <c r="V20" s="679"/>
      <c r="W20" s="13"/>
      <c r="X20" s="13"/>
      <c r="Y20" s="680"/>
      <c r="Z20" s="680"/>
      <c r="AA20" s="680"/>
      <c r="AB20" s="680"/>
      <c r="AC20" s="680"/>
      <c r="AD20" s="680"/>
      <c r="AE20" s="680"/>
      <c r="AF20" s="680"/>
      <c r="AG20" s="680"/>
      <c r="AH20" s="680"/>
      <c r="AI20" s="680"/>
      <c r="AJ20" s="680"/>
      <c r="AK20" s="680"/>
      <c r="AL20" s="680"/>
      <c r="AM20" s="680"/>
      <c r="AN20" s="680"/>
    </row>
    <row r="21" spans="1:40" x14ac:dyDescent="0.25">
      <c r="A21" s="965" t="s">
        <v>611</v>
      </c>
      <c r="B21" s="886"/>
      <c r="C21" s="886"/>
      <c r="D21" s="886"/>
      <c r="E21" s="886"/>
      <c r="F21" s="886"/>
      <c r="G21" s="886"/>
      <c r="H21" s="886"/>
      <c r="I21" s="886"/>
      <c r="J21" s="886"/>
      <c r="K21" s="886"/>
      <c r="L21" s="886"/>
      <c r="M21" s="886"/>
      <c r="N21" s="886"/>
      <c r="O21" s="886"/>
      <c r="P21" s="886"/>
      <c r="Q21" s="886"/>
      <c r="R21" s="886"/>
      <c r="S21" s="679"/>
      <c r="T21" s="679"/>
      <c r="U21" s="679"/>
      <c r="V21" s="679"/>
      <c r="W21" s="13"/>
      <c r="X21" s="13"/>
      <c r="Y21" s="680"/>
      <c r="Z21" s="680"/>
      <c r="AA21" s="680"/>
      <c r="AB21" s="680"/>
      <c r="AC21" s="680"/>
      <c r="AD21" s="680"/>
      <c r="AE21" s="680"/>
      <c r="AF21" s="680"/>
      <c r="AG21" s="680"/>
      <c r="AH21" s="680"/>
      <c r="AI21" s="680"/>
      <c r="AJ21" s="680"/>
      <c r="AK21" s="680"/>
      <c r="AL21" s="680"/>
      <c r="AM21" s="680"/>
      <c r="AN21" s="680"/>
    </row>
    <row r="22" spans="1:40" x14ac:dyDescent="0.25">
      <c r="A22" t="s">
        <v>744</v>
      </c>
      <c r="S22" s="395"/>
      <c r="T22" s="395"/>
      <c r="U22" s="395"/>
      <c r="V22" s="395"/>
      <c r="W22" s="395"/>
      <c r="X22" s="395"/>
      <c r="Y22" s="395"/>
      <c r="Z22" s="395"/>
      <c r="AA22" s="395"/>
      <c r="AB22" s="395"/>
      <c r="AC22" s="395"/>
      <c r="AD22" s="395"/>
      <c r="AE22" s="395"/>
      <c r="AF22" s="395"/>
      <c r="AG22" s="395"/>
      <c r="AH22" s="395"/>
      <c r="AI22" s="395"/>
      <c r="AJ22" s="395"/>
      <c r="AK22" s="395"/>
      <c r="AL22" s="395"/>
      <c r="AM22" s="395"/>
      <c r="AN22" s="395"/>
    </row>
    <row r="23" spans="1:40" x14ac:dyDescent="0.25">
      <c r="A23" t="s">
        <v>613</v>
      </c>
      <c r="L23" s="14"/>
      <c r="M23" s="14"/>
      <c r="N23" s="14"/>
      <c r="O23" s="14"/>
      <c r="P23" s="14"/>
      <c r="Q23" s="14"/>
      <c r="R23" s="14"/>
    </row>
    <row r="24" spans="1:40" x14ac:dyDescent="0.25">
      <c r="A24" t="s">
        <v>609</v>
      </c>
      <c r="L24" s="14"/>
      <c r="M24" s="14"/>
      <c r="N24" s="14"/>
      <c r="O24" s="14"/>
      <c r="P24" s="14"/>
      <c r="Q24" s="14"/>
      <c r="R24" s="14"/>
    </row>
    <row r="25" spans="1:40" x14ac:dyDescent="0.25">
      <c r="A25" t="s">
        <v>765</v>
      </c>
      <c r="L25" s="14"/>
      <c r="M25" s="14"/>
      <c r="N25" s="14"/>
      <c r="O25" s="14"/>
      <c r="P25" s="14"/>
      <c r="Q25" s="14"/>
      <c r="R25" s="14"/>
    </row>
    <row r="26" spans="1:40" x14ac:dyDescent="0.25">
      <c r="A26" t="s">
        <v>163</v>
      </c>
      <c r="L26" s="14"/>
      <c r="M26" s="14"/>
      <c r="N26" s="14"/>
      <c r="O26" s="14"/>
      <c r="P26" s="14"/>
      <c r="Q26" s="14"/>
      <c r="R26" s="14"/>
    </row>
    <row r="27" spans="1:40" x14ac:dyDescent="0.25">
      <c r="A27" s="575"/>
      <c r="B27" t="s">
        <v>44</v>
      </c>
    </row>
    <row r="28" spans="1:40" x14ac:dyDescent="0.25">
      <c r="A28" s="576"/>
      <c r="B28" t="s">
        <v>42</v>
      </c>
    </row>
    <row r="29" spans="1:40" x14ac:dyDescent="0.25">
      <c r="A29" s="577"/>
      <c r="B29" t="s">
        <v>43</v>
      </c>
    </row>
    <row r="30" spans="1:40" x14ac:dyDescent="0.25">
      <c r="A30" s="15" t="s">
        <v>28</v>
      </c>
    </row>
  </sheetData>
  <mergeCells count="17">
    <mergeCell ref="C15:E15"/>
    <mergeCell ref="A21:R21"/>
    <mergeCell ref="C14:E14"/>
    <mergeCell ref="AK1:AN1"/>
    <mergeCell ref="P1:R1"/>
    <mergeCell ref="C19:E19"/>
    <mergeCell ref="A1:C1"/>
    <mergeCell ref="E1:G1"/>
    <mergeCell ref="H1:I1"/>
    <mergeCell ref="J1:M1"/>
    <mergeCell ref="N1:O1"/>
    <mergeCell ref="Y1:AB1"/>
    <mergeCell ref="AC1:AF1"/>
    <mergeCell ref="AG1:AJ1"/>
    <mergeCell ref="C16:E16"/>
    <mergeCell ref="C17:E17"/>
    <mergeCell ref="C18:E18"/>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T23"/>
  <sheetViews>
    <sheetView workbookViewId="0">
      <selection activeCell="V5" sqref="V5"/>
    </sheetView>
  </sheetViews>
  <sheetFormatPr defaultRowHeight="14.95" customHeight="1" x14ac:dyDescent="0.25"/>
  <cols>
    <col min="1" max="1" width="7.5" customWidth="1"/>
    <col min="2" max="2" width="5.125" bestFit="1" customWidth="1"/>
    <col min="3" max="3" width="11.5" customWidth="1"/>
    <col min="4" max="4" width="4.625" customWidth="1"/>
    <col min="5" max="5" width="3.625" customWidth="1"/>
    <col min="6" max="18" width="4" customWidth="1"/>
    <col min="19" max="20" width="6.375" customWidth="1"/>
    <col min="21" max="24" width="25.875" customWidth="1"/>
    <col min="25" max="40" width="4" customWidth="1"/>
    <col min="42" max="42" width="13.125" bestFit="1" customWidth="1"/>
    <col min="45" max="45" width="13.125" bestFit="1" customWidth="1"/>
  </cols>
  <sheetData>
    <row r="1" spans="1:46" ht="14.95" customHeight="1" thickBot="1" x14ac:dyDescent="0.3">
      <c r="A1" s="1086" t="s">
        <v>211</v>
      </c>
      <c r="B1" s="1087"/>
      <c r="C1" s="1087"/>
      <c r="D1" s="247"/>
      <c r="E1" s="1088" t="s">
        <v>24</v>
      </c>
      <c r="F1" s="1089"/>
      <c r="G1" s="1090"/>
      <c r="H1" s="1088" t="s">
        <v>23</v>
      </c>
      <c r="I1" s="1090"/>
      <c r="J1" s="1083" t="s">
        <v>6</v>
      </c>
      <c r="K1" s="1084"/>
      <c r="L1" s="1084"/>
      <c r="M1" s="1085"/>
      <c r="N1" s="1083" t="s">
        <v>7</v>
      </c>
      <c r="O1" s="1085"/>
      <c r="P1" s="1083" t="s">
        <v>25</v>
      </c>
      <c r="Q1" s="1084"/>
      <c r="R1" s="1085"/>
      <c r="S1" s="248" t="s">
        <v>8</v>
      </c>
      <c r="T1" s="248" t="s">
        <v>9</v>
      </c>
      <c r="U1" s="249" t="s">
        <v>10</v>
      </c>
      <c r="V1" s="248" t="s">
        <v>11</v>
      </c>
      <c r="W1" s="250" t="s">
        <v>26</v>
      </c>
      <c r="X1" s="251" t="s">
        <v>27</v>
      </c>
      <c r="Y1" s="1082" t="s">
        <v>20</v>
      </c>
      <c r="Z1" s="963"/>
      <c r="AA1" s="963"/>
      <c r="AB1" s="964"/>
      <c r="AC1" s="1082" t="s">
        <v>61</v>
      </c>
      <c r="AD1" s="963"/>
      <c r="AE1" s="963"/>
      <c r="AF1" s="964"/>
      <c r="AG1" s="1082" t="s">
        <v>62</v>
      </c>
      <c r="AH1" s="963"/>
      <c r="AI1" s="963"/>
      <c r="AJ1" s="964"/>
      <c r="AK1" s="1082" t="s">
        <v>63</v>
      </c>
      <c r="AL1" s="963"/>
      <c r="AM1" s="963"/>
      <c r="AN1" s="964"/>
      <c r="AP1" s="330" t="s">
        <v>150</v>
      </c>
      <c r="AQ1" s="322"/>
      <c r="AR1" s="322"/>
      <c r="AS1" s="330" t="s">
        <v>150</v>
      </c>
    </row>
    <row r="2" spans="1:46" ht="14.95" customHeight="1" thickBot="1" x14ac:dyDescent="0.3">
      <c r="A2" s="252" t="s">
        <v>19</v>
      </c>
      <c r="B2" s="253" t="s">
        <v>18</v>
      </c>
      <c r="C2" s="254" t="s">
        <v>17</v>
      </c>
      <c r="D2" s="255" t="s">
        <v>41</v>
      </c>
      <c r="E2" s="255" t="s">
        <v>16</v>
      </c>
      <c r="F2" s="255" t="s">
        <v>4</v>
      </c>
      <c r="G2" s="255" t="s">
        <v>5</v>
      </c>
      <c r="H2" s="256" t="s">
        <v>12</v>
      </c>
      <c r="I2" s="256" t="s">
        <v>3</v>
      </c>
      <c r="J2" s="256" t="s">
        <v>12</v>
      </c>
      <c r="K2" s="256" t="s">
        <v>13</v>
      </c>
      <c r="L2" s="256" t="s">
        <v>2</v>
      </c>
      <c r="M2" s="256" t="s">
        <v>14</v>
      </c>
      <c r="N2" s="256" t="s">
        <v>15</v>
      </c>
      <c r="O2" s="256" t="s">
        <v>16</v>
      </c>
      <c r="P2" s="256" t="s">
        <v>21</v>
      </c>
      <c r="Q2" s="256" t="s">
        <v>22</v>
      </c>
      <c r="R2" s="256" t="s">
        <v>12</v>
      </c>
      <c r="S2" s="257"/>
      <c r="T2" s="258"/>
      <c r="U2" s="259"/>
      <c r="V2" s="257"/>
      <c r="W2" s="260"/>
      <c r="X2" s="261"/>
      <c r="Y2" s="350" t="s">
        <v>0</v>
      </c>
      <c r="Z2" s="350" t="s">
        <v>1</v>
      </c>
      <c r="AA2" s="350" t="s">
        <v>2</v>
      </c>
      <c r="AB2" s="350" t="s">
        <v>3</v>
      </c>
      <c r="AC2" s="350" t="s">
        <v>0</v>
      </c>
      <c r="AD2" s="350" t="s">
        <v>1</v>
      </c>
      <c r="AE2" s="350" t="s">
        <v>2</v>
      </c>
      <c r="AF2" s="350" t="s">
        <v>3</v>
      </c>
      <c r="AG2" s="350" t="s">
        <v>0</v>
      </c>
      <c r="AH2" s="350" t="s">
        <v>1</v>
      </c>
      <c r="AI2" s="350" t="s">
        <v>2</v>
      </c>
      <c r="AJ2" s="350" t="s">
        <v>3</v>
      </c>
      <c r="AK2" s="350" t="s">
        <v>0</v>
      </c>
      <c r="AL2" s="350" t="s">
        <v>1</v>
      </c>
      <c r="AM2" s="350" t="s">
        <v>2</v>
      </c>
      <c r="AN2" s="350" t="s">
        <v>3</v>
      </c>
      <c r="AP2" s="305" t="s">
        <v>107</v>
      </c>
      <c r="AQ2" s="189"/>
      <c r="AS2" s="336" t="s">
        <v>128</v>
      </c>
      <c r="AT2" s="189"/>
    </row>
    <row r="3" spans="1:46" ht="14.95" customHeight="1" thickBot="1" x14ac:dyDescent="0.3">
      <c r="A3" s="747" t="s">
        <v>322</v>
      </c>
      <c r="B3" s="398" t="s">
        <v>45</v>
      </c>
      <c r="C3" s="398" t="s">
        <v>105</v>
      </c>
      <c r="D3" s="397" t="s">
        <v>655</v>
      </c>
      <c r="E3" s="399" t="s">
        <v>3</v>
      </c>
      <c r="F3" s="399">
        <v>18</v>
      </c>
      <c r="G3" s="399">
        <v>26</v>
      </c>
      <c r="H3" s="399" t="s">
        <v>106</v>
      </c>
      <c r="I3" s="399" t="s">
        <v>106</v>
      </c>
      <c r="J3" s="399">
        <v>3</v>
      </c>
      <c r="K3" s="399">
        <v>0</v>
      </c>
      <c r="L3" s="399">
        <v>0</v>
      </c>
      <c r="M3" s="399">
        <v>1</v>
      </c>
      <c r="N3" s="399">
        <v>1</v>
      </c>
      <c r="O3" s="399">
        <v>0</v>
      </c>
      <c r="P3" s="399" t="s">
        <v>106</v>
      </c>
      <c r="Q3" s="399" t="s">
        <v>106</v>
      </c>
      <c r="R3" s="399">
        <v>4</v>
      </c>
      <c r="S3" s="406">
        <v>5000</v>
      </c>
      <c r="T3" s="410" t="s">
        <v>753</v>
      </c>
      <c r="U3" s="408" t="s">
        <v>266</v>
      </c>
      <c r="V3" s="406" t="s">
        <v>258</v>
      </c>
      <c r="W3" s="408" t="s">
        <v>718</v>
      </c>
      <c r="X3" s="409" t="s">
        <v>719</v>
      </c>
      <c r="Y3" s="422">
        <v>1</v>
      </c>
      <c r="Z3" s="422">
        <v>0</v>
      </c>
      <c r="AA3" s="422">
        <v>0</v>
      </c>
      <c r="AB3" s="593">
        <v>1</v>
      </c>
      <c r="AC3" s="422">
        <v>0</v>
      </c>
      <c r="AD3" s="422">
        <v>0</v>
      </c>
      <c r="AE3" s="422">
        <v>0</v>
      </c>
      <c r="AF3" s="593">
        <v>0</v>
      </c>
      <c r="AG3" s="422">
        <v>1</v>
      </c>
      <c r="AH3" s="422">
        <v>0</v>
      </c>
      <c r="AI3" s="422">
        <v>0</v>
      </c>
      <c r="AJ3" s="593">
        <v>1</v>
      </c>
      <c r="AK3" s="422">
        <v>0</v>
      </c>
      <c r="AL3" s="422">
        <v>0</v>
      </c>
      <c r="AM3" s="422">
        <v>0</v>
      </c>
      <c r="AN3" s="593">
        <v>0</v>
      </c>
      <c r="AP3" s="316" t="s">
        <v>130</v>
      </c>
      <c r="AQ3" s="317">
        <f>Namibiaalltestshistplayed</f>
        <v>172</v>
      </c>
      <c r="AS3" s="316" t="s">
        <v>130</v>
      </c>
      <c r="AT3" s="317">
        <f>NamibiaRWChistplayed</f>
        <v>26</v>
      </c>
    </row>
    <row r="4" spans="1:46" ht="14.95" customHeight="1" thickBot="1" x14ac:dyDescent="0.3">
      <c r="A4" s="747" t="s">
        <v>323</v>
      </c>
      <c r="B4" s="398" t="s">
        <v>45</v>
      </c>
      <c r="C4" s="398" t="s">
        <v>192</v>
      </c>
      <c r="D4" s="397" t="s">
        <v>656</v>
      </c>
      <c r="E4" s="399" t="s">
        <v>1</v>
      </c>
      <c r="F4" s="399">
        <v>28</v>
      </c>
      <c r="G4" s="399">
        <v>26</v>
      </c>
      <c r="H4" s="399" t="s">
        <v>106</v>
      </c>
      <c r="I4" s="399" t="s">
        <v>106</v>
      </c>
      <c r="J4" s="399">
        <v>4</v>
      </c>
      <c r="K4" s="399">
        <v>4</v>
      </c>
      <c r="L4" s="399">
        <v>0</v>
      </c>
      <c r="M4" s="399">
        <v>0</v>
      </c>
      <c r="N4" s="399">
        <v>0</v>
      </c>
      <c r="O4" s="399">
        <v>0</v>
      </c>
      <c r="P4" s="399" t="s">
        <v>106</v>
      </c>
      <c r="Q4" s="399" t="s">
        <v>106</v>
      </c>
      <c r="R4" s="399">
        <v>4</v>
      </c>
      <c r="S4" s="406"/>
      <c r="T4" s="419" t="s">
        <v>695</v>
      </c>
      <c r="U4" s="408" t="s">
        <v>414</v>
      </c>
      <c r="V4" s="406" t="s">
        <v>258</v>
      </c>
      <c r="W4" s="408" t="s">
        <v>781</v>
      </c>
      <c r="X4" s="409" t="s">
        <v>782</v>
      </c>
      <c r="Y4" s="422">
        <v>1</v>
      </c>
      <c r="Z4" s="422">
        <v>1</v>
      </c>
      <c r="AA4" s="422">
        <v>0</v>
      </c>
      <c r="AB4" s="593">
        <v>0</v>
      </c>
      <c r="AC4" s="422">
        <v>0</v>
      </c>
      <c r="AD4" s="422">
        <v>0</v>
      </c>
      <c r="AE4" s="422">
        <v>0</v>
      </c>
      <c r="AF4" s="593">
        <v>0</v>
      </c>
      <c r="AG4" s="422">
        <v>1</v>
      </c>
      <c r="AH4" s="422">
        <v>1</v>
      </c>
      <c r="AI4" s="422">
        <v>0</v>
      </c>
      <c r="AJ4" s="593">
        <v>0</v>
      </c>
      <c r="AK4" s="422">
        <v>0</v>
      </c>
      <c r="AL4" s="422">
        <v>0</v>
      </c>
      <c r="AM4" s="422">
        <v>0</v>
      </c>
      <c r="AN4" s="593">
        <v>0</v>
      </c>
      <c r="AP4" s="318" t="s">
        <v>131</v>
      </c>
      <c r="AQ4" s="319">
        <f>Namibiaalltestshistwon</f>
        <v>97</v>
      </c>
      <c r="AS4" s="318" t="s">
        <v>131</v>
      </c>
      <c r="AT4" s="319">
        <f>NamibiaRWChistwon</f>
        <v>0</v>
      </c>
    </row>
    <row r="5" spans="1:46" ht="14.95" customHeight="1" thickBot="1" x14ac:dyDescent="0.3">
      <c r="A5" s="464" t="s">
        <v>326</v>
      </c>
      <c r="B5" s="465" t="s">
        <v>198</v>
      </c>
      <c r="C5" s="465" t="s">
        <v>33</v>
      </c>
      <c r="D5" s="554" t="s">
        <v>227</v>
      </c>
      <c r="E5" s="453" t="s">
        <v>3</v>
      </c>
      <c r="F5" s="453">
        <v>8</v>
      </c>
      <c r="G5" s="453">
        <v>52</v>
      </c>
      <c r="H5" s="453">
        <v>0</v>
      </c>
      <c r="I5" s="453">
        <v>0</v>
      </c>
      <c r="J5" s="453">
        <v>1</v>
      </c>
      <c r="K5" s="453">
        <v>0</v>
      </c>
      <c r="L5" s="453">
        <v>0</v>
      </c>
      <c r="M5" s="453">
        <v>1</v>
      </c>
      <c r="N5" s="453">
        <v>1</v>
      </c>
      <c r="O5" s="453">
        <v>0</v>
      </c>
      <c r="P5" s="453">
        <v>1</v>
      </c>
      <c r="Q5" s="453">
        <v>0</v>
      </c>
      <c r="R5" s="453">
        <v>7</v>
      </c>
      <c r="S5" s="466">
        <v>41170</v>
      </c>
      <c r="T5" s="558" t="s">
        <v>804</v>
      </c>
      <c r="U5" s="463" t="s">
        <v>346</v>
      </c>
      <c r="V5" s="466" t="s">
        <v>269</v>
      </c>
      <c r="W5" s="467" t="s">
        <v>349</v>
      </c>
      <c r="X5" s="468" t="s">
        <v>431</v>
      </c>
      <c r="Y5" s="364">
        <v>1</v>
      </c>
      <c r="Z5" s="364">
        <v>0</v>
      </c>
      <c r="AA5" s="364">
        <v>0</v>
      </c>
      <c r="AB5" s="454">
        <v>1</v>
      </c>
      <c r="AC5" s="364">
        <v>0</v>
      </c>
      <c r="AD5" s="364">
        <v>0</v>
      </c>
      <c r="AE5" s="364">
        <v>0</v>
      </c>
      <c r="AF5" s="454">
        <v>0</v>
      </c>
      <c r="AG5" s="364">
        <v>0</v>
      </c>
      <c r="AH5" s="364">
        <v>0</v>
      </c>
      <c r="AI5" s="364">
        <v>0</v>
      </c>
      <c r="AJ5" s="454">
        <v>0</v>
      </c>
      <c r="AK5" s="364">
        <v>1</v>
      </c>
      <c r="AL5" s="364">
        <v>0</v>
      </c>
      <c r="AM5" s="364">
        <v>0</v>
      </c>
      <c r="AN5" s="454">
        <v>1</v>
      </c>
      <c r="AP5" s="318" t="s">
        <v>137</v>
      </c>
      <c r="AQ5" s="319">
        <f>Namibiaalltestshistdrawn</f>
        <v>2</v>
      </c>
      <c r="AS5" s="318" t="s">
        <v>137</v>
      </c>
      <c r="AT5" s="319">
        <f>NamibiaRWChistdrawn</f>
        <v>0</v>
      </c>
    </row>
    <row r="6" spans="1:46" ht="14.95" customHeight="1" thickBot="1" x14ac:dyDescent="0.3">
      <c r="A6" s="464" t="s">
        <v>661</v>
      </c>
      <c r="B6" s="465" t="s">
        <v>198</v>
      </c>
      <c r="C6" s="465" t="s">
        <v>117</v>
      </c>
      <c r="D6" s="554" t="s">
        <v>197</v>
      </c>
      <c r="E6" s="453" t="s">
        <v>3</v>
      </c>
      <c r="F6" s="453">
        <v>3</v>
      </c>
      <c r="G6" s="453">
        <v>71</v>
      </c>
      <c r="H6" s="453">
        <v>0</v>
      </c>
      <c r="I6" s="453">
        <v>0</v>
      </c>
      <c r="J6" s="453">
        <v>0</v>
      </c>
      <c r="K6" s="453">
        <v>0</v>
      </c>
      <c r="L6" s="453">
        <v>0</v>
      </c>
      <c r="M6" s="453">
        <v>1</v>
      </c>
      <c r="N6" s="453">
        <v>0</v>
      </c>
      <c r="O6" s="453">
        <v>0</v>
      </c>
      <c r="P6" s="453">
        <v>1</v>
      </c>
      <c r="Q6" s="453">
        <v>0</v>
      </c>
      <c r="R6" s="453">
        <v>11</v>
      </c>
      <c r="S6" s="466">
        <v>31996</v>
      </c>
      <c r="T6" s="558" t="s">
        <v>874</v>
      </c>
      <c r="U6" s="467" t="s">
        <v>266</v>
      </c>
      <c r="V6" s="466" t="s">
        <v>346</v>
      </c>
      <c r="W6" s="463" t="s">
        <v>281</v>
      </c>
      <c r="X6" s="468" t="s">
        <v>347</v>
      </c>
      <c r="Y6" s="364">
        <v>1</v>
      </c>
      <c r="Z6" s="364">
        <v>0</v>
      </c>
      <c r="AA6" s="364">
        <v>0</v>
      </c>
      <c r="AB6" s="454">
        <v>1</v>
      </c>
      <c r="AC6" s="364">
        <v>0</v>
      </c>
      <c r="AD6" s="364">
        <v>0</v>
      </c>
      <c r="AE6" s="364">
        <v>0</v>
      </c>
      <c r="AF6" s="454">
        <v>0</v>
      </c>
      <c r="AG6" s="364">
        <v>0</v>
      </c>
      <c r="AH6" s="364">
        <v>0</v>
      </c>
      <c r="AI6" s="364">
        <v>0</v>
      </c>
      <c r="AJ6" s="454">
        <v>0</v>
      </c>
      <c r="AK6" s="364">
        <v>1</v>
      </c>
      <c r="AL6" s="364">
        <v>0</v>
      </c>
      <c r="AM6" s="364">
        <v>0</v>
      </c>
      <c r="AN6" s="454">
        <v>1</v>
      </c>
      <c r="AP6" s="318" t="s">
        <v>132</v>
      </c>
      <c r="AQ6" s="319">
        <f>Namibiaalltestshistlost</f>
        <v>73</v>
      </c>
      <c r="AS6" s="318" t="s">
        <v>132</v>
      </c>
      <c r="AT6" s="319">
        <f>NamibiaRWChistlost</f>
        <v>26</v>
      </c>
    </row>
    <row r="7" spans="1:46" ht="14.95" customHeight="1" thickBot="1" x14ac:dyDescent="0.3">
      <c r="A7" s="396" t="s">
        <v>355</v>
      </c>
      <c r="B7" s="398" t="s">
        <v>198</v>
      </c>
      <c r="C7" s="398" t="s">
        <v>34</v>
      </c>
      <c r="D7" s="397" t="s">
        <v>229</v>
      </c>
      <c r="E7" s="399" t="s">
        <v>3</v>
      </c>
      <c r="F7" s="399">
        <v>0</v>
      </c>
      <c r="G7" s="399">
        <v>96</v>
      </c>
      <c r="H7" s="399">
        <v>0</v>
      </c>
      <c r="I7" s="399">
        <v>0</v>
      </c>
      <c r="J7" s="399">
        <v>0</v>
      </c>
      <c r="K7" s="399">
        <v>0</v>
      </c>
      <c r="L7" s="399">
        <v>0</v>
      </c>
      <c r="M7" s="399">
        <v>0</v>
      </c>
      <c r="N7" s="399">
        <v>1</v>
      </c>
      <c r="O7" s="399">
        <v>1</v>
      </c>
      <c r="P7" s="399">
        <v>1</v>
      </c>
      <c r="Q7" s="399">
        <v>0</v>
      </c>
      <c r="R7" s="399">
        <v>14</v>
      </c>
      <c r="S7" s="406">
        <v>63486</v>
      </c>
      <c r="T7" s="410" t="s">
        <v>900</v>
      </c>
      <c r="U7" s="408" t="s">
        <v>278</v>
      </c>
      <c r="V7" s="406" t="s">
        <v>431</v>
      </c>
      <c r="W7" s="408" t="s">
        <v>346</v>
      </c>
      <c r="X7" s="401" t="s">
        <v>414</v>
      </c>
      <c r="Y7" s="404">
        <v>1</v>
      </c>
      <c r="Z7" s="404">
        <v>0</v>
      </c>
      <c r="AA7" s="404">
        <v>0</v>
      </c>
      <c r="AB7" s="405">
        <v>1</v>
      </c>
      <c r="AC7" s="404">
        <v>0</v>
      </c>
      <c r="AD7" s="404">
        <v>0</v>
      </c>
      <c r="AE7" s="404">
        <v>0</v>
      </c>
      <c r="AF7" s="405">
        <v>0</v>
      </c>
      <c r="AG7" s="404">
        <v>1</v>
      </c>
      <c r="AH7" s="404">
        <v>0</v>
      </c>
      <c r="AI7" s="404">
        <v>0</v>
      </c>
      <c r="AJ7" s="405">
        <v>1</v>
      </c>
      <c r="AK7" s="404">
        <v>0</v>
      </c>
      <c r="AL7" s="404">
        <v>0</v>
      </c>
      <c r="AM7" s="404">
        <v>0</v>
      </c>
      <c r="AN7" s="405">
        <v>0</v>
      </c>
      <c r="AP7" s="318" t="s">
        <v>138</v>
      </c>
      <c r="AQ7" s="319">
        <f>Namibiaalltestshistptsscored</f>
        <v>5301</v>
      </c>
      <c r="AS7" s="318" t="s">
        <v>138</v>
      </c>
      <c r="AT7" s="319">
        <f>NamibiaRWChistptsscored</f>
        <v>285</v>
      </c>
    </row>
    <row r="8" spans="1:46" ht="14.95" customHeight="1" thickBot="1" x14ac:dyDescent="0.35">
      <c r="A8" s="489" t="s">
        <v>662</v>
      </c>
      <c r="B8" s="490" t="s">
        <v>198</v>
      </c>
      <c r="C8" s="490" t="s">
        <v>105</v>
      </c>
      <c r="D8" s="566" t="s">
        <v>232</v>
      </c>
      <c r="E8" s="453" t="s">
        <v>3</v>
      </c>
      <c r="F8" s="453">
        <v>26</v>
      </c>
      <c r="G8" s="453">
        <v>36</v>
      </c>
      <c r="H8" s="453">
        <v>0</v>
      </c>
      <c r="I8" s="453">
        <v>0</v>
      </c>
      <c r="J8" s="453">
        <v>2</v>
      </c>
      <c r="K8" s="453">
        <v>2</v>
      </c>
      <c r="L8" s="453">
        <v>0</v>
      </c>
      <c r="M8" s="453">
        <v>4</v>
      </c>
      <c r="N8" s="453">
        <v>2</v>
      </c>
      <c r="O8" s="453">
        <v>1</v>
      </c>
      <c r="P8" s="453">
        <v>1</v>
      </c>
      <c r="Q8" s="453">
        <v>0</v>
      </c>
      <c r="R8" s="453">
        <v>5</v>
      </c>
      <c r="S8" s="466">
        <v>49432</v>
      </c>
      <c r="T8" s="495" t="s">
        <v>914</v>
      </c>
      <c r="U8" s="467" t="s">
        <v>364</v>
      </c>
      <c r="V8" s="466" t="s">
        <v>279</v>
      </c>
      <c r="W8" s="467" t="s">
        <v>280</v>
      </c>
      <c r="X8" s="463" t="s">
        <v>349</v>
      </c>
      <c r="Y8" s="364">
        <v>1</v>
      </c>
      <c r="Z8" s="364">
        <v>0</v>
      </c>
      <c r="AA8" s="364">
        <v>0</v>
      </c>
      <c r="AB8" s="454">
        <v>1</v>
      </c>
      <c r="AC8" s="364">
        <v>0</v>
      </c>
      <c r="AD8" s="364">
        <v>0</v>
      </c>
      <c r="AE8" s="364">
        <v>0</v>
      </c>
      <c r="AF8" s="454">
        <v>0</v>
      </c>
      <c r="AG8" s="364">
        <v>0</v>
      </c>
      <c r="AH8" s="364">
        <v>0</v>
      </c>
      <c r="AI8" s="364">
        <v>0</v>
      </c>
      <c r="AJ8" s="454">
        <v>0</v>
      </c>
      <c r="AK8" s="364">
        <v>1</v>
      </c>
      <c r="AL8" s="364">
        <v>0</v>
      </c>
      <c r="AM8" s="364">
        <v>0</v>
      </c>
      <c r="AN8" s="454">
        <v>1</v>
      </c>
      <c r="AP8" s="318" t="s">
        <v>139</v>
      </c>
      <c r="AQ8" s="319">
        <f>Namibiaalltestshistptscon</f>
        <v>4596</v>
      </c>
      <c r="AS8" s="318" t="s">
        <v>139</v>
      </c>
      <c r="AT8" s="319">
        <f>NamibiaRWChistptsagainst</f>
        <v>1578</v>
      </c>
    </row>
    <row r="9" spans="1:46" ht="14.95" customHeight="1" thickBot="1" x14ac:dyDescent="0.3">
      <c r="A9" s="266"/>
      <c r="B9" s="267"/>
      <c r="C9" s="1021" t="s">
        <v>166</v>
      </c>
      <c r="D9" s="1022"/>
      <c r="E9" s="1023"/>
      <c r="F9" s="682">
        <f>SUM(F3:F4)</f>
        <v>46</v>
      </c>
      <c r="G9" s="682">
        <f>SUM(G3:G4)</f>
        <v>52</v>
      </c>
      <c r="H9" s="682" t="s">
        <v>106</v>
      </c>
      <c r="I9" s="682" t="s">
        <v>106</v>
      </c>
      <c r="J9" s="682">
        <f t="shared" ref="J9:O9" si="0">SUM(J3:J4)</f>
        <v>7</v>
      </c>
      <c r="K9" s="682">
        <f t="shared" si="0"/>
        <v>4</v>
      </c>
      <c r="L9" s="682">
        <f t="shared" si="0"/>
        <v>0</v>
      </c>
      <c r="M9" s="682">
        <f t="shared" si="0"/>
        <v>1</v>
      </c>
      <c r="N9" s="682">
        <f t="shared" si="0"/>
        <v>1</v>
      </c>
      <c r="O9" s="682">
        <f t="shared" si="0"/>
        <v>0</v>
      </c>
      <c r="P9" s="682" t="s">
        <v>106</v>
      </c>
      <c r="Q9" s="682" t="s">
        <v>106</v>
      </c>
      <c r="R9" s="682">
        <f>SUM(R3:R4)</f>
        <v>8</v>
      </c>
      <c r="S9" s="683"/>
      <c r="T9" s="785"/>
      <c r="U9" s="683"/>
      <c r="V9" s="683"/>
      <c r="W9" s="683"/>
      <c r="X9" s="786" t="s">
        <v>166</v>
      </c>
      <c r="Y9" s="787">
        <f t="shared" ref="Y9:AN9" si="1">SUM(Y3:Y4)</f>
        <v>2</v>
      </c>
      <c r="Z9" s="787">
        <f t="shared" si="1"/>
        <v>1</v>
      </c>
      <c r="AA9" s="787">
        <f t="shared" si="1"/>
        <v>0</v>
      </c>
      <c r="AB9" s="787">
        <f t="shared" si="1"/>
        <v>1</v>
      </c>
      <c r="AC9" s="788">
        <f t="shared" si="1"/>
        <v>0</v>
      </c>
      <c r="AD9" s="788">
        <f t="shared" si="1"/>
        <v>0</v>
      </c>
      <c r="AE9" s="788">
        <f t="shared" si="1"/>
        <v>0</v>
      </c>
      <c r="AF9" s="788">
        <f t="shared" si="1"/>
        <v>0</v>
      </c>
      <c r="AG9" s="789">
        <f t="shared" si="1"/>
        <v>2</v>
      </c>
      <c r="AH9" s="789">
        <f t="shared" si="1"/>
        <v>1</v>
      </c>
      <c r="AI9" s="789">
        <f t="shared" si="1"/>
        <v>0</v>
      </c>
      <c r="AJ9" s="789">
        <f t="shared" si="1"/>
        <v>1</v>
      </c>
      <c r="AK9" s="787">
        <f t="shared" si="1"/>
        <v>0</v>
      </c>
      <c r="AL9" s="787">
        <f t="shared" si="1"/>
        <v>0</v>
      </c>
      <c r="AM9" s="787">
        <f t="shared" si="1"/>
        <v>0</v>
      </c>
      <c r="AN9" s="787">
        <f t="shared" si="1"/>
        <v>0</v>
      </c>
      <c r="AP9" s="318" t="s">
        <v>129</v>
      </c>
      <c r="AQ9" s="319">
        <f>Namibiaalltestshisttriesscored</f>
        <v>713</v>
      </c>
      <c r="AS9" s="318" t="s">
        <v>129</v>
      </c>
      <c r="AT9" s="319">
        <f>NamibiaRWChisttriesscored</f>
        <v>30</v>
      </c>
    </row>
    <row r="10" spans="1:46" ht="14.95" customHeight="1" thickBot="1" x14ac:dyDescent="0.3">
      <c r="A10" s="266"/>
      <c r="B10" s="267"/>
      <c r="C10" s="940" t="s">
        <v>625</v>
      </c>
      <c r="D10" s="941"/>
      <c r="E10" s="942"/>
      <c r="F10" s="708">
        <f t="shared" ref="F10:R10" si="2">SUM(F5:F8)</f>
        <v>37</v>
      </c>
      <c r="G10" s="708">
        <f t="shared" si="2"/>
        <v>255</v>
      </c>
      <c r="H10" s="708">
        <f t="shared" si="2"/>
        <v>0</v>
      </c>
      <c r="I10" s="708">
        <f t="shared" si="2"/>
        <v>0</v>
      </c>
      <c r="J10" s="708">
        <f t="shared" si="2"/>
        <v>3</v>
      </c>
      <c r="K10" s="708">
        <f t="shared" si="2"/>
        <v>2</v>
      </c>
      <c r="L10" s="708">
        <f t="shared" si="2"/>
        <v>0</v>
      </c>
      <c r="M10" s="708">
        <f t="shared" si="2"/>
        <v>6</v>
      </c>
      <c r="N10" s="708">
        <f t="shared" si="2"/>
        <v>4</v>
      </c>
      <c r="O10" s="708">
        <f t="shared" si="2"/>
        <v>2</v>
      </c>
      <c r="P10" s="708">
        <f t="shared" si="2"/>
        <v>4</v>
      </c>
      <c r="Q10" s="708">
        <f t="shared" si="2"/>
        <v>0</v>
      </c>
      <c r="R10" s="708">
        <f t="shared" si="2"/>
        <v>37</v>
      </c>
      <c r="S10" s="709"/>
      <c r="T10" s="709"/>
      <c r="U10" s="709"/>
      <c r="V10" s="709"/>
      <c r="W10" s="710"/>
      <c r="X10" s="711" t="s">
        <v>625</v>
      </c>
      <c r="Y10" s="712">
        <f t="shared" ref="Y10:AN10" si="3">SUM(Y5:Y8)</f>
        <v>4</v>
      </c>
      <c r="Z10" s="708">
        <f t="shared" si="3"/>
        <v>0</v>
      </c>
      <c r="AA10" s="708">
        <f t="shared" si="3"/>
        <v>0</v>
      </c>
      <c r="AB10" s="708">
        <f t="shared" si="3"/>
        <v>4</v>
      </c>
      <c r="AC10" s="713">
        <f t="shared" si="3"/>
        <v>0</v>
      </c>
      <c r="AD10" s="713">
        <f t="shared" si="3"/>
        <v>0</v>
      </c>
      <c r="AE10" s="713">
        <f t="shared" si="3"/>
        <v>0</v>
      </c>
      <c r="AF10" s="713">
        <f t="shared" si="3"/>
        <v>0</v>
      </c>
      <c r="AG10" s="714">
        <f t="shared" si="3"/>
        <v>1</v>
      </c>
      <c r="AH10" s="714">
        <f t="shared" si="3"/>
        <v>0</v>
      </c>
      <c r="AI10" s="714">
        <f t="shared" si="3"/>
        <v>0</v>
      </c>
      <c r="AJ10" s="714">
        <f t="shared" si="3"/>
        <v>1</v>
      </c>
      <c r="AK10" s="708">
        <f t="shared" si="3"/>
        <v>3</v>
      </c>
      <c r="AL10" s="708">
        <f t="shared" si="3"/>
        <v>0</v>
      </c>
      <c r="AM10" s="708">
        <f t="shared" si="3"/>
        <v>0</v>
      </c>
      <c r="AN10" s="708">
        <f t="shared" si="3"/>
        <v>3</v>
      </c>
    </row>
    <row r="11" spans="1:46" ht="14.95" customHeight="1" thickBot="1" x14ac:dyDescent="0.3">
      <c r="A11" s="266"/>
      <c r="B11" s="267"/>
      <c r="C11" s="940" t="s">
        <v>626</v>
      </c>
      <c r="D11" s="943"/>
      <c r="E11" s="944"/>
      <c r="F11" s="708">
        <v>0</v>
      </c>
      <c r="G11" s="708">
        <v>0</v>
      </c>
      <c r="H11" s="708">
        <v>0</v>
      </c>
      <c r="I11" s="708">
        <v>0</v>
      </c>
      <c r="J11" s="708">
        <v>0</v>
      </c>
      <c r="K11" s="708">
        <v>0</v>
      </c>
      <c r="L11" s="708">
        <v>0</v>
      </c>
      <c r="M11" s="708">
        <v>0</v>
      </c>
      <c r="N11" s="708">
        <v>0</v>
      </c>
      <c r="O11" s="708">
        <v>0</v>
      </c>
      <c r="P11" s="708">
        <v>0</v>
      </c>
      <c r="Q11" s="708">
        <v>0</v>
      </c>
      <c r="R11" s="708">
        <v>0</v>
      </c>
      <c r="S11" s="709"/>
      <c r="T11" s="709"/>
      <c r="U11" s="709"/>
      <c r="V11" s="709"/>
      <c r="W11" s="710"/>
      <c r="X11" s="711" t="s">
        <v>626</v>
      </c>
      <c r="Y11" s="712">
        <v>0</v>
      </c>
      <c r="Z11" s="708">
        <v>0</v>
      </c>
      <c r="AA11" s="708">
        <v>0</v>
      </c>
      <c r="AB11" s="708">
        <v>0</v>
      </c>
      <c r="AC11" s="713">
        <v>0</v>
      </c>
      <c r="AD11" s="713">
        <v>0</v>
      </c>
      <c r="AE11" s="713">
        <v>0</v>
      </c>
      <c r="AF11" s="713">
        <v>0</v>
      </c>
      <c r="AG11" s="714">
        <v>0</v>
      </c>
      <c r="AH11" s="714">
        <v>0</v>
      </c>
      <c r="AI11" s="714">
        <v>0</v>
      </c>
      <c r="AJ11" s="714">
        <v>0</v>
      </c>
      <c r="AK11" s="708">
        <v>0</v>
      </c>
      <c r="AL11" s="708">
        <v>0</v>
      </c>
      <c r="AM11" s="708">
        <v>0</v>
      </c>
      <c r="AN11" s="708">
        <v>0</v>
      </c>
    </row>
    <row r="12" spans="1:46" ht="14.95" customHeight="1" thickBot="1" x14ac:dyDescent="0.3">
      <c r="A12" s="266"/>
      <c r="B12" s="267"/>
      <c r="C12" s="940" t="s">
        <v>627</v>
      </c>
      <c r="D12" s="943"/>
      <c r="E12" s="944"/>
      <c r="F12" s="708">
        <f>SUM(F10+F11)</f>
        <v>37</v>
      </c>
      <c r="G12" s="708">
        <f t="shared" ref="G12:R12" si="4">SUM(G10+G11)</f>
        <v>255</v>
      </c>
      <c r="H12" s="708">
        <f t="shared" si="4"/>
        <v>0</v>
      </c>
      <c r="I12" s="708">
        <f t="shared" si="4"/>
        <v>0</v>
      </c>
      <c r="J12" s="708">
        <f t="shared" si="4"/>
        <v>3</v>
      </c>
      <c r="K12" s="708">
        <f t="shared" si="4"/>
        <v>2</v>
      </c>
      <c r="L12" s="708">
        <f t="shared" si="4"/>
        <v>0</v>
      </c>
      <c r="M12" s="708">
        <f t="shared" si="4"/>
        <v>6</v>
      </c>
      <c r="N12" s="708">
        <f t="shared" si="4"/>
        <v>4</v>
      </c>
      <c r="O12" s="708">
        <f t="shared" si="4"/>
        <v>2</v>
      </c>
      <c r="P12" s="708">
        <f t="shared" si="4"/>
        <v>4</v>
      </c>
      <c r="Q12" s="708">
        <f t="shared" si="4"/>
        <v>0</v>
      </c>
      <c r="R12" s="708">
        <f t="shared" si="4"/>
        <v>37</v>
      </c>
      <c r="S12" s="709"/>
      <c r="T12" s="709"/>
      <c r="U12" s="709"/>
      <c r="V12" s="709"/>
      <c r="W12" s="710"/>
      <c r="X12" s="711" t="s">
        <v>627</v>
      </c>
      <c r="Y12" s="712">
        <f t="shared" ref="Y12:AN12" si="5">SUM(Y10+Y11)</f>
        <v>4</v>
      </c>
      <c r="Z12" s="708">
        <f t="shared" si="5"/>
        <v>0</v>
      </c>
      <c r="AA12" s="708">
        <f t="shared" si="5"/>
        <v>0</v>
      </c>
      <c r="AB12" s="708">
        <f t="shared" si="5"/>
        <v>4</v>
      </c>
      <c r="AC12" s="713">
        <f t="shared" si="5"/>
        <v>0</v>
      </c>
      <c r="AD12" s="713">
        <f t="shared" si="5"/>
        <v>0</v>
      </c>
      <c r="AE12" s="713">
        <f t="shared" si="5"/>
        <v>0</v>
      </c>
      <c r="AF12" s="713">
        <f t="shared" si="5"/>
        <v>0</v>
      </c>
      <c r="AG12" s="714">
        <f t="shared" si="5"/>
        <v>1</v>
      </c>
      <c r="AH12" s="714">
        <f t="shared" si="5"/>
        <v>0</v>
      </c>
      <c r="AI12" s="714">
        <f t="shared" si="5"/>
        <v>0</v>
      </c>
      <c r="AJ12" s="714">
        <f t="shared" si="5"/>
        <v>1</v>
      </c>
      <c r="AK12" s="708">
        <f t="shared" si="5"/>
        <v>3</v>
      </c>
      <c r="AL12" s="708">
        <f t="shared" si="5"/>
        <v>0</v>
      </c>
      <c r="AM12" s="708">
        <f t="shared" si="5"/>
        <v>0</v>
      </c>
      <c r="AN12" s="708">
        <f t="shared" si="5"/>
        <v>3</v>
      </c>
    </row>
    <row r="13" spans="1:46" ht="14.95" customHeight="1" thickBot="1" x14ac:dyDescent="0.3">
      <c r="A13" s="522"/>
      <c r="C13" s="946" t="s">
        <v>107</v>
      </c>
      <c r="D13" s="947"/>
      <c r="E13" s="948"/>
      <c r="F13" s="343">
        <f t="shared" ref="F13:R13" si="6">SUM(F3:F8)</f>
        <v>83</v>
      </c>
      <c r="G13" s="343">
        <f t="shared" si="6"/>
        <v>307</v>
      </c>
      <c r="H13" s="343">
        <f t="shared" si="6"/>
        <v>0</v>
      </c>
      <c r="I13" s="343">
        <f t="shared" si="6"/>
        <v>0</v>
      </c>
      <c r="J13" s="343">
        <f t="shared" si="6"/>
        <v>10</v>
      </c>
      <c r="K13" s="343">
        <f t="shared" si="6"/>
        <v>6</v>
      </c>
      <c r="L13" s="343">
        <f t="shared" si="6"/>
        <v>0</v>
      </c>
      <c r="M13" s="343">
        <f t="shared" si="6"/>
        <v>7</v>
      </c>
      <c r="N13" s="343">
        <f t="shared" si="6"/>
        <v>5</v>
      </c>
      <c r="O13" s="343">
        <f t="shared" si="6"/>
        <v>2</v>
      </c>
      <c r="P13" s="343">
        <f t="shared" si="6"/>
        <v>4</v>
      </c>
      <c r="Q13" s="343">
        <f t="shared" si="6"/>
        <v>0</v>
      </c>
      <c r="R13" s="343">
        <f t="shared" si="6"/>
        <v>45</v>
      </c>
      <c r="S13" s="340"/>
      <c r="T13" s="340"/>
      <c r="U13" s="340"/>
      <c r="V13" s="340"/>
      <c r="W13" s="13"/>
      <c r="X13" s="364" t="s">
        <v>107</v>
      </c>
      <c r="Y13" s="343">
        <f t="shared" ref="Y13:AN13" si="7">SUM(Y3:Y8)</f>
        <v>6</v>
      </c>
      <c r="Z13" s="343">
        <f t="shared" si="7"/>
        <v>1</v>
      </c>
      <c r="AA13" s="343">
        <f t="shared" si="7"/>
        <v>0</v>
      </c>
      <c r="AB13" s="343">
        <f t="shared" si="7"/>
        <v>5</v>
      </c>
      <c r="AC13" s="341">
        <f t="shared" si="7"/>
        <v>0</v>
      </c>
      <c r="AD13" s="341">
        <f t="shared" si="7"/>
        <v>0</v>
      </c>
      <c r="AE13" s="341">
        <f t="shared" si="7"/>
        <v>0</v>
      </c>
      <c r="AF13" s="341">
        <f t="shared" si="7"/>
        <v>0</v>
      </c>
      <c r="AG13" s="342">
        <f t="shared" si="7"/>
        <v>3</v>
      </c>
      <c r="AH13" s="342">
        <f t="shared" si="7"/>
        <v>1</v>
      </c>
      <c r="AI13" s="342">
        <f t="shared" si="7"/>
        <v>0</v>
      </c>
      <c r="AJ13" s="342">
        <f t="shared" si="7"/>
        <v>2</v>
      </c>
      <c r="AK13" s="343">
        <f t="shared" si="7"/>
        <v>3</v>
      </c>
      <c r="AL13" s="343">
        <f t="shared" si="7"/>
        <v>0</v>
      </c>
      <c r="AM13" s="343">
        <f t="shared" si="7"/>
        <v>0</v>
      </c>
      <c r="AN13" s="343">
        <f t="shared" si="7"/>
        <v>3</v>
      </c>
    </row>
    <row r="14" spans="1:46" ht="14.95" customHeight="1" x14ac:dyDescent="0.25">
      <c r="A14" s="522"/>
      <c r="B14" s="14"/>
      <c r="C14" s="677"/>
      <c r="D14" s="677"/>
      <c r="E14" s="677"/>
      <c r="F14" s="678"/>
      <c r="G14" s="678"/>
      <c r="H14" s="678"/>
      <c r="I14" s="678"/>
      <c r="J14" s="678"/>
      <c r="K14" s="678"/>
      <c r="L14" s="678"/>
      <c r="M14" s="678"/>
      <c r="N14" s="678"/>
      <c r="O14" s="678"/>
      <c r="P14" s="678"/>
      <c r="Q14" s="678"/>
      <c r="R14" s="678"/>
      <c r="S14" s="679"/>
      <c r="T14" s="679"/>
      <c r="U14" s="679"/>
      <c r="V14" s="679"/>
      <c r="W14" s="13"/>
      <c r="X14" s="13"/>
      <c r="Y14" s="678"/>
      <c r="Z14" s="678"/>
      <c r="AA14" s="678"/>
      <c r="AB14" s="678"/>
      <c r="AC14" s="678"/>
      <c r="AD14" s="678"/>
      <c r="AE14" s="678"/>
      <c r="AF14" s="678"/>
      <c r="AG14" s="678"/>
      <c r="AH14" s="678"/>
      <c r="AI14" s="678"/>
      <c r="AJ14" s="678"/>
      <c r="AK14" s="678"/>
      <c r="AL14" s="678"/>
      <c r="AM14" s="678"/>
      <c r="AN14" s="678"/>
    </row>
    <row r="15" spans="1:46" ht="14.95" customHeight="1" x14ac:dyDescent="0.25">
      <c r="A15" s="965" t="s">
        <v>660</v>
      </c>
      <c r="B15" s="1081"/>
      <c r="C15" s="1081"/>
      <c r="D15" s="1081"/>
      <c r="E15" s="1081"/>
      <c r="F15" s="1081"/>
      <c r="G15" s="1081"/>
      <c r="H15" s="1081"/>
      <c r="I15" s="1081"/>
      <c r="J15" s="1081"/>
      <c r="K15" s="1081"/>
      <c r="L15" s="1081"/>
      <c r="M15" s="1081"/>
      <c r="N15" s="1081"/>
      <c r="O15" s="1081"/>
      <c r="P15" s="1081"/>
      <c r="Q15" s="1081"/>
      <c r="R15" s="1081"/>
      <c r="S15" s="1081"/>
      <c r="T15" s="1081"/>
      <c r="U15" s="1081"/>
      <c r="V15" s="1081"/>
      <c r="W15" s="1081"/>
      <c r="X15" s="1081"/>
      <c r="Y15" s="1081"/>
      <c r="Z15" s="1081"/>
      <c r="AA15" s="1081"/>
      <c r="AB15" s="1081"/>
      <c r="AC15" s="1081"/>
      <c r="AD15" s="1081"/>
      <c r="AE15" s="1081"/>
      <c r="AF15" s="1081"/>
      <c r="AG15" s="1081"/>
      <c r="AH15" s="1081"/>
      <c r="AI15" s="1081"/>
      <c r="AJ15" s="1081"/>
      <c r="AK15" s="1081"/>
      <c r="AL15" s="1081"/>
      <c r="AM15" s="1081"/>
      <c r="AN15" s="1081"/>
    </row>
    <row r="16" spans="1:46" ht="14.95" customHeight="1" x14ac:dyDescent="0.25">
      <c r="A16" s="965" t="s">
        <v>658</v>
      </c>
      <c r="B16" s="886"/>
      <c r="C16" s="886"/>
      <c r="D16" s="886"/>
      <c r="E16" s="886"/>
      <c r="F16" s="886"/>
      <c r="G16" s="886"/>
      <c r="H16" s="886"/>
      <c r="I16" s="886"/>
      <c r="J16" s="886"/>
      <c r="K16" s="886"/>
      <c r="L16" s="886"/>
      <c r="M16" s="886"/>
      <c r="N16" s="886"/>
      <c r="O16" s="886"/>
      <c r="P16" s="886"/>
      <c r="Q16" s="886"/>
      <c r="R16" s="886"/>
      <c r="S16" s="886"/>
      <c r="T16" s="886"/>
      <c r="U16" s="886"/>
      <c r="V16" s="886"/>
      <c r="W16" s="886"/>
      <c r="X16" s="886"/>
      <c r="Y16" s="886"/>
      <c r="Z16" s="886"/>
      <c r="AA16" s="886"/>
      <c r="AB16" s="886"/>
      <c r="AC16" s="886"/>
      <c r="AD16" s="886"/>
      <c r="AE16" s="886"/>
      <c r="AF16" s="886"/>
      <c r="AG16" s="886"/>
      <c r="AH16" s="886"/>
      <c r="AI16" s="886"/>
      <c r="AJ16" s="886"/>
      <c r="AK16" s="886"/>
      <c r="AL16" s="886"/>
      <c r="AM16" s="886"/>
      <c r="AN16" s="886"/>
    </row>
    <row r="17" spans="1:40" ht="14.95" customHeight="1" x14ac:dyDescent="0.25">
      <c r="A17" s="965" t="s">
        <v>659</v>
      </c>
      <c r="B17" s="886"/>
      <c r="C17" s="886"/>
      <c r="D17" s="886"/>
      <c r="E17" s="886"/>
      <c r="F17" s="886"/>
      <c r="G17" s="886"/>
      <c r="H17" s="886"/>
      <c r="I17" s="886"/>
      <c r="J17" s="886"/>
      <c r="K17" s="886"/>
      <c r="L17" s="886"/>
      <c r="M17" s="886"/>
      <c r="N17" s="886"/>
      <c r="O17" s="886"/>
      <c r="P17" s="886"/>
      <c r="Q17" s="886"/>
      <c r="R17" s="886"/>
      <c r="S17" s="886"/>
      <c r="T17" s="886"/>
      <c r="U17" s="886"/>
      <c r="V17" s="886"/>
      <c r="W17" s="886"/>
      <c r="X17" s="886"/>
      <c r="Y17" s="886"/>
      <c r="Z17" s="886"/>
      <c r="AA17" s="886"/>
      <c r="AB17" s="886"/>
      <c r="AC17" s="886"/>
      <c r="AD17" s="886"/>
      <c r="AE17" s="886"/>
      <c r="AF17" s="886"/>
      <c r="AG17" s="886"/>
      <c r="AH17" s="886"/>
      <c r="AI17" s="886"/>
      <c r="AJ17" s="886"/>
      <c r="AK17" s="886"/>
      <c r="AL17" s="886"/>
      <c r="AM17" s="886"/>
      <c r="AN17" s="886"/>
    </row>
    <row r="18" spans="1:40" ht="14.95" customHeight="1" x14ac:dyDescent="0.25">
      <c r="A18" s="965" t="s">
        <v>657</v>
      </c>
      <c r="B18" s="886"/>
      <c r="C18" s="886"/>
      <c r="D18" s="886"/>
      <c r="E18" s="886"/>
      <c r="F18" s="886"/>
      <c r="G18" s="886"/>
      <c r="H18" s="886"/>
      <c r="I18" s="886"/>
      <c r="J18" s="886"/>
      <c r="K18" s="886"/>
      <c r="L18" s="886"/>
      <c r="M18" s="886"/>
      <c r="N18" s="886"/>
      <c r="O18" s="886"/>
      <c r="P18" s="886"/>
      <c r="Q18" s="886"/>
      <c r="R18" s="886"/>
      <c r="S18" s="886"/>
      <c r="T18" s="886"/>
      <c r="U18" s="886"/>
      <c r="V18" s="886"/>
      <c r="W18" s="886"/>
      <c r="X18" s="886"/>
      <c r="Y18" s="886"/>
      <c r="Z18" s="886"/>
      <c r="AA18" s="886"/>
      <c r="AB18" s="886"/>
      <c r="AC18" s="886"/>
      <c r="AD18" s="886"/>
      <c r="AE18" s="886"/>
      <c r="AF18" s="886"/>
      <c r="AG18" s="886"/>
      <c r="AH18" s="886"/>
      <c r="AI18" s="886"/>
      <c r="AJ18" s="886"/>
      <c r="AK18" s="886"/>
      <c r="AL18" s="886"/>
      <c r="AM18" s="886"/>
      <c r="AN18" s="886"/>
    </row>
    <row r="19" spans="1:40" ht="14.95" customHeight="1" x14ac:dyDescent="0.25">
      <c r="A19" s="965" t="s">
        <v>163</v>
      </c>
      <c r="B19" s="886"/>
      <c r="C19" s="886"/>
      <c r="D19" s="886"/>
      <c r="E19" s="886"/>
      <c r="F19" s="886"/>
      <c r="G19" s="886"/>
      <c r="H19" s="886"/>
      <c r="I19" s="886"/>
      <c r="J19" s="886"/>
      <c r="K19" s="886"/>
      <c r="L19" s="886"/>
      <c r="M19" s="886"/>
      <c r="N19" s="886"/>
      <c r="O19" s="886"/>
      <c r="P19" s="886"/>
      <c r="Q19" s="886"/>
      <c r="R19" s="886"/>
      <c r="S19" s="886"/>
      <c r="T19" s="886"/>
      <c r="U19" s="886"/>
      <c r="V19" s="886"/>
      <c r="W19" s="886"/>
      <c r="X19" s="886"/>
      <c r="Y19" s="886"/>
      <c r="Z19" s="886"/>
      <c r="AA19" s="886"/>
      <c r="AB19" s="886"/>
      <c r="AC19" s="886"/>
      <c r="AD19" s="886"/>
      <c r="AE19" s="886"/>
      <c r="AF19" s="886"/>
      <c r="AG19" s="886"/>
      <c r="AH19" s="886"/>
      <c r="AI19" s="886"/>
      <c r="AJ19" s="886"/>
      <c r="AK19" s="886"/>
      <c r="AL19" s="886"/>
      <c r="AM19" s="886"/>
      <c r="AN19" s="886"/>
    </row>
    <row r="20" spans="1:40" ht="14.95" customHeight="1" x14ac:dyDescent="0.25">
      <c r="A20" s="575"/>
      <c r="B20" t="s">
        <v>44</v>
      </c>
    </row>
    <row r="21" spans="1:40" ht="14.95" customHeight="1" x14ac:dyDescent="0.25">
      <c r="A21" s="576"/>
      <c r="B21" t="s">
        <v>42</v>
      </c>
    </row>
    <row r="22" spans="1:40" ht="14.95" customHeight="1" x14ac:dyDescent="0.25">
      <c r="A22" s="577"/>
      <c r="B22" t="s">
        <v>43</v>
      </c>
    </row>
    <row r="23" spans="1:40" ht="14.95" customHeight="1" x14ac:dyDescent="0.25">
      <c r="A23" s="15" t="s">
        <v>28</v>
      </c>
    </row>
  </sheetData>
  <mergeCells count="20">
    <mergeCell ref="AK1:AN1"/>
    <mergeCell ref="C13:E13"/>
    <mergeCell ref="P1:R1"/>
    <mergeCell ref="A1:C1"/>
    <mergeCell ref="E1:G1"/>
    <mergeCell ref="H1:I1"/>
    <mergeCell ref="J1:M1"/>
    <mergeCell ref="N1:O1"/>
    <mergeCell ref="Y1:AB1"/>
    <mergeCell ref="AC1:AF1"/>
    <mergeCell ref="AG1:AJ1"/>
    <mergeCell ref="C10:E10"/>
    <mergeCell ref="C11:E11"/>
    <mergeCell ref="C12:E12"/>
    <mergeCell ref="C9:E9"/>
    <mergeCell ref="A19:AN19"/>
    <mergeCell ref="A15:AN15"/>
    <mergeCell ref="A16:AN16"/>
    <mergeCell ref="A17:AN17"/>
    <mergeCell ref="A18:AN1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T32"/>
  <sheetViews>
    <sheetView topLeftCell="G1" zoomScaleNormal="100" workbookViewId="0">
      <pane ySplit="2" topLeftCell="A3" activePane="bottomLeft" state="frozen"/>
      <selection pane="bottomLeft" activeCell="S14" sqref="S14:X14"/>
    </sheetView>
  </sheetViews>
  <sheetFormatPr defaultRowHeight="14.3" x14ac:dyDescent="0.25"/>
  <cols>
    <col min="1" max="1" width="7.5" customWidth="1"/>
    <col min="2" max="2" width="5.125" bestFit="1" customWidth="1"/>
    <col min="3" max="3" width="11.5" customWidth="1"/>
    <col min="4" max="4" width="4.5" bestFit="1" customWidth="1"/>
    <col min="5" max="5" width="3.625" customWidth="1"/>
    <col min="6" max="7" width="4" bestFit="1" customWidth="1"/>
    <col min="8" max="18" width="3.625" customWidth="1"/>
    <col min="19" max="19" width="6.375" customWidth="1"/>
    <col min="20" max="20" width="6.625" bestFit="1" customWidth="1"/>
    <col min="21" max="21" width="21.625" bestFit="1" customWidth="1"/>
    <col min="22" max="22" width="31" bestFit="1" customWidth="1"/>
    <col min="23" max="23" width="21.5" customWidth="1"/>
    <col min="24" max="24" width="30.5" customWidth="1"/>
    <col min="25" max="40" width="3.625" customWidth="1"/>
    <col min="42" max="42" width="13.125" bestFit="1" customWidth="1"/>
    <col min="45" max="45" width="13.125" bestFit="1" customWidth="1"/>
  </cols>
  <sheetData>
    <row r="1" spans="1:46" ht="14.95" customHeight="1" thickBot="1" x14ac:dyDescent="0.3">
      <c r="A1" s="1096" t="s">
        <v>212</v>
      </c>
      <c r="B1" s="1097"/>
      <c r="C1" s="1097"/>
      <c r="D1" s="144"/>
      <c r="E1" s="1098" t="s">
        <v>24</v>
      </c>
      <c r="F1" s="1099"/>
      <c r="G1" s="1100"/>
      <c r="H1" s="1098" t="s">
        <v>23</v>
      </c>
      <c r="I1" s="1100"/>
      <c r="J1" s="1093" t="s">
        <v>6</v>
      </c>
      <c r="K1" s="1095"/>
      <c r="L1" s="1095"/>
      <c r="M1" s="1094"/>
      <c r="N1" s="1093" t="s">
        <v>7</v>
      </c>
      <c r="O1" s="1094"/>
      <c r="P1" s="1093" t="s">
        <v>25</v>
      </c>
      <c r="Q1" s="1095"/>
      <c r="R1" s="1094"/>
      <c r="S1" s="348" t="s">
        <v>8</v>
      </c>
      <c r="T1" s="348" t="s">
        <v>9</v>
      </c>
      <c r="U1" s="84" t="s">
        <v>10</v>
      </c>
      <c r="V1" s="83" t="s">
        <v>11</v>
      </c>
      <c r="W1" s="85" t="s">
        <v>26</v>
      </c>
      <c r="X1" s="154" t="s">
        <v>27</v>
      </c>
      <c r="Y1" s="1091" t="s">
        <v>20</v>
      </c>
      <c r="Z1" s="1092"/>
      <c r="AA1" s="1092"/>
      <c r="AB1" s="1092"/>
      <c r="AC1" s="1091" t="s">
        <v>61</v>
      </c>
      <c r="AD1" s="1092"/>
      <c r="AE1" s="1092"/>
      <c r="AF1" s="1092"/>
      <c r="AG1" s="1091" t="s">
        <v>62</v>
      </c>
      <c r="AH1" s="1092"/>
      <c r="AI1" s="1092"/>
      <c r="AJ1" s="1092"/>
      <c r="AK1" s="1091" t="s">
        <v>63</v>
      </c>
      <c r="AL1" s="1092"/>
      <c r="AM1" s="1092"/>
      <c r="AN1" s="1092"/>
      <c r="AP1" s="331" t="s">
        <v>151</v>
      </c>
      <c r="AQ1" s="322"/>
      <c r="AR1" s="322"/>
      <c r="AS1" s="331" t="s">
        <v>151</v>
      </c>
    </row>
    <row r="2" spans="1:46" ht="14.95" customHeight="1" thickBot="1" x14ac:dyDescent="0.3">
      <c r="A2" s="86" t="s">
        <v>19</v>
      </c>
      <c r="B2" s="87" t="s">
        <v>18</v>
      </c>
      <c r="C2" s="88" t="s">
        <v>17</v>
      </c>
      <c r="D2" s="89" t="s">
        <v>41</v>
      </c>
      <c r="E2" s="89" t="s">
        <v>16</v>
      </c>
      <c r="F2" s="89" t="s">
        <v>4</v>
      </c>
      <c r="G2" s="89" t="s">
        <v>5</v>
      </c>
      <c r="H2" s="90" t="s">
        <v>12</v>
      </c>
      <c r="I2" s="90" t="s">
        <v>3</v>
      </c>
      <c r="J2" s="90" t="s">
        <v>12</v>
      </c>
      <c r="K2" s="90" t="s">
        <v>13</v>
      </c>
      <c r="L2" s="90" t="s">
        <v>2</v>
      </c>
      <c r="M2" s="90" t="s">
        <v>14</v>
      </c>
      <c r="N2" s="90" t="s">
        <v>15</v>
      </c>
      <c r="O2" s="90" t="s">
        <v>16</v>
      </c>
      <c r="P2" s="90" t="s">
        <v>21</v>
      </c>
      <c r="Q2" s="90" t="s">
        <v>22</v>
      </c>
      <c r="R2" s="90" t="s">
        <v>12</v>
      </c>
      <c r="S2" s="91"/>
      <c r="T2" s="92"/>
      <c r="U2" s="93"/>
      <c r="V2" s="91"/>
      <c r="W2" s="94"/>
      <c r="X2" s="95"/>
      <c r="Y2" s="287" t="s">
        <v>0</v>
      </c>
      <c r="Z2" s="287" t="s">
        <v>1</v>
      </c>
      <c r="AA2" s="287" t="s">
        <v>2</v>
      </c>
      <c r="AB2" s="287" t="s">
        <v>3</v>
      </c>
      <c r="AC2" s="287" t="s">
        <v>0</v>
      </c>
      <c r="AD2" s="287" t="s">
        <v>1</v>
      </c>
      <c r="AE2" s="287" t="s">
        <v>2</v>
      </c>
      <c r="AF2" s="287" t="s">
        <v>3</v>
      </c>
      <c r="AG2" s="287" t="s">
        <v>0</v>
      </c>
      <c r="AH2" s="287" t="s">
        <v>1</v>
      </c>
      <c r="AI2" s="287" t="s">
        <v>2</v>
      </c>
      <c r="AJ2" s="287" t="s">
        <v>3</v>
      </c>
      <c r="AK2" s="287" t="s">
        <v>0</v>
      </c>
      <c r="AL2" s="287" t="s">
        <v>1</v>
      </c>
      <c r="AM2" s="287" t="s">
        <v>2</v>
      </c>
      <c r="AN2" s="287" t="s">
        <v>3</v>
      </c>
      <c r="AP2" s="305" t="s">
        <v>107</v>
      </c>
      <c r="AQ2" s="189"/>
      <c r="AS2" s="336" t="s">
        <v>128</v>
      </c>
      <c r="AT2" s="189"/>
    </row>
    <row r="3" spans="1:46" ht="14.95" customHeight="1" thickBot="1" x14ac:dyDescent="0.35">
      <c r="A3" s="396" t="s">
        <v>631</v>
      </c>
      <c r="B3" s="398" t="s">
        <v>541</v>
      </c>
      <c r="C3" s="398" t="s">
        <v>37</v>
      </c>
      <c r="D3" s="397" t="s">
        <v>194</v>
      </c>
      <c r="E3" s="399" t="s">
        <v>1</v>
      </c>
      <c r="F3" s="399">
        <v>41</v>
      </c>
      <c r="G3" s="399">
        <v>12</v>
      </c>
      <c r="H3" s="399">
        <v>1</v>
      </c>
      <c r="I3" s="399">
        <v>0</v>
      </c>
      <c r="J3" s="399">
        <v>7</v>
      </c>
      <c r="K3" s="399">
        <v>3</v>
      </c>
      <c r="L3" s="399">
        <v>0</v>
      </c>
      <c r="M3" s="399">
        <v>0</v>
      </c>
      <c r="N3" s="399">
        <v>0</v>
      </c>
      <c r="O3" s="399">
        <v>0</v>
      </c>
      <c r="P3" s="399">
        <v>0</v>
      </c>
      <c r="Q3" s="399">
        <v>0</v>
      </c>
      <c r="R3" s="399">
        <v>2</v>
      </c>
      <c r="S3" s="406">
        <v>40000</v>
      </c>
      <c r="T3" s="407" t="s">
        <v>546</v>
      </c>
      <c r="U3" s="408" t="s">
        <v>265</v>
      </c>
      <c r="V3" s="406" t="s">
        <v>432</v>
      </c>
      <c r="W3" s="401" t="s">
        <v>280</v>
      </c>
      <c r="X3" s="409" t="s">
        <v>281</v>
      </c>
      <c r="Y3" s="404">
        <v>1</v>
      </c>
      <c r="Z3" s="404">
        <v>1</v>
      </c>
      <c r="AA3" s="404">
        <v>0</v>
      </c>
      <c r="AB3" s="405">
        <v>0</v>
      </c>
      <c r="AC3" s="404">
        <v>0</v>
      </c>
      <c r="AD3" s="404">
        <v>0</v>
      </c>
      <c r="AE3" s="404">
        <v>0</v>
      </c>
      <c r="AF3" s="405">
        <v>0</v>
      </c>
      <c r="AG3" s="404">
        <v>1</v>
      </c>
      <c r="AH3" s="404">
        <v>1</v>
      </c>
      <c r="AI3" s="404">
        <v>0</v>
      </c>
      <c r="AJ3" s="405">
        <v>0</v>
      </c>
      <c r="AK3" s="404">
        <v>0</v>
      </c>
      <c r="AL3" s="404">
        <v>0</v>
      </c>
      <c r="AM3" s="404">
        <v>0</v>
      </c>
      <c r="AN3" s="405">
        <v>0</v>
      </c>
      <c r="AP3" s="316" t="s">
        <v>130</v>
      </c>
      <c r="AQ3" s="317">
        <f>Nzl2019alltestshistplayed</f>
        <v>637</v>
      </c>
      <c r="AS3" s="316" t="s">
        <v>130</v>
      </c>
      <c r="AT3" s="317">
        <f>New_ZealandRWChistplayed</f>
        <v>63</v>
      </c>
    </row>
    <row r="4" spans="1:46" ht="14.95" customHeight="1" thickBot="1" x14ac:dyDescent="0.35">
      <c r="A4" s="423" t="s">
        <v>632</v>
      </c>
      <c r="B4" s="424" t="s">
        <v>541</v>
      </c>
      <c r="C4" s="424" t="s">
        <v>170</v>
      </c>
      <c r="D4" s="436" t="s">
        <v>127</v>
      </c>
      <c r="E4" s="425" t="s">
        <v>1</v>
      </c>
      <c r="F4" s="425">
        <v>35</v>
      </c>
      <c r="G4" s="425">
        <v>20</v>
      </c>
      <c r="H4" s="425">
        <v>0</v>
      </c>
      <c r="I4" s="425">
        <v>0</v>
      </c>
      <c r="J4" s="425">
        <v>4</v>
      </c>
      <c r="K4" s="425">
        <v>3</v>
      </c>
      <c r="L4" s="425">
        <v>0</v>
      </c>
      <c r="M4" s="425">
        <v>3</v>
      </c>
      <c r="N4" s="425">
        <v>0</v>
      </c>
      <c r="O4" s="425">
        <v>0</v>
      </c>
      <c r="P4" s="425">
        <v>0</v>
      </c>
      <c r="Q4" s="425">
        <v>0</v>
      </c>
      <c r="R4" s="425">
        <v>3</v>
      </c>
      <c r="S4" s="426">
        <v>31265</v>
      </c>
      <c r="T4" s="438" t="s">
        <v>577</v>
      </c>
      <c r="U4" s="429" t="s">
        <v>364</v>
      </c>
      <c r="V4" s="426" t="s">
        <v>279</v>
      </c>
      <c r="W4" s="429" t="s">
        <v>265</v>
      </c>
      <c r="X4" s="430" t="s">
        <v>467</v>
      </c>
      <c r="Y4" s="431">
        <v>1</v>
      </c>
      <c r="Z4" s="431">
        <v>1</v>
      </c>
      <c r="AA4" s="431">
        <v>0</v>
      </c>
      <c r="AB4" s="432">
        <v>0</v>
      </c>
      <c r="AC4" s="431">
        <v>1</v>
      </c>
      <c r="AD4" s="431">
        <v>1</v>
      </c>
      <c r="AE4" s="431">
        <v>0</v>
      </c>
      <c r="AF4" s="432">
        <v>0</v>
      </c>
      <c r="AG4" s="431">
        <v>0</v>
      </c>
      <c r="AH4" s="431">
        <v>0</v>
      </c>
      <c r="AI4" s="431">
        <v>0</v>
      </c>
      <c r="AJ4" s="432">
        <v>0</v>
      </c>
      <c r="AK4" s="431">
        <v>0</v>
      </c>
      <c r="AL4" s="431">
        <v>0</v>
      </c>
      <c r="AM4" s="431">
        <v>0</v>
      </c>
      <c r="AN4" s="432">
        <v>0</v>
      </c>
      <c r="AP4" s="318" t="s">
        <v>131</v>
      </c>
      <c r="AQ4" s="319">
        <f>Nzl2019alltestshistwon</f>
        <v>489</v>
      </c>
      <c r="AS4" s="318" t="s">
        <v>131</v>
      </c>
      <c r="AT4" s="319">
        <f>New_ZealandRWChistwon</f>
        <v>54</v>
      </c>
    </row>
    <row r="5" spans="1:46" ht="14.95" customHeight="1" thickBot="1" x14ac:dyDescent="0.35">
      <c r="A5" s="396" t="s">
        <v>332</v>
      </c>
      <c r="B5" s="397" t="s">
        <v>541</v>
      </c>
      <c r="C5" s="398" t="s">
        <v>29</v>
      </c>
      <c r="D5" s="397" t="s">
        <v>226</v>
      </c>
      <c r="E5" s="399" t="s">
        <v>1</v>
      </c>
      <c r="F5" s="399">
        <v>38</v>
      </c>
      <c r="G5" s="400">
        <v>7</v>
      </c>
      <c r="H5" s="400">
        <v>1</v>
      </c>
      <c r="I5" s="399">
        <v>0</v>
      </c>
      <c r="J5" s="399">
        <v>6</v>
      </c>
      <c r="K5" s="399">
        <v>4</v>
      </c>
      <c r="L5" s="399">
        <v>0</v>
      </c>
      <c r="M5" s="399">
        <v>0</v>
      </c>
      <c r="N5" s="399">
        <v>0</v>
      </c>
      <c r="O5" s="399">
        <v>0</v>
      </c>
      <c r="P5" s="399">
        <v>0</v>
      </c>
      <c r="Q5" s="399">
        <v>0</v>
      </c>
      <c r="R5" s="399">
        <v>1</v>
      </c>
      <c r="S5" s="401">
        <v>83944</v>
      </c>
      <c r="T5" s="456" t="s">
        <v>697</v>
      </c>
      <c r="U5" s="402" t="s">
        <v>340</v>
      </c>
      <c r="V5" s="401" t="s">
        <v>696</v>
      </c>
      <c r="W5" s="401" t="s">
        <v>263</v>
      </c>
      <c r="X5" s="403" t="s">
        <v>436</v>
      </c>
      <c r="Y5" s="404">
        <v>1</v>
      </c>
      <c r="Z5" s="404">
        <v>1</v>
      </c>
      <c r="AA5" s="404">
        <v>0</v>
      </c>
      <c r="AB5" s="405">
        <v>0</v>
      </c>
      <c r="AC5" s="404">
        <v>0</v>
      </c>
      <c r="AD5" s="404">
        <v>0</v>
      </c>
      <c r="AE5" s="404">
        <v>0</v>
      </c>
      <c r="AF5" s="405">
        <v>0</v>
      </c>
      <c r="AG5" s="404">
        <v>1</v>
      </c>
      <c r="AH5" s="404">
        <v>1</v>
      </c>
      <c r="AI5" s="404">
        <v>0</v>
      </c>
      <c r="AJ5" s="405">
        <v>0</v>
      </c>
      <c r="AK5" s="404">
        <v>0</v>
      </c>
      <c r="AL5" s="404">
        <v>0</v>
      </c>
      <c r="AM5" s="404">
        <v>0</v>
      </c>
      <c r="AN5" s="405">
        <v>0</v>
      </c>
      <c r="AP5" s="318" t="s">
        <v>137</v>
      </c>
      <c r="AQ5" s="319">
        <f>Nzl2019alltestshistdrawn</f>
        <v>23</v>
      </c>
      <c r="AS5" s="318" t="s">
        <v>137</v>
      </c>
      <c r="AT5" s="319">
        <f>New_ZealandRWChistdrawn</f>
        <v>0</v>
      </c>
    </row>
    <row r="6" spans="1:46" ht="14.95" customHeight="1" thickBot="1" x14ac:dyDescent="0.3">
      <c r="A6" s="423" t="s">
        <v>322</v>
      </c>
      <c r="B6" s="424" t="s">
        <v>221</v>
      </c>
      <c r="C6" s="424" t="s">
        <v>29</v>
      </c>
      <c r="D6" s="436" t="s">
        <v>176</v>
      </c>
      <c r="E6" s="425" t="s">
        <v>1</v>
      </c>
      <c r="F6" s="425">
        <v>23</v>
      </c>
      <c r="G6" s="437">
        <v>20</v>
      </c>
      <c r="H6" s="448" t="s">
        <v>106</v>
      </c>
      <c r="I6" s="437" t="s">
        <v>106</v>
      </c>
      <c r="J6" s="425">
        <v>2</v>
      </c>
      <c r="K6" s="425">
        <v>2</v>
      </c>
      <c r="L6" s="425">
        <v>0</v>
      </c>
      <c r="M6" s="425">
        <v>3</v>
      </c>
      <c r="N6" s="425">
        <v>0</v>
      </c>
      <c r="O6" s="425">
        <v>0</v>
      </c>
      <c r="P6" s="425" t="s">
        <v>106</v>
      </c>
      <c r="Q6" s="425" t="s">
        <v>106</v>
      </c>
      <c r="R6" s="425">
        <v>2</v>
      </c>
      <c r="S6" s="429">
        <v>28000</v>
      </c>
      <c r="T6" s="553" t="s">
        <v>737</v>
      </c>
      <c r="U6" s="434" t="s">
        <v>263</v>
      </c>
      <c r="V6" s="429" t="s">
        <v>413</v>
      </c>
      <c r="W6" s="429" t="s">
        <v>340</v>
      </c>
      <c r="X6" s="435" t="s">
        <v>436</v>
      </c>
      <c r="Y6" s="431">
        <v>1</v>
      </c>
      <c r="Z6" s="431">
        <v>1</v>
      </c>
      <c r="AA6" s="431">
        <v>0</v>
      </c>
      <c r="AB6" s="432">
        <v>0</v>
      </c>
      <c r="AC6" s="431">
        <v>1</v>
      </c>
      <c r="AD6" s="431">
        <v>1</v>
      </c>
      <c r="AE6" s="431">
        <v>0</v>
      </c>
      <c r="AF6" s="432">
        <v>0</v>
      </c>
      <c r="AG6" s="431">
        <v>0</v>
      </c>
      <c r="AH6" s="431">
        <v>0</v>
      </c>
      <c r="AI6" s="431">
        <v>0</v>
      </c>
      <c r="AJ6" s="432">
        <v>0</v>
      </c>
      <c r="AK6" s="431">
        <v>0</v>
      </c>
      <c r="AL6" s="431">
        <v>0</v>
      </c>
      <c r="AM6" s="431">
        <v>0</v>
      </c>
      <c r="AN6" s="432">
        <v>0</v>
      </c>
      <c r="AP6" s="318" t="s">
        <v>132</v>
      </c>
      <c r="AQ6" s="319">
        <f>Nzl2019alltestshistlost</f>
        <v>125</v>
      </c>
      <c r="AS6" s="318" t="s">
        <v>132</v>
      </c>
      <c r="AT6" s="319">
        <f>New_ZealandRWChistlost</f>
        <v>9</v>
      </c>
    </row>
    <row r="7" spans="1:46" ht="14.95" customHeight="1" thickBot="1" x14ac:dyDescent="0.3">
      <c r="A7" s="464" t="s">
        <v>663</v>
      </c>
      <c r="B7" s="465" t="s">
        <v>45</v>
      </c>
      <c r="C7" s="465" t="s">
        <v>170</v>
      </c>
      <c r="D7" s="554" t="s">
        <v>115</v>
      </c>
      <c r="E7" s="453" t="s">
        <v>3</v>
      </c>
      <c r="F7" s="453">
        <v>7</v>
      </c>
      <c r="G7" s="555">
        <v>35</v>
      </c>
      <c r="H7" s="555" t="s">
        <v>106</v>
      </c>
      <c r="I7" s="453" t="s">
        <v>106</v>
      </c>
      <c r="J7" s="453">
        <v>1</v>
      </c>
      <c r="K7" s="453">
        <v>1</v>
      </c>
      <c r="L7" s="453">
        <v>0</v>
      </c>
      <c r="M7" s="453">
        <v>0</v>
      </c>
      <c r="N7" s="453">
        <v>2</v>
      </c>
      <c r="O7" s="453">
        <v>1</v>
      </c>
      <c r="P7" s="453" t="s">
        <v>106</v>
      </c>
      <c r="Q7" s="453" t="s">
        <v>106</v>
      </c>
      <c r="R7" s="453">
        <v>5</v>
      </c>
      <c r="S7" s="463">
        <v>80827</v>
      </c>
      <c r="T7" s="493" t="s">
        <v>800</v>
      </c>
      <c r="U7" s="468" t="s">
        <v>278</v>
      </c>
      <c r="V7" s="463" t="s">
        <v>696</v>
      </c>
      <c r="W7" s="463" t="s">
        <v>436</v>
      </c>
      <c r="X7" s="463" t="s">
        <v>414</v>
      </c>
      <c r="Y7" s="364">
        <v>1</v>
      </c>
      <c r="Z7" s="364">
        <v>0</v>
      </c>
      <c r="AA7" s="364">
        <v>0</v>
      </c>
      <c r="AB7" s="454">
        <v>1</v>
      </c>
      <c r="AC7" s="364">
        <v>0</v>
      </c>
      <c r="AD7" s="364">
        <v>0</v>
      </c>
      <c r="AE7" s="364">
        <v>0</v>
      </c>
      <c r="AF7" s="454">
        <v>0</v>
      </c>
      <c r="AG7" s="364">
        <v>0</v>
      </c>
      <c r="AH7" s="364">
        <v>0</v>
      </c>
      <c r="AI7" s="364">
        <v>0</v>
      </c>
      <c r="AJ7" s="454">
        <v>0</v>
      </c>
      <c r="AK7" s="364">
        <v>1</v>
      </c>
      <c r="AL7" s="364">
        <v>0</v>
      </c>
      <c r="AM7" s="364">
        <v>0</v>
      </c>
      <c r="AN7" s="454">
        <v>1</v>
      </c>
      <c r="AP7" s="318" t="s">
        <v>138</v>
      </c>
      <c r="AQ7" s="319">
        <f>Nzl2019alltestshistptsscored</f>
        <v>18195</v>
      </c>
      <c r="AS7" s="318" t="s">
        <v>138</v>
      </c>
      <c r="AT7" s="319">
        <f>New_ZealandRWChistptsscored</f>
        <v>2888</v>
      </c>
    </row>
    <row r="8" spans="1:46" ht="14.95" customHeight="1" thickBot="1" x14ac:dyDescent="0.3">
      <c r="A8" s="396" t="s">
        <v>333</v>
      </c>
      <c r="B8" s="397" t="s">
        <v>198</v>
      </c>
      <c r="C8" s="398" t="s">
        <v>34</v>
      </c>
      <c r="D8" s="397" t="s">
        <v>112</v>
      </c>
      <c r="E8" s="399" t="s">
        <v>3</v>
      </c>
      <c r="F8" s="399">
        <v>13</v>
      </c>
      <c r="G8" s="400">
        <v>27</v>
      </c>
      <c r="H8" s="400">
        <v>0</v>
      </c>
      <c r="I8" s="399">
        <v>0</v>
      </c>
      <c r="J8" s="399">
        <v>2</v>
      </c>
      <c r="K8" s="399">
        <v>0</v>
      </c>
      <c r="L8" s="399">
        <v>0</v>
      </c>
      <c r="M8" s="399">
        <v>1</v>
      </c>
      <c r="N8" s="399">
        <v>1</v>
      </c>
      <c r="O8" s="399">
        <v>0</v>
      </c>
      <c r="P8" s="399">
        <v>0</v>
      </c>
      <c r="Q8" s="399">
        <v>0</v>
      </c>
      <c r="R8" s="399">
        <v>2</v>
      </c>
      <c r="S8" s="401">
        <v>80000</v>
      </c>
      <c r="T8" s="415" t="s">
        <v>818</v>
      </c>
      <c r="U8" s="401" t="s">
        <v>433</v>
      </c>
      <c r="V8" s="401" t="s">
        <v>264</v>
      </c>
      <c r="W8" s="401" t="s">
        <v>263</v>
      </c>
      <c r="X8" s="403" t="s">
        <v>436</v>
      </c>
      <c r="Y8" s="404">
        <v>1</v>
      </c>
      <c r="Z8" s="404">
        <v>0</v>
      </c>
      <c r="AA8" s="404">
        <v>0</v>
      </c>
      <c r="AB8" s="405">
        <v>1</v>
      </c>
      <c r="AC8" s="404">
        <v>0</v>
      </c>
      <c r="AD8" s="404">
        <v>0</v>
      </c>
      <c r="AE8" s="404">
        <v>0</v>
      </c>
      <c r="AF8" s="405">
        <v>0</v>
      </c>
      <c r="AG8" s="404">
        <v>1</v>
      </c>
      <c r="AH8" s="404">
        <v>0</v>
      </c>
      <c r="AI8" s="404">
        <v>0</v>
      </c>
      <c r="AJ8" s="405">
        <v>1</v>
      </c>
      <c r="AK8" s="404">
        <v>0</v>
      </c>
      <c r="AL8" s="404">
        <v>0</v>
      </c>
      <c r="AM8" s="404">
        <v>0</v>
      </c>
      <c r="AN8" s="405">
        <v>0</v>
      </c>
      <c r="AP8" s="318" t="s">
        <v>139</v>
      </c>
      <c r="AQ8" s="319">
        <f>Nzl2019alltestshistptscon</f>
        <v>8704</v>
      </c>
      <c r="AS8" s="318" t="s">
        <v>139</v>
      </c>
      <c r="AT8" s="319">
        <f>New_ZealandRWChistptsconcorrect</f>
        <v>842</v>
      </c>
    </row>
    <row r="9" spans="1:46" ht="14.95" customHeight="1" thickBot="1" x14ac:dyDescent="0.35">
      <c r="A9" s="489" t="s">
        <v>661</v>
      </c>
      <c r="B9" s="566" t="s">
        <v>198</v>
      </c>
      <c r="C9" s="490" t="s">
        <v>121</v>
      </c>
      <c r="D9" s="566" t="s">
        <v>197</v>
      </c>
      <c r="E9" s="453" t="s">
        <v>1</v>
      </c>
      <c r="F9" s="453">
        <v>71</v>
      </c>
      <c r="G9" s="555">
        <v>3</v>
      </c>
      <c r="H9" s="555">
        <v>1</v>
      </c>
      <c r="I9" s="453">
        <v>0</v>
      </c>
      <c r="J9" s="453">
        <v>11</v>
      </c>
      <c r="K9" s="453">
        <v>8</v>
      </c>
      <c r="L9" s="453">
        <v>0</v>
      </c>
      <c r="M9" s="453">
        <v>0</v>
      </c>
      <c r="N9" s="453">
        <v>0</v>
      </c>
      <c r="O9" s="453">
        <v>1</v>
      </c>
      <c r="P9" s="453">
        <v>0</v>
      </c>
      <c r="Q9" s="453">
        <v>0</v>
      </c>
      <c r="R9" s="453">
        <v>0</v>
      </c>
      <c r="S9" s="463">
        <v>31996</v>
      </c>
      <c r="T9" s="491" t="s">
        <v>873</v>
      </c>
      <c r="U9" s="463" t="s">
        <v>266</v>
      </c>
      <c r="V9" s="463" t="s">
        <v>346</v>
      </c>
      <c r="W9" s="463" t="s">
        <v>281</v>
      </c>
      <c r="X9" s="463" t="s">
        <v>347</v>
      </c>
      <c r="Y9" s="454">
        <v>1</v>
      </c>
      <c r="Z9" s="454">
        <v>1</v>
      </c>
      <c r="AA9" s="454">
        <v>0</v>
      </c>
      <c r="AB9" s="454">
        <v>0</v>
      </c>
      <c r="AC9" s="454">
        <v>0</v>
      </c>
      <c r="AD9" s="454">
        <v>0</v>
      </c>
      <c r="AE9" s="454">
        <v>0</v>
      </c>
      <c r="AF9" s="454">
        <v>0</v>
      </c>
      <c r="AG9" s="454">
        <v>0</v>
      </c>
      <c r="AH9" s="454">
        <v>0</v>
      </c>
      <c r="AI9" s="454">
        <v>0</v>
      </c>
      <c r="AJ9" s="454">
        <v>0</v>
      </c>
      <c r="AK9" s="454">
        <v>1</v>
      </c>
      <c r="AL9" s="454">
        <v>1</v>
      </c>
      <c r="AM9" s="454">
        <v>0</v>
      </c>
      <c r="AN9" s="454">
        <v>0</v>
      </c>
      <c r="AP9" s="318" t="s">
        <v>129</v>
      </c>
      <c r="AQ9" s="319">
        <f>Nzl2019alltestshisttriesscored</f>
        <v>2397</v>
      </c>
      <c r="AS9" s="318" t="s">
        <v>129</v>
      </c>
      <c r="AT9" s="319">
        <f>New_ZealandRWChisttriesscored</f>
        <v>396</v>
      </c>
    </row>
    <row r="10" spans="1:46" ht="14.95" customHeight="1" thickBot="1" x14ac:dyDescent="0.35">
      <c r="A10" s="489" t="s">
        <v>335</v>
      </c>
      <c r="B10" s="566" t="s">
        <v>198</v>
      </c>
      <c r="C10" s="568" t="s">
        <v>33</v>
      </c>
      <c r="D10" s="566" t="s">
        <v>232</v>
      </c>
      <c r="E10" s="453" t="s">
        <v>1</v>
      </c>
      <c r="F10" s="453">
        <v>96</v>
      </c>
      <c r="G10" s="555">
        <v>17</v>
      </c>
      <c r="H10" s="555">
        <v>1</v>
      </c>
      <c r="I10" s="453">
        <v>0</v>
      </c>
      <c r="J10" s="453">
        <v>14</v>
      </c>
      <c r="K10" s="453">
        <v>13</v>
      </c>
      <c r="L10" s="453">
        <v>0</v>
      </c>
      <c r="M10" s="453">
        <v>0</v>
      </c>
      <c r="N10" s="453">
        <v>0</v>
      </c>
      <c r="O10" s="453">
        <v>0</v>
      </c>
      <c r="P10" s="453">
        <v>0</v>
      </c>
      <c r="Q10" s="453">
        <v>0</v>
      </c>
      <c r="R10" s="453">
        <v>2</v>
      </c>
      <c r="S10" s="463">
        <v>57083</v>
      </c>
      <c r="T10" s="491" t="s">
        <v>919</v>
      </c>
      <c r="U10" s="463" t="s">
        <v>278</v>
      </c>
      <c r="V10" s="463" t="s">
        <v>432</v>
      </c>
      <c r="W10" s="463" t="s">
        <v>280</v>
      </c>
      <c r="X10" s="463" t="s">
        <v>436</v>
      </c>
      <c r="Y10" s="454">
        <v>1</v>
      </c>
      <c r="Z10" s="454">
        <v>1</v>
      </c>
      <c r="AA10" s="454">
        <v>0</v>
      </c>
      <c r="AB10" s="454">
        <v>0</v>
      </c>
      <c r="AC10" s="454">
        <v>0</v>
      </c>
      <c r="AD10" s="454">
        <v>0</v>
      </c>
      <c r="AE10" s="454">
        <v>0</v>
      </c>
      <c r="AF10" s="454">
        <v>0</v>
      </c>
      <c r="AG10" s="454">
        <v>0</v>
      </c>
      <c r="AH10" s="454">
        <v>0</v>
      </c>
      <c r="AI10" s="454">
        <v>0</v>
      </c>
      <c r="AJ10" s="454">
        <v>0</v>
      </c>
      <c r="AK10" s="454">
        <v>1</v>
      </c>
      <c r="AL10" s="454">
        <v>1</v>
      </c>
      <c r="AM10" s="454">
        <v>0</v>
      </c>
      <c r="AN10" s="454">
        <v>0</v>
      </c>
    </row>
    <row r="11" spans="1:46" ht="14.95" customHeight="1" thickBot="1" x14ac:dyDescent="0.35">
      <c r="A11" s="489" t="s">
        <v>664</v>
      </c>
      <c r="B11" s="566" t="s">
        <v>198</v>
      </c>
      <c r="C11" s="490" t="s">
        <v>105</v>
      </c>
      <c r="D11" s="566" t="s">
        <v>232</v>
      </c>
      <c r="E11" s="453" t="s">
        <v>1</v>
      </c>
      <c r="F11" s="453">
        <v>73</v>
      </c>
      <c r="G11" s="555">
        <v>0</v>
      </c>
      <c r="H11" s="555">
        <v>1</v>
      </c>
      <c r="I11" s="453">
        <v>0</v>
      </c>
      <c r="J11" s="453">
        <v>11</v>
      </c>
      <c r="K11" s="453">
        <v>9</v>
      </c>
      <c r="L11" s="453">
        <v>0</v>
      </c>
      <c r="M11" s="453">
        <v>0</v>
      </c>
      <c r="N11" s="453">
        <v>0</v>
      </c>
      <c r="O11" s="453">
        <v>0</v>
      </c>
      <c r="P11" s="453">
        <v>0</v>
      </c>
      <c r="Q11" s="453">
        <v>0</v>
      </c>
      <c r="R11" s="453">
        <v>0</v>
      </c>
      <c r="S11" s="463">
        <v>57672</v>
      </c>
      <c r="T11" s="491" t="s">
        <v>783</v>
      </c>
      <c r="U11" s="463" t="s">
        <v>340</v>
      </c>
      <c r="V11" s="463" t="s">
        <v>413</v>
      </c>
      <c r="W11" s="463" t="s">
        <v>278</v>
      </c>
      <c r="X11" s="463" t="s">
        <v>281</v>
      </c>
      <c r="Y11" s="454">
        <v>1</v>
      </c>
      <c r="Z11" s="454">
        <v>1</v>
      </c>
      <c r="AA11" s="454">
        <v>0</v>
      </c>
      <c r="AB11" s="454">
        <v>0</v>
      </c>
      <c r="AC11" s="454">
        <v>0</v>
      </c>
      <c r="AD11" s="454">
        <v>0</v>
      </c>
      <c r="AE11" s="454">
        <v>0</v>
      </c>
      <c r="AF11" s="454">
        <v>0</v>
      </c>
      <c r="AG11" s="454">
        <v>0</v>
      </c>
      <c r="AH11" s="454">
        <v>0</v>
      </c>
      <c r="AI11" s="454">
        <v>0</v>
      </c>
      <c r="AJ11" s="454">
        <v>0</v>
      </c>
      <c r="AK11" s="454">
        <v>1</v>
      </c>
      <c r="AL11" s="454">
        <v>1</v>
      </c>
      <c r="AM11" s="454">
        <v>0</v>
      </c>
      <c r="AN11" s="454">
        <v>0</v>
      </c>
    </row>
    <row r="12" spans="1:46" ht="14.8" customHeight="1" thickBot="1" x14ac:dyDescent="0.35">
      <c r="A12" s="489" t="s">
        <v>952</v>
      </c>
      <c r="B12" s="490" t="s">
        <v>233</v>
      </c>
      <c r="C12" s="490" t="s">
        <v>39</v>
      </c>
      <c r="D12" s="566" t="s">
        <v>112</v>
      </c>
      <c r="E12" s="453" t="s">
        <v>1</v>
      </c>
      <c r="F12" s="453">
        <v>28</v>
      </c>
      <c r="G12" s="555">
        <v>24</v>
      </c>
      <c r="H12" s="555" t="s">
        <v>106</v>
      </c>
      <c r="I12" s="453" t="s">
        <v>106</v>
      </c>
      <c r="J12" s="453">
        <v>3</v>
      </c>
      <c r="K12" s="453">
        <v>2</v>
      </c>
      <c r="L12" s="453">
        <v>0</v>
      </c>
      <c r="M12" s="453">
        <v>3</v>
      </c>
      <c r="N12" s="453">
        <v>2</v>
      </c>
      <c r="O12" s="453">
        <v>0</v>
      </c>
      <c r="P12" s="453" t="s">
        <v>106</v>
      </c>
      <c r="Q12" s="453" t="s">
        <v>106</v>
      </c>
      <c r="R12" s="453">
        <v>3</v>
      </c>
      <c r="S12" s="463">
        <v>78845</v>
      </c>
      <c r="T12" s="491" t="s">
        <v>978</v>
      </c>
      <c r="U12" s="463" t="s">
        <v>340</v>
      </c>
      <c r="V12" s="463" t="s">
        <v>264</v>
      </c>
      <c r="W12" s="463" t="s">
        <v>278</v>
      </c>
      <c r="X12" s="463" t="s">
        <v>436</v>
      </c>
      <c r="Y12" s="454">
        <v>1</v>
      </c>
      <c r="Z12" s="454">
        <v>1</v>
      </c>
      <c r="AA12" s="454">
        <v>0</v>
      </c>
      <c r="AB12" s="454">
        <v>0</v>
      </c>
      <c r="AC12" s="454">
        <v>0</v>
      </c>
      <c r="AD12" s="454">
        <v>0</v>
      </c>
      <c r="AE12" s="454">
        <v>0</v>
      </c>
      <c r="AF12" s="454">
        <v>0</v>
      </c>
      <c r="AG12" s="454">
        <v>0</v>
      </c>
      <c r="AH12" s="454">
        <v>0</v>
      </c>
      <c r="AI12" s="454">
        <v>0</v>
      </c>
      <c r="AJ12" s="454">
        <v>0</v>
      </c>
      <c r="AK12" s="454">
        <v>1</v>
      </c>
      <c r="AL12" s="454">
        <v>1</v>
      </c>
      <c r="AM12" s="454">
        <v>0</v>
      </c>
      <c r="AN12" s="454">
        <v>0</v>
      </c>
    </row>
    <row r="13" spans="1:46" ht="14.95" customHeight="1" thickBot="1" x14ac:dyDescent="0.35">
      <c r="A13" s="570" t="s">
        <v>963</v>
      </c>
      <c r="B13" s="490" t="s">
        <v>234</v>
      </c>
      <c r="C13" s="490" t="s">
        <v>37</v>
      </c>
      <c r="D13" s="566" t="s">
        <v>112</v>
      </c>
      <c r="E13" s="453" t="s">
        <v>1</v>
      </c>
      <c r="F13" s="453">
        <v>44</v>
      </c>
      <c r="G13" s="555">
        <v>6</v>
      </c>
      <c r="H13" s="555" t="s">
        <v>106</v>
      </c>
      <c r="I13" s="453" t="s">
        <v>106</v>
      </c>
      <c r="J13" s="453">
        <v>7</v>
      </c>
      <c r="K13" s="453">
        <v>3</v>
      </c>
      <c r="L13" s="453">
        <v>0</v>
      </c>
      <c r="M13" s="453">
        <v>1</v>
      </c>
      <c r="N13" s="453">
        <v>1</v>
      </c>
      <c r="O13" s="453">
        <v>0</v>
      </c>
      <c r="P13" s="453" t="s">
        <v>106</v>
      </c>
      <c r="Q13" s="453" t="s">
        <v>106</v>
      </c>
      <c r="R13" s="453">
        <v>0</v>
      </c>
      <c r="S13" s="463">
        <v>77653</v>
      </c>
      <c r="T13" s="491" t="s">
        <v>985</v>
      </c>
      <c r="U13" s="463" t="s">
        <v>265</v>
      </c>
      <c r="V13" s="463" t="s">
        <v>279</v>
      </c>
      <c r="W13" s="463" t="s">
        <v>280</v>
      </c>
      <c r="X13" s="565" t="s">
        <v>263</v>
      </c>
      <c r="Y13" s="364">
        <v>1</v>
      </c>
      <c r="Z13" s="454">
        <v>1</v>
      </c>
      <c r="AA13" s="454">
        <v>0</v>
      </c>
      <c r="AB13" s="454">
        <v>0</v>
      </c>
      <c r="AC13" s="454">
        <v>0</v>
      </c>
      <c r="AD13" s="454">
        <v>0</v>
      </c>
      <c r="AE13" s="454">
        <v>0</v>
      </c>
      <c r="AF13" s="454">
        <v>0</v>
      </c>
      <c r="AG13" s="454">
        <v>0</v>
      </c>
      <c r="AH13" s="454">
        <v>0</v>
      </c>
      <c r="AI13" s="454">
        <v>0</v>
      </c>
      <c r="AJ13" s="454">
        <v>0</v>
      </c>
      <c r="AK13" s="454">
        <v>1</v>
      </c>
      <c r="AL13" s="454">
        <v>1</v>
      </c>
      <c r="AM13" s="454">
        <v>0</v>
      </c>
      <c r="AN13" s="454">
        <v>0</v>
      </c>
    </row>
    <row r="14" spans="1:46" ht="14.95" customHeight="1" thickBot="1" x14ac:dyDescent="0.3">
      <c r="A14" s="489" t="s">
        <v>330</v>
      </c>
      <c r="B14" s="490" t="s">
        <v>235</v>
      </c>
      <c r="C14" s="490" t="s">
        <v>170</v>
      </c>
      <c r="D14" s="566" t="s">
        <v>112</v>
      </c>
      <c r="E14" s="453" t="s">
        <v>3</v>
      </c>
      <c r="F14" s="453">
        <v>11</v>
      </c>
      <c r="G14" s="555">
        <v>12</v>
      </c>
      <c r="H14" s="555" t="s">
        <v>106</v>
      </c>
      <c r="I14" s="453" t="s">
        <v>106</v>
      </c>
      <c r="J14" s="453">
        <v>1</v>
      </c>
      <c r="K14" s="453">
        <v>0</v>
      </c>
      <c r="L14" s="453">
        <v>0</v>
      </c>
      <c r="M14" s="453">
        <v>2</v>
      </c>
      <c r="N14" s="453">
        <v>1</v>
      </c>
      <c r="O14" s="453">
        <v>1</v>
      </c>
      <c r="P14" s="453" t="s">
        <v>106</v>
      </c>
      <c r="Q14" s="453" t="s">
        <v>106</v>
      </c>
      <c r="R14" s="453">
        <v>0</v>
      </c>
      <c r="S14" s="463">
        <v>80067</v>
      </c>
      <c r="T14" s="493" t="s">
        <v>461</v>
      </c>
      <c r="U14" s="463" t="s">
        <v>340</v>
      </c>
      <c r="V14" s="463" t="s">
        <v>264</v>
      </c>
      <c r="W14" s="463" t="s">
        <v>263</v>
      </c>
      <c r="X14" s="463" t="s">
        <v>278</v>
      </c>
      <c r="Y14" s="454">
        <v>1</v>
      </c>
      <c r="Z14" s="454">
        <v>0</v>
      </c>
      <c r="AA14" s="454">
        <v>0</v>
      </c>
      <c r="AB14" s="454">
        <v>1</v>
      </c>
      <c r="AC14" s="454">
        <v>0</v>
      </c>
      <c r="AD14" s="454">
        <v>0</v>
      </c>
      <c r="AE14" s="454">
        <v>0</v>
      </c>
      <c r="AF14" s="454">
        <v>0</v>
      </c>
      <c r="AG14" s="454">
        <v>0</v>
      </c>
      <c r="AH14" s="454">
        <v>0</v>
      </c>
      <c r="AI14" s="454">
        <v>0</v>
      </c>
      <c r="AJ14" s="454">
        <v>0</v>
      </c>
      <c r="AK14" s="454">
        <v>1</v>
      </c>
      <c r="AL14" s="454">
        <v>0</v>
      </c>
      <c r="AM14" s="454">
        <v>0</v>
      </c>
      <c r="AN14" s="454">
        <v>1</v>
      </c>
    </row>
    <row r="15" spans="1:46" ht="14.95" customHeight="1" thickBot="1" x14ac:dyDescent="0.3">
      <c r="A15" s="266"/>
      <c r="B15" s="267"/>
      <c r="C15" s="952" t="s">
        <v>179</v>
      </c>
      <c r="D15" s="953"/>
      <c r="E15" s="954"/>
      <c r="F15" s="279">
        <f>SUM(F3:F5)</f>
        <v>114</v>
      </c>
      <c r="G15" s="279">
        <f t="shared" ref="G15:R15" si="0">SUM(G3:G5)</f>
        <v>39</v>
      </c>
      <c r="H15" s="279">
        <f t="shared" si="0"/>
        <v>2</v>
      </c>
      <c r="I15" s="279">
        <f t="shared" si="0"/>
        <v>0</v>
      </c>
      <c r="J15" s="279">
        <f t="shared" si="0"/>
        <v>17</v>
      </c>
      <c r="K15" s="279">
        <f t="shared" si="0"/>
        <v>10</v>
      </c>
      <c r="L15" s="279">
        <f t="shared" si="0"/>
        <v>0</v>
      </c>
      <c r="M15" s="279">
        <f t="shared" si="0"/>
        <v>3</v>
      </c>
      <c r="N15" s="279">
        <f t="shared" si="0"/>
        <v>0</v>
      </c>
      <c r="O15" s="279">
        <f t="shared" si="0"/>
        <v>0</v>
      </c>
      <c r="P15" s="279">
        <f t="shared" si="0"/>
        <v>0</v>
      </c>
      <c r="Q15" s="279">
        <f t="shared" si="0"/>
        <v>0</v>
      </c>
      <c r="R15" s="279">
        <f t="shared" si="0"/>
        <v>6</v>
      </c>
      <c r="S15" s="275"/>
      <c r="T15" s="275"/>
      <c r="U15" s="275"/>
      <c r="V15" s="275"/>
      <c r="W15" s="276"/>
      <c r="X15" s="363" t="s">
        <v>179</v>
      </c>
      <c r="Y15" s="279">
        <f t="shared" ref="Y15:AN15" si="1">SUM(Y3:Y5)</f>
        <v>3</v>
      </c>
      <c r="Z15" s="279">
        <f t="shared" si="1"/>
        <v>3</v>
      </c>
      <c r="AA15" s="279">
        <f t="shared" si="1"/>
        <v>0</v>
      </c>
      <c r="AB15" s="279">
        <f t="shared" si="1"/>
        <v>0</v>
      </c>
      <c r="AC15" s="277">
        <f t="shared" si="1"/>
        <v>1</v>
      </c>
      <c r="AD15" s="277">
        <f t="shared" si="1"/>
        <v>1</v>
      </c>
      <c r="AE15" s="277">
        <f t="shared" si="1"/>
        <v>0</v>
      </c>
      <c r="AF15" s="277">
        <f t="shared" si="1"/>
        <v>0</v>
      </c>
      <c r="AG15" s="278">
        <f t="shared" si="1"/>
        <v>2</v>
      </c>
      <c r="AH15" s="278">
        <f t="shared" si="1"/>
        <v>2</v>
      </c>
      <c r="AI15" s="278">
        <f t="shared" si="1"/>
        <v>0</v>
      </c>
      <c r="AJ15" s="278">
        <f t="shared" si="1"/>
        <v>0</v>
      </c>
      <c r="AK15" s="279">
        <f t="shared" si="1"/>
        <v>0</v>
      </c>
      <c r="AL15" s="279">
        <f t="shared" si="1"/>
        <v>0</v>
      </c>
      <c r="AM15" s="279">
        <f t="shared" si="1"/>
        <v>0</v>
      </c>
      <c r="AN15" s="279">
        <f t="shared" si="1"/>
        <v>0</v>
      </c>
    </row>
    <row r="16" spans="1:46" ht="14.95" customHeight="1" thickBot="1" x14ac:dyDescent="0.3">
      <c r="A16" s="266"/>
      <c r="B16" s="267"/>
      <c r="C16" s="937" t="s">
        <v>166</v>
      </c>
      <c r="D16" s="938"/>
      <c r="E16" s="939"/>
      <c r="F16" s="476">
        <f>F6+F7</f>
        <v>30</v>
      </c>
      <c r="G16" s="476">
        <f>G6+G7</f>
        <v>55</v>
      </c>
      <c r="H16" s="476" t="s">
        <v>106</v>
      </c>
      <c r="I16" s="476" t="s">
        <v>106</v>
      </c>
      <c r="J16" s="476">
        <f t="shared" ref="J16:O16" si="2">J6+J7</f>
        <v>3</v>
      </c>
      <c r="K16" s="476">
        <f t="shared" si="2"/>
        <v>3</v>
      </c>
      <c r="L16" s="476">
        <f t="shared" si="2"/>
        <v>0</v>
      </c>
      <c r="M16" s="476">
        <f t="shared" si="2"/>
        <v>3</v>
      </c>
      <c r="N16" s="476">
        <f t="shared" si="2"/>
        <v>2</v>
      </c>
      <c r="O16" s="476">
        <f t="shared" si="2"/>
        <v>1</v>
      </c>
      <c r="P16" s="476" t="s">
        <v>106</v>
      </c>
      <c r="Q16" s="476" t="s">
        <v>106</v>
      </c>
      <c r="R16" s="476">
        <f>R6+R7</f>
        <v>7</v>
      </c>
      <c r="S16" s="473"/>
      <c r="T16" s="473"/>
      <c r="U16" s="473"/>
      <c r="V16" s="473"/>
      <c r="W16" s="474"/>
      <c r="X16" s="481" t="s">
        <v>166</v>
      </c>
      <c r="Y16" s="476">
        <f t="shared" ref="Y16:AN16" si="3">Y6+Y7</f>
        <v>2</v>
      </c>
      <c r="Z16" s="476">
        <f t="shared" si="3"/>
        <v>1</v>
      </c>
      <c r="AA16" s="476">
        <f t="shared" si="3"/>
        <v>0</v>
      </c>
      <c r="AB16" s="476">
        <f t="shared" si="3"/>
        <v>1</v>
      </c>
      <c r="AC16" s="477">
        <f t="shared" si="3"/>
        <v>1</v>
      </c>
      <c r="AD16" s="477">
        <f t="shared" si="3"/>
        <v>1</v>
      </c>
      <c r="AE16" s="477">
        <f t="shared" si="3"/>
        <v>0</v>
      </c>
      <c r="AF16" s="477">
        <f t="shared" si="3"/>
        <v>0</v>
      </c>
      <c r="AG16" s="478">
        <f t="shared" si="3"/>
        <v>0</v>
      </c>
      <c r="AH16" s="478">
        <f t="shared" si="3"/>
        <v>0</v>
      </c>
      <c r="AI16" s="478">
        <f t="shared" si="3"/>
        <v>0</v>
      </c>
      <c r="AJ16" s="478">
        <f t="shared" si="3"/>
        <v>0</v>
      </c>
      <c r="AK16" s="476">
        <f t="shared" si="3"/>
        <v>1</v>
      </c>
      <c r="AL16" s="476">
        <f t="shared" si="3"/>
        <v>0</v>
      </c>
      <c r="AM16" s="476">
        <f t="shared" si="3"/>
        <v>0</v>
      </c>
      <c r="AN16" s="476">
        <f t="shared" si="3"/>
        <v>1</v>
      </c>
    </row>
    <row r="17" spans="1:40" ht="14.95" customHeight="1" thickBot="1" x14ac:dyDescent="0.3">
      <c r="A17" s="266"/>
      <c r="B17" s="267"/>
      <c r="C17" s="940" t="s">
        <v>625</v>
      </c>
      <c r="D17" s="941"/>
      <c r="E17" s="942"/>
      <c r="F17" s="708">
        <f>SUM(F8:F11)</f>
        <v>253</v>
      </c>
      <c r="G17" s="708">
        <f t="shared" ref="G17:R17" si="4">SUM(G8:G11)</f>
        <v>47</v>
      </c>
      <c r="H17" s="708">
        <f t="shared" si="4"/>
        <v>3</v>
      </c>
      <c r="I17" s="708">
        <f t="shared" si="4"/>
        <v>0</v>
      </c>
      <c r="J17" s="708">
        <f t="shared" si="4"/>
        <v>38</v>
      </c>
      <c r="K17" s="708">
        <f t="shared" si="4"/>
        <v>30</v>
      </c>
      <c r="L17" s="708">
        <f t="shared" si="4"/>
        <v>0</v>
      </c>
      <c r="M17" s="708">
        <f t="shared" si="4"/>
        <v>1</v>
      </c>
      <c r="N17" s="708">
        <f t="shared" si="4"/>
        <v>1</v>
      </c>
      <c r="O17" s="708">
        <f t="shared" si="4"/>
        <v>1</v>
      </c>
      <c r="P17" s="708">
        <f t="shared" si="4"/>
        <v>0</v>
      </c>
      <c r="Q17" s="708">
        <f t="shared" si="4"/>
        <v>0</v>
      </c>
      <c r="R17" s="708">
        <f t="shared" si="4"/>
        <v>4</v>
      </c>
      <c r="S17" s="709"/>
      <c r="T17" s="709"/>
      <c r="U17" s="709"/>
      <c r="V17" s="709"/>
      <c r="W17" s="710"/>
      <c r="X17" s="711" t="s">
        <v>625</v>
      </c>
      <c r="Y17" s="712">
        <f t="shared" ref="Y17:AN17" si="5">SUM(Y8:Y11)</f>
        <v>4</v>
      </c>
      <c r="Z17" s="708">
        <f t="shared" si="5"/>
        <v>3</v>
      </c>
      <c r="AA17" s="708">
        <f t="shared" si="5"/>
        <v>0</v>
      </c>
      <c r="AB17" s="708">
        <f t="shared" si="5"/>
        <v>1</v>
      </c>
      <c r="AC17" s="713">
        <f t="shared" si="5"/>
        <v>0</v>
      </c>
      <c r="AD17" s="713">
        <f t="shared" si="5"/>
        <v>0</v>
      </c>
      <c r="AE17" s="713">
        <f t="shared" si="5"/>
        <v>0</v>
      </c>
      <c r="AF17" s="713">
        <f t="shared" si="5"/>
        <v>0</v>
      </c>
      <c r="AG17" s="714">
        <f t="shared" si="5"/>
        <v>1</v>
      </c>
      <c r="AH17" s="714">
        <f t="shared" si="5"/>
        <v>0</v>
      </c>
      <c r="AI17" s="714">
        <f t="shared" si="5"/>
        <v>0</v>
      </c>
      <c r="AJ17" s="714">
        <f t="shared" si="5"/>
        <v>1</v>
      </c>
      <c r="AK17" s="708">
        <f t="shared" si="5"/>
        <v>3</v>
      </c>
      <c r="AL17" s="708">
        <f t="shared" si="5"/>
        <v>3</v>
      </c>
      <c r="AM17" s="708">
        <f t="shared" si="5"/>
        <v>0</v>
      </c>
      <c r="AN17" s="708">
        <f t="shared" si="5"/>
        <v>0</v>
      </c>
    </row>
    <row r="18" spans="1:40" ht="14.95" customHeight="1" thickBot="1" x14ac:dyDescent="0.3">
      <c r="A18" s="266"/>
      <c r="B18" s="267"/>
      <c r="C18" s="940" t="s">
        <v>626</v>
      </c>
      <c r="D18" s="943"/>
      <c r="E18" s="944"/>
      <c r="F18" s="708">
        <f>SUM(F12:F14)</f>
        <v>83</v>
      </c>
      <c r="G18" s="708">
        <f t="shared" ref="G18:R18" si="6">SUM(G12:G14)</f>
        <v>42</v>
      </c>
      <c r="H18" s="708">
        <f t="shared" si="6"/>
        <v>0</v>
      </c>
      <c r="I18" s="708">
        <f t="shared" si="6"/>
        <v>0</v>
      </c>
      <c r="J18" s="708">
        <f t="shared" si="6"/>
        <v>11</v>
      </c>
      <c r="K18" s="708">
        <f t="shared" si="6"/>
        <v>5</v>
      </c>
      <c r="L18" s="708">
        <f t="shared" si="6"/>
        <v>0</v>
      </c>
      <c r="M18" s="708">
        <f t="shared" si="6"/>
        <v>6</v>
      </c>
      <c r="N18" s="708">
        <f t="shared" si="6"/>
        <v>4</v>
      </c>
      <c r="O18" s="708">
        <f t="shared" si="6"/>
        <v>1</v>
      </c>
      <c r="P18" s="708">
        <f t="shared" si="6"/>
        <v>0</v>
      </c>
      <c r="Q18" s="708">
        <f t="shared" si="6"/>
        <v>0</v>
      </c>
      <c r="R18" s="708">
        <f t="shared" si="6"/>
        <v>3</v>
      </c>
      <c r="S18" s="709"/>
      <c r="T18" s="709"/>
      <c r="U18" s="709"/>
      <c r="V18" s="709"/>
      <c r="W18" s="710"/>
      <c r="X18" s="711" t="s">
        <v>626</v>
      </c>
      <c r="Y18" s="712">
        <f t="shared" ref="Y18:AN18" si="7">SUM(Y12:Y14)</f>
        <v>3</v>
      </c>
      <c r="Z18" s="708">
        <f t="shared" si="7"/>
        <v>2</v>
      </c>
      <c r="AA18" s="708">
        <f t="shared" si="7"/>
        <v>0</v>
      </c>
      <c r="AB18" s="708">
        <f t="shared" si="7"/>
        <v>1</v>
      </c>
      <c r="AC18" s="713">
        <f t="shared" si="7"/>
        <v>0</v>
      </c>
      <c r="AD18" s="713">
        <f t="shared" si="7"/>
        <v>0</v>
      </c>
      <c r="AE18" s="713">
        <f t="shared" si="7"/>
        <v>0</v>
      </c>
      <c r="AF18" s="713">
        <f t="shared" si="7"/>
        <v>0</v>
      </c>
      <c r="AG18" s="714">
        <f t="shared" si="7"/>
        <v>0</v>
      </c>
      <c r="AH18" s="714">
        <f t="shared" si="7"/>
        <v>0</v>
      </c>
      <c r="AI18" s="714">
        <f t="shared" si="7"/>
        <v>0</v>
      </c>
      <c r="AJ18" s="714">
        <f t="shared" si="7"/>
        <v>0</v>
      </c>
      <c r="AK18" s="708">
        <f t="shared" si="7"/>
        <v>3</v>
      </c>
      <c r="AL18" s="708">
        <f t="shared" si="7"/>
        <v>2</v>
      </c>
      <c r="AM18" s="708">
        <f t="shared" si="7"/>
        <v>0</v>
      </c>
      <c r="AN18" s="708">
        <f t="shared" si="7"/>
        <v>1</v>
      </c>
    </row>
    <row r="19" spans="1:40" ht="14.95" customHeight="1" thickBot="1" x14ac:dyDescent="0.3">
      <c r="A19" s="266"/>
      <c r="B19" s="267"/>
      <c r="C19" s="940" t="s">
        <v>627</v>
      </c>
      <c r="D19" s="943"/>
      <c r="E19" s="944"/>
      <c r="F19" s="708">
        <f>SUM(F17+F18)</f>
        <v>336</v>
      </c>
      <c r="G19" s="708">
        <f t="shared" ref="G19:R19" si="8">SUM(G17+G18)</f>
        <v>89</v>
      </c>
      <c r="H19" s="708">
        <f t="shared" si="8"/>
        <v>3</v>
      </c>
      <c r="I19" s="708">
        <f t="shared" si="8"/>
        <v>0</v>
      </c>
      <c r="J19" s="708">
        <f t="shared" si="8"/>
        <v>49</v>
      </c>
      <c r="K19" s="708">
        <f t="shared" si="8"/>
        <v>35</v>
      </c>
      <c r="L19" s="708">
        <f t="shared" si="8"/>
        <v>0</v>
      </c>
      <c r="M19" s="708">
        <f t="shared" si="8"/>
        <v>7</v>
      </c>
      <c r="N19" s="708">
        <f t="shared" si="8"/>
        <v>5</v>
      </c>
      <c r="O19" s="708">
        <f t="shared" si="8"/>
        <v>2</v>
      </c>
      <c r="P19" s="708">
        <f t="shared" si="8"/>
        <v>0</v>
      </c>
      <c r="Q19" s="708">
        <f t="shared" si="8"/>
        <v>0</v>
      </c>
      <c r="R19" s="708">
        <f t="shared" si="8"/>
        <v>7</v>
      </c>
      <c r="S19" s="709"/>
      <c r="T19" s="709"/>
      <c r="U19" s="709"/>
      <c r="V19" s="709"/>
      <c r="W19" s="710"/>
      <c r="X19" s="711" t="s">
        <v>627</v>
      </c>
      <c r="Y19" s="712">
        <f t="shared" ref="Y19:AN19" si="9">SUM(Y17+Y18)</f>
        <v>7</v>
      </c>
      <c r="Z19" s="708">
        <f t="shared" si="9"/>
        <v>5</v>
      </c>
      <c r="AA19" s="708">
        <v>0</v>
      </c>
      <c r="AB19" s="708">
        <f t="shared" si="9"/>
        <v>2</v>
      </c>
      <c r="AC19" s="713">
        <f t="shared" si="9"/>
        <v>0</v>
      </c>
      <c r="AD19" s="713">
        <f t="shared" si="9"/>
        <v>0</v>
      </c>
      <c r="AE19" s="713">
        <f t="shared" si="9"/>
        <v>0</v>
      </c>
      <c r="AF19" s="713">
        <f t="shared" si="9"/>
        <v>0</v>
      </c>
      <c r="AG19" s="714">
        <f t="shared" si="9"/>
        <v>1</v>
      </c>
      <c r="AH19" s="714">
        <f t="shared" si="9"/>
        <v>0</v>
      </c>
      <c r="AI19" s="714">
        <f t="shared" si="9"/>
        <v>0</v>
      </c>
      <c r="AJ19" s="714">
        <f t="shared" si="9"/>
        <v>1</v>
      </c>
      <c r="AK19" s="708">
        <f t="shared" si="9"/>
        <v>6</v>
      </c>
      <c r="AL19" s="708">
        <f t="shared" si="9"/>
        <v>5</v>
      </c>
      <c r="AM19" s="708">
        <f t="shared" si="9"/>
        <v>0</v>
      </c>
      <c r="AN19" s="708">
        <f t="shared" si="9"/>
        <v>1</v>
      </c>
    </row>
    <row r="20" spans="1:40" ht="14.95" thickBot="1" x14ac:dyDescent="0.3">
      <c r="A20" s="266"/>
      <c r="B20" s="267"/>
      <c r="C20" s="946" t="s">
        <v>107</v>
      </c>
      <c r="D20" s="947"/>
      <c r="E20" s="948"/>
      <c r="F20" s="343">
        <f t="shared" ref="F20:R20" si="10">SUM(F3:F14)</f>
        <v>480</v>
      </c>
      <c r="G20" s="343">
        <f t="shared" si="10"/>
        <v>183</v>
      </c>
      <c r="H20" s="343">
        <f t="shared" si="10"/>
        <v>5</v>
      </c>
      <c r="I20" s="343">
        <f t="shared" si="10"/>
        <v>0</v>
      </c>
      <c r="J20" s="343">
        <f t="shared" si="10"/>
        <v>69</v>
      </c>
      <c r="K20" s="343">
        <f t="shared" si="10"/>
        <v>48</v>
      </c>
      <c r="L20" s="343">
        <f t="shared" si="10"/>
        <v>0</v>
      </c>
      <c r="M20" s="343">
        <f t="shared" si="10"/>
        <v>13</v>
      </c>
      <c r="N20" s="343">
        <f t="shared" si="10"/>
        <v>7</v>
      </c>
      <c r="O20" s="343">
        <f t="shared" si="10"/>
        <v>3</v>
      </c>
      <c r="P20" s="343">
        <f t="shared" si="10"/>
        <v>0</v>
      </c>
      <c r="Q20" s="343">
        <f t="shared" si="10"/>
        <v>0</v>
      </c>
      <c r="R20" s="343">
        <f t="shared" si="10"/>
        <v>20</v>
      </c>
      <c r="S20" s="340"/>
      <c r="T20" s="340"/>
      <c r="U20" s="340"/>
      <c r="V20" s="340"/>
      <c r="W20" s="13"/>
      <c r="X20" s="364" t="s">
        <v>107</v>
      </c>
      <c r="Y20" s="343">
        <f t="shared" ref="Y20:AN20" si="11">SUM(Y3:Y14)</f>
        <v>12</v>
      </c>
      <c r="Z20" s="343">
        <f t="shared" si="11"/>
        <v>9</v>
      </c>
      <c r="AA20" s="343">
        <f t="shared" si="11"/>
        <v>0</v>
      </c>
      <c r="AB20" s="343">
        <f t="shared" si="11"/>
        <v>3</v>
      </c>
      <c r="AC20" s="341">
        <f t="shared" si="11"/>
        <v>2</v>
      </c>
      <c r="AD20" s="341">
        <f t="shared" si="11"/>
        <v>2</v>
      </c>
      <c r="AE20" s="341">
        <f t="shared" si="11"/>
        <v>0</v>
      </c>
      <c r="AF20" s="341">
        <f t="shared" si="11"/>
        <v>0</v>
      </c>
      <c r="AG20" s="342">
        <f t="shared" si="11"/>
        <v>3</v>
      </c>
      <c r="AH20" s="342">
        <f t="shared" si="11"/>
        <v>2</v>
      </c>
      <c r="AI20" s="342">
        <f t="shared" si="11"/>
        <v>0</v>
      </c>
      <c r="AJ20" s="342">
        <f t="shared" si="11"/>
        <v>1</v>
      </c>
      <c r="AK20" s="343">
        <f t="shared" si="11"/>
        <v>7</v>
      </c>
      <c r="AL20" s="343">
        <f t="shared" si="11"/>
        <v>5</v>
      </c>
      <c r="AM20" s="343">
        <f t="shared" si="11"/>
        <v>0</v>
      </c>
      <c r="AN20" s="343">
        <f t="shared" si="11"/>
        <v>2</v>
      </c>
    </row>
    <row r="21" spans="1:40" ht="14.95" customHeight="1" x14ac:dyDescent="0.25">
      <c r="A21" s="266"/>
      <c r="B21" s="267"/>
      <c r="C21" s="677"/>
      <c r="D21" s="677"/>
      <c r="E21" s="677"/>
      <c r="F21" s="678"/>
      <c r="G21" s="678"/>
      <c r="H21" s="678"/>
      <c r="I21" s="678"/>
      <c r="J21" s="678"/>
      <c r="K21" s="678"/>
      <c r="L21" s="678"/>
      <c r="M21" s="678"/>
      <c r="N21" s="678"/>
      <c r="O21" s="678"/>
      <c r="P21" s="678"/>
      <c r="Q21" s="678"/>
      <c r="R21" s="678"/>
      <c r="S21" s="679"/>
      <c r="T21" s="679"/>
      <c r="U21" s="679"/>
      <c r="V21" s="679"/>
      <c r="W21" s="13"/>
      <c r="X21" s="13"/>
      <c r="Y21" s="678"/>
      <c r="Z21" s="678"/>
      <c r="AA21" s="678"/>
      <c r="AB21" s="678"/>
      <c r="AC21" s="678"/>
      <c r="AD21" s="678"/>
      <c r="AE21" s="678"/>
      <c r="AF21" s="678"/>
      <c r="AG21" s="678"/>
      <c r="AH21" s="678"/>
      <c r="AI21" s="678"/>
      <c r="AJ21" s="678"/>
      <c r="AK21" s="678"/>
      <c r="AL21" s="678"/>
      <c r="AM21" s="678"/>
      <c r="AN21" s="678"/>
    </row>
    <row r="22" spans="1:40" ht="14.95" customHeight="1" x14ac:dyDescent="0.25">
      <c r="A22" s="965" t="s">
        <v>665</v>
      </c>
      <c r="B22" s="886"/>
      <c r="C22" s="886"/>
      <c r="D22" s="886"/>
      <c r="E22" s="886"/>
      <c r="F22" s="886"/>
      <c r="G22" s="886"/>
      <c r="H22" s="886"/>
      <c r="I22" s="886"/>
      <c r="J22" s="886"/>
      <c r="K22" s="886"/>
      <c r="L22" s="886"/>
      <c r="M22" s="886"/>
      <c r="N22" s="886"/>
      <c r="O22" s="886"/>
      <c r="P22" s="886"/>
      <c r="Q22" s="886"/>
      <c r="R22" s="886"/>
    </row>
    <row r="23" spans="1:40" x14ac:dyDescent="0.25">
      <c r="A23" s="965" t="s">
        <v>639</v>
      </c>
      <c r="B23" s="886"/>
      <c r="C23" s="886"/>
      <c r="D23" s="886"/>
      <c r="E23" s="886"/>
      <c r="F23" s="886"/>
      <c r="G23" s="886"/>
      <c r="H23" s="886"/>
      <c r="I23" s="886"/>
      <c r="J23" s="886"/>
      <c r="K23" s="886"/>
      <c r="L23" s="886"/>
      <c r="M23" s="886"/>
      <c r="N23" s="886"/>
      <c r="O23" s="886"/>
      <c r="P23" s="886"/>
      <c r="Q23" s="886"/>
      <c r="R23" s="886"/>
    </row>
    <row r="24" spans="1:40" x14ac:dyDescent="0.25">
      <c r="A24" t="s">
        <v>666</v>
      </c>
      <c r="S24" s="189"/>
      <c r="T24" s="189"/>
      <c r="U24" s="189"/>
      <c r="V24" s="189"/>
      <c r="W24" s="189"/>
      <c r="X24" s="189"/>
      <c r="Y24" s="189"/>
      <c r="Z24" s="189"/>
      <c r="AA24" s="189"/>
      <c r="AB24" s="189"/>
      <c r="AC24" s="189"/>
      <c r="AD24" s="189"/>
      <c r="AE24" s="189"/>
      <c r="AF24" s="189"/>
      <c r="AG24" s="189"/>
      <c r="AH24" s="189"/>
      <c r="AI24" s="189"/>
      <c r="AJ24" s="189"/>
      <c r="AK24" s="189"/>
      <c r="AL24" s="189"/>
      <c r="AM24" s="189"/>
      <c r="AN24" s="189"/>
    </row>
    <row r="25" spans="1:40" x14ac:dyDescent="0.25">
      <c r="A25" t="s">
        <v>667</v>
      </c>
      <c r="S25" s="189"/>
      <c r="T25" s="189"/>
      <c r="U25" s="189"/>
      <c r="V25" s="189"/>
      <c r="W25" s="189"/>
      <c r="X25" s="189"/>
      <c r="Y25" s="189"/>
      <c r="Z25" s="189"/>
      <c r="AA25" s="189"/>
      <c r="AB25" s="189"/>
      <c r="AC25" s="189"/>
      <c r="AD25" s="189"/>
      <c r="AE25" s="189"/>
      <c r="AF25" s="189"/>
      <c r="AG25" s="189"/>
      <c r="AH25" s="189"/>
      <c r="AI25" s="189"/>
      <c r="AJ25" s="189"/>
      <c r="AK25" s="189"/>
      <c r="AL25" s="189"/>
      <c r="AM25" s="189"/>
      <c r="AN25" s="189"/>
    </row>
    <row r="26" spans="1:40" x14ac:dyDescent="0.25">
      <c r="A26" s="965" t="s">
        <v>677</v>
      </c>
      <c r="B26" s="886"/>
      <c r="C26" s="886"/>
      <c r="D26" s="886"/>
      <c r="E26" s="886"/>
      <c r="F26" s="886"/>
      <c r="G26" s="886"/>
      <c r="H26" s="886"/>
      <c r="I26" s="886"/>
      <c r="J26" s="886"/>
      <c r="K26" s="886"/>
      <c r="L26" s="886"/>
      <c r="M26" s="886"/>
      <c r="N26" s="886"/>
      <c r="O26" s="886"/>
      <c r="P26" s="886"/>
      <c r="Q26" s="886"/>
      <c r="R26" s="886"/>
    </row>
    <row r="27" spans="1:40" x14ac:dyDescent="0.25">
      <c r="A27" s="965" t="s">
        <v>657</v>
      </c>
      <c r="B27" s="886"/>
      <c r="C27" s="886"/>
      <c r="D27" s="886"/>
      <c r="E27" s="886"/>
      <c r="F27" s="886"/>
      <c r="G27" s="886"/>
      <c r="H27" s="886"/>
      <c r="I27" s="886"/>
      <c r="J27" s="886"/>
      <c r="K27" s="886"/>
      <c r="L27" s="886"/>
      <c r="M27" s="886"/>
      <c r="N27" s="886"/>
      <c r="O27" s="886"/>
      <c r="P27" s="886"/>
      <c r="Q27" s="886"/>
      <c r="R27" s="886"/>
    </row>
    <row r="28" spans="1:40" x14ac:dyDescent="0.25">
      <c r="A28" t="s">
        <v>163</v>
      </c>
    </row>
    <row r="29" spans="1:40" x14ac:dyDescent="0.25">
      <c r="A29" s="575"/>
      <c r="B29" t="s">
        <v>44</v>
      </c>
    </row>
    <row r="30" spans="1:40" x14ac:dyDescent="0.25">
      <c r="A30" s="576"/>
      <c r="B30" t="s">
        <v>42</v>
      </c>
    </row>
    <row r="31" spans="1:40" x14ac:dyDescent="0.25">
      <c r="A31" s="577"/>
      <c r="B31" t="s">
        <v>43</v>
      </c>
    </row>
    <row r="32" spans="1:40" x14ac:dyDescent="0.25">
      <c r="A32" s="15" t="s">
        <v>28</v>
      </c>
    </row>
  </sheetData>
  <mergeCells count="20">
    <mergeCell ref="C20:E20"/>
    <mergeCell ref="A26:R26"/>
    <mergeCell ref="A27:R27"/>
    <mergeCell ref="A1:C1"/>
    <mergeCell ref="E1:G1"/>
    <mergeCell ref="H1:I1"/>
    <mergeCell ref="J1:M1"/>
    <mergeCell ref="C15:E15"/>
    <mergeCell ref="A22:R22"/>
    <mergeCell ref="A23:R23"/>
    <mergeCell ref="C16:E16"/>
    <mergeCell ref="C17:E17"/>
    <mergeCell ref="C18:E18"/>
    <mergeCell ref="C19:E19"/>
    <mergeCell ref="Y1:AB1"/>
    <mergeCell ref="AC1:AF1"/>
    <mergeCell ref="AG1:AJ1"/>
    <mergeCell ref="AK1:AN1"/>
    <mergeCell ref="N1:O1"/>
    <mergeCell ref="P1:R1"/>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2FAFD-B72B-4192-A3F3-7EADB143656E}">
  <dimension ref="A1:AT30"/>
  <sheetViews>
    <sheetView workbookViewId="0">
      <selection activeCell="U10" sqref="U10"/>
    </sheetView>
  </sheetViews>
  <sheetFormatPr defaultRowHeight="14.3" x14ac:dyDescent="0.25"/>
  <cols>
    <col min="1" max="1" width="7.5" customWidth="1"/>
    <col min="2" max="2" width="5.125" customWidth="1"/>
    <col min="3" max="3" width="12.625" customWidth="1"/>
    <col min="4" max="4" width="4.875" customWidth="1"/>
    <col min="5" max="18" width="3.625" customWidth="1"/>
    <col min="19" max="20" width="6.375" customWidth="1"/>
    <col min="21" max="24" width="20.625" customWidth="1"/>
    <col min="25" max="40" width="3.625" customWidth="1"/>
    <col min="42" max="42" width="12.375" bestFit="1" customWidth="1"/>
    <col min="45" max="45" width="12.375" bestFit="1" customWidth="1"/>
  </cols>
  <sheetData>
    <row r="1" spans="1:46" ht="14.95" thickBot="1" x14ac:dyDescent="0.3">
      <c r="A1" s="1101" t="s">
        <v>300</v>
      </c>
      <c r="B1" s="1102"/>
      <c r="C1" s="1102"/>
      <c r="D1" s="595"/>
      <c r="E1" s="1103" t="s">
        <v>24</v>
      </c>
      <c r="F1" s="1104"/>
      <c r="G1" s="1105"/>
      <c r="H1" s="1103" t="s">
        <v>23</v>
      </c>
      <c r="I1" s="1105"/>
      <c r="J1" s="1106" t="s">
        <v>6</v>
      </c>
      <c r="K1" s="1107"/>
      <c r="L1" s="1107"/>
      <c r="M1" s="1108"/>
      <c r="N1" s="1106" t="s">
        <v>7</v>
      </c>
      <c r="O1" s="1108"/>
      <c r="P1" s="1106" t="s">
        <v>25</v>
      </c>
      <c r="Q1" s="1107"/>
      <c r="R1" s="1108"/>
      <c r="S1" s="596" t="s">
        <v>8</v>
      </c>
      <c r="T1" s="596" t="s">
        <v>9</v>
      </c>
      <c r="U1" s="597" t="s">
        <v>10</v>
      </c>
      <c r="V1" s="598" t="s">
        <v>11</v>
      </c>
      <c r="W1" s="597" t="s">
        <v>26</v>
      </c>
      <c r="X1" s="598" t="s">
        <v>27</v>
      </c>
      <c r="Y1" s="1109" t="s">
        <v>20</v>
      </c>
      <c r="Z1" s="1110"/>
      <c r="AA1" s="1110"/>
      <c r="AB1" s="1111"/>
      <c r="AC1" s="1109" t="s">
        <v>61</v>
      </c>
      <c r="AD1" s="1110"/>
      <c r="AE1" s="1110"/>
      <c r="AF1" s="1111"/>
      <c r="AG1" s="1109" t="s">
        <v>62</v>
      </c>
      <c r="AH1" s="1110"/>
      <c r="AI1" s="1110"/>
      <c r="AJ1" s="1111"/>
      <c r="AK1" s="1109" t="s">
        <v>63</v>
      </c>
      <c r="AL1" s="1110"/>
      <c r="AM1" s="1110"/>
      <c r="AN1" s="1111"/>
      <c r="AP1" s="816" t="s">
        <v>851</v>
      </c>
      <c r="AQ1" s="815"/>
      <c r="AR1" s="322"/>
      <c r="AS1" s="816" t="s">
        <v>851</v>
      </c>
      <c r="AT1" s="815"/>
    </row>
    <row r="2" spans="1:46" ht="14.95" customHeight="1" thickBot="1" x14ac:dyDescent="0.3">
      <c r="A2" s="599" t="s">
        <v>19</v>
      </c>
      <c r="B2" s="600" t="s">
        <v>18</v>
      </c>
      <c r="C2" s="601" t="s">
        <v>17</v>
      </c>
      <c r="D2" s="602" t="s">
        <v>41</v>
      </c>
      <c r="E2" s="602" t="s">
        <v>16</v>
      </c>
      <c r="F2" s="602" t="s">
        <v>4</v>
      </c>
      <c r="G2" s="602" t="s">
        <v>5</v>
      </c>
      <c r="H2" s="603" t="s">
        <v>12</v>
      </c>
      <c r="I2" s="603" t="s">
        <v>3</v>
      </c>
      <c r="J2" s="603" t="s">
        <v>12</v>
      </c>
      <c r="K2" s="603" t="s">
        <v>13</v>
      </c>
      <c r="L2" s="603" t="s">
        <v>2</v>
      </c>
      <c r="M2" s="603" t="s">
        <v>14</v>
      </c>
      <c r="N2" s="603" t="s">
        <v>15</v>
      </c>
      <c r="O2" s="603" t="s">
        <v>16</v>
      </c>
      <c r="P2" s="603" t="s">
        <v>21</v>
      </c>
      <c r="Q2" s="603" t="s">
        <v>22</v>
      </c>
      <c r="R2" s="603" t="s">
        <v>12</v>
      </c>
      <c r="S2" s="604"/>
      <c r="T2" s="605"/>
      <c r="U2" s="606"/>
      <c r="V2" s="604"/>
      <c r="W2" s="606"/>
      <c r="X2" s="607"/>
      <c r="Y2" s="608" t="s">
        <v>0</v>
      </c>
      <c r="Z2" s="608" t="s">
        <v>1</v>
      </c>
      <c r="AA2" s="608" t="s">
        <v>2</v>
      </c>
      <c r="AB2" s="608" t="s">
        <v>3</v>
      </c>
      <c r="AC2" s="608" t="s">
        <v>0</v>
      </c>
      <c r="AD2" s="608" t="s">
        <v>1</v>
      </c>
      <c r="AE2" s="608" t="s">
        <v>2</v>
      </c>
      <c r="AF2" s="608" t="s">
        <v>3</v>
      </c>
      <c r="AG2" s="608" t="s">
        <v>0</v>
      </c>
      <c r="AH2" s="608" t="s">
        <v>1</v>
      </c>
      <c r="AI2" s="608" t="s">
        <v>2</v>
      </c>
      <c r="AJ2" s="608" t="s">
        <v>3</v>
      </c>
      <c r="AK2" s="608" t="s">
        <v>0</v>
      </c>
      <c r="AL2" s="608" t="s">
        <v>1</v>
      </c>
      <c r="AM2" s="608" t="s">
        <v>2</v>
      </c>
      <c r="AN2" s="608" t="s">
        <v>3</v>
      </c>
      <c r="AP2" s="305" t="s">
        <v>107</v>
      </c>
      <c r="AQ2" s="189"/>
      <c r="AS2" s="336" t="s">
        <v>128</v>
      </c>
      <c r="AT2" s="336"/>
    </row>
    <row r="3" spans="1:46" ht="14.95" customHeight="1" thickBot="1" x14ac:dyDescent="0.35">
      <c r="A3" s="523" t="s">
        <v>317</v>
      </c>
      <c r="B3" s="494" t="s">
        <v>396</v>
      </c>
      <c r="C3" s="424" t="s">
        <v>286</v>
      </c>
      <c r="D3" s="436" t="s">
        <v>301</v>
      </c>
      <c r="E3" s="425" t="s">
        <v>1</v>
      </c>
      <c r="F3" s="425">
        <v>54</v>
      </c>
      <c r="G3" s="425">
        <v>17</v>
      </c>
      <c r="H3" s="425">
        <v>1</v>
      </c>
      <c r="I3" s="425">
        <v>0</v>
      </c>
      <c r="J3" s="425">
        <v>8</v>
      </c>
      <c r="K3" s="425">
        <v>7</v>
      </c>
      <c r="L3" s="425">
        <v>0</v>
      </c>
      <c r="M3" s="425">
        <v>0</v>
      </c>
      <c r="N3" s="425">
        <v>0</v>
      </c>
      <c r="O3" s="425">
        <v>0</v>
      </c>
      <c r="P3" s="425">
        <v>0</v>
      </c>
      <c r="Q3" s="425">
        <v>0</v>
      </c>
      <c r="R3" s="425">
        <v>2</v>
      </c>
      <c r="S3" s="426">
        <v>3723</v>
      </c>
      <c r="T3" s="594" t="s">
        <v>308</v>
      </c>
      <c r="U3" s="428" t="s">
        <v>302</v>
      </c>
      <c r="V3" s="426" t="s">
        <v>258</v>
      </c>
      <c r="W3" s="428" t="s">
        <v>303</v>
      </c>
      <c r="X3" s="430" t="s">
        <v>304</v>
      </c>
      <c r="Y3" s="590">
        <v>1</v>
      </c>
      <c r="Z3" s="590">
        <v>1</v>
      </c>
      <c r="AA3" s="590">
        <v>0</v>
      </c>
      <c r="AB3" s="591">
        <v>0</v>
      </c>
      <c r="AC3" s="590">
        <v>1</v>
      </c>
      <c r="AD3" s="590">
        <v>1</v>
      </c>
      <c r="AE3" s="590">
        <v>0</v>
      </c>
      <c r="AF3" s="591">
        <v>0</v>
      </c>
      <c r="AG3" s="590">
        <v>0</v>
      </c>
      <c r="AH3" s="590">
        <v>0</v>
      </c>
      <c r="AI3" s="590">
        <v>0</v>
      </c>
      <c r="AJ3" s="591">
        <v>0</v>
      </c>
      <c r="AK3" s="590">
        <v>0</v>
      </c>
      <c r="AL3" s="590">
        <v>0</v>
      </c>
      <c r="AM3" s="590">
        <v>0</v>
      </c>
      <c r="AN3" s="591">
        <v>0</v>
      </c>
      <c r="AP3" s="316" t="s">
        <v>130</v>
      </c>
      <c r="AQ3" s="317">
        <f>Poralltestshistplayed</f>
        <v>314</v>
      </c>
      <c r="AS3" s="817" t="s">
        <v>130</v>
      </c>
      <c r="AT3" s="818">
        <f>Porrwchistplayed</f>
        <v>8</v>
      </c>
    </row>
    <row r="4" spans="1:46" ht="14.95" customHeight="1" thickBot="1" x14ac:dyDescent="0.35">
      <c r="A4" s="592" t="s">
        <v>356</v>
      </c>
      <c r="B4" s="411" t="s">
        <v>396</v>
      </c>
      <c r="C4" s="398" t="s">
        <v>285</v>
      </c>
      <c r="D4" s="397" t="s">
        <v>306</v>
      </c>
      <c r="E4" s="399" t="s">
        <v>1</v>
      </c>
      <c r="F4" s="399">
        <v>65</v>
      </c>
      <c r="G4" s="399">
        <v>3</v>
      </c>
      <c r="H4" s="399">
        <v>1</v>
      </c>
      <c r="I4" s="399">
        <v>0</v>
      </c>
      <c r="J4" s="399">
        <v>11</v>
      </c>
      <c r="K4" s="399">
        <v>5</v>
      </c>
      <c r="L4" s="399">
        <v>0</v>
      </c>
      <c r="M4" s="399">
        <v>0</v>
      </c>
      <c r="N4" s="399">
        <v>0</v>
      </c>
      <c r="O4" s="399">
        <v>0</v>
      </c>
      <c r="P4" s="399">
        <v>0</v>
      </c>
      <c r="Q4" s="399">
        <v>0</v>
      </c>
      <c r="R4" s="399">
        <v>0</v>
      </c>
      <c r="S4" s="406">
        <v>2000</v>
      </c>
      <c r="T4" s="407" t="s">
        <v>374</v>
      </c>
      <c r="U4" s="408" t="s">
        <v>371</v>
      </c>
      <c r="V4" s="406" t="s">
        <v>258</v>
      </c>
      <c r="W4" s="401" t="s">
        <v>372</v>
      </c>
      <c r="X4" s="409" t="s">
        <v>373</v>
      </c>
      <c r="Y4" s="422">
        <v>1</v>
      </c>
      <c r="Z4" s="422">
        <v>1</v>
      </c>
      <c r="AA4" s="422">
        <v>0</v>
      </c>
      <c r="AB4" s="593">
        <v>0</v>
      </c>
      <c r="AC4" s="422">
        <v>0</v>
      </c>
      <c r="AD4" s="422">
        <v>0</v>
      </c>
      <c r="AE4" s="422">
        <v>0</v>
      </c>
      <c r="AF4" s="593">
        <v>0</v>
      </c>
      <c r="AG4" s="422">
        <v>1</v>
      </c>
      <c r="AH4" s="422">
        <v>1</v>
      </c>
      <c r="AI4" s="422">
        <v>0</v>
      </c>
      <c r="AJ4" s="593">
        <v>0</v>
      </c>
      <c r="AK4" s="422">
        <v>0</v>
      </c>
      <c r="AL4" s="422">
        <v>0</v>
      </c>
      <c r="AM4" s="422">
        <v>0</v>
      </c>
      <c r="AN4" s="593">
        <v>0</v>
      </c>
      <c r="AP4" s="318" t="s">
        <v>131</v>
      </c>
      <c r="AQ4" s="319">
        <f>Poralltestshistwon</f>
        <v>134</v>
      </c>
      <c r="AS4" s="819" t="s">
        <v>131</v>
      </c>
      <c r="AT4" s="820">
        <f>Porrwchistwon</f>
        <v>1</v>
      </c>
    </row>
    <row r="5" spans="1:46" ht="14.95" customHeight="1" thickBot="1" x14ac:dyDescent="0.3">
      <c r="A5" s="523" t="s">
        <v>405</v>
      </c>
      <c r="B5" s="494" t="s">
        <v>396</v>
      </c>
      <c r="C5" s="424" t="s">
        <v>122</v>
      </c>
      <c r="D5" s="436" t="s">
        <v>294</v>
      </c>
      <c r="E5" s="425" t="s">
        <v>1</v>
      </c>
      <c r="F5" s="425">
        <v>38</v>
      </c>
      <c r="G5" s="425">
        <v>20</v>
      </c>
      <c r="H5" s="425">
        <v>1</v>
      </c>
      <c r="I5" s="425">
        <v>0</v>
      </c>
      <c r="J5" s="425">
        <v>5</v>
      </c>
      <c r="K5" s="425">
        <v>5</v>
      </c>
      <c r="L5" s="425">
        <v>0</v>
      </c>
      <c r="M5" s="425">
        <v>1</v>
      </c>
      <c r="N5" s="425">
        <v>1</v>
      </c>
      <c r="O5" s="425">
        <v>0</v>
      </c>
      <c r="P5" s="425">
        <v>0</v>
      </c>
      <c r="Q5" s="425">
        <v>0</v>
      </c>
      <c r="R5" s="425">
        <v>2</v>
      </c>
      <c r="S5" s="426">
        <v>4250</v>
      </c>
      <c r="T5" s="612" t="s">
        <v>404</v>
      </c>
      <c r="U5" s="428" t="s">
        <v>402</v>
      </c>
      <c r="V5" s="426" t="s">
        <v>258</v>
      </c>
      <c r="W5" s="429" t="s">
        <v>403</v>
      </c>
      <c r="X5" s="430" t="s">
        <v>408</v>
      </c>
      <c r="Y5" s="590">
        <v>1</v>
      </c>
      <c r="Z5" s="590">
        <v>1</v>
      </c>
      <c r="AA5" s="590">
        <v>0</v>
      </c>
      <c r="AB5" s="591">
        <v>0</v>
      </c>
      <c r="AC5" s="590">
        <v>1</v>
      </c>
      <c r="AD5" s="590">
        <v>1</v>
      </c>
      <c r="AE5" s="590">
        <v>0</v>
      </c>
      <c r="AF5" s="591">
        <v>0</v>
      </c>
      <c r="AG5" s="590">
        <v>0</v>
      </c>
      <c r="AH5" s="590">
        <v>0</v>
      </c>
      <c r="AI5" s="590">
        <v>0</v>
      </c>
      <c r="AJ5" s="591">
        <v>0</v>
      </c>
      <c r="AK5" s="590">
        <v>0</v>
      </c>
      <c r="AL5" s="590">
        <v>0</v>
      </c>
      <c r="AM5" s="590">
        <v>0</v>
      </c>
      <c r="AN5" s="591">
        <v>0</v>
      </c>
      <c r="AP5" s="318" t="s">
        <v>137</v>
      </c>
      <c r="AQ5" s="319">
        <f>Poralltestshistdrawn</f>
        <v>16</v>
      </c>
      <c r="AS5" s="819" t="s">
        <v>137</v>
      </c>
      <c r="AT5" s="820">
        <f>Porrwchistdrawn</f>
        <v>1</v>
      </c>
    </row>
    <row r="6" spans="1:46" ht="14.95" customHeight="1" thickBot="1" x14ac:dyDescent="0.3">
      <c r="A6" s="523" t="s">
        <v>399</v>
      </c>
      <c r="B6" s="494" t="s">
        <v>397</v>
      </c>
      <c r="C6" s="424" t="s">
        <v>123</v>
      </c>
      <c r="D6" s="436" t="s">
        <v>294</v>
      </c>
      <c r="E6" s="425" t="s">
        <v>1</v>
      </c>
      <c r="F6" s="425">
        <v>27</v>
      </c>
      <c r="G6" s="425">
        <v>10</v>
      </c>
      <c r="H6" s="425" t="s">
        <v>106</v>
      </c>
      <c r="I6" s="425" t="s">
        <v>106</v>
      </c>
      <c r="J6" s="425">
        <v>3</v>
      </c>
      <c r="K6" s="425">
        <v>3</v>
      </c>
      <c r="L6" s="425">
        <v>0</v>
      </c>
      <c r="M6" s="425">
        <v>2</v>
      </c>
      <c r="N6" s="425">
        <v>1</v>
      </c>
      <c r="O6" s="425">
        <v>0</v>
      </c>
      <c r="P6" s="425" t="s">
        <v>106</v>
      </c>
      <c r="Q6" s="425" t="s">
        <v>106</v>
      </c>
      <c r="R6" s="425">
        <v>1</v>
      </c>
      <c r="S6" s="426">
        <v>5000</v>
      </c>
      <c r="T6" s="439" t="s">
        <v>446</v>
      </c>
      <c r="U6" s="428" t="s">
        <v>447</v>
      </c>
      <c r="V6" s="426" t="s">
        <v>258</v>
      </c>
      <c r="W6" s="429" t="s">
        <v>448</v>
      </c>
      <c r="X6" s="430" t="s">
        <v>449</v>
      </c>
      <c r="Y6" s="590">
        <v>1</v>
      </c>
      <c r="Z6" s="590">
        <v>1</v>
      </c>
      <c r="AA6" s="590">
        <v>0</v>
      </c>
      <c r="AB6" s="591">
        <v>0</v>
      </c>
      <c r="AC6" s="590">
        <v>1</v>
      </c>
      <c r="AD6" s="590">
        <v>1</v>
      </c>
      <c r="AE6" s="590">
        <v>0</v>
      </c>
      <c r="AF6" s="591">
        <v>0</v>
      </c>
      <c r="AG6" s="590">
        <v>0</v>
      </c>
      <c r="AH6" s="590">
        <v>0</v>
      </c>
      <c r="AI6" s="590">
        <v>0</v>
      </c>
      <c r="AJ6" s="591">
        <v>0</v>
      </c>
      <c r="AK6" s="590">
        <v>0</v>
      </c>
      <c r="AL6" s="590">
        <v>0</v>
      </c>
      <c r="AM6" s="590">
        <v>0</v>
      </c>
      <c r="AN6" s="591">
        <v>0</v>
      </c>
      <c r="AP6" s="318" t="s">
        <v>132</v>
      </c>
      <c r="AQ6" s="319">
        <f>Poralltestshistlost</f>
        <v>164</v>
      </c>
      <c r="AS6" s="819" t="s">
        <v>132</v>
      </c>
      <c r="AT6" s="820">
        <f>Porrwchistlost</f>
        <v>6</v>
      </c>
    </row>
    <row r="7" spans="1:46" ht="14.95" customHeight="1" thickBot="1" x14ac:dyDescent="0.3">
      <c r="A7" s="613" t="s">
        <v>455</v>
      </c>
      <c r="B7" s="573" t="s">
        <v>398</v>
      </c>
      <c r="C7" s="465" t="s">
        <v>38</v>
      </c>
      <c r="D7" s="554" t="s">
        <v>458</v>
      </c>
      <c r="E7" s="453" t="s">
        <v>3</v>
      </c>
      <c r="F7" s="453">
        <v>11</v>
      </c>
      <c r="G7" s="453">
        <v>38</v>
      </c>
      <c r="H7" s="453" t="s">
        <v>106</v>
      </c>
      <c r="I7" s="453" t="s">
        <v>106</v>
      </c>
      <c r="J7" s="453">
        <v>1</v>
      </c>
      <c r="K7" s="453">
        <v>0</v>
      </c>
      <c r="L7" s="453">
        <v>0</v>
      </c>
      <c r="M7" s="453">
        <v>2</v>
      </c>
      <c r="N7" s="453">
        <v>2</v>
      </c>
      <c r="O7" s="453">
        <v>0</v>
      </c>
      <c r="P7" s="453" t="s">
        <v>106</v>
      </c>
      <c r="Q7" s="453" t="s">
        <v>106</v>
      </c>
      <c r="R7" s="453">
        <v>6</v>
      </c>
      <c r="S7" s="466">
        <v>6000</v>
      </c>
      <c r="T7" s="558" t="s">
        <v>484</v>
      </c>
      <c r="U7" s="467" t="s">
        <v>377</v>
      </c>
      <c r="V7" s="466" t="s">
        <v>258</v>
      </c>
      <c r="W7" s="463" t="s">
        <v>482</v>
      </c>
      <c r="X7" s="468" t="s">
        <v>483</v>
      </c>
      <c r="Y7" s="611">
        <v>1</v>
      </c>
      <c r="Z7" s="611">
        <v>0</v>
      </c>
      <c r="AA7" s="611">
        <v>0</v>
      </c>
      <c r="AB7" s="525">
        <v>1</v>
      </c>
      <c r="AC7" s="611">
        <v>0</v>
      </c>
      <c r="AD7" s="611">
        <v>0</v>
      </c>
      <c r="AE7" s="611">
        <v>0</v>
      </c>
      <c r="AF7" s="525">
        <v>0</v>
      </c>
      <c r="AG7" s="611">
        <v>0</v>
      </c>
      <c r="AH7" s="611">
        <v>0</v>
      </c>
      <c r="AI7" s="611">
        <v>0</v>
      </c>
      <c r="AJ7" s="525">
        <v>0</v>
      </c>
      <c r="AK7" s="611">
        <v>1</v>
      </c>
      <c r="AL7" s="611">
        <v>0</v>
      </c>
      <c r="AM7" s="611">
        <v>0</v>
      </c>
      <c r="AN7" s="525">
        <v>1</v>
      </c>
      <c r="AP7" s="318" t="s">
        <v>138</v>
      </c>
      <c r="AQ7" s="319">
        <f>Poralltestshistptsscored</f>
        <v>6098</v>
      </c>
      <c r="AS7" s="819" t="s">
        <v>138</v>
      </c>
      <c r="AT7" s="820">
        <f>Porrwchistptsscored</f>
        <v>102</v>
      </c>
    </row>
    <row r="8" spans="1:46" ht="14.95" customHeight="1" thickBot="1" x14ac:dyDescent="0.35">
      <c r="A8" s="523" t="s">
        <v>323</v>
      </c>
      <c r="B8" s="494" t="s">
        <v>45</v>
      </c>
      <c r="C8" s="424" t="s">
        <v>60</v>
      </c>
      <c r="D8" s="436" t="s">
        <v>668</v>
      </c>
      <c r="E8" s="425" t="s">
        <v>1</v>
      </c>
      <c r="F8" s="425">
        <v>46</v>
      </c>
      <c r="G8" s="425">
        <v>20</v>
      </c>
      <c r="H8" s="425" t="s">
        <v>106</v>
      </c>
      <c r="I8" s="425" t="s">
        <v>106</v>
      </c>
      <c r="J8" s="425">
        <v>7</v>
      </c>
      <c r="K8" s="425">
        <v>3</v>
      </c>
      <c r="L8" s="425">
        <v>0</v>
      </c>
      <c r="M8" s="425">
        <v>1</v>
      </c>
      <c r="N8" s="425">
        <v>2</v>
      </c>
      <c r="O8" s="425">
        <v>0</v>
      </c>
      <c r="P8" s="425" t="s">
        <v>106</v>
      </c>
      <c r="Q8" s="425" t="s">
        <v>106</v>
      </c>
      <c r="R8" s="425">
        <v>2</v>
      </c>
      <c r="S8" s="426"/>
      <c r="T8" s="438" t="s">
        <v>775</v>
      </c>
      <c r="U8" s="428" t="s">
        <v>269</v>
      </c>
      <c r="V8" s="426" t="s">
        <v>447</v>
      </c>
      <c r="W8" s="429" t="s">
        <v>412</v>
      </c>
      <c r="X8" s="430" t="s">
        <v>302</v>
      </c>
      <c r="Y8" s="590">
        <v>1</v>
      </c>
      <c r="Z8" s="590">
        <v>1</v>
      </c>
      <c r="AA8" s="590">
        <v>0</v>
      </c>
      <c r="AB8" s="591">
        <v>0</v>
      </c>
      <c r="AC8" s="590">
        <v>1</v>
      </c>
      <c r="AD8" s="590">
        <v>1</v>
      </c>
      <c r="AE8" s="590">
        <v>0</v>
      </c>
      <c r="AF8" s="591">
        <v>0</v>
      </c>
      <c r="AG8" s="590">
        <v>0</v>
      </c>
      <c r="AH8" s="590">
        <v>0</v>
      </c>
      <c r="AI8" s="590">
        <v>0</v>
      </c>
      <c r="AJ8" s="591">
        <v>0</v>
      </c>
      <c r="AK8" s="590">
        <v>0</v>
      </c>
      <c r="AL8" s="590">
        <v>0</v>
      </c>
      <c r="AM8" s="590">
        <v>0</v>
      </c>
      <c r="AN8" s="591">
        <v>0</v>
      </c>
      <c r="AP8" s="318" t="s">
        <v>139</v>
      </c>
      <c r="AQ8" s="319">
        <f>Poralltestshistptsconc</f>
        <v>6915</v>
      </c>
      <c r="AS8" s="819" t="s">
        <v>139</v>
      </c>
      <c r="AT8" s="820">
        <f>Porrwchistpgtsagainst</f>
        <v>312</v>
      </c>
    </row>
    <row r="9" spans="1:46" ht="14.95" customHeight="1" thickBot="1" x14ac:dyDescent="0.3">
      <c r="A9" s="489" t="s">
        <v>358</v>
      </c>
      <c r="B9" s="490" t="s">
        <v>198</v>
      </c>
      <c r="C9" s="465" t="s">
        <v>32</v>
      </c>
      <c r="D9" s="554" t="s">
        <v>231</v>
      </c>
      <c r="E9" s="453" t="s">
        <v>3</v>
      </c>
      <c r="F9" s="453">
        <v>8</v>
      </c>
      <c r="G9" s="453">
        <v>28</v>
      </c>
      <c r="H9" s="453">
        <v>0</v>
      </c>
      <c r="I9" s="453">
        <v>0</v>
      </c>
      <c r="J9" s="453">
        <v>1</v>
      </c>
      <c r="K9" s="453">
        <v>0</v>
      </c>
      <c r="L9" s="453">
        <v>0</v>
      </c>
      <c r="M9" s="453">
        <v>1</v>
      </c>
      <c r="N9" s="453">
        <v>0</v>
      </c>
      <c r="O9" s="453">
        <v>1</v>
      </c>
      <c r="P9" s="453">
        <v>1</v>
      </c>
      <c r="Q9" s="453">
        <v>0</v>
      </c>
      <c r="R9" s="453">
        <v>4</v>
      </c>
      <c r="S9" s="466">
        <v>28700</v>
      </c>
      <c r="T9" s="558" t="s">
        <v>770</v>
      </c>
      <c r="U9" s="467" t="s">
        <v>263</v>
      </c>
      <c r="V9" s="466" t="s">
        <v>266</v>
      </c>
      <c r="W9" s="463" t="s">
        <v>420</v>
      </c>
      <c r="X9" s="468" t="s">
        <v>413</v>
      </c>
      <c r="Y9" s="364">
        <v>1</v>
      </c>
      <c r="Z9" s="364">
        <v>0</v>
      </c>
      <c r="AA9" s="364">
        <v>0</v>
      </c>
      <c r="AB9" s="454">
        <v>1</v>
      </c>
      <c r="AC9" s="364">
        <v>0</v>
      </c>
      <c r="AD9" s="364">
        <v>0</v>
      </c>
      <c r="AE9" s="364">
        <v>0</v>
      </c>
      <c r="AF9" s="454">
        <v>0</v>
      </c>
      <c r="AG9" s="364">
        <v>0</v>
      </c>
      <c r="AH9" s="364">
        <v>0</v>
      </c>
      <c r="AI9" s="364">
        <v>0</v>
      </c>
      <c r="AJ9" s="454">
        <v>0</v>
      </c>
      <c r="AK9" s="364">
        <v>1</v>
      </c>
      <c r="AL9" s="364">
        <v>0</v>
      </c>
      <c r="AM9" s="364">
        <v>0</v>
      </c>
      <c r="AN9" s="454">
        <v>1</v>
      </c>
      <c r="AP9" s="318" t="s">
        <v>129</v>
      </c>
      <c r="AQ9" s="319">
        <f>Poralltestshisttriesscored</f>
        <v>690</v>
      </c>
      <c r="AS9" s="819" t="s">
        <v>129</v>
      </c>
      <c r="AT9" s="820">
        <f>Porrwchisttriesscored</f>
        <v>12</v>
      </c>
    </row>
    <row r="10" spans="1:46" ht="14.95" customHeight="1" thickBot="1" x14ac:dyDescent="0.3">
      <c r="A10" s="489" t="s">
        <v>328</v>
      </c>
      <c r="B10" s="490" t="s">
        <v>198</v>
      </c>
      <c r="C10" s="465" t="s">
        <v>38</v>
      </c>
      <c r="D10" s="554" t="s">
        <v>197</v>
      </c>
      <c r="E10" s="453" t="s">
        <v>2</v>
      </c>
      <c r="F10" s="453">
        <v>18</v>
      </c>
      <c r="G10" s="453">
        <v>18</v>
      </c>
      <c r="H10" s="453">
        <v>0</v>
      </c>
      <c r="I10" s="453">
        <v>0</v>
      </c>
      <c r="J10" s="453">
        <v>2</v>
      </c>
      <c r="K10" s="453">
        <v>1</v>
      </c>
      <c r="L10" s="453">
        <v>0</v>
      </c>
      <c r="M10" s="453">
        <v>2</v>
      </c>
      <c r="N10" s="453">
        <v>1</v>
      </c>
      <c r="O10" s="453">
        <v>0</v>
      </c>
      <c r="P10" s="453">
        <v>0</v>
      </c>
      <c r="Q10" s="453">
        <v>0</v>
      </c>
      <c r="R10" s="453">
        <v>2</v>
      </c>
      <c r="S10" s="466">
        <v>28700</v>
      </c>
      <c r="T10" s="558" t="s">
        <v>715</v>
      </c>
      <c r="U10" s="467" t="s">
        <v>269</v>
      </c>
      <c r="V10" s="466" t="s">
        <v>431</v>
      </c>
      <c r="W10" s="463" t="s">
        <v>278</v>
      </c>
      <c r="X10" s="468" t="s">
        <v>349</v>
      </c>
      <c r="Y10" s="364">
        <v>1</v>
      </c>
      <c r="Z10" s="364">
        <v>0</v>
      </c>
      <c r="AA10" s="364">
        <v>1</v>
      </c>
      <c r="AB10" s="454">
        <v>0</v>
      </c>
      <c r="AC10" s="364">
        <v>0</v>
      </c>
      <c r="AD10" s="364">
        <v>0</v>
      </c>
      <c r="AE10" s="364">
        <v>0</v>
      </c>
      <c r="AF10" s="454">
        <v>0</v>
      </c>
      <c r="AG10" s="364">
        <v>0</v>
      </c>
      <c r="AH10" s="364">
        <v>0</v>
      </c>
      <c r="AI10" s="364">
        <v>0</v>
      </c>
      <c r="AJ10" s="454">
        <v>0</v>
      </c>
      <c r="AK10" s="364">
        <v>1</v>
      </c>
      <c r="AL10" s="364">
        <v>0</v>
      </c>
      <c r="AM10" s="364">
        <v>1</v>
      </c>
      <c r="AN10" s="454">
        <v>0</v>
      </c>
    </row>
    <row r="11" spans="1:46" ht="14.95" customHeight="1" thickBot="1" x14ac:dyDescent="0.3">
      <c r="A11" s="489" t="s">
        <v>406</v>
      </c>
      <c r="B11" s="490" t="s">
        <v>198</v>
      </c>
      <c r="C11" s="490" t="s">
        <v>29</v>
      </c>
      <c r="D11" s="554" t="s">
        <v>227</v>
      </c>
      <c r="E11" s="453" t="s">
        <v>3</v>
      </c>
      <c r="F11" s="453">
        <v>14</v>
      </c>
      <c r="G11" s="453">
        <v>34</v>
      </c>
      <c r="H11" s="453">
        <v>0</v>
      </c>
      <c r="I11" s="453">
        <v>0</v>
      </c>
      <c r="J11" s="453">
        <v>2</v>
      </c>
      <c r="K11" s="453">
        <v>2</v>
      </c>
      <c r="L11" s="453">
        <v>0</v>
      </c>
      <c r="M11" s="453">
        <v>0</v>
      </c>
      <c r="N11" s="453">
        <v>1</v>
      </c>
      <c r="O11" s="453">
        <v>0</v>
      </c>
      <c r="P11" s="453">
        <v>1</v>
      </c>
      <c r="Q11" s="453">
        <v>0</v>
      </c>
      <c r="R11" s="453">
        <v>5</v>
      </c>
      <c r="S11" s="466">
        <v>41342</v>
      </c>
      <c r="T11" s="558" t="s">
        <v>930</v>
      </c>
      <c r="U11" s="467" t="s">
        <v>402</v>
      </c>
      <c r="V11" s="466" t="s">
        <v>431</v>
      </c>
      <c r="W11" s="463" t="s">
        <v>364</v>
      </c>
      <c r="X11" s="468" t="s">
        <v>420</v>
      </c>
      <c r="Y11" s="364">
        <v>1</v>
      </c>
      <c r="Z11" s="364">
        <v>0</v>
      </c>
      <c r="AA11" s="364">
        <v>0</v>
      </c>
      <c r="AB11" s="454">
        <v>1</v>
      </c>
      <c r="AC11" s="364">
        <v>0</v>
      </c>
      <c r="AD11" s="364">
        <v>0</v>
      </c>
      <c r="AE11" s="364">
        <v>0</v>
      </c>
      <c r="AF11" s="454">
        <v>0</v>
      </c>
      <c r="AG11" s="364">
        <v>0</v>
      </c>
      <c r="AH11" s="364">
        <v>0</v>
      </c>
      <c r="AI11" s="364">
        <v>0</v>
      </c>
      <c r="AJ11" s="454">
        <v>0</v>
      </c>
      <c r="AK11" s="364">
        <v>1</v>
      </c>
      <c r="AL11" s="364">
        <v>0</v>
      </c>
      <c r="AM11" s="364">
        <v>0</v>
      </c>
      <c r="AN11" s="454">
        <v>1</v>
      </c>
    </row>
    <row r="12" spans="1:46" ht="14.95" customHeight="1" thickBot="1" x14ac:dyDescent="0.3">
      <c r="A12" s="489" t="s">
        <v>407</v>
      </c>
      <c r="B12" s="490" t="s">
        <v>198</v>
      </c>
      <c r="C12" s="490" t="s">
        <v>31</v>
      </c>
      <c r="D12" s="554" t="s">
        <v>197</v>
      </c>
      <c r="E12" s="453" t="s">
        <v>1</v>
      </c>
      <c r="F12" s="453">
        <v>24</v>
      </c>
      <c r="G12" s="453">
        <v>23</v>
      </c>
      <c r="H12" s="453">
        <v>0</v>
      </c>
      <c r="I12" s="453">
        <v>0</v>
      </c>
      <c r="J12" s="453">
        <v>3</v>
      </c>
      <c r="K12" s="453">
        <v>3</v>
      </c>
      <c r="L12" s="453">
        <v>0</v>
      </c>
      <c r="M12" s="453">
        <v>1</v>
      </c>
      <c r="N12" s="453">
        <v>0</v>
      </c>
      <c r="O12" s="453">
        <v>0</v>
      </c>
      <c r="P12" s="453">
        <v>0</v>
      </c>
      <c r="Q12" s="453">
        <v>0</v>
      </c>
      <c r="R12" s="453">
        <v>2</v>
      </c>
      <c r="S12" s="466">
        <v>32223</v>
      </c>
      <c r="T12" s="497" t="s">
        <v>961</v>
      </c>
      <c r="U12" s="467" t="s">
        <v>266</v>
      </c>
      <c r="V12" s="466" t="s">
        <v>347</v>
      </c>
      <c r="W12" s="463" t="s">
        <v>433</v>
      </c>
      <c r="X12" s="468" t="s">
        <v>467</v>
      </c>
      <c r="Y12" s="364">
        <v>1</v>
      </c>
      <c r="Z12" s="364">
        <v>1</v>
      </c>
      <c r="AA12" s="364">
        <v>0</v>
      </c>
      <c r="AB12" s="454">
        <v>0</v>
      </c>
      <c r="AC12" s="364">
        <v>0</v>
      </c>
      <c r="AD12" s="364">
        <v>0</v>
      </c>
      <c r="AE12" s="364">
        <v>0</v>
      </c>
      <c r="AF12" s="454">
        <v>0</v>
      </c>
      <c r="AG12" s="364">
        <v>0</v>
      </c>
      <c r="AH12" s="364">
        <v>0</v>
      </c>
      <c r="AI12" s="364">
        <v>0</v>
      </c>
      <c r="AJ12" s="454">
        <v>0</v>
      </c>
      <c r="AK12" s="364">
        <v>1</v>
      </c>
      <c r="AL12" s="364">
        <v>1</v>
      </c>
      <c r="AM12" s="364">
        <v>0</v>
      </c>
      <c r="AN12" s="454">
        <v>0</v>
      </c>
    </row>
    <row r="13" spans="1:46" ht="14.95" customHeight="1" thickBot="1" x14ac:dyDescent="0.3">
      <c r="A13" s="266"/>
      <c r="B13" s="267"/>
      <c r="C13" s="1112" t="s">
        <v>109</v>
      </c>
      <c r="D13" s="998"/>
      <c r="E13" s="999"/>
      <c r="F13" s="265">
        <f t="shared" ref="F13:R13" si="0">SUM(F3:F7)</f>
        <v>195</v>
      </c>
      <c r="G13" s="265">
        <f t="shared" si="0"/>
        <v>88</v>
      </c>
      <c r="H13" s="265">
        <f t="shared" si="0"/>
        <v>3</v>
      </c>
      <c r="I13" s="265">
        <f t="shared" si="0"/>
        <v>0</v>
      </c>
      <c r="J13" s="265">
        <f t="shared" si="0"/>
        <v>28</v>
      </c>
      <c r="K13" s="265">
        <f t="shared" si="0"/>
        <v>20</v>
      </c>
      <c r="L13" s="265">
        <f t="shared" si="0"/>
        <v>0</v>
      </c>
      <c r="M13" s="265">
        <f t="shared" si="0"/>
        <v>5</v>
      </c>
      <c r="N13" s="265">
        <f t="shared" si="0"/>
        <v>4</v>
      </c>
      <c r="O13" s="265">
        <f t="shared" si="0"/>
        <v>0</v>
      </c>
      <c r="P13" s="265">
        <f t="shared" si="0"/>
        <v>0</v>
      </c>
      <c r="Q13" s="265">
        <f t="shared" si="0"/>
        <v>0</v>
      </c>
      <c r="R13" s="265">
        <f t="shared" si="0"/>
        <v>11</v>
      </c>
      <c r="W13" s="262"/>
      <c r="X13" s="369" t="s">
        <v>109</v>
      </c>
      <c r="Y13" s="265">
        <f t="shared" ref="Y13:AN13" si="1">SUM(Y3:Y7)</f>
        <v>5</v>
      </c>
      <c r="Z13" s="265">
        <f t="shared" si="1"/>
        <v>4</v>
      </c>
      <c r="AA13" s="265">
        <f t="shared" si="1"/>
        <v>0</v>
      </c>
      <c r="AB13" s="265">
        <f t="shared" si="1"/>
        <v>1</v>
      </c>
      <c r="AC13" s="263">
        <f t="shared" si="1"/>
        <v>3</v>
      </c>
      <c r="AD13" s="263">
        <f t="shared" si="1"/>
        <v>3</v>
      </c>
      <c r="AE13" s="263">
        <f t="shared" si="1"/>
        <v>0</v>
      </c>
      <c r="AF13" s="263">
        <f t="shared" si="1"/>
        <v>0</v>
      </c>
      <c r="AG13" s="264">
        <f t="shared" si="1"/>
        <v>1</v>
      </c>
      <c r="AH13" s="264">
        <f t="shared" si="1"/>
        <v>1</v>
      </c>
      <c r="AI13" s="264">
        <f t="shared" si="1"/>
        <v>0</v>
      </c>
      <c r="AJ13" s="264">
        <f t="shared" si="1"/>
        <v>0</v>
      </c>
      <c r="AK13" s="265">
        <f t="shared" si="1"/>
        <v>1</v>
      </c>
      <c r="AL13" s="265">
        <f t="shared" si="1"/>
        <v>0</v>
      </c>
      <c r="AM13" s="265">
        <f t="shared" si="1"/>
        <v>0</v>
      </c>
      <c r="AN13" s="265">
        <f t="shared" si="1"/>
        <v>1</v>
      </c>
    </row>
    <row r="14" spans="1:46" ht="14.95" thickBot="1" x14ac:dyDescent="0.3">
      <c r="A14" s="266"/>
      <c r="B14" s="267"/>
      <c r="C14" s="937" t="s">
        <v>166</v>
      </c>
      <c r="D14" s="978"/>
      <c r="E14" s="979"/>
      <c r="F14" s="476">
        <f>F8</f>
        <v>46</v>
      </c>
      <c r="G14" s="476">
        <f>G8</f>
        <v>20</v>
      </c>
      <c r="H14" s="476" t="s">
        <v>106</v>
      </c>
      <c r="I14" s="476" t="s">
        <v>106</v>
      </c>
      <c r="J14" s="476">
        <f t="shared" ref="J14:O14" si="2">J8</f>
        <v>7</v>
      </c>
      <c r="K14" s="476">
        <f t="shared" si="2"/>
        <v>3</v>
      </c>
      <c r="L14" s="476">
        <f t="shared" si="2"/>
        <v>0</v>
      </c>
      <c r="M14" s="476">
        <f t="shared" si="2"/>
        <v>1</v>
      </c>
      <c r="N14" s="476">
        <f t="shared" si="2"/>
        <v>2</v>
      </c>
      <c r="O14" s="476">
        <f t="shared" si="2"/>
        <v>0</v>
      </c>
      <c r="P14" s="476" t="s">
        <v>106</v>
      </c>
      <c r="Q14" s="476" t="s">
        <v>106</v>
      </c>
      <c r="R14" s="476">
        <f>R8</f>
        <v>2</v>
      </c>
      <c r="S14" s="488"/>
      <c r="T14" s="488"/>
      <c r="U14" s="488"/>
      <c r="V14" s="488"/>
      <c r="W14" s="474"/>
      <c r="X14" s="481" t="s">
        <v>166</v>
      </c>
      <c r="Y14" s="476">
        <f t="shared" ref="Y14:AN14" si="3">Y8</f>
        <v>1</v>
      </c>
      <c r="Z14" s="476">
        <f t="shared" si="3"/>
        <v>1</v>
      </c>
      <c r="AA14" s="476">
        <f t="shared" si="3"/>
        <v>0</v>
      </c>
      <c r="AB14" s="476">
        <f t="shared" si="3"/>
        <v>0</v>
      </c>
      <c r="AC14" s="477">
        <f t="shared" si="3"/>
        <v>1</v>
      </c>
      <c r="AD14" s="477">
        <f t="shared" si="3"/>
        <v>1</v>
      </c>
      <c r="AE14" s="477">
        <f t="shared" si="3"/>
        <v>0</v>
      </c>
      <c r="AF14" s="477">
        <f t="shared" si="3"/>
        <v>0</v>
      </c>
      <c r="AG14" s="478">
        <f t="shared" si="3"/>
        <v>0</v>
      </c>
      <c r="AH14" s="478">
        <f t="shared" si="3"/>
        <v>0</v>
      </c>
      <c r="AI14" s="478">
        <f t="shared" si="3"/>
        <v>0</v>
      </c>
      <c r="AJ14" s="478">
        <f t="shared" si="3"/>
        <v>0</v>
      </c>
      <c r="AK14" s="476">
        <f t="shared" si="3"/>
        <v>0</v>
      </c>
      <c r="AL14" s="476">
        <f t="shared" si="3"/>
        <v>0</v>
      </c>
      <c r="AM14" s="476">
        <f t="shared" si="3"/>
        <v>0</v>
      </c>
      <c r="AN14" s="476">
        <f t="shared" si="3"/>
        <v>0</v>
      </c>
    </row>
    <row r="15" spans="1:46" ht="14.95" thickBot="1" x14ac:dyDescent="0.3">
      <c r="A15" s="266"/>
      <c r="B15" s="267"/>
      <c r="C15" s="940" t="s">
        <v>625</v>
      </c>
      <c r="D15" s="941"/>
      <c r="E15" s="942"/>
      <c r="F15" s="708">
        <f t="shared" ref="F15:R15" si="4">SUM(F9:F12)</f>
        <v>64</v>
      </c>
      <c r="G15" s="708">
        <f t="shared" si="4"/>
        <v>103</v>
      </c>
      <c r="H15" s="708">
        <f t="shared" si="4"/>
        <v>0</v>
      </c>
      <c r="I15" s="708">
        <f t="shared" si="4"/>
        <v>0</v>
      </c>
      <c r="J15" s="708">
        <f t="shared" si="4"/>
        <v>8</v>
      </c>
      <c r="K15" s="708">
        <f t="shared" si="4"/>
        <v>6</v>
      </c>
      <c r="L15" s="708">
        <f t="shared" si="4"/>
        <v>0</v>
      </c>
      <c r="M15" s="708">
        <f t="shared" si="4"/>
        <v>4</v>
      </c>
      <c r="N15" s="708">
        <f t="shared" si="4"/>
        <v>2</v>
      </c>
      <c r="O15" s="708">
        <f t="shared" si="4"/>
        <v>1</v>
      </c>
      <c r="P15" s="708">
        <f t="shared" si="4"/>
        <v>2</v>
      </c>
      <c r="Q15" s="708">
        <f t="shared" si="4"/>
        <v>0</v>
      </c>
      <c r="R15" s="708">
        <f t="shared" si="4"/>
        <v>13</v>
      </c>
      <c r="S15" s="709"/>
      <c r="T15" s="709"/>
      <c r="U15" s="709"/>
      <c r="V15" s="709"/>
      <c r="W15" s="710"/>
      <c r="X15" s="711" t="s">
        <v>625</v>
      </c>
      <c r="Y15" s="712">
        <f t="shared" ref="Y15:AN15" si="5">SUM(Y9:Y12)</f>
        <v>4</v>
      </c>
      <c r="Z15" s="708">
        <f t="shared" si="5"/>
        <v>1</v>
      </c>
      <c r="AA15" s="708">
        <f t="shared" si="5"/>
        <v>1</v>
      </c>
      <c r="AB15" s="708">
        <f t="shared" si="5"/>
        <v>2</v>
      </c>
      <c r="AC15" s="713">
        <f t="shared" si="5"/>
        <v>0</v>
      </c>
      <c r="AD15" s="713">
        <f t="shared" si="5"/>
        <v>0</v>
      </c>
      <c r="AE15" s="713">
        <f t="shared" si="5"/>
        <v>0</v>
      </c>
      <c r="AF15" s="713">
        <f t="shared" si="5"/>
        <v>0</v>
      </c>
      <c r="AG15" s="714">
        <f t="shared" si="5"/>
        <v>0</v>
      </c>
      <c r="AH15" s="714">
        <f t="shared" si="5"/>
        <v>0</v>
      </c>
      <c r="AI15" s="714">
        <f t="shared" si="5"/>
        <v>0</v>
      </c>
      <c r="AJ15" s="714">
        <f t="shared" si="5"/>
        <v>0</v>
      </c>
      <c r="AK15" s="708">
        <f t="shared" si="5"/>
        <v>4</v>
      </c>
      <c r="AL15" s="708">
        <f t="shared" si="5"/>
        <v>1</v>
      </c>
      <c r="AM15" s="708">
        <f t="shared" si="5"/>
        <v>1</v>
      </c>
      <c r="AN15" s="708">
        <f t="shared" si="5"/>
        <v>2</v>
      </c>
    </row>
    <row r="16" spans="1:46" ht="14.95" thickBot="1" x14ac:dyDescent="0.3">
      <c r="A16" s="266"/>
      <c r="B16" s="267"/>
      <c r="C16" s="940" t="s">
        <v>626</v>
      </c>
      <c r="D16" s="943"/>
      <c r="E16" s="944"/>
      <c r="F16" s="708">
        <v>0</v>
      </c>
      <c r="G16" s="708">
        <v>0</v>
      </c>
      <c r="H16" s="708">
        <v>0</v>
      </c>
      <c r="I16" s="708">
        <v>0</v>
      </c>
      <c r="J16" s="708">
        <v>0</v>
      </c>
      <c r="K16" s="708">
        <v>0</v>
      </c>
      <c r="L16" s="708">
        <v>0</v>
      </c>
      <c r="M16" s="708">
        <v>0</v>
      </c>
      <c r="N16" s="708">
        <v>0</v>
      </c>
      <c r="O16" s="708">
        <v>0</v>
      </c>
      <c r="P16" s="708">
        <v>0</v>
      </c>
      <c r="Q16" s="708">
        <v>0</v>
      </c>
      <c r="R16" s="708">
        <v>0</v>
      </c>
      <c r="S16" s="709"/>
      <c r="T16" s="709"/>
      <c r="U16" s="709"/>
      <c r="V16" s="709"/>
      <c r="W16" s="710"/>
      <c r="X16" s="711" t="s">
        <v>626</v>
      </c>
      <c r="Y16" s="712">
        <v>0</v>
      </c>
      <c r="Z16" s="708">
        <v>0</v>
      </c>
      <c r="AA16" s="708">
        <v>0</v>
      </c>
      <c r="AB16" s="708">
        <v>0</v>
      </c>
      <c r="AC16" s="713">
        <v>0</v>
      </c>
      <c r="AD16" s="713">
        <v>0</v>
      </c>
      <c r="AE16" s="713">
        <v>0</v>
      </c>
      <c r="AF16" s="713">
        <v>0</v>
      </c>
      <c r="AG16" s="714">
        <v>0</v>
      </c>
      <c r="AH16" s="714">
        <v>0</v>
      </c>
      <c r="AI16" s="714">
        <v>0</v>
      </c>
      <c r="AJ16" s="714">
        <v>0</v>
      </c>
      <c r="AK16" s="708">
        <v>0</v>
      </c>
      <c r="AL16" s="708">
        <v>0</v>
      </c>
      <c r="AM16" s="708">
        <v>0</v>
      </c>
      <c r="AN16" s="708">
        <v>0</v>
      </c>
    </row>
    <row r="17" spans="1:40" ht="14.95" thickBot="1" x14ac:dyDescent="0.3">
      <c r="A17" s="266"/>
      <c r="B17" s="267"/>
      <c r="C17" s="940" t="s">
        <v>627</v>
      </c>
      <c r="D17" s="943"/>
      <c r="E17" s="944"/>
      <c r="F17" s="708">
        <f>SUM(F15+F16)</f>
        <v>64</v>
      </c>
      <c r="G17" s="708">
        <f t="shared" ref="G17:R17" si="6">SUM(G15+G16)</f>
        <v>103</v>
      </c>
      <c r="H17" s="708">
        <f t="shared" si="6"/>
        <v>0</v>
      </c>
      <c r="I17" s="708">
        <f t="shared" si="6"/>
        <v>0</v>
      </c>
      <c r="J17" s="708">
        <f t="shared" si="6"/>
        <v>8</v>
      </c>
      <c r="K17" s="708">
        <f t="shared" si="6"/>
        <v>6</v>
      </c>
      <c r="L17" s="708">
        <f t="shared" si="6"/>
        <v>0</v>
      </c>
      <c r="M17" s="708">
        <f t="shared" si="6"/>
        <v>4</v>
      </c>
      <c r="N17" s="708">
        <f t="shared" si="6"/>
        <v>2</v>
      </c>
      <c r="O17" s="708">
        <f t="shared" si="6"/>
        <v>1</v>
      </c>
      <c r="P17" s="708">
        <f t="shared" si="6"/>
        <v>2</v>
      </c>
      <c r="Q17" s="708">
        <f t="shared" si="6"/>
        <v>0</v>
      </c>
      <c r="R17" s="708">
        <f t="shared" si="6"/>
        <v>13</v>
      </c>
      <c r="S17" s="709"/>
      <c r="T17" s="709"/>
      <c r="U17" s="709"/>
      <c r="V17" s="709"/>
      <c r="W17" s="710"/>
      <c r="X17" s="711" t="s">
        <v>627</v>
      </c>
      <c r="Y17" s="712">
        <f t="shared" ref="Y17:AN17" si="7">SUM(Y15+Y16)</f>
        <v>4</v>
      </c>
      <c r="Z17" s="708">
        <f t="shared" si="7"/>
        <v>1</v>
      </c>
      <c r="AA17" s="708">
        <f t="shared" si="7"/>
        <v>1</v>
      </c>
      <c r="AB17" s="708">
        <f t="shared" si="7"/>
        <v>2</v>
      </c>
      <c r="AC17" s="713">
        <f t="shared" si="7"/>
        <v>0</v>
      </c>
      <c r="AD17" s="713">
        <f t="shared" si="7"/>
        <v>0</v>
      </c>
      <c r="AE17" s="713">
        <f t="shared" si="7"/>
        <v>0</v>
      </c>
      <c r="AF17" s="713">
        <f t="shared" si="7"/>
        <v>0</v>
      </c>
      <c r="AG17" s="714">
        <f t="shared" si="7"/>
        <v>0</v>
      </c>
      <c r="AH17" s="714">
        <f t="shared" si="7"/>
        <v>0</v>
      </c>
      <c r="AI17" s="714">
        <f t="shared" si="7"/>
        <v>0</v>
      </c>
      <c r="AJ17" s="714">
        <f t="shared" si="7"/>
        <v>0</v>
      </c>
      <c r="AK17" s="708">
        <f t="shared" si="7"/>
        <v>4</v>
      </c>
      <c r="AL17" s="708">
        <f t="shared" si="7"/>
        <v>1</v>
      </c>
      <c r="AM17" s="708">
        <f t="shared" si="7"/>
        <v>1</v>
      </c>
      <c r="AN17" s="708">
        <f t="shared" si="7"/>
        <v>2</v>
      </c>
    </row>
    <row r="18" spans="1:40" ht="14.95" thickBot="1" x14ac:dyDescent="0.3">
      <c r="A18" s="266"/>
      <c r="B18" s="267"/>
      <c r="C18" s="946" t="s">
        <v>107</v>
      </c>
      <c r="D18" s="947"/>
      <c r="E18" s="948"/>
      <c r="F18" s="343">
        <f t="shared" ref="F18:R18" si="8">SUM(F3:F12)</f>
        <v>305</v>
      </c>
      <c r="G18" s="343">
        <f t="shared" si="8"/>
        <v>211</v>
      </c>
      <c r="H18" s="343">
        <f t="shared" si="8"/>
        <v>3</v>
      </c>
      <c r="I18" s="343">
        <f t="shared" si="8"/>
        <v>0</v>
      </c>
      <c r="J18" s="343">
        <f t="shared" si="8"/>
        <v>43</v>
      </c>
      <c r="K18" s="343">
        <f t="shared" si="8"/>
        <v>29</v>
      </c>
      <c r="L18" s="343">
        <f t="shared" si="8"/>
        <v>0</v>
      </c>
      <c r="M18" s="343">
        <f t="shared" si="8"/>
        <v>10</v>
      </c>
      <c r="N18" s="343">
        <f t="shared" si="8"/>
        <v>8</v>
      </c>
      <c r="O18" s="343">
        <f t="shared" si="8"/>
        <v>1</v>
      </c>
      <c r="P18" s="343">
        <f t="shared" si="8"/>
        <v>2</v>
      </c>
      <c r="Q18" s="343">
        <f t="shared" si="8"/>
        <v>0</v>
      </c>
      <c r="R18" s="343">
        <f t="shared" si="8"/>
        <v>26</v>
      </c>
      <c r="S18" s="340"/>
      <c r="T18" s="340"/>
      <c r="U18" s="340"/>
      <c r="V18" s="340"/>
      <c r="W18" s="13"/>
      <c r="X18" s="364" t="s">
        <v>107</v>
      </c>
      <c r="Y18" s="343">
        <f t="shared" ref="Y18:AN18" si="9">SUM(Y3:Y12)</f>
        <v>10</v>
      </c>
      <c r="Z18" s="343">
        <f t="shared" si="9"/>
        <v>6</v>
      </c>
      <c r="AA18" s="343">
        <f t="shared" si="9"/>
        <v>1</v>
      </c>
      <c r="AB18" s="343">
        <f t="shared" si="9"/>
        <v>3</v>
      </c>
      <c r="AC18" s="341">
        <f t="shared" si="9"/>
        <v>4</v>
      </c>
      <c r="AD18" s="341">
        <f t="shared" si="9"/>
        <v>4</v>
      </c>
      <c r="AE18" s="341">
        <f t="shared" si="9"/>
        <v>0</v>
      </c>
      <c r="AF18" s="341">
        <f t="shared" si="9"/>
        <v>0</v>
      </c>
      <c r="AG18" s="342">
        <f t="shared" si="9"/>
        <v>1</v>
      </c>
      <c r="AH18" s="342">
        <f t="shared" si="9"/>
        <v>1</v>
      </c>
      <c r="AI18" s="342">
        <f t="shared" si="9"/>
        <v>0</v>
      </c>
      <c r="AJ18" s="342">
        <f t="shared" si="9"/>
        <v>0</v>
      </c>
      <c r="AK18" s="343">
        <f t="shared" si="9"/>
        <v>5</v>
      </c>
      <c r="AL18" s="343">
        <f t="shared" si="9"/>
        <v>1</v>
      </c>
      <c r="AM18" s="343">
        <f t="shared" si="9"/>
        <v>1</v>
      </c>
      <c r="AN18" s="343">
        <f t="shared" si="9"/>
        <v>3</v>
      </c>
    </row>
    <row r="19" spans="1:40" x14ac:dyDescent="0.25">
      <c r="A19" s="266"/>
      <c r="B19" s="267"/>
      <c r="C19" s="677"/>
      <c r="D19" s="677"/>
      <c r="E19" s="677"/>
      <c r="F19" s="678"/>
      <c r="G19" s="678"/>
      <c r="H19" s="678"/>
      <c r="I19" s="678"/>
      <c r="J19" s="678"/>
      <c r="K19" s="678"/>
      <c r="L19" s="678"/>
      <c r="M19" s="678"/>
      <c r="N19" s="678"/>
      <c r="O19" s="678"/>
      <c r="P19" s="678"/>
      <c r="Q19" s="678"/>
      <c r="R19" s="678"/>
      <c r="S19" s="679"/>
      <c r="T19" s="679"/>
      <c r="U19" s="679"/>
      <c r="V19" s="679"/>
      <c r="W19" s="13"/>
      <c r="X19" s="13"/>
      <c r="Y19" s="678"/>
      <c r="Z19" s="678"/>
      <c r="AA19" s="678"/>
      <c r="AB19" s="678"/>
      <c r="AC19" s="678"/>
      <c r="AD19" s="678"/>
      <c r="AE19" s="678"/>
      <c r="AF19" s="678"/>
      <c r="AG19" s="678"/>
      <c r="AH19" s="678"/>
      <c r="AI19" s="678"/>
      <c r="AJ19" s="678"/>
      <c r="AK19" s="678"/>
      <c r="AL19" s="678"/>
      <c r="AM19" s="678"/>
      <c r="AN19" s="678"/>
    </row>
    <row r="20" spans="1:40" x14ac:dyDescent="0.25">
      <c r="A20" s="965" t="s">
        <v>305</v>
      </c>
      <c r="B20" s="886"/>
      <c r="C20" s="886"/>
      <c r="D20" s="886"/>
      <c r="E20" s="886"/>
      <c r="F20" s="886"/>
      <c r="G20" s="886"/>
      <c r="H20" s="886"/>
      <c r="I20" s="886"/>
      <c r="J20" s="886"/>
      <c r="K20" s="886"/>
      <c r="L20" s="886"/>
      <c r="M20" s="886"/>
      <c r="N20" s="886"/>
      <c r="O20" s="886"/>
      <c r="P20" s="886"/>
      <c r="Q20" s="886"/>
      <c r="R20" s="886"/>
      <c r="S20" s="886"/>
      <c r="T20" s="886"/>
      <c r="U20" s="886"/>
      <c r="V20" s="886"/>
      <c r="W20" s="886"/>
      <c r="X20" s="886"/>
      <c r="Y20" s="886"/>
      <c r="Z20" s="886"/>
      <c r="AA20" s="886"/>
      <c r="AB20" s="886"/>
      <c r="AC20" s="886"/>
      <c r="AD20" s="886"/>
      <c r="AE20" s="886"/>
      <c r="AF20" s="886"/>
      <c r="AG20" s="886"/>
      <c r="AH20" s="886"/>
      <c r="AI20" s="886"/>
      <c r="AJ20" s="886"/>
      <c r="AK20" s="886"/>
      <c r="AL20" s="886"/>
      <c r="AM20" s="886"/>
      <c r="AN20" s="886"/>
    </row>
    <row r="21" spans="1:40" x14ac:dyDescent="0.25">
      <c r="A21" t="s">
        <v>669</v>
      </c>
      <c r="F21" s="14"/>
      <c r="G21" s="14"/>
      <c r="H21" s="13"/>
      <c r="I21" s="14"/>
      <c r="J21" s="14"/>
      <c r="K21" s="14"/>
      <c r="L21" s="14"/>
      <c r="M21" s="14"/>
      <c r="N21" s="14"/>
      <c r="O21" s="14"/>
      <c r="P21" s="14"/>
      <c r="Q21" s="14"/>
      <c r="R21" s="14"/>
    </row>
    <row r="22" spans="1:40" x14ac:dyDescent="0.25">
      <c r="A22" t="s">
        <v>670</v>
      </c>
      <c r="F22" s="14"/>
      <c r="G22" s="14"/>
      <c r="H22" s="13"/>
      <c r="I22" s="14"/>
      <c r="J22" s="14"/>
      <c r="K22" s="14"/>
      <c r="L22" s="14"/>
      <c r="M22" s="14"/>
      <c r="N22" s="14"/>
      <c r="O22" s="14"/>
      <c r="P22" s="14"/>
      <c r="Q22" s="14"/>
      <c r="R22" s="14"/>
    </row>
    <row r="23" spans="1:40" x14ac:dyDescent="0.25">
      <c r="A23" t="s">
        <v>307</v>
      </c>
      <c r="F23" s="14"/>
      <c r="G23" s="14"/>
      <c r="H23" s="13"/>
      <c r="I23" s="14"/>
      <c r="J23" s="14"/>
      <c r="K23" s="14"/>
      <c r="L23" s="14"/>
      <c r="M23" s="14"/>
      <c r="N23" s="14"/>
      <c r="O23" s="14"/>
      <c r="P23" s="14"/>
      <c r="Q23" s="14"/>
      <c r="R23" s="14"/>
    </row>
    <row r="24" spans="1:40" x14ac:dyDescent="0.25">
      <c r="A24" t="s">
        <v>609</v>
      </c>
      <c r="F24" s="14"/>
      <c r="G24" s="14"/>
      <c r="H24" s="13"/>
      <c r="I24" s="14"/>
      <c r="J24" s="14"/>
      <c r="K24" s="14"/>
      <c r="L24" s="14"/>
      <c r="M24" s="14"/>
      <c r="N24" s="14"/>
      <c r="O24" s="14"/>
      <c r="P24" s="14"/>
      <c r="Q24" s="14"/>
      <c r="R24" s="14"/>
    </row>
    <row r="25" spans="1:40" x14ac:dyDescent="0.25">
      <c r="A25" t="s">
        <v>649</v>
      </c>
      <c r="F25" s="14"/>
      <c r="G25" s="14"/>
      <c r="H25" s="13"/>
      <c r="I25" s="14"/>
      <c r="J25" s="14"/>
      <c r="K25" s="14"/>
      <c r="L25" s="14"/>
      <c r="M25" s="14"/>
      <c r="N25" s="14"/>
      <c r="O25" s="14"/>
      <c r="P25" s="14"/>
      <c r="Q25" s="14"/>
      <c r="R25" s="14"/>
    </row>
    <row r="26" spans="1:40" x14ac:dyDescent="0.25">
      <c r="A26" t="s">
        <v>774</v>
      </c>
      <c r="F26" s="14"/>
      <c r="G26" s="14"/>
      <c r="H26" s="13"/>
      <c r="I26" s="14"/>
      <c r="J26" s="14"/>
      <c r="K26" s="14"/>
      <c r="L26" s="14"/>
      <c r="M26" s="14"/>
      <c r="N26" s="14"/>
      <c r="O26" s="14"/>
      <c r="P26" s="14"/>
      <c r="Q26" s="14"/>
      <c r="R26" s="14"/>
    </row>
    <row r="27" spans="1:40" x14ac:dyDescent="0.25">
      <c r="A27" s="575"/>
      <c r="B27" t="s">
        <v>44</v>
      </c>
    </row>
    <row r="28" spans="1:40" x14ac:dyDescent="0.25">
      <c r="A28" s="576"/>
      <c r="B28" t="s">
        <v>42</v>
      </c>
    </row>
    <row r="29" spans="1:40" x14ac:dyDescent="0.25">
      <c r="A29" s="577"/>
      <c r="B29" t="s">
        <v>43</v>
      </c>
    </row>
    <row r="30" spans="1:40" x14ac:dyDescent="0.25">
      <c r="A30" s="371" t="s">
        <v>28</v>
      </c>
    </row>
  </sheetData>
  <mergeCells count="17">
    <mergeCell ref="C15:E15"/>
    <mergeCell ref="C16:E16"/>
    <mergeCell ref="C17:E17"/>
    <mergeCell ref="C18:E18"/>
    <mergeCell ref="A20:AN20"/>
    <mergeCell ref="Y1:AB1"/>
    <mergeCell ref="AC1:AF1"/>
    <mergeCell ref="AG1:AJ1"/>
    <mergeCell ref="AK1:AN1"/>
    <mergeCell ref="C13:E13"/>
    <mergeCell ref="N1:O1"/>
    <mergeCell ref="P1:R1"/>
    <mergeCell ref="C14:E14"/>
    <mergeCell ref="A1:C1"/>
    <mergeCell ref="E1:G1"/>
    <mergeCell ref="H1:I1"/>
    <mergeCell ref="J1:M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T32"/>
  <sheetViews>
    <sheetView zoomScaleNormal="100" workbookViewId="0">
      <selection activeCell="X13" sqref="X13"/>
    </sheetView>
  </sheetViews>
  <sheetFormatPr defaultRowHeight="14.3" x14ac:dyDescent="0.25"/>
  <cols>
    <col min="1" max="1" width="7.5" customWidth="1"/>
    <col min="2" max="2" width="5.125" bestFit="1" customWidth="1"/>
    <col min="3" max="3" width="12.625" customWidth="1"/>
    <col min="4" max="4" width="4.875" customWidth="1"/>
    <col min="5" max="5" width="3.625" customWidth="1"/>
    <col min="6" max="7" width="4" bestFit="1" customWidth="1"/>
    <col min="8" max="18" width="3.625" customWidth="1"/>
    <col min="19" max="20" width="6.375" customWidth="1"/>
    <col min="21" max="21" width="22.125" bestFit="1" customWidth="1"/>
    <col min="22" max="22" width="26.25" bestFit="1" customWidth="1"/>
    <col min="23" max="23" width="25.875" bestFit="1" customWidth="1"/>
    <col min="24" max="24" width="26.125" bestFit="1" customWidth="1"/>
    <col min="25" max="40" width="3.625" customWidth="1"/>
    <col min="42" max="42" width="12.375" bestFit="1" customWidth="1"/>
    <col min="45" max="45" width="12.375" bestFit="1" customWidth="1"/>
  </cols>
  <sheetData>
    <row r="1" spans="1:46" ht="14.95" customHeight="1" thickBot="1" x14ac:dyDescent="0.3">
      <c r="A1" s="1119" t="s">
        <v>213</v>
      </c>
      <c r="B1" s="1120"/>
      <c r="C1" s="1120"/>
      <c r="D1" s="145"/>
      <c r="E1" s="1121" t="s">
        <v>24</v>
      </c>
      <c r="F1" s="1122"/>
      <c r="G1" s="1123"/>
      <c r="H1" s="1121" t="s">
        <v>23</v>
      </c>
      <c r="I1" s="1123"/>
      <c r="J1" s="1116" t="s">
        <v>6</v>
      </c>
      <c r="K1" s="1117"/>
      <c r="L1" s="1117"/>
      <c r="M1" s="1118"/>
      <c r="N1" s="1116" t="s">
        <v>7</v>
      </c>
      <c r="O1" s="1118"/>
      <c r="P1" s="1116" t="s">
        <v>25</v>
      </c>
      <c r="Q1" s="1117"/>
      <c r="R1" s="1118"/>
      <c r="S1" s="299" t="s">
        <v>8</v>
      </c>
      <c r="T1" s="299" t="s">
        <v>9</v>
      </c>
      <c r="U1" s="97" t="s">
        <v>10</v>
      </c>
      <c r="V1" s="96" t="s">
        <v>11</v>
      </c>
      <c r="W1" s="97" t="s">
        <v>26</v>
      </c>
      <c r="X1" s="96" t="s">
        <v>27</v>
      </c>
      <c r="Y1" s="1115" t="s">
        <v>20</v>
      </c>
      <c r="Z1" s="963"/>
      <c r="AA1" s="963"/>
      <c r="AB1" s="964"/>
      <c r="AC1" s="1115" t="s">
        <v>61</v>
      </c>
      <c r="AD1" s="963"/>
      <c r="AE1" s="963"/>
      <c r="AF1" s="964"/>
      <c r="AG1" s="1115" t="s">
        <v>62</v>
      </c>
      <c r="AH1" s="963"/>
      <c r="AI1" s="963"/>
      <c r="AJ1" s="964"/>
      <c r="AK1" s="1115" t="s">
        <v>63</v>
      </c>
      <c r="AL1" s="963"/>
      <c r="AM1" s="963"/>
      <c r="AN1" s="964"/>
      <c r="AP1" s="801" t="s">
        <v>755</v>
      </c>
      <c r="AQ1" s="322"/>
      <c r="AR1" s="322"/>
      <c r="AS1" s="801" t="s">
        <v>755</v>
      </c>
    </row>
    <row r="2" spans="1:46" ht="14.95" customHeight="1" thickBot="1" x14ac:dyDescent="0.3">
      <c r="A2" s="98" t="s">
        <v>19</v>
      </c>
      <c r="B2" s="99" t="s">
        <v>18</v>
      </c>
      <c r="C2" s="100" t="s">
        <v>17</v>
      </c>
      <c r="D2" s="101" t="s">
        <v>41</v>
      </c>
      <c r="E2" s="101" t="s">
        <v>16</v>
      </c>
      <c r="F2" s="101" t="s">
        <v>4</v>
      </c>
      <c r="G2" s="101" t="s">
        <v>5</v>
      </c>
      <c r="H2" s="102" t="s">
        <v>12</v>
      </c>
      <c r="I2" s="102" t="s">
        <v>3</v>
      </c>
      <c r="J2" s="102" t="s">
        <v>12</v>
      </c>
      <c r="K2" s="102" t="s">
        <v>13</v>
      </c>
      <c r="L2" s="102" t="s">
        <v>2</v>
      </c>
      <c r="M2" s="102" t="s">
        <v>14</v>
      </c>
      <c r="N2" s="102" t="s">
        <v>15</v>
      </c>
      <c r="O2" s="102" t="s">
        <v>16</v>
      </c>
      <c r="P2" s="102" t="s">
        <v>21</v>
      </c>
      <c r="Q2" s="102" t="s">
        <v>22</v>
      </c>
      <c r="R2" s="102" t="s">
        <v>12</v>
      </c>
      <c r="S2" s="103"/>
      <c r="T2" s="104"/>
      <c r="U2" s="105"/>
      <c r="V2" s="103"/>
      <c r="W2" s="105"/>
      <c r="X2" s="162"/>
      <c r="Y2" s="362" t="s">
        <v>0</v>
      </c>
      <c r="Z2" s="362" t="s">
        <v>1</v>
      </c>
      <c r="AA2" s="362" t="s">
        <v>2</v>
      </c>
      <c r="AB2" s="362" t="s">
        <v>3</v>
      </c>
      <c r="AC2" s="362" t="s">
        <v>0</v>
      </c>
      <c r="AD2" s="362" t="s">
        <v>1</v>
      </c>
      <c r="AE2" s="362" t="s">
        <v>2</v>
      </c>
      <c r="AF2" s="362" t="s">
        <v>3</v>
      </c>
      <c r="AG2" s="362" t="s">
        <v>0</v>
      </c>
      <c r="AH2" s="362" t="s">
        <v>1</v>
      </c>
      <c r="AI2" s="362" t="s">
        <v>2</v>
      </c>
      <c r="AJ2" s="362" t="s">
        <v>3</v>
      </c>
      <c r="AK2" s="362" t="s">
        <v>0</v>
      </c>
      <c r="AL2" s="362" t="s">
        <v>1</v>
      </c>
      <c r="AM2" s="362" t="s">
        <v>2</v>
      </c>
      <c r="AN2" s="362" t="s">
        <v>3</v>
      </c>
      <c r="AP2" s="305" t="s">
        <v>107</v>
      </c>
      <c r="AQ2" s="189"/>
      <c r="AS2" s="306" t="s">
        <v>128</v>
      </c>
      <c r="AT2" s="189"/>
    </row>
    <row r="3" spans="1:46" ht="14.95" customHeight="1" thickBot="1" x14ac:dyDescent="0.35">
      <c r="A3" s="523" t="s">
        <v>317</v>
      </c>
      <c r="B3" s="494" t="s">
        <v>396</v>
      </c>
      <c r="C3" s="424" t="s">
        <v>285</v>
      </c>
      <c r="D3" s="436" t="s">
        <v>295</v>
      </c>
      <c r="E3" s="425" t="s">
        <v>1</v>
      </c>
      <c r="F3" s="425">
        <v>67</v>
      </c>
      <c r="G3" s="425">
        <v>27</v>
      </c>
      <c r="H3" s="425">
        <v>1</v>
      </c>
      <c r="I3" s="425">
        <v>0</v>
      </c>
      <c r="J3" s="425">
        <v>11</v>
      </c>
      <c r="K3" s="425">
        <v>6</v>
      </c>
      <c r="L3" s="425">
        <v>0</v>
      </c>
      <c r="M3" s="425">
        <v>0</v>
      </c>
      <c r="N3" s="425">
        <v>0</v>
      </c>
      <c r="O3" s="425">
        <v>0</v>
      </c>
      <c r="P3" s="425">
        <v>0</v>
      </c>
      <c r="Q3" s="425">
        <v>0</v>
      </c>
      <c r="R3" s="425">
        <v>3</v>
      </c>
      <c r="S3" s="426">
        <v>2000</v>
      </c>
      <c r="T3" s="594" t="s">
        <v>299</v>
      </c>
      <c r="U3" s="428" t="s">
        <v>296</v>
      </c>
      <c r="V3" s="426" t="s">
        <v>258</v>
      </c>
      <c r="W3" s="428" t="s">
        <v>297</v>
      </c>
      <c r="X3" s="430" t="s">
        <v>298</v>
      </c>
      <c r="Y3" s="590">
        <v>1</v>
      </c>
      <c r="Z3" s="590">
        <v>1</v>
      </c>
      <c r="AA3" s="590">
        <v>0</v>
      </c>
      <c r="AB3" s="591">
        <v>0</v>
      </c>
      <c r="AC3" s="590">
        <v>1</v>
      </c>
      <c r="AD3" s="590">
        <v>1</v>
      </c>
      <c r="AE3" s="590">
        <v>0</v>
      </c>
      <c r="AF3" s="591">
        <v>0</v>
      </c>
      <c r="AG3" s="590">
        <v>0</v>
      </c>
      <c r="AH3" s="590">
        <v>0</v>
      </c>
      <c r="AI3" s="590">
        <v>0</v>
      </c>
      <c r="AJ3" s="591">
        <v>0</v>
      </c>
      <c r="AK3" s="590">
        <v>0</v>
      </c>
      <c r="AL3" s="590">
        <v>0</v>
      </c>
      <c r="AM3" s="590">
        <v>0</v>
      </c>
      <c r="AN3" s="591">
        <v>0</v>
      </c>
      <c r="AP3" s="316" t="s">
        <v>130</v>
      </c>
      <c r="AQ3" s="317">
        <f>Romaniaalltestshistplayed</f>
        <v>488</v>
      </c>
      <c r="AS3" s="316" t="s">
        <v>130</v>
      </c>
      <c r="AT3" s="317">
        <f>Romaniarwchistplayed</f>
        <v>32</v>
      </c>
    </row>
    <row r="4" spans="1:46" ht="14.95" customHeight="1" thickBot="1" x14ac:dyDescent="0.35">
      <c r="A4" s="592" t="s">
        <v>356</v>
      </c>
      <c r="B4" s="411" t="s">
        <v>396</v>
      </c>
      <c r="C4" s="398" t="s">
        <v>286</v>
      </c>
      <c r="D4" s="397" t="s">
        <v>292</v>
      </c>
      <c r="E4" s="399" t="s">
        <v>1</v>
      </c>
      <c r="F4" s="399">
        <v>56</v>
      </c>
      <c r="G4" s="399">
        <v>5</v>
      </c>
      <c r="H4" s="399">
        <v>1</v>
      </c>
      <c r="I4" s="399">
        <v>0</v>
      </c>
      <c r="J4" s="399">
        <v>8</v>
      </c>
      <c r="K4" s="399">
        <v>7</v>
      </c>
      <c r="L4" s="399">
        <v>0</v>
      </c>
      <c r="M4" s="399">
        <v>0</v>
      </c>
      <c r="N4" s="399">
        <v>0</v>
      </c>
      <c r="O4" s="399">
        <v>0</v>
      </c>
      <c r="P4" s="399">
        <v>0</v>
      </c>
      <c r="Q4" s="399">
        <v>0</v>
      </c>
      <c r="R4" s="399">
        <v>1</v>
      </c>
      <c r="S4" s="406">
        <v>2100</v>
      </c>
      <c r="T4" s="407" t="s">
        <v>381</v>
      </c>
      <c r="U4" s="408" t="s">
        <v>382</v>
      </c>
      <c r="V4" s="406" t="s">
        <v>258</v>
      </c>
      <c r="W4" s="401" t="s">
        <v>383</v>
      </c>
      <c r="X4" s="409" t="s">
        <v>384</v>
      </c>
      <c r="Y4" s="422">
        <v>1</v>
      </c>
      <c r="Z4" s="422">
        <v>1</v>
      </c>
      <c r="AA4" s="422">
        <v>0</v>
      </c>
      <c r="AB4" s="593">
        <v>0</v>
      </c>
      <c r="AC4" s="422">
        <v>0</v>
      </c>
      <c r="AD4" s="422">
        <v>0</v>
      </c>
      <c r="AE4" s="422">
        <v>0</v>
      </c>
      <c r="AF4" s="593">
        <v>0</v>
      </c>
      <c r="AG4" s="422">
        <v>1</v>
      </c>
      <c r="AH4" s="422">
        <v>1</v>
      </c>
      <c r="AI4" s="422">
        <v>0</v>
      </c>
      <c r="AJ4" s="593">
        <v>0</v>
      </c>
      <c r="AK4" s="422">
        <v>0</v>
      </c>
      <c r="AL4" s="422">
        <v>0</v>
      </c>
      <c r="AM4" s="422">
        <v>0</v>
      </c>
      <c r="AN4" s="593">
        <v>0</v>
      </c>
      <c r="AP4" s="318" t="s">
        <v>131</v>
      </c>
      <c r="AQ4" s="319">
        <f>Romaniaalltestshistlost</f>
        <v>202</v>
      </c>
      <c r="AS4" s="318" t="s">
        <v>131</v>
      </c>
      <c r="AT4" s="319">
        <f>Romaniarwchistwon</f>
        <v>6</v>
      </c>
    </row>
    <row r="5" spans="1:46" ht="14.95" customHeight="1" thickBot="1" x14ac:dyDescent="0.3">
      <c r="A5" s="592" t="s">
        <v>405</v>
      </c>
      <c r="B5" s="411" t="s">
        <v>396</v>
      </c>
      <c r="C5" s="398" t="s">
        <v>124</v>
      </c>
      <c r="D5" s="397" t="s">
        <v>294</v>
      </c>
      <c r="E5" s="399" t="s">
        <v>3</v>
      </c>
      <c r="F5" s="399">
        <v>20</v>
      </c>
      <c r="G5" s="399">
        <v>38</v>
      </c>
      <c r="H5" s="399">
        <v>0</v>
      </c>
      <c r="I5" s="399">
        <v>0</v>
      </c>
      <c r="J5" s="399">
        <v>2</v>
      </c>
      <c r="K5" s="399">
        <v>2</v>
      </c>
      <c r="L5" s="399">
        <v>0</v>
      </c>
      <c r="M5" s="399">
        <v>2</v>
      </c>
      <c r="N5" s="399">
        <v>1</v>
      </c>
      <c r="O5" s="399">
        <v>0</v>
      </c>
      <c r="P5" s="399">
        <v>1</v>
      </c>
      <c r="Q5" s="399">
        <v>0</v>
      </c>
      <c r="R5" s="399">
        <v>5</v>
      </c>
      <c r="S5" s="406">
        <v>4250</v>
      </c>
      <c r="T5" s="410" t="s">
        <v>409</v>
      </c>
      <c r="U5" s="408" t="s">
        <v>402</v>
      </c>
      <c r="V5" s="406" t="s">
        <v>258</v>
      </c>
      <c r="W5" s="401" t="s">
        <v>403</v>
      </c>
      <c r="X5" s="409" t="s">
        <v>408</v>
      </c>
      <c r="Y5" s="422">
        <v>1</v>
      </c>
      <c r="Z5" s="422">
        <v>0</v>
      </c>
      <c r="AA5" s="422">
        <v>0</v>
      </c>
      <c r="AB5" s="593">
        <v>1</v>
      </c>
      <c r="AC5" s="422">
        <v>0</v>
      </c>
      <c r="AD5" s="422">
        <v>0</v>
      </c>
      <c r="AE5" s="422">
        <v>0</v>
      </c>
      <c r="AF5" s="593">
        <v>0</v>
      </c>
      <c r="AG5" s="422">
        <v>1</v>
      </c>
      <c r="AH5" s="422">
        <v>0</v>
      </c>
      <c r="AI5" s="422">
        <v>0</v>
      </c>
      <c r="AJ5" s="593">
        <v>1</v>
      </c>
      <c r="AK5" s="422">
        <v>0</v>
      </c>
      <c r="AL5" s="422">
        <v>0</v>
      </c>
      <c r="AM5" s="422">
        <v>0</v>
      </c>
      <c r="AN5" s="593">
        <v>0</v>
      </c>
      <c r="AP5" s="318" t="s">
        <v>137</v>
      </c>
      <c r="AQ5" s="319">
        <f>Romaniaalltestshistdrawn</f>
        <v>12</v>
      </c>
      <c r="AS5" s="318" t="s">
        <v>137</v>
      </c>
      <c r="AT5" s="319">
        <f>Romaniarwchistdrawn</f>
        <v>0</v>
      </c>
    </row>
    <row r="6" spans="1:46" ht="14.95" customHeight="1" thickBot="1" x14ac:dyDescent="0.3">
      <c r="A6" s="592" t="s">
        <v>399</v>
      </c>
      <c r="B6" s="411" t="s">
        <v>397</v>
      </c>
      <c r="C6" s="398" t="s">
        <v>38</v>
      </c>
      <c r="D6" s="397" t="s">
        <v>311</v>
      </c>
      <c r="E6" s="399" t="s">
        <v>3</v>
      </c>
      <c r="F6" s="399">
        <v>7</v>
      </c>
      <c r="G6" s="399">
        <v>31</v>
      </c>
      <c r="H6" s="399" t="s">
        <v>106</v>
      </c>
      <c r="I6" s="399" t="s">
        <v>106</v>
      </c>
      <c r="J6" s="399">
        <v>1</v>
      </c>
      <c r="K6" s="399">
        <v>1</v>
      </c>
      <c r="L6" s="399">
        <v>0</v>
      </c>
      <c r="M6" s="399">
        <v>0</v>
      </c>
      <c r="N6" s="399">
        <v>1</v>
      </c>
      <c r="O6" s="399">
        <v>0</v>
      </c>
      <c r="P6" s="399" t="s">
        <v>106</v>
      </c>
      <c r="Q6" s="399" t="s">
        <v>106</v>
      </c>
      <c r="R6" s="399">
        <v>4</v>
      </c>
      <c r="S6" s="406">
        <v>2600</v>
      </c>
      <c r="T6" s="410" t="s">
        <v>754</v>
      </c>
      <c r="U6" s="408" t="s">
        <v>452</v>
      </c>
      <c r="V6" s="406" t="s">
        <v>258</v>
      </c>
      <c r="W6" s="401" t="s">
        <v>453</v>
      </c>
      <c r="X6" s="409" t="s">
        <v>454</v>
      </c>
      <c r="Y6" s="422">
        <v>1</v>
      </c>
      <c r="Z6" s="422">
        <v>0</v>
      </c>
      <c r="AA6" s="422">
        <v>0</v>
      </c>
      <c r="AB6" s="593">
        <v>1</v>
      </c>
      <c r="AC6" s="422">
        <v>0</v>
      </c>
      <c r="AD6" s="422">
        <v>0</v>
      </c>
      <c r="AE6" s="422">
        <v>0</v>
      </c>
      <c r="AF6" s="593">
        <v>0</v>
      </c>
      <c r="AG6" s="422">
        <v>1</v>
      </c>
      <c r="AH6" s="422">
        <v>0</v>
      </c>
      <c r="AI6" s="422">
        <v>0</v>
      </c>
      <c r="AJ6" s="593">
        <v>1</v>
      </c>
      <c r="AK6" s="422">
        <v>0</v>
      </c>
      <c r="AL6" s="422">
        <v>0</v>
      </c>
      <c r="AM6" s="422">
        <v>0</v>
      </c>
      <c r="AN6" s="593">
        <v>0</v>
      </c>
      <c r="AP6" s="318" t="s">
        <v>132</v>
      </c>
      <c r="AQ6" s="319">
        <f>Romaniaalltestshistlost</f>
        <v>202</v>
      </c>
      <c r="AS6" s="318" t="s">
        <v>132</v>
      </c>
      <c r="AT6" s="319">
        <f>Romaniarwchistlost</f>
        <v>26</v>
      </c>
    </row>
    <row r="7" spans="1:46" ht="14.95" customHeight="1" thickBot="1" x14ac:dyDescent="0.3">
      <c r="A7" s="592" t="s">
        <v>455</v>
      </c>
      <c r="B7" s="411" t="s">
        <v>456</v>
      </c>
      <c r="C7" s="398" t="s">
        <v>123</v>
      </c>
      <c r="D7" s="397" t="s">
        <v>458</v>
      </c>
      <c r="E7" s="399" t="s">
        <v>1</v>
      </c>
      <c r="F7" s="399">
        <v>31</v>
      </c>
      <c r="G7" s="399">
        <v>25</v>
      </c>
      <c r="H7" s="399" t="s">
        <v>106</v>
      </c>
      <c r="I7" s="399" t="s">
        <v>106</v>
      </c>
      <c r="J7" s="399">
        <v>4</v>
      </c>
      <c r="K7" s="399">
        <v>1</v>
      </c>
      <c r="L7" s="399">
        <v>0</v>
      </c>
      <c r="M7" s="399">
        <v>3</v>
      </c>
      <c r="N7" s="399">
        <v>0</v>
      </c>
      <c r="O7" s="399">
        <v>0</v>
      </c>
      <c r="P7" s="399" t="s">
        <v>106</v>
      </c>
      <c r="Q7" s="399" t="s">
        <v>106</v>
      </c>
      <c r="R7" s="399">
        <v>3</v>
      </c>
      <c r="S7" s="406"/>
      <c r="T7" s="419" t="s">
        <v>476</v>
      </c>
      <c r="U7" s="408" t="s">
        <v>349</v>
      </c>
      <c r="V7" s="406" t="s">
        <v>258</v>
      </c>
      <c r="W7" s="401" t="s">
        <v>371</v>
      </c>
      <c r="X7" s="409" t="s">
        <v>477</v>
      </c>
      <c r="Y7" s="422">
        <v>1</v>
      </c>
      <c r="Z7" s="422">
        <v>1</v>
      </c>
      <c r="AA7" s="422">
        <v>0</v>
      </c>
      <c r="AB7" s="593">
        <v>0</v>
      </c>
      <c r="AC7" s="422">
        <v>0</v>
      </c>
      <c r="AD7" s="422">
        <v>0</v>
      </c>
      <c r="AE7" s="422">
        <v>0</v>
      </c>
      <c r="AF7" s="593">
        <v>0</v>
      </c>
      <c r="AG7" s="422">
        <v>1</v>
      </c>
      <c r="AH7" s="422">
        <v>1</v>
      </c>
      <c r="AI7" s="422">
        <v>0</v>
      </c>
      <c r="AJ7" s="593">
        <v>0</v>
      </c>
      <c r="AK7" s="422">
        <v>0</v>
      </c>
      <c r="AL7" s="422">
        <v>0</v>
      </c>
      <c r="AM7" s="422">
        <v>0</v>
      </c>
      <c r="AN7" s="593">
        <v>0</v>
      </c>
      <c r="AP7" s="318" t="s">
        <v>138</v>
      </c>
      <c r="AQ7" s="319">
        <f>Romaniaalltestshistptsscored</f>
        <v>10973</v>
      </c>
      <c r="AS7" s="318" t="s">
        <v>138</v>
      </c>
      <c r="AT7" s="319">
        <f>Romaniarwchistptsscored</f>
        <v>397</v>
      </c>
    </row>
    <row r="8" spans="1:46" ht="14.95" customHeight="1" thickBot="1" x14ac:dyDescent="0.3">
      <c r="A8" s="523" t="s">
        <v>322</v>
      </c>
      <c r="B8" s="494" t="s">
        <v>45</v>
      </c>
      <c r="C8" s="424" t="s">
        <v>60</v>
      </c>
      <c r="D8" s="436" t="s">
        <v>295</v>
      </c>
      <c r="E8" s="425" t="s">
        <v>3</v>
      </c>
      <c r="F8" s="425">
        <v>17</v>
      </c>
      <c r="G8" s="425">
        <v>31</v>
      </c>
      <c r="H8" s="425" t="s">
        <v>106</v>
      </c>
      <c r="I8" s="425" t="s">
        <v>106</v>
      </c>
      <c r="J8" s="425">
        <v>3</v>
      </c>
      <c r="K8" s="425">
        <v>1</v>
      </c>
      <c r="L8" s="425">
        <v>0</v>
      </c>
      <c r="M8" s="425">
        <v>0</v>
      </c>
      <c r="N8" s="425">
        <v>1</v>
      </c>
      <c r="O8" s="425">
        <v>0</v>
      </c>
      <c r="P8" s="425" t="s">
        <v>106</v>
      </c>
      <c r="Q8" s="425" t="s">
        <v>106</v>
      </c>
      <c r="R8" s="425">
        <v>4</v>
      </c>
      <c r="S8" s="426"/>
      <c r="T8" s="427" t="s">
        <v>366</v>
      </c>
      <c r="U8" s="428" t="s">
        <v>749</v>
      </c>
      <c r="V8" s="426" t="s">
        <v>750</v>
      </c>
      <c r="W8" s="429" t="s">
        <v>302</v>
      </c>
      <c r="X8" s="430" t="s">
        <v>751</v>
      </c>
      <c r="Y8" s="590">
        <v>1</v>
      </c>
      <c r="Z8" s="590">
        <v>0</v>
      </c>
      <c r="AA8" s="590">
        <v>0</v>
      </c>
      <c r="AB8" s="591">
        <v>1</v>
      </c>
      <c r="AC8" s="590">
        <v>1</v>
      </c>
      <c r="AD8" s="590">
        <v>0</v>
      </c>
      <c r="AE8" s="590">
        <v>0</v>
      </c>
      <c r="AF8" s="591">
        <v>1</v>
      </c>
      <c r="AG8" s="590">
        <v>0</v>
      </c>
      <c r="AH8" s="590">
        <v>0</v>
      </c>
      <c r="AI8" s="590">
        <v>0</v>
      </c>
      <c r="AJ8" s="591">
        <v>0</v>
      </c>
      <c r="AK8" s="590">
        <v>0</v>
      </c>
      <c r="AL8" s="590">
        <v>0</v>
      </c>
      <c r="AM8" s="590">
        <v>0</v>
      </c>
      <c r="AN8" s="591">
        <v>0</v>
      </c>
      <c r="AP8" s="318" t="s">
        <v>139</v>
      </c>
      <c r="AQ8" s="319">
        <f>Romaniaalltestshistptscocn</f>
        <v>9229</v>
      </c>
      <c r="AS8" s="318" t="s">
        <v>139</v>
      </c>
      <c r="AT8" s="319">
        <f>Romaniarwchistptsconc</f>
        <v>1355</v>
      </c>
    </row>
    <row r="9" spans="1:46" ht="14.95" customHeight="1" thickBot="1" x14ac:dyDescent="0.3">
      <c r="A9" s="592" t="s">
        <v>323</v>
      </c>
      <c r="B9" s="411" t="s">
        <v>45</v>
      </c>
      <c r="C9" s="398" t="s">
        <v>38</v>
      </c>
      <c r="D9" s="397" t="s">
        <v>646</v>
      </c>
      <c r="E9" s="399" t="s">
        <v>3</v>
      </c>
      <c r="F9" s="399">
        <v>6</v>
      </c>
      <c r="G9" s="399">
        <v>56</v>
      </c>
      <c r="H9" s="399" t="s">
        <v>106</v>
      </c>
      <c r="I9" s="399" t="s">
        <v>106</v>
      </c>
      <c r="J9" s="399">
        <v>0</v>
      </c>
      <c r="K9" s="399">
        <v>0</v>
      </c>
      <c r="L9" s="399">
        <v>0</v>
      </c>
      <c r="M9" s="399">
        <v>2</v>
      </c>
      <c r="N9" s="399">
        <v>0</v>
      </c>
      <c r="O9" s="399">
        <v>0</v>
      </c>
      <c r="P9" s="399" t="s">
        <v>106</v>
      </c>
      <c r="Q9" s="399" t="s">
        <v>106</v>
      </c>
      <c r="R9" s="399">
        <v>8</v>
      </c>
      <c r="S9" s="406">
        <v>10000</v>
      </c>
      <c r="T9" s="410" t="s">
        <v>764</v>
      </c>
      <c r="U9" s="408" t="s">
        <v>340</v>
      </c>
      <c r="V9" s="406" t="s">
        <v>363</v>
      </c>
      <c r="W9" s="401" t="s">
        <v>436</v>
      </c>
      <c r="X9" s="409" t="s">
        <v>452</v>
      </c>
      <c r="Y9" s="422">
        <v>1</v>
      </c>
      <c r="Z9" s="422">
        <v>0</v>
      </c>
      <c r="AA9" s="422">
        <v>0</v>
      </c>
      <c r="AB9" s="593">
        <v>1</v>
      </c>
      <c r="AC9" s="422">
        <v>0</v>
      </c>
      <c r="AD9" s="422">
        <v>0</v>
      </c>
      <c r="AE9" s="422">
        <v>0</v>
      </c>
      <c r="AF9" s="593">
        <v>0</v>
      </c>
      <c r="AG9" s="422">
        <v>1</v>
      </c>
      <c r="AH9" s="422">
        <v>0</v>
      </c>
      <c r="AI9" s="422">
        <v>0</v>
      </c>
      <c r="AJ9" s="593">
        <v>1</v>
      </c>
      <c r="AK9" s="422">
        <v>0</v>
      </c>
      <c r="AL9" s="422">
        <v>0</v>
      </c>
      <c r="AM9" s="422">
        <v>0</v>
      </c>
      <c r="AN9" s="593">
        <v>0</v>
      </c>
      <c r="AP9" s="318" t="s">
        <v>129</v>
      </c>
      <c r="AQ9" s="319">
        <f>Romaniaalltestshisttriesscored</f>
        <v>974</v>
      </c>
      <c r="AS9" s="318" t="s">
        <v>129</v>
      </c>
      <c r="AT9" s="319">
        <f>Romaniarwchisttriesscored</f>
        <v>44</v>
      </c>
    </row>
    <row r="10" spans="1:46" ht="14.95" customHeight="1" thickBot="1" x14ac:dyDescent="0.3">
      <c r="A10" s="592" t="s">
        <v>324</v>
      </c>
      <c r="B10" s="411" t="s">
        <v>615</v>
      </c>
      <c r="C10" s="398" t="s">
        <v>33</v>
      </c>
      <c r="D10" s="397" t="s">
        <v>589</v>
      </c>
      <c r="E10" s="399" t="s">
        <v>3</v>
      </c>
      <c r="F10" s="399">
        <v>7</v>
      </c>
      <c r="G10" s="399">
        <v>57</v>
      </c>
      <c r="H10" s="399" t="s">
        <v>106</v>
      </c>
      <c r="I10" s="399" t="s">
        <v>106</v>
      </c>
      <c r="J10" s="399">
        <v>1</v>
      </c>
      <c r="K10" s="399">
        <v>0</v>
      </c>
      <c r="L10" s="399">
        <v>0</v>
      </c>
      <c r="M10" s="399">
        <v>0</v>
      </c>
      <c r="N10" s="399">
        <v>1</v>
      </c>
      <c r="O10" s="399">
        <v>1</v>
      </c>
      <c r="P10" s="399" t="s">
        <v>106</v>
      </c>
      <c r="Q10" s="399" t="s">
        <v>106</v>
      </c>
      <c r="R10" s="399">
        <v>9</v>
      </c>
      <c r="S10" s="406">
        <v>9122</v>
      </c>
      <c r="T10" s="516" t="s">
        <v>792</v>
      </c>
      <c r="U10" s="408" t="s">
        <v>266</v>
      </c>
      <c r="V10" s="406" t="s">
        <v>793</v>
      </c>
      <c r="W10" s="401" t="s">
        <v>711</v>
      </c>
      <c r="X10" s="409" t="s">
        <v>751</v>
      </c>
      <c r="Y10" s="422">
        <v>1</v>
      </c>
      <c r="Z10" s="422">
        <v>0</v>
      </c>
      <c r="AA10" s="422">
        <v>0</v>
      </c>
      <c r="AB10" s="593">
        <v>1</v>
      </c>
      <c r="AC10" s="422">
        <v>0</v>
      </c>
      <c r="AD10" s="422">
        <v>0</v>
      </c>
      <c r="AE10" s="422">
        <v>0</v>
      </c>
      <c r="AF10" s="593">
        <v>0</v>
      </c>
      <c r="AG10" s="422">
        <v>1</v>
      </c>
      <c r="AH10" s="422">
        <v>0</v>
      </c>
      <c r="AI10" s="422">
        <v>0</v>
      </c>
      <c r="AJ10" s="593">
        <v>1</v>
      </c>
      <c r="AK10" s="422">
        <v>0</v>
      </c>
      <c r="AL10" s="422">
        <v>0</v>
      </c>
      <c r="AM10" s="422">
        <v>0</v>
      </c>
      <c r="AN10" s="593">
        <v>0</v>
      </c>
    </row>
    <row r="11" spans="1:46" ht="14.95" thickBot="1" x14ac:dyDescent="0.3">
      <c r="A11" s="489" t="s">
        <v>326</v>
      </c>
      <c r="B11" s="490" t="s">
        <v>198</v>
      </c>
      <c r="C11" s="465" t="s">
        <v>39</v>
      </c>
      <c r="D11" s="554" t="s">
        <v>228</v>
      </c>
      <c r="E11" s="453" t="s">
        <v>3</v>
      </c>
      <c r="F11" s="453">
        <v>8</v>
      </c>
      <c r="G11" s="453">
        <v>82</v>
      </c>
      <c r="H11" s="453">
        <v>0</v>
      </c>
      <c r="I11" s="453">
        <v>0</v>
      </c>
      <c r="J11" s="453">
        <v>1</v>
      </c>
      <c r="K11" s="453">
        <v>0</v>
      </c>
      <c r="L11" s="453">
        <v>0</v>
      </c>
      <c r="M11" s="453">
        <v>1</v>
      </c>
      <c r="N11" s="453">
        <v>1</v>
      </c>
      <c r="O11" s="453">
        <v>0</v>
      </c>
      <c r="P11" s="453">
        <v>1</v>
      </c>
      <c r="Q11" s="453">
        <v>0</v>
      </c>
      <c r="R11" s="453">
        <v>12</v>
      </c>
      <c r="S11" s="466">
        <v>41570</v>
      </c>
      <c r="T11" s="558" t="s">
        <v>822</v>
      </c>
      <c r="U11" s="467" t="s">
        <v>402</v>
      </c>
      <c r="V11" s="466" t="s">
        <v>340</v>
      </c>
      <c r="W11" s="463" t="s">
        <v>420</v>
      </c>
      <c r="X11" s="468" t="s">
        <v>270</v>
      </c>
      <c r="Y11" s="364">
        <v>1</v>
      </c>
      <c r="Z11" s="364">
        <v>0</v>
      </c>
      <c r="AA11" s="364">
        <v>0</v>
      </c>
      <c r="AB11" s="454">
        <v>1</v>
      </c>
      <c r="AC11" s="364">
        <v>0</v>
      </c>
      <c r="AD11" s="364">
        <v>0</v>
      </c>
      <c r="AE11" s="364">
        <v>0</v>
      </c>
      <c r="AF11" s="454">
        <v>0</v>
      </c>
      <c r="AG11" s="364">
        <v>0</v>
      </c>
      <c r="AH11" s="364">
        <v>0</v>
      </c>
      <c r="AI11" s="364">
        <v>0</v>
      </c>
      <c r="AJ11" s="454">
        <v>0</v>
      </c>
      <c r="AK11" s="364">
        <v>1</v>
      </c>
      <c r="AL11" s="364">
        <v>0</v>
      </c>
      <c r="AM11" s="364">
        <v>0</v>
      </c>
      <c r="AN11" s="454">
        <v>1</v>
      </c>
    </row>
    <row r="12" spans="1:46" ht="14.95" thickBot="1" x14ac:dyDescent="0.3">
      <c r="A12" s="489" t="s">
        <v>327</v>
      </c>
      <c r="B12" s="490" t="s">
        <v>198</v>
      </c>
      <c r="C12" s="465" t="s">
        <v>170</v>
      </c>
      <c r="D12" s="554" t="s">
        <v>228</v>
      </c>
      <c r="E12" s="453" t="s">
        <v>3</v>
      </c>
      <c r="F12" s="453">
        <v>0</v>
      </c>
      <c r="G12" s="453">
        <v>76</v>
      </c>
      <c r="H12" s="453">
        <v>0</v>
      </c>
      <c r="I12" s="453">
        <v>0</v>
      </c>
      <c r="J12" s="453">
        <v>0</v>
      </c>
      <c r="K12" s="453">
        <v>0</v>
      </c>
      <c r="L12" s="453">
        <v>0</v>
      </c>
      <c r="M12" s="453">
        <v>0</v>
      </c>
      <c r="N12" s="453">
        <v>0</v>
      </c>
      <c r="O12" s="453">
        <v>0</v>
      </c>
      <c r="P12" s="453">
        <v>1</v>
      </c>
      <c r="Q12" s="453">
        <v>0</v>
      </c>
      <c r="R12" s="453">
        <v>12</v>
      </c>
      <c r="S12" s="466">
        <v>38789</v>
      </c>
      <c r="T12" s="558" t="s">
        <v>894</v>
      </c>
      <c r="U12" s="467" t="s">
        <v>364</v>
      </c>
      <c r="V12" s="466" t="s">
        <v>432</v>
      </c>
      <c r="W12" s="463" t="s">
        <v>265</v>
      </c>
      <c r="X12" s="468" t="s">
        <v>467</v>
      </c>
      <c r="Y12" s="364">
        <v>1</v>
      </c>
      <c r="Z12" s="364">
        <v>0</v>
      </c>
      <c r="AA12" s="364">
        <v>0</v>
      </c>
      <c r="AB12" s="454">
        <v>1</v>
      </c>
      <c r="AC12" s="364">
        <v>0</v>
      </c>
      <c r="AD12" s="364">
        <v>0</v>
      </c>
      <c r="AE12" s="364">
        <v>0</v>
      </c>
      <c r="AF12" s="454">
        <v>0</v>
      </c>
      <c r="AG12" s="364">
        <v>0</v>
      </c>
      <c r="AH12" s="364">
        <v>0</v>
      </c>
      <c r="AI12" s="364">
        <v>0</v>
      </c>
      <c r="AJ12" s="454">
        <v>0</v>
      </c>
      <c r="AK12" s="364">
        <v>1</v>
      </c>
      <c r="AL12" s="364">
        <v>0</v>
      </c>
      <c r="AM12" s="364">
        <v>0</v>
      </c>
      <c r="AN12" s="454">
        <v>1</v>
      </c>
    </row>
    <row r="13" spans="1:46" ht="14.95" thickBot="1" x14ac:dyDescent="0.3">
      <c r="A13" s="489" t="s">
        <v>361</v>
      </c>
      <c r="B13" s="490" t="s">
        <v>198</v>
      </c>
      <c r="C13" s="490" t="s">
        <v>35</v>
      </c>
      <c r="D13" s="554" t="s">
        <v>230</v>
      </c>
      <c r="E13" s="453" t="s">
        <v>3</v>
      </c>
      <c r="F13" s="453">
        <v>0</v>
      </c>
      <c r="G13" s="453">
        <v>84</v>
      </c>
      <c r="H13" s="453">
        <v>0</v>
      </c>
      <c r="I13" s="453">
        <v>0</v>
      </c>
      <c r="J13" s="453">
        <v>0</v>
      </c>
      <c r="K13" s="453">
        <v>0</v>
      </c>
      <c r="L13" s="453">
        <v>0</v>
      </c>
      <c r="M13" s="453">
        <v>0</v>
      </c>
      <c r="N13" s="453">
        <v>3</v>
      </c>
      <c r="O13" s="453">
        <v>0</v>
      </c>
      <c r="P13" s="453">
        <v>1</v>
      </c>
      <c r="Q13" s="453">
        <v>0</v>
      </c>
      <c r="R13" s="453">
        <v>12</v>
      </c>
      <c r="S13" s="463">
        <v>46516</v>
      </c>
      <c r="T13" s="493" t="s">
        <v>927</v>
      </c>
      <c r="U13" s="463" t="s">
        <v>340</v>
      </c>
      <c r="V13" s="463" t="s">
        <v>270</v>
      </c>
      <c r="W13" s="463" t="s">
        <v>265</v>
      </c>
      <c r="X13" s="468" t="s">
        <v>272</v>
      </c>
      <c r="Y13" s="364">
        <v>1</v>
      </c>
      <c r="Z13" s="364">
        <v>0</v>
      </c>
      <c r="AA13" s="364">
        <v>0</v>
      </c>
      <c r="AB13" s="454">
        <v>1</v>
      </c>
      <c r="AC13" s="364">
        <v>0</v>
      </c>
      <c r="AD13" s="364">
        <v>0</v>
      </c>
      <c r="AE13" s="364">
        <v>0</v>
      </c>
      <c r="AF13" s="454">
        <v>0</v>
      </c>
      <c r="AG13" s="364">
        <v>0</v>
      </c>
      <c r="AH13" s="364">
        <v>0</v>
      </c>
      <c r="AI13" s="364">
        <v>0</v>
      </c>
      <c r="AJ13" s="454">
        <v>0</v>
      </c>
      <c r="AK13" s="364">
        <v>1</v>
      </c>
      <c r="AL13" s="364">
        <v>0</v>
      </c>
      <c r="AM13" s="364">
        <v>0</v>
      </c>
      <c r="AN13" s="454">
        <v>1</v>
      </c>
    </row>
    <row r="14" spans="1:46" ht="14.95" thickBot="1" x14ac:dyDescent="0.3">
      <c r="A14" s="489" t="s">
        <v>407</v>
      </c>
      <c r="B14" s="490" t="s">
        <v>198</v>
      </c>
      <c r="C14" s="490" t="s">
        <v>118</v>
      </c>
      <c r="D14" s="840" t="s">
        <v>230</v>
      </c>
      <c r="E14" s="343" t="s">
        <v>3</v>
      </c>
      <c r="F14" s="343">
        <v>24</v>
      </c>
      <c r="G14" s="343">
        <v>45</v>
      </c>
      <c r="H14" s="343">
        <v>0</v>
      </c>
      <c r="I14" s="343">
        <v>0</v>
      </c>
      <c r="J14" s="343">
        <v>3</v>
      </c>
      <c r="K14" s="343">
        <v>3</v>
      </c>
      <c r="L14" s="343">
        <v>0</v>
      </c>
      <c r="M14" s="343">
        <v>1</v>
      </c>
      <c r="N14" s="343">
        <v>1</v>
      </c>
      <c r="O14" s="343">
        <v>0</v>
      </c>
      <c r="P14" s="343">
        <v>1</v>
      </c>
      <c r="Q14" s="343">
        <v>0</v>
      </c>
      <c r="R14" s="343">
        <v>7</v>
      </c>
      <c r="S14" s="463">
        <v>45042</v>
      </c>
      <c r="T14" s="493" t="s">
        <v>958</v>
      </c>
      <c r="U14" s="556" t="s">
        <v>265</v>
      </c>
      <c r="V14" s="463" t="s">
        <v>279</v>
      </c>
      <c r="W14" s="463" t="s">
        <v>364</v>
      </c>
      <c r="X14" s="557" t="s">
        <v>436</v>
      </c>
      <c r="Y14" s="364">
        <v>1</v>
      </c>
      <c r="Z14" s="364">
        <v>0</v>
      </c>
      <c r="AA14" s="364">
        <v>0</v>
      </c>
      <c r="AB14" s="454">
        <v>1</v>
      </c>
      <c r="AC14" s="364">
        <v>0</v>
      </c>
      <c r="AD14" s="364">
        <v>0</v>
      </c>
      <c r="AE14" s="364">
        <v>0</v>
      </c>
      <c r="AF14" s="454">
        <v>0</v>
      </c>
      <c r="AG14" s="364">
        <v>0</v>
      </c>
      <c r="AH14" s="364">
        <v>0</v>
      </c>
      <c r="AI14" s="364">
        <v>0</v>
      </c>
      <c r="AJ14" s="454">
        <v>0</v>
      </c>
      <c r="AK14" s="364">
        <v>1</v>
      </c>
      <c r="AL14" s="364">
        <v>0</v>
      </c>
      <c r="AM14" s="364">
        <v>0</v>
      </c>
      <c r="AN14" s="454">
        <v>1</v>
      </c>
    </row>
    <row r="15" spans="1:46" ht="14.95" thickBot="1" x14ac:dyDescent="0.3">
      <c r="A15" s="266"/>
      <c r="B15" s="267"/>
      <c r="C15" s="1112" t="s">
        <v>109</v>
      </c>
      <c r="D15" s="1113"/>
      <c r="E15" s="1114"/>
      <c r="F15" s="844">
        <f t="shared" ref="F15:R15" si="0">SUM(F3:F7)</f>
        <v>181</v>
      </c>
      <c r="G15" s="844">
        <f t="shared" si="0"/>
        <v>126</v>
      </c>
      <c r="H15" s="844">
        <f t="shared" si="0"/>
        <v>2</v>
      </c>
      <c r="I15" s="844">
        <f t="shared" si="0"/>
        <v>0</v>
      </c>
      <c r="J15" s="844">
        <f t="shared" si="0"/>
        <v>26</v>
      </c>
      <c r="K15" s="844">
        <f t="shared" si="0"/>
        <v>17</v>
      </c>
      <c r="L15" s="844">
        <f t="shared" si="0"/>
        <v>0</v>
      </c>
      <c r="M15" s="844">
        <f t="shared" si="0"/>
        <v>5</v>
      </c>
      <c r="N15" s="844">
        <f t="shared" si="0"/>
        <v>2</v>
      </c>
      <c r="O15" s="844">
        <f t="shared" si="0"/>
        <v>0</v>
      </c>
      <c r="P15" s="844">
        <f t="shared" si="0"/>
        <v>1</v>
      </c>
      <c r="Q15" s="844">
        <f t="shared" si="0"/>
        <v>0</v>
      </c>
      <c r="R15" s="844">
        <f t="shared" si="0"/>
        <v>16</v>
      </c>
      <c r="W15" s="262"/>
      <c r="X15" s="370" t="s">
        <v>109</v>
      </c>
      <c r="Y15" s="265">
        <f t="shared" ref="Y15:AN15" si="1">SUM(Y3:Y7)</f>
        <v>5</v>
      </c>
      <c r="Z15" s="265">
        <f t="shared" si="1"/>
        <v>3</v>
      </c>
      <c r="AA15" s="265">
        <f t="shared" si="1"/>
        <v>0</v>
      </c>
      <c r="AB15" s="265">
        <f t="shared" si="1"/>
        <v>2</v>
      </c>
      <c r="AC15" s="263">
        <f t="shared" si="1"/>
        <v>1</v>
      </c>
      <c r="AD15" s="263">
        <f t="shared" si="1"/>
        <v>1</v>
      </c>
      <c r="AE15" s="263">
        <f t="shared" si="1"/>
        <v>0</v>
      </c>
      <c r="AF15" s="263">
        <f t="shared" si="1"/>
        <v>0</v>
      </c>
      <c r="AG15" s="264">
        <f t="shared" si="1"/>
        <v>4</v>
      </c>
      <c r="AH15" s="264">
        <f t="shared" si="1"/>
        <v>2</v>
      </c>
      <c r="AI15" s="264">
        <f t="shared" si="1"/>
        <v>0</v>
      </c>
      <c r="AJ15" s="264">
        <f t="shared" si="1"/>
        <v>2</v>
      </c>
      <c r="AK15" s="265">
        <f t="shared" si="1"/>
        <v>0</v>
      </c>
      <c r="AL15" s="265">
        <f t="shared" si="1"/>
        <v>0</v>
      </c>
      <c r="AM15" s="265">
        <f t="shared" si="1"/>
        <v>0</v>
      </c>
      <c r="AN15" s="265">
        <f t="shared" si="1"/>
        <v>0</v>
      </c>
    </row>
    <row r="16" spans="1:46" ht="14.95" thickBot="1" x14ac:dyDescent="0.3">
      <c r="A16" s="266"/>
      <c r="B16" s="267"/>
      <c r="C16" s="937" t="s">
        <v>166</v>
      </c>
      <c r="D16" s="978"/>
      <c r="E16" s="979"/>
      <c r="F16" s="476">
        <f>SUM(F8:F10)</f>
        <v>30</v>
      </c>
      <c r="G16" s="476">
        <f>SUM(G8:G10)</f>
        <v>144</v>
      </c>
      <c r="H16" s="476" t="s">
        <v>106</v>
      </c>
      <c r="I16" s="476" t="s">
        <v>106</v>
      </c>
      <c r="J16" s="476">
        <f t="shared" ref="J16:O16" si="2">SUM(J8:J10)</f>
        <v>4</v>
      </c>
      <c r="K16" s="476">
        <f t="shared" si="2"/>
        <v>1</v>
      </c>
      <c r="L16" s="476">
        <f t="shared" si="2"/>
        <v>0</v>
      </c>
      <c r="M16" s="476">
        <f t="shared" si="2"/>
        <v>2</v>
      </c>
      <c r="N16" s="476">
        <f t="shared" si="2"/>
        <v>2</v>
      </c>
      <c r="O16" s="476">
        <f t="shared" si="2"/>
        <v>1</v>
      </c>
      <c r="P16" s="476" t="s">
        <v>106</v>
      </c>
      <c r="Q16" s="476" t="s">
        <v>106</v>
      </c>
      <c r="R16" s="476">
        <f>SUM(R8:R10)</f>
        <v>21</v>
      </c>
      <c r="S16" s="488"/>
      <c r="T16" s="488"/>
      <c r="U16" s="488"/>
      <c r="V16" s="488"/>
      <c r="W16" s="474"/>
      <c r="X16" s="481" t="s">
        <v>166</v>
      </c>
      <c r="Y16" s="476">
        <f t="shared" ref="Y16:AN16" si="3">SUM(Y8:Y10)</f>
        <v>3</v>
      </c>
      <c r="Z16" s="476">
        <f t="shared" si="3"/>
        <v>0</v>
      </c>
      <c r="AA16" s="476">
        <f t="shared" si="3"/>
        <v>0</v>
      </c>
      <c r="AB16" s="476">
        <f t="shared" si="3"/>
        <v>3</v>
      </c>
      <c r="AC16" s="477">
        <f t="shared" si="3"/>
        <v>1</v>
      </c>
      <c r="AD16" s="477">
        <f t="shared" si="3"/>
        <v>0</v>
      </c>
      <c r="AE16" s="477">
        <f t="shared" si="3"/>
        <v>0</v>
      </c>
      <c r="AF16" s="477">
        <f t="shared" si="3"/>
        <v>1</v>
      </c>
      <c r="AG16" s="478">
        <f t="shared" si="3"/>
        <v>2</v>
      </c>
      <c r="AH16" s="478">
        <f t="shared" si="3"/>
        <v>0</v>
      </c>
      <c r="AI16" s="478">
        <f t="shared" si="3"/>
        <v>0</v>
      </c>
      <c r="AJ16" s="478">
        <f t="shared" si="3"/>
        <v>2</v>
      </c>
      <c r="AK16" s="476">
        <f t="shared" si="3"/>
        <v>0</v>
      </c>
      <c r="AL16" s="476">
        <f t="shared" si="3"/>
        <v>0</v>
      </c>
      <c r="AM16" s="476">
        <f t="shared" si="3"/>
        <v>0</v>
      </c>
      <c r="AN16" s="476">
        <f t="shared" si="3"/>
        <v>0</v>
      </c>
    </row>
    <row r="17" spans="1:40" ht="14.95" thickBot="1" x14ac:dyDescent="0.3">
      <c r="A17" s="266"/>
      <c r="B17" s="267"/>
      <c r="C17" s="940" t="s">
        <v>625</v>
      </c>
      <c r="D17" s="941"/>
      <c r="E17" s="942"/>
      <c r="F17" s="708">
        <f t="shared" ref="F17:R17" si="4">SUM(F11:F14)</f>
        <v>32</v>
      </c>
      <c r="G17" s="708">
        <f t="shared" si="4"/>
        <v>287</v>
      </c>
      <c r="H17" s="708">
        <f t="shared" si="4"/>
        <v>0</v>
      </c>
      <c r="I17" s="708">
        <f t="shared" si="4"/>
        <v>0</v>
      </c>
      <c r="J17" s="708">
        <f t="shared" si="4"/>
        <v>4</v>
      </c>
      <c r="K17" s="708">
        <f t="shared" si="4"/>
        <v>3</v>
      </c>
      <c r="L17" s="708">
        <f t="shared" si="4"/>
        <v>0</v>
      </c>
      <c r="M17" s="708">
        <f t="shared" si="4"/>
        <v>2</v>
      </c>
      <c r="N17" s="708">
        <f t="shared" si="4"/>
        <v>5</v>
      </c>
      <c r="O17" s="708">
        <f t="shared" si="4"/>
        <v>0</v>
      </c>
      <c r="P17" s="708">
        <f t="shared" si="4"/>
        <v>4</v>
      </c>
      <c r="Q17" s="708">
        <f t="shared" si="4"/>
        <v>0</v>
      </c>
      <c r="R17" s="708">
        <f t="shared" si="4"/>
        <v>43</v>
      </c>
      <c r="S17" s="709"/>
      <c r="T17" s="709"/>
      <c r="U17" s="709"/>
      <c r="V17" s="709"/>
      <c r="W17" s="710"/>
      <c r="X17" s="711" t="s">
        <v>625</v>
      </c>
      <c r="Y17" s="712">
        <f>SUM(Y11:Y14)</f>
        <v>4</v>
      </c>
      <c r="Z17" s="708">
        <v>0</v>
      </c>
      <c r="AA17" s="708">
        <f t="shared" ref="AA17:AN17" si="5">SUM(AA11:AA14)</f>
        <v>0</v>
      </c>
      <c r="AB17" s="708">
        <f t="shared" si="5"/>
        <v>4</v>
      </c>
      <c r="AC17" s="713">
        <f t="shared" si="5"/>
        <v>0</v>
      </c>
      <c r="AD17" s="713">
        <f t="shared" si="5"/>
        <v>0</v>
      </c>
      <c r="AE17" s="713">
        <f t="shared" si="5"/>
        <v>0</v>
      </c>
      <c r="AF17" s="713">
        <f t="shared" si="5"/>
        <v>0</v>
      </c>
      <c r="AG17" s="714">
        <f t="shared" si="5"/>
        <v>0</v>
      </c>
      <c r="AH17" s="714">
        <f t="shared" si="5"/>
        <v>0</v>
      </c>
      <c r="AI17" s="714">
        <f t="shared" si="5"/>
        <v>0</v>
      </c>
      <c r="AJ17" s="714">
        <f t="shared" si="5"/>
        <v>0</v>
      </c>
      <c r="AK17" s="708">
        <f t="shared" si="5"/>
        <v>4</v>
      </c>
      <c r="AL17" s="708">
        <f t="shared" si="5"/>
        <v>0</v>
      </c>
      <c r="AM17" s="708">
        <f t="shared" si="5"/>
        <v>0</v>
      </c>
      <c r="AN17" s="708">
        <f t="shared" si="5"/>
        <v>4</v>
      </c>
    </row>
    <row r="18" spans="1:40" ht="14.95" thickBot="1" x14ac:dyDescent="0.3">
      <c r="A18" s="266"/>
      <c r="B18" s="267"/>
      <c r="C18" s="940" t="s">
        <v>626</v>
      </c>
      <c r="D18" s="943"/>
      <c r="E18" s="944"/>
      <c r="F18" s="708">
        <v>0</v>
      </c>
      <c r="G18" s="708">
        <v>0</v>
      </c>
      <c r="H18" s="708">
        <v>0</v>
      </c>
      <c r="I18" s="708">
        <v>0</v>
      </c>
      <c r="J18" s="708">
        <v>0</v>
      </c>
      <c r="K18" s="708">
        <v>0</v>
      </c>
      <c r="L18" s="708">
        <v>0</v>
      </c>
      <c r="M18" s="708">
        <v>0</v>
      </c>
      <c r="N18" s="708">
        <v>0</v>
      </c>
      <c r="O18" s="708">
        <v>0</v>
      </c>
      <c r="P18" s="708">
        <v>0</v>
      </c>
      <c r="Q18" s="708">
        <v>0</v>
      </c>
      <c r="R18" s="708">
        <v>0</v>
      </c>
      <c r="S18" s="709"/>
      <c r="T18" s="709"/>
      <c r="U18" s="709"/>
      <c r="V18" s="709"/>
      <c r="W18" s="710"/>
      <c r="X18" s="711" t="s">
        <v>626</v>
      </c>
      <c r="Y18" s="712">
        <v>0</v>
      </c>
      <c r="Z18" s="708">
        <v>0</v>
      </c>
      <c r="AA18" s="708">
        <v>0</v>
      </c>
      <c r="AB18" s="708">
        <v>0</v>
      </c>
      <c r="AC18" s="713">
        <v>0</v>
      </c>
      <c r="AD18" s="713">
        <v>0</v>
      </c>
      <c r="AE18" s="713">
        <v>0</v>
      </c>
      <c r="AF18" s="713">
        <v>0</v>
      </c>
      <c r="AG18" s="714">
        <v>0</v>
      </c>
      <c r="AH18" s="714">
        <v>0</v>
      </c>
      <c r="AI18" s="714">
        <v>0</v>
      </c>
      <c r="AJ18" s="714">
        <v>0</v>
      </c>
      <c r="AK18" s="708">
        <v>0</v>
      </c>
      <c r="AL18" s="708">
        <v>0</v>
      </c>
      <c r="AM18" s="708">
        <v>0</v>
      </c>
      <c r="AN18" s="708">
        <v>0</v>
      </c>
    </row>
    <row r="19" spans="1:40" ht="14.95" thickBot="1" x14ac:dyDescent="0.3">
      <c r="A19" s="266"/>
      <c r="B19" s="267"/>
      <c r="C19" s="940" t="s">
        <v>627</v>
      </c>
      <c r="D19" s="943"/>
      <c r="E19" s="944"/>
      <c r="F19" s="708">
        <f>SUM(F17+F18)</f>
        <v>32</v>
      </c>
      <c r="G19" s="708">
        <f t="shared" ref="G19:R19" si="6">SUM(G17+G18)</f>
        <v>287</v>
      </c>
      <c r="H19" s="708">
        <f t="shared" si="6"/>
        <v>0</v>
      </c>
      <c r="I19" s="708">
        <f t="shared" si="6"/>
        <v>0</v>
      </c>
      <c r="J19" s="708">
        <f t="shared" si="6"/>
        <v>4</v>
      </c>
      <c r="K19" s="708">
        <f t="shared" si="6"/>
        <v>3</v>
      </c>
      <c r="L19" s="708">
        <f t="shared" si="6"/>
        <v>0</v>
      </c>
      <c r="M19" s="708">
        <f t="shared" si="6"/>
        <v>2</v>
      </c>
      <c r="N19" s="708">
        <f t="shared" si="6"/>
        <v>5</v>
      </c>
      <c r="O19" s="708">
        <f t="shared" si="6"/>
        <v>0</v>
      </c>
      <c r="P19" s="708">
        <f t="shared" si="6"/>
        <v>4</v>
      </c>
      <c r="Q19" s="708">
        <f t="shared" si="6"/>
        <v>0</v>
      </c>
      <c r="R19" s="708">
        <f t="shared" si="6"/>
        <v>43</v>
      </c>
      <c r="S19" s="709"/>
      <c r="T19" s="709"/>
      <c r="U19" s="709"/>
      <c r="V19" s="709"/>
      <c r="W19" s="710"/>
      <c r="X19" s="711" t="s">
        <v>627</v>
      </c>
      <c r="Y19" s="712">
        <f t="shared" ref="Y19:AN19" si="7">SUM(Y17+Y18)</f>
        <v>4</v>
      </c>
      <c r="Z19" s="708">
        <f t="shared" si="7"/>
        <v>0</v>
      </c>
      <c r="AA19" s="708">
        <f t="shared" si="7"/>
        <v>0</v>
      </c>
      <c r="AB19" s="708">
        <f t="shared" si="7"/>
        <v>4</v>
      </c>
      <c r="AC19" s="713">
        <f t="shared" si="7"/>
        <v>0</v>
      </c>
      <c r="AD19" s="713">
        <f t="shared" si="7"/>
        <v>0</v>
      </c>
      <c r="AE19" s="713">
        <f t="shared" si="7"/>
        <v>0</v>
      </c>
      <c r="AF19" s="713">
        <f t="shared" si="7"/>
        <v>0</v>
      </c>
      <c r="AG19" s="714">
        <f t="shared" si="7"/>
        <v>0</v>
      </c>
      <c r="AH19" s="714">
        <f t="shared" si="7"/>
        <v>0</v>
      </c>
      <c r="AI19" s="714">
        <f t="shared" si="7"/>
        <v>0</v>
      </c>
      <c r="AJ19" s="714">
        <f t="shared" si="7"/>
        <v>0</v>
      </c>
      <c r="AK19" s="708">
        <f t="shared" si="7"/>
        <v>4</v>
      </c>
      <c r="AL19" s="708">
        <f t="shared" si="7"/>
        <v>0</v>
      </c>
      <c r="AM19" s="708">
        <f t="shared" si="7"/>
        <v>0</v>
      </c>
      <c r="AN19" s="708">
        <f t="shared" si="7"/>
        <v>4</v>
      </c>
    </row>
    <row r="20" spans="1:40" ht="14.95" thickBot="1" x14ac:dyDescent="0.3">
      <c r="A20" s="266"/>
      <c r="B20" s="267"/>
      <c r="C20" s="946" t="s">
        <v>107</v>
      </c>
      <c r="D20" s="947"/>
      <c r="E20" s="948"/>
      <c r="F20" s="343">
        <f t="shared" ref="F20:R20" si="8">SUM(F3:F14)</f>
        <v>243</v>
      </c>
      <c r="G20" s="343">
        <f t="shared" si="8"/>
        <v>557</v>
      </c>
      <c r="H20" s="343">
        <f t="shared" si="8"/>
        <v>2</v>
      </c>
      <c r="I20" s="343">
        <f t="shared" si="8"/>
        <v>0</v>
      </c>
      <c r="J20" s="343">
        <f t="shared" si="8"/>
        <v>34</v>
      </c>
      <c r="K20" s="343">
        <f t="shared" si="8"/>
        <v>21</v>
      </c>
      <c r="L20" s="343">
        <f t="shared" si="8"/>
        <v>0</v>
      </c>
      <c r="M20" s="343">
        <f t="shared" si="8"/>
        <v>9</v>
      </c>
      <c r="N20" s="343">
        <f t="shared" si="8"/>
        <v>9</v>
      </c>
      <c r="O20" s="343">
        <f t="shared" si="8"/>
        <v>1</v>
      </c>
      <c r="P20" s="343">
        <f t="shared" si="8"/>
        <v>5</v>
      </c>
      <c r="Q20" s="343">
        <f t="shared" si="8"/>
        <v>0</v>
      </c>
      <c r="R20" s="343">
        <f t="shared" si="8"/>
        <v>80</v>
      </c>
      <c r="S20" s="340"/>
      <c r="T20" s="340"/>
      <c r="U20" s="340"/>
      <c r="V20" s="340"/>
      <c r="W20" s="13"/>
      <c r="X20" s="364" t="s">
        <v>107</v>
      </c>
      <c r="Y20" s="343">
        <f t="shared" ref="Y20:AN20" si="9">SUM(Y3:Y14)</f>
        <v>12</v>
      </c>
      <c r="Z20" s="343">
        <f t="shared" si="9"/>
        <v>3</v>
      </c>
      <c r="AA20" s="343">
        <f t="shared" si="9"/>
        <v>0</v>
      </c>
      <c r="AB20" s="343">
        <f t="shared" si="9"/>
        <v>9</v>
      </c>
      <c r="AC20" s="341">
        <f t="shared" si="9"/>
        <v>2</v>
      </c>
      <c r="AD20" s="341">
        <f t="shared" si="9"/>
        <v>1</v>
      </c>
      <c r="AE20" s="341">
        <f t="shared" si="9"/>
        <v>0</v>
      </c>
      <c r="AF20" s="341">
        <f t="shared" si="9"/>
        <v>1</v>
      </c>
      <c r="AG20" s="342">
        <f t="shared" si="9"/>
        <v>6</v>
      </c>
      <c r="AH20" s="342">
        <f t="shared" si="9"/>
        <v>2</v>
      </c>
      <c r="AI20" s="342">
        <f t="shared" si="9"/>
        <v>0</v>
      </c>
      <c r="AJ20" s="342">
        <f t="shared" si="9"/>
        <v>4</v>
      </c>
      <c r="AK20" s="343">
        <f t="shared" si="9"/>
        <v>4</v>
      </c>
      <c r="AL20" s="343">
        <f t="shared" si="9"/>
        <v>0</v>
      </c>
      <c r="AM20" s="343">
        <f t="shared" si="9"/>
        <v>0</v>
      </c>
      <c r="AN20" s="343">
        <f t="shared" si="9"/>
        <v>4</v>
      </c>
    </row>
    <row r="21" spans="1:40" x14ac:dyDescent="0.25">
      <c r="A21" s="266"/>
      <c r="B21" s="267"/>
      <c r="C21" s="677"/>
      <c r="D21" s="677"/>
      <c r="E21" s="677"/>
      <c r="F21" s="678"/>
      <c r="G21" s="678"/>
      <c r="H21" s="678"/>
      <c r="I21" s="678"/>
      <c r="J21" s="678"/>
      <c r="K21" s="678"/>
      <c r="L21" s="678"/>
      <c r="M21" s="678"/>
      <c r="N21" s="678"/>
      <c r="O21" s="678"/>
      <c r="P21" s="678"/>
      <c r="Q21" s="678"/>
      <c r="R21" s="678"/>
      <c r="S21" s="679"/>
      <c r="T21" s="679"/>
      <c r="U21" s="679"/>
      <c r="V21" s="679"/>
      <c r="W21" s="13"/>
      <c r="X21" s="13"/>
      <c r="Y21" s="678"/>
      <c r="Z21" s="678"/>
      <c r="AA21" s="678"/>
      <c r="AB21" s="678"/>
      <c r="AC21" s="678"/>
      <c r="AD21" s="678"/>
      <c r="AE21" s="678"/>
      <c r="AF21" s="678"/>
      <c r="AG21" s="678"/>
      <c r="AH21" s="678"/>
      <c r="AI21" s="678"/>
      <c r="AJ21" s="678"/>
      <c r="AK21" s="678"/>
      <c r="AL21" s="678"/>
      <c r="AM21" s="678"/>
      <c r="AN21" s="678"/>
    </row>
    <row r="22" spans="1:40" x14ac:dyDescent="0.25">
      <c r="A22" s="965" t="s">
        <v>293</v>
      </c>
      <c r="B22" s="886"/>
      <c r="C22" s="886"/>
      <c r="D22" s="886"/>
      <c r="E22" s="886"/>
      <c r="F22" s="886"/>
      <c r="G22" s="886"/>
      <c r="H22" s="886"/>
      <c r="I22" s="886"/>
      <c r="J22" s="886"/>
      <c r="K22" s="886"/>
      <c r="L22" s="886"/>
      <c r="M22" s="886"/>
      <c r="N22" s="886"/>
      <c r="O22" s="886"/>
      <c r="P22" s="886"/>
      <c r="Q22" s="886"/>
      <c r="R22" s="886"/>
      <c r="S22" s="886"/>
      <c r="T22" s="886"/>
      <c r="U22" s="886"/>
      <c r="V22" s="886"/>
      <c r="W22" s="886"/>
      <c r="X22" s="886"/>
      <c r="Y22" s="886"/>
      <c r="Z22" s="886"/>
      <c r="AA22" s="886"/>
      <c r="AB22" s="886"/>
      <c r="AC22" s="886"/>
      <c r="AD22" s="886"/>
      <c r="AE22" s="886"/>
      <c r="AF22" s="886"/>
      <c r="AG22" s="886"/>
      <c r="AH22" s="886"/>
      <c r="AI22" s="886"/>
      <c r="AJ22" s="886"/>
      <c r="AK22" s="886"/>
      <c r="AL22" s="886"/>
      <c r="AM22" s="886"/>
      <c r="AN22" s="886"/>
    </row>
    <row r="23" spans="1:40" x14ac:dyDescent="0.25">
      <c r="A23" t="s">
        <v>457</v>
      </c>
      <c r="F23" s="14"/>
      <c r="G23" s="14"/>
      <c r="H23" s="13"/>
      <c r="I23" s="14"/>
      <c r="J23" s="14"/>
      <c r="K23" s="14"/>
      <c r="L23" s="14"/>
      <c r="M23" s="14"/>
      <c r="N23" s="14"/>
      <c r="O23" s="14"/>
      <c r="P23" s="14"/>
      <c r="Q23" s="14"/>
      <c r="R23" s="14"/>
    </row>
    <row r="24" spans="1:40" x14ac:dyDescent="0.25">
      <c r="A24" t="s">
        <v>671</v>
      </c>
      <c r="F24" s="14"/>
      <c r="G24" s="14"/>
      <c r="H24" s="13"/>
      <c r="I24" s="14"/>
      <c r="J24" s="14"/>
      <c r="K24" s="14"/>
      <c r="L24" s="14"/>
      <c r="M24" s="14"/>
      <c r="N24" s="14"/>
      <c r="O24" s="14"/>
      <c r="P24" s="14"/>
      <c r="Q24" s="14"/>
      <c r="R24" s="14"/>
    </row>
    <row r="25" spans="1:40" x14ac:dyDescent="0.25">
      <c r="A25" t="s">
        <v>673</v>
      </c>
      <c r="F25" s="14"/>
      <c r="G25" s="14"/>
      <c r="H25" s="13"/>
      <c r="I25" s="14"/>
      <c r="J25" s="14"/>
      <c r="K25" s="14"/>
      <c r="L25" s="14"/>
      <c r="M25" s="14"/>
      <c r="N25" s="14"/>
      <c r="O25" s="14"/>
      <c r="P25" s="14"/>
      <c r="Q25" s="14"/>
      <c r="R25" s="14"/>
    </row>
    <row r="26" spans="1:40" x14ac:dyDescent="0.25">
      <c r="A26" t="s">
        <v>672</v>
      </c>
      <c r="F26" s="14"/>
      <c r="G26" s="14"/>
      <c r="H26" s="13"/>
      <c r="I26" s="14"/>
      <c r="J26" s="14"/>
      <c r="K26" s="14"/>
      <c r="L26" s="14"/>
      <c r="M26" s="14"/>
      <c r="N26" s="14"/>
      <c r="O26" s="14"/>
      <c r="P26" s="14"/>
      <c r="Q26" s="14"/>
      <c r="R26" s="14"/>
    </row>
    <row r="27" spans="1:40" x14ac:dyDescent="0.25">
      <c r="A27" t="s">
        <v>640</v>
      </c>
      <c r="F27" s="14"/>
      <c r="G27" s="14"/>
      <c r="H27" s="13"/>
      <c r="I27" s="14"/>
      <c r="J27" s="14"/>
      <c r="K27" s="14"/>
      <c r="L27" s="14"/>
      <c r="M27" s="14"/>
      <c r="N27" s="14"/>
      <c r="O27" s="14"/>
      <c r="P27" s="14"/>
      <c r="Q27" s="14"/>
      <c r="R27" s="14"/>
    </row>
    <row r="28" spans="1:40" x14ac:dyDescent="0.25">
      <c r="A28" t="s">
        <v>794</v>
      </c>
      <c r="F28" s="14"/>
      <c r="G28" s="14"/>
      <c r="H28" s="13"/>
      <c r="I28" s="14"/>
      <c r="J28" s="14"/>
      <c r="K28" s="14"/>
      <c r="L28" s="14"/>
      <c r="M28" s="14"/>
      <c r="N28" s="14"/>
      <c r="O28" s="14"/>
      <c r="P28" s="14"/>
      <c r="Q28" s="14"/>
      <c r="R28" s="14"/>
    </row>
    <row r="29" spans="1:40" x14ac:dyDescent="0.25">
      <c r="A29" s="575"/>
      <c r="B29" t="s">
        <v>44</v>
      </c>
    </row>
    <row r="30" spans="1:40" x14ac:dyDescent="0.25">
      <c r="A30" s="576"/>
      <c r="B30" t="s">
        <v>42</v>
      </c>
    </row>
    <row r="31" spans="1:40" x14ac:dyDescent="0.25">
      <c r="A31" s="577"/>
      <c r="B31" t="s">
        <v>43</v>
      </c>
    </row>
    <row r="32" spans="1:40" x14ac:dyDescent="0.25">
      <c r="A32" s="15" t="s">
        <v>28</v>
      </c>
    </row>
  </sheetData>
  <mergeCells count="17">
    <mergeCell ref="Y1:AB1"/>
    <mergeCell ref="AC1:AF1"/>
    <mergeCell ref="AG1:AJ1"/>
    <mergeCell ref="AK1:AN1"/>
    <mergeCell ref="C16:E16"/>
    <mergeCell ref="P1:R1"/>
    <mergeCell ref="A1:C1"/>
    <mergeCell ref="E1:G1"/>
    <mergeCell ref="H1:I1"/>
    <mergeCell ref="J1:M1"/>
    <mergeCell ref="N1:O1"/>
    <mergeCell ref="C18:E18"/>
    <mergeCell ref="C19:E19"/>
    <mergeCell ref="A22:AN22"/>
    <mergeCell ref="C15:E15"/>
    <mergeCell ref="C20:E20"/>
    <mergeCell ref="C17:E17"/>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T26"/>
  <sheetViews>
    <sheetView zoomScaleNormal="100" workbookViewId="0">
      <selection activeCell="W4" sqref="W4"/>
    </sheetView>
  </sheetViews>
  <sheetFormatPr defaultRowHeight="14.95" customHeight="1" x14ac:dyDescent="0.25"/>
  <cols>
    <col min="1" max="1" width="7.5" customWidth="1"/>
    <col min="2" max="2" width="5.125" bestFit="1" customWidth="1"/>
    <col min="3" max="3" width="11.5" customWidth="1"/>
    <col min="4" max="4" width="4.5" customWidth="1"/>
    <col min="5" max="18" width="3.625" customWidth="1"/>
    <col min="19" max="20" width="6.375" customWidth="1"/>
    <col min="21" max="21" width="30.5" customWidth="1"/>
    <col min="22" max="22" width="22.5" bestFit="1" customWidth="1"/>
    <col min="23" max="23" width="23.625" bestFit="1" customWidth="1"/>
    <col min="24" max="24" width="24" bestFit="1" customWidth="1"/>
    <col min="25" max="40" width="3.625" customWidth="1"/>
    <col min="42" max="42" width="13.125" bestFit="1" customWidth="1"/>
    <col min="45" max="45" width="13.125" bestFit="1" customWidth="1"/>
  </cols>
  <sheetData>
    <row r="1" spans="1:46" ht="14.95" customHeight="1" thickBot="1" x14ac:dyDescent="0.3">
      <c r="A1" s="1061" t="s">
        <v>214</v>
      </c>
      <c r="B1" s="1062"/>
      <c r="C1" s="1062"/>
      <c r="D1" s="373"/>
      <c r="E1" s="1063" t="s">
        <v>24</v>
      </c>
      <c r="F1" s="1064"/>
      <c r="G1" s="1065"/>
      <c r="H1" s="1063" t="s">
        <v>23</v>
      </c>
      <c r="I1" s="1065"/>
      <c r="J1" s="1055" t="s">
        <v>6</v>
      </c>
      <c r="K1" s="1056"/>
      <c r="L1" s="1056"/>
      <c r="M1" s="1057"/>
      <c r="N1" s="1055" t="s">
        <v>7</v>
      </c>
      <c r="O1" s="1057"/>
      <c r="P1" s="1055" t="s">
        <v>25</v>
      </c>
      <c r="Q1" s="1056"/>
      <c r="R1" s="1057"/>
      <c r="S1" s="376" t="s">
        <v>8</v>
      </c>
      <c r="T1" s="376" t="s">
        <v>9</v>
      </c>
      <c r="U1" s="375" t="s">
        <v>10</v>
      </c>
      <c r="V1" s="376" t="s">
        <v>11</v>
      </c>
      <c r="W1" s="377" t="s">
        <v>26</v>
      </c>
      <c r="X1" s="803" t="s">
        <v>27</v>
      </c>
      <c r="Y1" s="1058" t="s">
        <v>20</v>
      </c>
      <c r="Z1" s="1033"/>
      <c r="AA1" s="1033"/>
      <c r="AB1" s="1034"/>
      <c r="AC1" s="1058" t="s">
        <v>61</v>
      </c>
      <c r="AD1" s="1033"/>
      <c r="AE1" s="1033"/>
      <c r="AF1" s="1034"/>
      <c r="AG1" s="1058" t="s">
        <v>62</v>
      </c>
      <c r="AH1" s="1033"/>
      <c r="AI1" s="1033"/>
      <c r="AJ1" s="1034"/>
      <c r="AK1" s="1058" t="s">
        <v>63</v>
      </c>
      <c r="AL1" s="1033"/>
      <c r="AM1" s="1033"/>
      <c r="AN1" s="1034"/>
      <c r="AP1" s="335" t="s">
        <v>152</v>
      </c>
      <c r="AQ1" s="322"/>
      <c r="AR1" s="322"/>
      <c r="AS1" s="335" t="s">
        <v>152</v>
      </c>
    </row>
    <row r="2" spans="1:46" ht="14.95" customHeight="1" thickBot="1" x14ac:dyDescent="0.3">
      <c r="A2" s="379" t="s">
        <v>19</v>
      </c>
      <c r="B2" s="380" t="s">
        <v>18</v>
      </c>
      <c r="C2" s="381" t="s">
        <v>17</v>
      </c>
      <c r="D2" s="382" t="s">
        <v>41</v>
      </c>
      <c r="E2" s="382" t="s">
        <v>16</v>
      </c>
      <c r="F2" s="382" t="s">
        <v>4</v>
      </c>
      <c r="G2" s="382" t="s">
        <v>5</v>
      </c>
      <c r="H2" s="383" t="s">
        <v>12</v>
      </c>
      <c r="I2" s="383" t="s">
        <v>3</v>
      </c>
      <c r="J2" s="383" t="s">
        <v>12</v>
      </c>
      <c r="K2" s="383" t="s">
        <v>13</v>
      </c>
      <c r="L2" s="383" t="s">
        <v>2</v>
      </c>
      <c r="M2" s="383" t="s">
        <v>14</v>
      </c>
      <c r="N2" s="383" t="s">
        <v>15</v>
      </c>
      <c r="O2" s="383" t="s">
        <v>16</v>
      </c>
      <c r="P2" s="383" t="s">
        <v>21</v>
      </c>
      <c r="Q2" s="383" t="s">
        <v>22</v>
      </c>
      <c r="R2" s="383" t="s">
        <v>12</v>
      </c>
      <c r="S2" s="384"/>
      <c r="T2" s="385"/>
      <c r="U2" s="386"/>
      <c r="V2" s="384"/>
      <c r="W2" s="387"/>
      <c r="X2" s="388"/>
      <c r="Y2" s="389" t="s">
        <v>0</v>
      </c>
      <c r="Z2" s="389" t="s">
        <v>1</v>
      </c>
      <c r="AA2" s="389" t="s">
        <v>2</v>
      </c>
      <c r="AB2" s="389" t="s">
        <v>3</v>
      </c>
      <c r="AC2" s="389" t="s">
        <v>0</v>
      </c>
      <c r="AD2" s="389" t="s">
        <v>1</v>
      </c>
      <c r="AE2" s="389" t="s">
        <v>2</v>
      </c>
      <c r="AF2" s="389" t="s">
        <v>3</v>
      </c>
      <c r="AG2" s="389" t="s">
        <v>0</v>
      </c>
      <c r="AH2" s="389" t="s">
        <v>1</v>
      </c>
      <c r="AI2" s="389" t="s">
        <v>2</v>
      </c>
      <c r="AJ2" s="389" t="s">
        <v>3</v>
      </c>
      <c r="AK2" s="389" t="s">
        <v>0</v>
      </c>
      <c r="AL2" s="389" t="s">
        <v>1</v>
      </c>
      <c r="AM2" s="389" t="s">
        <v>2</v>
      </c>
      <c r="AN2" s="389" t="s">
        <v>3</v>
      </c>
      <c r="AP2" s="305" t="s">
        <v>107</v>
      </c>
      <c r="AQ2" s="189"/>
      <c r="AS2" s="336" t="s">
        <v>128</v>
      </c>
      <c r="AT2" s="189"/>
    </row>
    <row r="3" spans="1:46" ht="14.95" customHeight="1" thickBot="1" x14ac:dyDescent="0.3">
      <c r="A3" s="396" t="s">
        <v>598</v>
      </c>
      <c r="B3" s="398" t="s">
        <v>45</v>
      </c>
      <c r="C3" s="398" t="s">
        <v>36</v>
      </c>
      <c r="D3" s="398" t="s">
        <v>222</v>
      </c>
      <c r="E3" s="399" t="s">
        <v>1</v>
      </c>
      <c r="F3" s="399">
        <v>24</v>
      </c>
      <c r="G3" s="399">
        <v>22</v>
      </c>
      <c r="H3" s="399" t="s">
        <v>106</v>
      </c>
      <c r="I3" s="399" t="s">
        <v>106</v>
      </c>
      <c r="J3" s="399">
        <v>3</v>
      </c>
      <c r="K3" s="399">
        <v>3</v>
      </c>
      <c r="L3" s="399">
        <v>0</v>
      </c>
      <c r="M3" s="399">
        <v>1</v>
      </c>
      <c r="N3" s="399">
        <v>0</v>
      </c>
      <c r="O3" s="399">
        <v>0</v>
      </c>
      <c r="P3" s="399" t="s">
        <v>106</v>
      </c>
      <c r="Q3" s="399" t="s">
        <v>106</v>
      </c>
      <c r="R3" s="399">
        <v>1</v>
      </c>
      <c r="S3" s="406">
        <v>22063</v>
      </c>
      <c r="T3" s="672" t="s">
        <v>580</v>
      </c>
      <c r="U3" s="408" t="s">
        <v>364</v>
      </c>
      <c r="V3" s="406" t="s">
        <v>363</v>
      </c>
      <c r="W3" s="406" t="s">
        <v>281</v>
      </c>
      <c r="X3" s="401" t="s">
        <v>467</v>
      </c>
      <c r="Y3" s="404">
        <v>1</v>
      </c>
      <c r="Z3" s="404">
        <v>1</v>
      </c>
      <c r="AA3" s="404">
        <v>0</v>
      </c>
      <c r="AB3" s="405">
        <v>0</v>
      </c>
      <c r="AC3" s="404">
        <v>0</v>
      </c>
      <c r="AD3" s="404">
        <v>0</v>
      </c>
      <c r="AE3" s="404">
        <v>0</v>
      </c>
      <c r="AF3" s="405">
        <v>0</v>
      </c>
      <c r="AG3" s="404">
        <v>1</v>
      </c>
      <c r="AH3" s="404">
        <v>1</v>
      </c>
      <c r="AI3" s="404">
        <v>0</v>
      </c>
      <c r="AJ3" s="405">
        <v>0</v>
      </c>
      <c r="AK3" s="404">
        <v>0</v>
      </c>
      <c r="AL3" s="404">
        <v>0</v>
      </c>
      <c r="AM3" s="404">
        <v>0</v>
      </c>
      <c r="AN3" s="405">
        <v>0</v>
      </c>
      <c r="AP3" s="316" t="s">
        <v>130</v>
      </c>
      <c r="AQ3" s="317">
        <f>Samalltestshistplayed</f>
        <v>258</v>
      </c>
      <c r="AS3" s="316" t="s">
        <v>130</v>
      </c>
      <c r="AT3" s="317">
        <f>SamRWChistplayed</f>
        <v>36</v>
      </c>
    </row>
    <row r="4" spans="1:46" ht="14.95" customHeight="1" thickBot="1" x14ac:dyDescent="0.3">
      <c r="A4" s="423" t="s">
        <v>332</v>
      </c>
      <c r="B4" s="424" t="s">
        <v>45</v>
      </c>
      <c r="C4" s="424" t="s">
        <v>31</v>
      </c>
      <c r="D4" s="424" t="s">
        <v>597</v>
      </c>
      <c r="E4" s="425" t="s">
        <v>3</v>
      </c>
      <c r="F4" s="425">
        <v>19</v>
      </c>
      <c r="G4" s="425">
        <v>33</v>
      </c>
      <c r="H4" s="425" t="s">
        <v>106</v>
      </c>
      <c r="I4" s="425" t="s">
        <v>106</v>
      </c>
      <c r="J4" s="425">
        <v>3</v>
      </c>
      <c r="K4" s="425">
        <v>2</v>
      </c>
      <c r="L4" s="425">
        <v>0</v>
      </c>
      <c r="M4" s="425">
        <v>0</v>
      </c>
      <c r="N4" s="425">
        <v>0</v>
      </c>
      <c r="O4" s="425">
        <v>0</v>
      </c>
      <c r="P4" s="425" t="s">
        <v>106</v>
      </c>
      <c r="Q4" s="425" t="s">
        <v>106</v>
      </c>
      <c r="R4" s="425">
        <v>4</v>
      </c>
      <c r="S4" s="426">
        <v>800</v>
      </c>
      <c r="T4" s="427" t="s">
        <v>690</v>
      </c>
      <c r="U4" s="428" t="s">
        <v>265</v>
      </c>
      <c r="V4" s="426" t="s">
        <v>258</v>
      </c>
      <c r="W4" s="426" t="s">
        <v>691</v>
      </c>
      <c r="X4" s="430" t="s">
        <v>692</v>
      </c>
      <c r="Y4" s="431">
        <v>1</v>
      </c>
      <c r="Z4" s="431">
        <v>0</v>
      </c>
      <c r="AA4" s="431">
        <v>0</v>
      </c>
      <c r="AB4" s="432">
        <v>1</v>
      </c>
      <c r="AC4" s="431">
        <v>1</v>
      </c>
      <c r="AD4" s="431">
        <v>0</v>
      </c>
      <c r="AE4" s="431">
        <v>0</v>
      </c>
      <c r="AF4" s="432">
        <v>1</v>
      </c>
      <c r="AG4" s="431">
        <v>0</v>
      </c>
      <c r="AH4" s="431">
        <v>0</v>
      </c>
      <c r="AI4" s="431">
        <v>0</v>
      </c>
      <c r="AJ4" s="432">
        <v>0</v>
      </c>
      <c r="AK4" s="431">
        <v>0</v>
      </c>
      <c r="AL4" s="431">
        <v>0</v>
      </c>
      <c r="AM4" s="431">
        <v>0</v>
      </c>
      <c r="AN4" s="432">
        <v>0</v>
      </c>
      <c r="AP4" s="318" t="s">
        <v>131</v>
      </c>
      <c r="AQ4" s="319">
        <f>Samalltestshistwon</f>
        <v>113</v>
      </c>
      <c r="AS4" s="318" t="s">
        <v>131</v>
      </c>
      <c r="AT4" s="319">
        <f>SamRWChistwon</f>
        <v>14</v>
      </c>
    </row>
    <row r="5" spans="1:46" ht="14.95" customHeight="1" thickBot="1" x14ac:dyDescent="0.35">
      <c r="A5" s="423" t="s">
        <v>322</v>
      </c>
      <c r="B5" s="424" t="s">
        <v>45</v>
      </c>
      <c r="C5" s="424" t="s">
        <v>118</v>
      </c>
      <c r="D5" s="424" t="s">
        <v>597</v>
      </c>
      <c r="E5" s="425" t="s">
        <v>1</v>
      </c>
      <c r="F5" s="425">
        <v>34</v>
      </c>
      <c r="G5" s="425">
        <v>9</v>
      </c>
      <c r="H5" s="425" t="s">
        <v>106</v>
      </c>
      <c r="I5" s="425" t="s">
        <v>106</v>
      </c>
      <c r="J5" s="425">
        <v>4</v>
      </c>
      <c r="K5" s="425">
        <v>4</v>
      </c>
      <c r="L5" s="425">
        <v>0</v>
      </c>
      <c r="M5" s="425">
        <v>2</v>
      </c>
      <c r="N5" s="425">
        <v>1</v>
      </c>
      <c r="O5" s="425">
        <v>0</v>
      </c>
      <c r="P5" s="425" t="s">
        <v>106</v>
      </c>
      <c r="Q5" s="425" t="s">
        <v>106</v>
      </c>
      <c r="R5" s="425">
        <v>0</v>
      </c>
      <c r="S5" s="426">
        <v>4000</v>
      </c>
      <c r="T5" s="438" t="s">
        <v>731</v>
      </c>
      <c r="U5" s="428" t="s">
        <v>265</v>
      </c>
      <c r="V5" s="426" t="s">
        <v>258</v>
      </c>
      <c r="W5" s="426" t="s">
        <v>430</v>
      </c>
      <c r="X5" s="430" t="s">
        <v>692</v>
      </c>
      <c r="Y5" s="431">
        <v>1</v>
      </c>
      <c r="Z5" s="431">
        <v>1</v>
      </c>
      <c r="AA5" s="431">
        <v>0</v>
      </c>
      <c r="AB5" s="432">
        <v>0</v>
      </c>
      <c r="AC5" s="431">
        <v>1</v>
      </c>
      <c r="AD5" s="431">
        <v>1</v>
      </c>
      <c r="AE5" s="431">
        <v>0</v>
      </c>
      <c r="AF5" s="432">
        <v>0</v>
      </c>
      <c r="AG5" s="431">
        <v>0</v>
      </c>
      <c r="AH5" s="431">
        <v>0</v>
      </c>
      <c r="AI5" s="431">
        <v>0</v>
      </c>
      <c r="AJ5" s="432">
        <v>0</v>
      </c>
      <c r="AK5" s="431">
        <v>0</v>
      </c>
      <c r="AL5" s="431">
        <v>0</v>
      </c>
      <c r="AM5" s="431">
        <v>0</v>
      </c>
      <c r="AN5" s="432">
        <v>0</v>
      </c>
      <c r="AP5" s="318" t="s">
        <v>137</v>
      </c>
      <c r="AQ5" s="319">
        <f>Samalltestshistdrawn</f>
        <v>9</v>
      </c>
      <c r="AS5" s="318" t="s">
        <v>137</v>
      </c>
      <c r="AT5" s="319">
        <f>SamRWChistdrawn</f>
        <v>0</v>
      </c>
    </row>
    <row r="6" spans="1:46" ht="14.95" customHeight="1" thickBot="1" x14ac:dyDescent="0.3">
      <c r="A6" s="464" t="s">
        <v>325</v>
      </c>
      <c r="B6" s="465" t="s">
        <v>615</v>
      </c>
      <c r="C6" s="465" t="s">
        <v>39</v>
      </c>
      <c r="D6" s="465" t="s">
        <v>616</v>
      </c>
      <c r="E6" s="453" t="s">
        <v>3</v>
      </c>
      <c r="F6" s="453">
        <v>13</v>
      </c>
      <c r="G6" s="453">
        <v>17</v>
      </c>
      <c r="H6" s="453" t="s">
        <v>106</v>
      </c>
      <c r="I6" s="453" t="s">
        <v>106</v>
      </c>
      <c r="J6" s="453">
        <v>1</v>
      </c>
      <c r="K6" s="453">
        <v>1</v>
      </c>
      <c r="L6" s="453">
        <v>0</v>
      </c>
      <c r="M6" s="453">
        <v>2</v>
      </c>
      <c r="N6" s="453">
        <v>0</v>
      </c>
      <c r="O6" s="453">
        <v>0</v>
      </c>
      <c r="P6" s="453" t="s">
        <v>106</v>
      </c>
      <c r="Q6" s="453" t="s">
        <v>106</v>
      </c>
      <c r="R6" s="453">
        <v>0</v>
      </c>
      <c r="S6" s="466">
        <v>14370</v>
      </c>
      <c r="T6" s="574" t="s">
        <v>805</v>
      </c>
      <c r="U6" s="467" t="s">
        <v>340</v>
      </c>
      <c r="V6" s="466" t="s">
        <v>793</v>
      </c>
      <c r="W6" s="466" t="s">
        <v>420</v>
      </c>
      <c r="X6" s="468" t="s">
        <v>711</v>
      </c>
      <c r="Y6" s="364">
        <v>1</v>
      </c>
      <c r="Z6" s="364">
        <v>0</v>
      </c>
      <c r="AA6" s="364">
        <v>0</v>
      </c>
      <c r="AB6" s="454">
        <v>1</v>
      </c>
      <c r="AC6" s="364">
        <v>0</v>
      </c>
      <c r="AD6" s="364">
        <v>0</v>
      </c>
      <c r="AE6" s="364">
        <v>0</v>
      </c>
      <c r="AF6" s="454">
        <v>0</v>
      </c>
      <c r="AG6" s="364">
        <v>0</v>
      </c>
      <c r="AH6" s="364">
        <v>0</v>
      </c>
      <c r="AI6" s="364">
        <v>0</v>
      </c>
      <c r="AJ6" s="454">
        <v>0</v>
      </c>
      <c r="AK6" s="364">
        <v>1</v>
      </c>
      <c r="AL6" s="364">
        <v>0</v>
      </c>
      <c r="AM6" s="364">
        <v>0</v>
      </c>
      <c r="AN6" s="454">
        <v>1</v>
      </c>
      <c r="AP6" s="318" t="s">
        <v>132</v>
      </c>
      <c r="AQ6" s="319">
        <f>Samalltestshistlost</f>
        <v>136</v>
      </c>
      <c r="AS6" s="318" t="s">
        <v>132</v>
      </c>
      <c r="AT6" s="319">
        <f>SamRWChistlost</f>
        <v>22</v>
      </c>
    </row>
    <row r="7" spans="1:46" ht="14.95" customHeight="1" thickBot="1" x14ac:dyDescent="0.35">
      <c r="A7" s="464" t="s">
        <v>358</v>
      </c>
      <c r="B7" s="573" t="s">
        <v>198</v>
      </c>
      <c r="C7" s="465" t="s">
        <v>192</v>
      </c>
      <c r="D7" s="465" t="s">
        <v>228</v>
      </c>
      <c r="E7" s="453" t="s">
        <v>1</v>
      </c>
      <c r="F7" s="453">
        <v>43</v>
      </c>
      <c r="G7" s="453">
        <v>10</v>
      </c>
      <c r="H7" s="453">
        <v>1</v>
      </c>
      <c r="I7" s="453">
        <v>0</v>
      </c>
      <c r="J7" s="453">
        <v>5</v>
      </c>
      <c r="K7" s="453">
        <v>3</v>
      </c>
      <c r="L7" s="453">
        <v>0</v>
      </c>
      <c r="M7" s="453">
        <v>4</v>
      </c>
      <c r="N7" s="453">
        <v>2</v>
      </c>
      <c r="O7" s="453">
        <v>0</v>
      </c>
      <c r="P7" s="453">
        <v>0</v>
      </c>
      <c r="Q7" s="453">
        <v>0</v>
      </c>
      <c r="R7" s="453">
        <v>1</v>
      </c>
      <c r="S7" s="466">
        <v>39291</v>
      </c>
      <c r="T7" s="469" t="s">
        <v>876</v>
      </c>
      <c r="U7" s="467" t="s">
        <v>269</v>
      </c>
      <c r="V7" s="466" t="s">
        <v>432</v>
      </c>
      <c r="W7" s="463" t="s">
        <v>265</v>
      </c>
      <c r="X7" s="468" t="s">
        <v>272</v>
      </c>
      <c r="Y7" s="364">
        <v>1</v>
      </c>
      <c r="Z7" s="364">
        <v>1</v>
      </c>
      <c r="AA7" s="364">
        <v>0</v>
      </c>
      <c r="AB7" s="454">
        <v>0</v>
      </c>
      <c r="AC7" s="364">
        <v>0</v>
      </c>
      <c r="AD7" s="364">
        <v>0</v>
      </c>
      <c r="AE7" s="364">
        <v>0</v>
      </c>
      <c r="AF7" s="454">
        <v>0</v>
      </c>
      <c r="AG7" s="364">
        <v>0</v>
      </c>
      <c r="AH7" s="364">
        <v>0</v>
      </c>
      <c r="AI7" s="364">
        <v>0</v>
      </c>
      <c r="AJ7" s="454">
        <v>0</v>
      </c>
      <c r="AK7" s="364">
        <v>1</v>
      </c>
      <c r="AL7" s="364">
        <v>1</v>
      </c>
      <c r="AM7" s="364">
        <v>0</v>
      </c>
      <c r="AN7" s="454">
        <v>0</v>
      </c>
      <c r="AP7" s="318" t="s">
        <v>138</v>
      </c>
      <c r="AQ7" s="319">
        <f>Samalltestshistptsscored</f>
        <v>5286</v>
      </c>
      <c r="AS7" s="318" t="s">
        <v>138</v>
      </c>
      <c r="AT7" s="319">
        <f>SamRWChistptsscored</f>
        <v>804</v>
      </c>
    </row>
    <row r="8" spans="1:46" ht="14.95" customHeight="1" thickBot="1" x14ac:dyDescent="0.3">
      <c r="A8" s="464" t="s">
        <v>614</v>
      </c>
      <c r="B8" s="465" t="s">
        <v>198</v>
      </c>
      <c r="C8" s="465" t="s">
        <v>37</v>
      </c>
      <c r="D8" s="465" t="s">
        <v>227</v>
      </c>
      <c r="E8" s="453" t="s">
        <v>3</v>
      </c>
      <c r="F8" s="453">
        <v>10</v>
      </c>
      <c r="G8" s="453">
        <v>19</v>
      </c>
      <c r="H8" s="453">
        <v>0</v>
      </c>
      <c r="I8" s="453">
        <v>0</v>
      </c>
      <c r="J8" s="453">
        <v>1</v>
      </c>
      <c r="K8" s="453">
        <v>1</v>
      </c>
      <c r="L8" s="453">
        <v>0</v>
      </c>
      <c r="M8" s="453">
        <v>1</v>
      </c>
      <c r="N8" s="453">
        <v>1</v>
      </c>
      <c r="O8" s="453">
        <v>0</v>
      </c>
      <c r="P8" s="453">
        <v>0</v>
      </c>
      <c r="Q8" s="453">
        <v>0</v>
      </c>
      <c r="R8" s="453">
        <v>1</v>
      </c>
      <c r="S8" s="463">
        <v>38358</v>
      </c>
      <c r="T8" s="842" t="s">
        <v>902</v>
      </c>
      <c r="U8" s="463" t="s">
        <v>280</v>
      </c>
      <c r="V8" s="463" t="s">
        <v>432</v>
      </c>
      <c r="W8" s="463" t="s">
        <v>402</v>
      </c>
      <c r="X8" s="468" t="s">
        <v>281</v>
      </c>
      <c r="Y8" s="364">
        <v>1</v>
      </c>
      <c r="Z8" s="364">
        <v>0</v>
      </c>
      <c r="AA8" s="364">
        <v>0</v>
      </c>
      <c r="AB8" s="454">
        <v>1</v>
      </c>
      <c r="AC8" s="364">
        <v>0</v>
      </c>
      <c r="AD8" s="364">
        <v>0</v>
      </c>
      <c r="AE8" s="364">
        <v>0</v>
      </c>
      <c r="AF8" s="454">
        <v>0</v>
      </c>
      <c r="AG8" s="364">
        <v>0</v>
      </c>
      <c r="AH8" s="364">
        <v>0</v>
      </c>
      <c r="AI8" s="364">
        <v>0</v>
      </c>
      <c r="AJ8" s="454">
        <v>0</v>
      </c>
      <c r="AK8" s="364">
        <v>1</v>
      </c>
      <c r="AL8" s="364">
        <v>0</v>
      </c>
      <c r="AM8" s="364">
        <v>0</v>
      </c>
      <c r="AN8" s="454">
        <v>1</v>
      </c>
      <c r="AP8" s="318" t="s">
        <v>139</v>
      </c>
      <c r="AQ8" s="319">
        <f>Samalltestshistptscon</f>
        <v>5737</v>
      </c>
      <c r="AS8" s="318" t="s">
        <v>139</v>
      </c>
      <c r="AT8" s="319">
        <f>SamRWChistptscon</f>
        <v>935</v>
      </c>
    </row>
    <row r="9" spans="1:46" ht="14.95" customHeight="1" thickBot="1" x14ac:dyDescent="0.3">
      <c r="A9" s="489" t="s">
        <v>612</v>
      </c>
      <c r="B9" s="490" t="s">
        <v>198</v>
      </c>
      <c r="C9" s="563" t="s">
        <v>36</v>
      </c>
      <c r="D9" s="490" t="s">
        <v>197</v>
      </c>
      <c r="E9" s="453" t="s">
        <v>3</v>
      </c>
      <c r="F9" s="453">
        <v>22</v>
      </c>
      <c r="G9" s="453">
        <v>28</v>
      </c>
      <c r="H9" s="453">
        <v>0</v>
      </c>
      <c r="I9" s="453">
        <v>1</v>
      </c>
      <c r="J9" s="453">
        <v>3</v>
      </c>
      <c r="K9" s="453">
        <v>2</v>
      </c>
      <c r="L9" s="453">
        <v>0</v>
      </c>
      <c r="M9" s="453">
        <v>1</v>
      </c>
      <c r="N9" s="453">
        <v>1</v>
      </c>
      <c r="O9" s="453">
        <v>1</v>
      </c>
      <c r="P9" s="453">
        <v>0</v>
      </c>
      <c r="Q9" s="453">
        <v>0</v>
      </c>
      <c r="R9" s="453">
        <v>3</v>
      </c>
      <c r="S9" s="463">
        <v>30500</v>
      </c>
      <c r="T9" s="493" t="s">
        <v>804</v>
      </c>
      <c r="U9" s="463" t="s">
        <v>433</v>
      </c>
      <c r="V9" s="463" t="s">
        <v>413</v>
      </c>
      <c r="W9" s="463" t="s">
        <v>271</v>
      </c>
      <c r="X9" s="468" t="s">
        <v>414</v>
      </c>
      <c r="Y9" s="364">
        <v>1</v>
      </c>
      <c r="Z9" s="364">
        <v>0</v>
      </c>
      <c r="AA9" s="364">
        <v>0</v>
      </c>
      <c r="AB9" s="454">
        <v>1</v>
      </c>
      <c r="AC9" s="364">
        <v>0</v>
      </c>
      <c r="AD9" s="364">
        <v>0</v>
      </c>
      <c r="AE9" s="364">
        <v>0</v>
      </c>
      <c r="AF9" s="454">
        <v>0</v>
      </c>
      <c r="AG9" s="364">
        <v>0</v>
      </c>
      <c r="AH9" s="364">
        <v>0</v>
      </c>
      <c r="AI9" s="364">
        <v>0</v>
      </c>
      <c r="AJ9" s="454">
        <v>0</v>
      </c>
      <c r="AK9" s="364">
        <v>1</v>
      </c>
      <c r="AL9" s="364">
        <v>0</v>
      </c>
      <c r="AM9" s="364">
        <v>0</v>
      </c>
      <c r="AN9" s="454">
        <v>1</v>
      </c>
      <c r="AP9" s="318" t="s">
        <v>129</v>
      </c>
      <c r="AQ9" s="319">
        <f>SamalltestshistTRIESSCORED</f>
        <v>568</v>
      </c>
      <c r="AS9" s="318" t="s">
        <v>129</v>
      </c>
      <c r="AT9" s="319">
        <f>SamRWChisttriesscored</f>
        <v>94</v>
      </c>
    </row>
    <row r="10" spans="1:46" ht="14.95" customHeight="1" thickBot="1" x14ac:dyDescent="0.35">
      <c r="A10" s="489" t="s">
        <v>329</v>
      </c>
      <c r="B10" s="490" t="s">
        <v>198</v>
      </c>
      <c r="C10" s="490" t="s">
        <v>30</v>
      </c>
      <c r="D10" s="490" t="s">
        <v>230</v>
      </c>
      <c r="E10" s="366" t="s">
        <v>3</v>
      </c>
      <c r="F10" s="453">
        <v>17</v>
      </c>
      <c r="G10" s="453">
        <v>18</v>
      </c>
      <c r="H10" s="453">
        <v>0</v>
      </c>
      <c r="I10" s="453">
        <v>1</v>
      </c>
      <c r="J10" s="453">
        <v>2</v>
      </c>
      <c r="K10" s="453">
        <v>2</v>
      </c>
      <c r="L10" s="453">
        <v>0</v>
      </c>
      <c r="M10" s="453">
        <v>1</v>
      </c>
      <c r="N10" s="453">
        <v>1</v>
      </c>
      <c r="O10" s="453">
        <v>0</v>
      </c>
      <c r="P10" s="453">
        <v>0</v>
      </c>
      <c r="Q10" s="453">
        <v>0</v>
      </c>
      <c r="R10" s="453">
        <v>2</v>
      </c>
      <c r="S10" s="364">
        <v>47891</v>
      </c>
      <c r="T10" s="845" t="s">
        <v>950</v>
      </c>
      <c r="U10" s="364" t="s">
        <v>346</v>
      </c>
      <c r="V10" s="364" t="s">
        <v>347</v>
      </c>
      <c r="W10" s="463" t="s">
        <v>402</v>
      </c>
      <c r="X10" s="463" t="s">
        <v>349</v>
      </c>
      <c r="Y10" s="364">
        <v>1</v>
      </c>
      <c r="Z10" s="364">
        <v>0</v>
      </c>
      <c r="AA10" s="364">
        <v>0</v>
      </c>
      <c r="AB10" s="454">
        <v>1</v>
      </c>
      <c r="AC10" s="364">
        <v>0</v>
      </c>
      <c r="AD10" s="364">
        <v>0</v>
      </c>
      <c r="AE10" s="364">
        <v>0</v>
      </c>
      <c r="AF10" s="454">
        <v>0</v>
      </c>
      <c r="AG10" s="364">
        <v>0</v>
      </c>
      <c r="AH10" s="364">
        <v>0</v>
      </c>
      <c r="AI10" s="364">
        <v>0</v>
      </c>
      <c r="AJ10" s="454">
        <v>0</v>
      </c>
      <c r="AK10" s="364">
        <v>1</v>
      </c>
      <c r="AL10" s="364">
        <v>0</v>
      </c>
      <c r="AM10" s="364">
        <v>0</v>
      </c>
      <c r="AN10" s="454">
        <v>1</v>
      </c>
    </row>
    <row r="11" spans="1:46" ht="14.95" customHeight="1" thickBot="1" x14ac:dyDescent="0.3">
      <c r="A11" s="266"/>
      <c r="B11" s="267"/>
      <c r="C11" s="1124" t="s">
        <v>166</v>
      </c>
      <c r="D11" s="1125"/>
      <c r="E11" s="1126"/>
      <c r="F11" s="334">
        <f>SUM(F3:F5)</f>
        <v>77</v>
      </c>
      <c r="G11" s="334">
        <f>SUM(G3:G5)</f>
        <v>64</v>
      </c>
      <c r="H11" s="334" t="s">
        <v>106</v>
      </c>
      <c r="I11" s="334" t="s">
        <v>106</v>
      </c>
      <c r="J11" s="334">
        <f t="shared" ref="J11:O11" si="0">SUM(J3:J5)</f>
        <v>10</v>
      </c>
      <c r="K11" s="334">
        <f t="shared" si="0"/>
        <v>9</v>
      </c>
      <c r="L11" s="334">
        <f t="shared" si="0"/>
        <v>0</v>
      </c>
      <c r="M11" s="334">
        <f t="shared" si="0"/>
        <v>3</v>
      </c>
      <c r="N11" s="334">
        <f t="shared" si="0"/>
        <v>1</v>
      </c>
      <c r="O11" s="334">
        <f t="shared" si="0"/>
        <v>0</v>
      </c>
      <c r="P11" s="334" t="s">
        <v>106</v>
      </c>
      <c r="Q11" s="334" t="s">
        <v>106</v>
      </c>
      <c r="R11" s="334">
        <f>SUM(R3:R5)</f>
        <v>5</v>
      </c>
      <c r="S11" s="268"/>
      <c r="T11" s="268"/>
      <c r="U11" s="268"/>
      <c r="V11" s="268"/>
      <c r="W11" s="269"/>
      <c r="X11" s="368" t="s">
        <v>166</v>
      </c>
      <c r="Y11" s="334">
        <f t="shared" ref="Y11:AN11" si="1">SUM(Y3:Y5)</f>
        <v>3</v>
      </c>
      <c r="Z11" s="334">
        <f t="shared" si="1"/>
        <v>2</v>
      </c>
      <c r="AA11" s="334">
        <f t="shared" si="1"/>
        <v>0</v>
      </c>
      <c r="AB11" s="334">
        <f t="shared" si="1"/>
        <v>1</v>
      </c>
      <c r="AC11" s="332">
        <f t="shared" si="1"/>
        <v>2</v>
      </c>
      <c r="AD11" s="332">
        <f t="shared" si="1"/>
        <v>1</v>
      </c>
      <c r="AE11" s="332">
        <f t="shared" si="1"/>
        <v>0</v>
      </c>
      <c r="AF11" s="332">
        <f t="shared" si="1"/>
        <v>1</v>
      </c>
      <c r="AG11" s="333">
        <f t="shared" si="1"/>
        <v>1</v>
      </c>
      <c r="AH11" s="333">
        <f t="shared" si="1"/>
        <v>1</v>
      </c>
      <c r="AI11" s="333">
        <f t="shared" si="1"/>
        <v>0</v>
      </c>
      <c r="AJ11" s="333">
        <f t="shared" si="1"/>
        <v>0</v>
      </c>
      <c r="AK11" s="334">
        <f t="shared" si="1"/>
        <v>0</v>
      </c>
      <c r="AL11" s="334">
        <f t="shared" si="1"/>
        <v>0</v>
      </c>
      <c r="AM11" s="334">
        <f t="shared" si="1"/>
        <v>0</v>
      </c>
      <c r="AN11" s="334">
        <f t="shared" si="1"/>
        <v>0</v>
      </c>
    </row>
    <row r="12" spans="1:46" ht="14.95" customHeight="1" thickBot="1" x14ac:dyDescent="0.3">
      <c r="A12" s="266"/>
      <c r="B12" s="267"/>
      <c r="C12" s="937" t="s">
        <v>620</v>
      </c>
      <c r="D12" s="978"/>
      <c r="E12" s="979"/>
      <c r="F12" s="476">
        <f>F6</f>
        <v>13</v>
      </c>
      <c r="G12" s="476">
        <f>G6</f>
        <v>17</v>
      </c>
      <c r="H12" s="476" t="s">
        <v>106</v>
      </c>
      <c r="I12" s="476" t="s">
        <v>106</v>
      </c>
      <c r="J12" s="476">
        <f t="shared" ref="J12:O12" si="2">J6</f>
        <v>1</v>
      </c>
      <c r="K12" s="476">
        <f t="shared" si="2"/>
        <v>1</v>
      </c>
      <c r="L12" s="476">
        <f t="shared" si="2"/>
        <v>0</v>
      </c>
      <c r="M12" s="476">
        <f t="shared" si="2"/>
        <v>2</v>
      </c>
      <c r="N12" s="476">
        <f t="shared" si="2"/>
        <v>0</v>
      </c>
      <c r="O12" s="476">
        <f t="shared" si="2"/>
        <v>0</v>
      </c>
      <c r="P12" s="476" t="s">
        <v>106</v>
      </c>
      <c r="Q12" s="476" t="s">
        <v>106</v>
      </c>
      <c r="R12" s="476">
        <f>R6</f>
        <v>0</v>
      </c>
      <c r="S12" s="488"/>
      <c r="T12" s="488"/>
      <c r="U12" s="488"/>
      <c r="V12" s="488"/>
      <c r="W12" s="474"/>
      <c r="X12" s="481" t="s">
        <v>619</v>
      </c>
      <c r="Y12" s="476">
        <f t="shared" ref="Y12:AN12" si="3">Y6</f>
        <v>1</v>
      </c>
      <c r="Z12" s="476">
        <f t="shared" si="3"/>
        <v>0</v>
      </c>
      <c r="AA12" s="476">
        <f t="shared" si="3"/>
        <v>0</v>
      </c>
      <c r="AB12" s="476">
        <f t="shared" si="3"/>
        <v>1</v>
      </c>
      <c r="AC12" s="477">
        <f t="shared" si="3"/>
        <v>0</v>
      </c>
      <c r="AD12" s="477">
        <f t="shared" si="3"/>
        <v>0</v>
      </c>
      <c r="AE12" s="477">
        <f t="shared" si="3"/>
        <v>0</v>
      </c>
      <c r="AF12" s="477">
        <f t="shared" si="3"/>
        <v>0</v>
      </c>
      <c r="AG12" s="478">
        <f t="shared" si="3"/>
        <v>0</v>
      </c>
      <c r="AH12" s="478">
        <f t="shared" si="3"/>
        <v>0</v>
      </c>
      <c r="AI12" s="478">
        <f t="shared" si="3"/>
        <v>0</v>
      </c>
      <c r="AJ12" s="478">
        <f t="shared" si="3"/>
        <v>0</v>
      </c>
      <c r="AK12" s="476">
        <f t="shared" si="3"/>
        <v>1</v>
      </c>
      <c r="AL12" s="476">
        <f t="shared" si="3"/>
        <v>0</v>
      </c>
      <c r="AM12" s="476">
        <f t="shared" si="3"/>
        <v>0</v>
      </c>
      <c r="AN12" s="476">
        <f t="shared" si="3"/>
        <v>1</v>
      </c>
    </row>
    <row r="13" spans="1:46" ht="14.95" customHeight="1" thickBot="1" x14ac:dyDescent="0.3">
      <c r="A13" s="266"/>
      <c r="B13" s="267"/>
      <c r="C13" s="940" t="s">
        <v>625</v>
      </c>
      <c r="D13" s="941"/>
      <c r="E13" s="942"/>
      <c r="F13" s="708">
        <f t="shared" ref="F13:R13" si="4">SUM(F7:F10)</f>
        <v>92</v>
      </c>
      <c r="G13" s="708">
        <f t="shared" si="4"/>
        <v>75</v>
      </c>
      <c r="H13" s="708">
        <f t="shared" si="4"/>
        <v>1</v>
      </c>
      <c r="I13" s="708">
        <f t="shared" si="4"/>
        <v>2</v>
      </c>
      <c r="J13" s="708">
        <f t="shared" si="4"/>
        <v>11</v>
      </c>
      <c r="K13" s="708">
        <f t="shared" si="4"/>
        <v>8</v>
      </c>
      <c r="L13" s="708">
        <f t="shared" si="4"/>
        <v>0</v>
      </c>
      <c r="M13" s="708">
        <f t="shared" si="4"/>
        <v>7</v>
      </c>
      <c r="N13" s="708">
        <f t="shared" si="4"/>
        <v>5</v>
      </c>
      <c r="O13" s="708">
        <f t="shared" si="4"/>
        <v>1</v>
      </c>
      <c r="P13" s="708">
        <f t="shared" si="4"/>
        <v>0</v>
      </c>
      <c r="Q13" s="708">
        <f t="shared" si="4"/>
        <v>0</v>
      </c>
      <c r="R13" s="708">
        <f t="shared" si="4"/>
        <v>7</v>
      </c>
      <c r="S13" s="709"/>
      <c r="T13" s="709"/>
      <c r="U13" s="709"/>
      <c r="V13" s="709"/>
      <c r="W13" s="710"/>
      <c r="X13" s="711" t="s">
        <v>625</v>
      </c>
      <c r="Y13" s="712">
        <f t="shared" ref="Y13:AN13" si="5">SUM(Y7:Y10)</f>
        <v>4</v>
      </c>
      <c r="Z13" s="708">
        <f t="shared" si="5"/>
        <v>1</v>
      </c>
      <c r="AA13" s="708">
        <f t="shared" si="5"/>
        <v>0</v>
      </c>
      <c r="AB13" s="708">
        <f t="shared" si="5"/>
        <v>3</v>
      </c>
      <c r="AC13" s="713">
        <f t="shared" si="5"/>
        <v>0</v>
      </c>
      <c r="AD13" s="713">
        <f t="shared" si="5"/>
        <v>0</v>
      </c>
      <c r="AE13" s="713">
        <f t="shared" si="5"/>
        <v>0</v>
      </c>
      <c r="AF13" s="713">
        <f t="shared" si="5"/>
        <v>0</v>
      </c>
      <c r="AG13" s="714">
        <f t="shared" si="5"/>
        <v>0</v>
      </c>
      <c r="AH13" s="714">
        <f t="shared" si="5"/>
        <v>0</v>
      </c>
      <c r="AI13" s="714">
        <f t="shared" si="5"/>
        <v>0</v>
      </c>
      <c r="AJ13" s="714">
        <f t="shared" si="5"/>
        <v>0</v>
      </c>
      <c r="AK13" s="708">
        <f t="shared" si="5"/>
        <v>4</v>
      </c>
      <c r="AL13" s="708">
        <f t="shared" si="5"/>
        <v>1</v>
      </c>
      <c r="AM13" s="708">
        <f t="shared" si="5"/>
        <v>0</v>
      </c>
      <c r="AN13" s="708">
        <f t="shared" si="5"/>
        <v>3</v>
      </c>
    </row>
    <row r="14" spans="1:46" ht="14.95" customHeight="1" thickBot="1" x14ac:dyDescent="0.3">
      <c r="A14" s="266"/>
      <c r="B14" s="267"/>
      <c r="C14" s="940" t="s">
        <v>626</v>
      </c>
      <c r="D14" s="943"/>
      <c r="E14" s="944"/>
      <c r="F14" s="708">
        <v>0</v>
      </c>
      <c r="G14" s="708">
        <v>0</v>
      </c>
      <c r="H14" s="708">
        <v>0</v>
      </c>
      <c r="I14" s="708">
        <v>0</v>
      </c>
      <c r="J14" s="708">
        <v>0</v>
      </c>
      <c r="K14" s="708">
        <v>0</v>
      </c>
      <c r="L14" s="708">
        <v>0</v>
      </c>
      <c r="M14" s="708">
        <v>0</v>
      </c>
      <c r="N14" s="708">
        <v>0</v>
      </c>
      <c r="O14" s="708">
        <v>0</v>
      </c>
      <c r="P14" s="708">
        <v>0</v>
      </c>
      <c r="Q14" s="708">
        <v>0</v>
      </c>
      <c r="R14" s="708">
        <v>0</v>
      </c>
      <c r="S14" s="709"/>
      <c r="T14" s="709"/>
      <c r="U14" s="709"/>
      <c r="V14" s="709"/>
      <c r="W14" s="710"/>
      <c r="X14" s="711" t="s">
        <v>626</v>
      </c>
      <c r="Y14" s="712">
        <v>0</v>
      </c>
      <c r="Z14" s="708">
        <v>0</v>
      </c>
      <c r="AA14" s="708">
        <v>0</v>
      </c>
      <c r="AB14" s="708">
        <v>0</v>
      </c>
      <c r="AC14" s="713">
        <v>0</v>
      </c>
      <c r="AD14" s="713">
        <v>0</v>
      </c>
      <c r="AE14" s="713">
        <v>0</v>
      </c>
      <c r="AF14" s="713">
        <v>0</v>
      </c>
      <c r="AG14" s="714">
        <v>0</v>
      </c>
      <c r="AH14" s="714">
        <v>0</v>
      </c>
      <c r="AI14" s="714">
        <v>0</v>
      </c>
      <c r="AJ14" s="714">
        <v>0</v>
      </c>
      <c r="AK14" s="708">
        <v>0</v>
      </c>
      <c r="AL14" s="708">
        <v>0</v>
      </c>
      <c r="AM14" s="708">
        <v>0</v>
      </c>
      <c r="AN14" s="708">
        <v>0</v>
      </c>
    </row>
    <row r="15" spans="1:46" ht="14.95" customHeight="1" thickBot="1" x14ac:dyDescent="0.3">
      <c r="A15" s="266"/>
      <c r="B15" s="267"/>
      <c r="C15" s="940" t="s">
        <v>627</v>
      </c>
      <c r="D15" s="943"/>
      <c r="E15" s="944"/>
      <c r="F15" s="708">
        <f>SUM(F13+F14)</f>
        <v>92</v>
      </c>
      <c r="G15" s="708">
        <f t="shared" ref="G15:R15" si="6">SUM(G13+G14)</f>
        <v>75</v>
      </c>
      <c r="H15" s="708">
        <f t="shared" si="6"/>
        <v>1</v>
      </c>
      <c r="I15" s="708">
        <f t="shared" si="6"/>
        <v>2</v>
      </c>
      <c r="J15" s="708">
        <f t="shared" si="6"/>
        <v>11</v>
      </c>
      <c r="K15" s="708">
        <f t="shared" si="6"/>
        <v>8</v>
      </c>
      <c r="L15" s="708">
        <f t="shared" si="6"/>
        <v>0</v>
      </c>
      <c r="M15" s="708">
        <f t="shared" si="6"/>
        <v>7</v>
      </c>
      <c r="N15" s="708">
        <f t="shared" si="6"/>
        <v>5</v>
      </c>
      <c r="O15" s="708">
        <f t="shared" si="6"/>
        <v>1</v>
      </c>
      <c r="P15" s="708">
        <f t="shared" si="6"/>
        <v>0</v>
      </c>
      <c r="Q15" s="708">
        <f t="shared" si="6"/>
        <v>0</v>
      </c>
      <c r="R15" s="708">
        <f t="shared" si="6"/>
        <v>7</v>
      </c>
      <c r="S15" s="709"/>
      <c r="T15" s="709"/>
      <c r="U15" s="709"/>
      <c r="V15" s="709"/>
      <c r="W15" s="710"/>
      <c r="X15" s="711" t="s">
        <v>627</v>
      </c>
      <c r="Y15" s="712">
        <f t="shared" ref="Y15:AN15" si="7">SUM(Y13+Y14)</f>
        <v>4</v>
      </c>
      <c r="Z15" s="708">
        <f t="shared" si="7"/>
        <v>1</v>
      </c>
      <c r="AA15" s="708">
        <f t="shared" si="7"/>
        <v>0</v>
      </c>
      <c r="AB15" s="708">
        <f t="shared" si="7"/>
        <v>3</v>
      </c>
      <c r="AC15" s="713">
        <f t="shared" si="7"/>
        <v>0</v>
      </c>
      <c r="AD15" s="713">
        <f t="shared" si="7"/>
        <v>0</v>
      </c>
      <c r="AE15" s="713">
        <f t="shared" si="7"/>
        <v>0</v>
      </c>
      <c r="AF15" s="713">
        <f t="shared" si="7"/>
        <v>0</v>
      </c>
      <c r="AG15" s="714">
        <f t="shared" si="7"/>
        <v>0</v>
      </c>
      <c r="AH15" s="714">
        <f t="shared" si="7"/>
        <v>0</v>
      </c>
      <c r="AI15" s="714">
        <f t="shared" si="7"/>
        <v>0</v>
      </c>
      <c r="AJ15" s="714">
        <f t="shared" si="7"/>
        <v>0</v>
      </c>
      <c r="AK15" s="708">
        <f t="shared" si="7"/>
        <v>4</v>
      </c>
      <c r="AL15" s="708">
        <f t="shared" si="7"/>
        <v>1</v>
      </c>
      <c r="AM15" s="708">
        <f t="shared" si="7"/>
        <v>0</v>
      </c>
      <c r="AN15" s="708">
        <f t="shared" si="7"/>
        <v>3</v>
      </c>
    </row>
    <row r="16" spans="1:46" ht="14.95" customHeight="1" thickBot="1" x14ac:dyDescent="0.3">
      <c r="A16" s="266"/>
      <c r="B16" s="267"/>
      <c r="C16" s="946" t="s">
        <v>107</v>
      </c>
      <c r="D16" s="947"/>
      <c r="E16" s="948"/>
      <c r="F16" s="343">
        <f t="shared" ref="F16:R16" si="8">SUM(F3:F10)</f>
        <v>182</v>
      </c>
      <c r="G16" s="343">
        <f t="shared" si="8"/>
        <v>156</v>
      </c>
      <c r="H16" s="343">
        <f t="shared" si="8"/>
        <v>1</v>
      </c>
      <c r="I16" s="343">
        <f t="shared" si="8"/>
        <v>2</v>
      </c>
      <c r="J16" s="343">
        <f t="shared" si="8"/>
        <v>22</v>
      </c>
      <c r="K16" s="343">
        <f t="shared" si="8"/>
        <v>18</v>
      </c>
      <c r="L16" s="343">
        <f t="shared" si="8"/>
        <v>0</v>
      </c>
      <c r="M16" s="343">
        <f t="shared" si="8"/>
        <v>12</v>
      </c>
      <c r="N16" s="343">
        <f t="shared" si="8"/>
        <v>6</v>
      </c>
      <c r="O16" s="343">
        <f t="shared" si="8"/>
        <v>1</v>
      </c>
      <c r="P16" s="343">
        <f t="shared" si="8"/>
        <v>0</v>
      </c>
      <c r="Q16" s="343">
        <f t="shared" si="8"/>
        <v>0</v>
      </c>
      <c r="R16" s="343">
        <f t="shared" si="8"/>
        <v>12</v>
      </c>
      <c r="S16" s="340"/>
      <c r="T16" s="340"/>
      <c r="U16" s="340"/>
      <c r="V16" s="340"/>
      <c r="W16" s="13"/>
      <c r="X16" s="364" t="s">
        <v>107</v>
      </c>
      <c r="Y16" s="343">
        <f t="shared" ref="Y16:AN16" si="9">SUM(Y3:Y10)</f>
        <v>8</v>
      </c>
      <c r="Z16" s="343">
        <f t="shared" si="9"/>
        <v>3</v>
      </c>
      <c r="AA16" s="343">
        <f t="shared" si="9"/>
        <v>0</v>
      </c>
      <c r="AB16" s="343">
        <f t="shared" si="9"/>
        <v>5</v>
      </c>
      <c r="AC16" s="341">
        <f t="shared" si="9"/>
        <v>2</v>
      </c>
      <c r="AD16" s="341">
        <f t="shared" si="9"/>
        <v>1</v>
      </c>
      <c r="AE16" s="341">
        <f t="shared" si="9"/>
        <v>0</v>
      </c>
      <c r="AF16" s="341">
        <f t="shared" si="9"/>
        <v>1</v>
      </c>
      <c r="AG16" s="342">
        <f t="shared" si="9"/>
        <v>1</v>
      </c>
      <c r="AH16" s="342">
        <f t="shared" si="9"/>
        <v>1</v>
      </c>
      <c r="AI16" s="342">
        <f t="shared" si="9"/>
        <v>0</v>
      </c>
      <c r="AJ16" s="342">
        <f t="shared" si="9"/>
        <v>0</v>
      </c>
      <c r="AK16" s="343">
        <f t="shared" si="9"/>
        <v>5</v>
      </c>
      <c r="AL16" s="343">
        <f t="shared" si="9"/>
        <v>1</v>
      </c>
      <c r="AM16" s="343">
        <f t="shared" si="9"/>
        <v>0</v>
      </c>
      <c r="AN16" s="343">
        <f t="shared" si="9"/>
        <v>4</v>
      </c>
    </row>
    <row r="17" spans="1:40" ht="14.95" customHeight="1" x14ac:dyDescent="0.25">
      <c r="A17" s="965"/>
      <c r="B17" s="966"/>
      <c r="C17" s="966"/>
      <c r="D17" s="966"/>
      <c r="E17" s="966"/>
      <c r="F17" s="966"/>
      <c r="G17" s="966"/>
      <c r="H17" s="966"/>
      <c r="I17" s="966"/>
      <c r="J17" s="966"/>
      <c r="K17" s="966"/>
      <c r="L17" s="966"/>
      <c r="M17" s="966"/>
      <c r="N17" s="966"/>
      <c r="O17" s="966"/>
      <c r="P17" s="966"/>
      <c r="Q17" s="966"/>
      <c r="R17" s="966"/>
      <c r="S17" s="966"/>
      <c r="T17" s="966"/>
      <c r="U17" s="966"/>
      <c r="V17" s="966"/>
      <c r="W17" s="966"/>
      <c r="X17" s="966"/>
      <c r="Y17" s="966"/>
      <c r="Z17" s="966"/>
      <c r="AA17" s="966"/>
      <c r="AB17" s="966"/>
      <c r="AC17" s="966"/>
      <c r="AD17" s="966"/>
      <c r="AE17" s="966"/>
      <c r="AF17" s="966"/>
      <c r="AG17" s="966"/>
      <c r="AH17" s="966"/>
      <c r="AI17" s="966"/>
      <c r="AJ17" s="966"/>
      <c r="AK17" s="966"/>
      <c r="AL17" s="966"/>
      <c r="AM17" s="966"/>
      <c r="AN17" s="966"/>
    </row>
    <row r="18" spans="1:40" ht="14.95" customHeight="1" x14ac:dyDescent="0.25">
      <c r="A18" s="496" t="s">
        <v>618</v>
      </c>
      <c r="F18" s="14"/>
      <c r="G18" s="14"/>
      <c r="H18" s="13"/>
      <c r="I18" s="14"/>
      <c r="J18" s="14"/>
      <c r="K18" s="14"/>
      <c r="L18" s="14"/>
      <c r="M18" s="14"/>
      <c r="N18" s="14"/>
      <c r="O18" s="14"/>
      <c r="P18" s="14"/>
      <c r="Q18" s="14"/>
      <c r="R18" s="14"/>
    </row>
    <row r="19" spans="1:40" ht="14.95" customHeight="1" x14ac:dyDescent="0.25">
      <c r="A19" s="496" t="s">
        <v>606</v>
      </c>
      <c r="F19" s="14"/>
      <c r="G19" s="14"/>
      <c r="H19" s="13"/>
      <c r="I19" s="14"/>
      <c r="J19" s="14"/>
      <c r="K19" s="14"/>
      <c r="L19" s="14"/>
      <c r="M19" s="14"/>
      <c r="N19" s="14"/>
      <c r="O19" s="14"/>
      <c r="P19" s="14"/>
      <c r="Q19" s="14"/>
      <c r="R19" s="14"/>
    </row>
    <row r="20" spans="1:40" ht="14.95" customHeight="1" x14ac:dyDescent="0.25">
      <c r="A20" s="496" t="s">
        <v>621</v>
      </c>
      <c r="F20" s="14"/>
      <c r="G20" s="14"/>
      <c r="H20" s="13"/>
      <c r="I20" s="14"/>
      <c r="J20" s="14"/>
      <c r="K20" s="14"/>
      <c r="L20" s="14"/>
      <c r="M20" s="14"/>
      <c r="N20" s="14"/>
      <c r="O20" s="14"/>
      <c r="P20" s="14"/>
      <c r="Q20" s="14"/>
      <c r="R20" s="14"/>
    </row>
    <row r="21" spans="1:40" ht="14.95" customHeight="1" x14ac:dyDescent="0.25">
      <c r="A21" s="328" t="s">
        <v>609</v>
      </c>
      <c r="F21" s="14"/>
      <c r="G21" s="14"/>
      <c r="H21" s="13"/>
      <c r="I21" s="14"/>
      <c r="J21" s="14"/>
      <c r="K21" s="14"/>
      <c r="L21" s="14"/>
      <c r="M21" s="14"/>
      <c r="N21" s="14"/>
      <c r="O21" s="14"/>
      <c r="P21" s="14"/>
      <c r="Q21" s="14"/>
      <c r="R21" s="14"/>
    </row>
    <row r="22" spans="1:40" ht="14.95" customHeight="1" x14ac:dyDescent="0.25">
      <c r="A22" s="496" t="s">
        <v>766</v>
      </c>
      <c r="F22" s="14"/>
      <c r="G22" s="14"/>
      <c r="H22" s="13"/>
      <c r="I22" s="14"/>
      <c r="J22" s="14"/>
      <c r="K22" s="14"/>
      <c r="L22" s="14"/>
      <c r="M22" s="14"/>
      <c r="N22" s="14"/>
      <c r="O22" s="14"/>
      <c r="P22" s="14"/>
      <c r="Q22" s="14"/>
      <c r="R22" s="14"/>
    </row>
    <row r="23" spans="1:40" ht="14.95" customHeight="1" x14ac:dyDescent="0.25">
      <c r="A23" s="575"/>
      <c r="B23" t="s">
        <v>44</v>
      </c>
    </row>
    <row r="24" spans="1:40" ht="14.95" customHeight="1" x14ac:dyDescent="0.25">
      <c r="A24" s="576"/>
      <c r="B24" t="s">
        <v>42</v>
      </c>
    </row>
    <row r="25" spans="1:40" ht="14.95" customHeight="1" x14ac:dyDescent="0.25">
      <c r="A25" s="577"/>
      <c r="B25" t="s">
        <v>43</v>
      </c>
    </row>
    <row r="26" spans="1:40" ht="14.95" customHeight="1" x14ac:dyDescent="0.25">
      <c r="A26" s="15" t="s">
        <v>28</v>
      </c>
    </row>
  </sheetData>
  <mergeCells count="17">
    <mergeCell ref="C15:E15"/>
    <mergeCell ref="AK1:AN1"/>
    <mergeCell ref="A17:AN17"/>
    <mergeCell ref="C11:E11"/>
    <mergeCell ref="C16:E16"/>
    <mergeCell ref="P1:R1"/>
    <mergeCell ref="A1:C1"/>
    <mergeCell ref="E1:G1"/>
    <mergeCell ref="H1:I1"/>
    <mergeCell ref="J1:M1"/>
    <mergeCell ref="N1:O1"/>
    <mergeCell ref="Y1:AB1"/>
    <mergeCell ref="AC1:AF1"/>
    <mergeCell ref="AG1:AJ1"/>
    <mergeCell ref="C12:E12"/>
    <mergeCell ref="C13:E13"/>
    <mergeCell ref="C14:E14"/>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T32"/>
  <sheetViews>
    <sheetView tabSelected="1" workbookViewId="0">
      <selection activeCell="U21" sqref="U21"/>
    </sheetView>
  </sheetViews>
  <sheetFormatPr defaultRowHeight="14.95" customHeight="1" x14ac:dyDescent="0.25"/>
  <cols>
    <col min="1" max="1" width="7.5" customWidth="1"/>
    <col min="2" max="2" width="5.125" bestFit="1" customWidth="1"/>
    <col min="3" max="3" width="11.5" customWidth="1"/>
    <col min="4" max="4" width="4.5" bestFit="1" customWidth="1"/>
    <col min="5" max="5" width="3.625" customWidth="1"/>
    <col min="6" max="7" width="4" bestFit="1" customWidth="1"/>
    <col min="8" max="18" width="3.625" customWidth="1"/>
    <col min="19" max="20" width="6.375" customWidth="1"/>
    <col min="21" max="21" width="21.125" bestFit="1" customWidth="1"/>
    <col min="22" max="23" width="21.5" bestFit="1" customWidth="1"/>
    <col min="24" max="24" width="23.625" bestFit="1" customWidth="1"/>
    <col min="25" max="40" width="3.625" customWidth="1"/>
    <col min="42" max="42" width="13.125" bestFit="1" customWidth="1"/>
    <col min="45" max="45" width="13.125" bestFit="1" customWidth="1"/>
  </cols>
  <sheetData>
    <row r="1" spans="1:46" ht="14.95" customHeight="1" thickBot="1" x14ac:dyDescent="0.3">
      <c r="A1" s="1024" t="s">
        <v>215</v>
      </c>
      <c r="B1" s="1025"/>
      <c r="C1" s="1025"/>
      <c r="D1" s="146"/>
      <c r="E1" s="1026" t="s">
        <v>24</v>
      </c>
      <c r="F1" s="1027"/>
      <c r="G1" s="1028"/>
      <c r="H1" s="1026" t="s">
        <v>23</v>
      </c>
      <c r="I1" s="1028"/>
      <c r="J1" s="1029" t="s">
        <v>6</v>
      </c>
      <c r="K1" s="1030"/>
      <c r="L1" s="1030"/>
      <c r="M1" s="1031"/>
      <c r="N1" s="1029" t="s">
        <v>7</v>
      </c>
      <c r="O1" s="1031"/>
      <c r="P1" s="1029" t="s">
        <v>25</v>
      </c>
      <c r="Q1" s="1030"/>
      <c r="R1" s="1031"/>
      <c r="S1" s="355" t="s">
        <v>8</v>
      </c>
      <c r="T1" s="355" t="s">
        <v>9</v>
      </c>
      <c r="U1" s="107" t="s">
        <v>10</v>
      </c>
      <c r="V1" s="106" t="s">
        <v>11</v>
      </c>
      <c r="W1" s="108" t="s">
        <v>26</v>
      </c>
      <c r="X1" s="511" t="s">
        <v>27</v>
      </c>
      <c r="Y1" s="1032" t="s">
        <v>20</v>
      </c>
      <c r="Z1" s="963"/>
      <c r="AA1" s="963"/>
      <c r="AB1" s="964"/>
      <c r="AC1" s="1032" t="s">
        <v>61</v>
      </c>
      <c r="AD1" s="963"/>
      <c r="AE1" s="963"/>
      <c r="AF1" s="964"/>
      <c r="AG1" s="1032" t="s">
        <v>62</v>
      </c>
      <c r="AH1" s="963"/>
      <c r="AI1" s="963"/>
      <c r="AJ1" s="964"/>
      <c r="AK1" s="1032" t="s">
        <v>63</v>
      </c>
      <c r="AL1" s="963"/>
      <c r="AM1" s="963"/>
      <c r="AN1" s="964"/>
      <c r="AP1" s="336" t="s">
        <v>157</v>
      </c>
      <c r="AQ1" s="322"/>
      <c r="AR1" s="322"/>
      <c r="AS1" s="336" t="s">
        <v>157</v>
      </c>
    </row>
    <row r="2" spans="1:46" ht="14.95" customHeight="1" thickBot="1" x14ac:dyDescent="0.3">
      <c r="A2" s="109" t="s">
        <v>19</v>
      </c>
      <c r="B2" s="110" t="s">
        <v>18</v>
      </c>
      <c r="C2" s="111" t="s">
        <v>17</v>
      </c>
      <c r="D2" s="112" t="s">
        <v>41</v>
      </c>
      <c r="E2" s="112" t="s">
        <v>16</v>
      </c>
      <c r="F2" s="112" t="s">
        <v>4</v>
      </c>
      <c r="G2" s="112" t="s">
        <v>5</v>
      </c>
      <c r="H2" s="113" t="s">
        <v>12</v>
      </c>
      <c r="I2" s="113" t="s">
        <v>3</v>
      </c>
      <c r="J2" s="113" t="s">
        <v>12</v>
      </c>
      <c r="K2" s="113" t="s">
        <v>13</v>
      </c>
      <c r="L2" s="113" t="s">
        <v>2</v>
      </c>
      <c r="M2" s="113" t="s">
        <v>14</v>
      </c>
      <c r="N2" s="113" t="s">
        <v>15</v>
      </c>
      <c r="O2" s="113" t="s">
        <v>16</v>
      </c>
      <c r="P2" s="113" t="s">
        <v>21</v>
      </c>
      <c r="Q2" s="113" t="s">
        <v>22</v>
      </c>
      <c r="R2" s="113" t="s">
        <v>12</v>
      </c>
      <c r="S2" s="114"/>
      <c r="T2" s="115"/>
      <c r="U2" s="116"/>
      <c r="V2" s="114"/>
      <c r="W2" s="117"/>
      <c r="X2" s="118"/>
      <c r="Y2" s="296" t="s">
        <v>0</v>
      </c>
      <c r="Z2" s="296" t="s">
        <v>1</v>
      </c>
      <c r="AA2" s="296" t="s">
        <v>2</v>
      </c>
      <c r="AB2" s="296" t="s">
        <v>3</v>
      </c>
      <c r="AC2" s="296" t="s">
        <v>0</v>
      </c>
      <c r="AD2" s="296" t="s">
        <v>1</v>
      </c>
      <c r="AE2" s="296" t="s">
        <v>2</v>
      </c>
      <c r="AF2" s="296" t="s">
        <v>3</v>
      </c>
      <c r="AG2" s="296" t="s">
        <v>0</v>
      </c>
      <c r="AH2" s="296" t="s">
        <v>1</v>
      </c>
      <c r="AI2" s="296" t="s">
        <v>2</v>
      </c>
      <c r="AJ2" s="296" t="s">
        <v>3</v>
      </c>
      <c r="AK2" s="296" t="s">
        <v>0</v>
      </c>
      <c r="AL2" s="296" t="s">
        <v>1</v>
      </c>
      <c r="AM2" s="296" t="s">
        <v>2</v>
      </c>
      <c r="AN2" s="296" t="s">
        <v>3</v>
      </c>
      <c r="AP2" s="305" t="s">
        <v>107</v>
      </c>
      <c r="AQ2" s="189"/>
      <c r="AS2" s="336" t="s">
        <v>128</v>
      </c>
      <c r="AT2" s="189"/>
    </row>
    <row r="3" spans="1:46" ht="14.95" customHeight="1" thickBot="1" x14ac:dyDescent="0.3">
      <c r="A3" s="396" t="s">
        <v>317</v>
      </c>
      <c r="B3" s="398" t="s">
        <v>46</v>
      </c>
      <c r="C3" s="398" t="s">
        <v>30</v>
      </c>
      <c r="D3" s="397" t="s">
        <v>115</v>
      </c>
      <c r="E3" s="399" t="s">
        <v>1</v>
      </c>
      <c r="F3" s="399">
        <v>29</v>
      </c>
      <c r="G3" s="399">
        <v>23</v>
      </c>
      <c r="H3" s="399">
        <v>1</v>
      </c>
      <c r="I3" s="399">
        <v>0</v>
      </c>
      <c r="J3" s="399">
        <v>4</v>
      </c>
      <c r="K3" s="399">
        <v>3</v>
      </c>
      <c r="L3" s="399">
        <v>0</v>
      </c>
      <c r="M3" s="399">
        <v>1</v>
      </c>
      <c r="N3" s="399">
        <v>0</v>
      </c>
      <c r="O3" s="399">
        <v>0</v>
      </c>
      <c r="P3" s="399">
        <v>0</v>
      </c>
      <c r="Q3" s="399">
        <v>1</v>
      </c>
      <c r="R3" s="399">
        <v>3</v>
      </c>
      <c r="S3" s="406">
        <v>81545</v>
      </c>
      <c r="T3" s="419" t="s">
        <v>273</v>
      </c>
      <c r="U3" s="408" t="s">
        <v>269</v>
      </c>
      <c r="V3" s="406" t="s">
        <v>270</v>
      </c>
      <c r="W3" s="401" t="s">
        <v>271</v>
      </c>
      <c r="X3" s="409" t="s">
        <v>272</v>
      </c>
      <c r="Y3" s="404">
        <v>1</v>
      </c>
      <c r="Z3" s="404">
        <v>1</v>
      </c>
      <c r="AA3" s="404">
        <v>0</v>
      </c>
      <c r="AB3" s="405">
        <v>0</v>
      </c>
      <c r="AC3" s="404">
        <v>0</v>
      </c>
      <c r="AD3" s="404">
        <v>0</v>
      </c>
      <c r="AE3" s="404">
        <v>0</v>
      </c>
      <c r="AF3" s="405">
        <v>0</v>
      </c>
      <c r="AG3" s="418">
        <v>1</v>
      </c>
      <c r="AH3" s="418">
        <v>1</v>
      </c>
      <c r="AI3" s="418">
        <v>0</v>
      </c>
      <c r="AJ3" s="418">
        <v>0</v>
      </c>
      <c r="AK3" s="418">
        <v>0</v>
      </c>
      <c r="AL3" s="418">
        <v>0</v>
      </c>
      <c r="AM3" s="418">
        <v>0</v>
      </c>
      <c r="AN3" s="418">
        <v>0</v>
      </c>
      <c r="AP3" s="316" t="s">
        <v>130</v>
      </c>
      <c r="AQ3" s="317">
        <f>Scotlandalltestshistplayed</f>
        <v>743</v>
      </c>
      <c r="AS3" s="316" t="s">
        <v>130</v>
      </c>
      <c r="AT3" s="317">
        <f>ScotlandRWChistplayed</f>
        <v>46</v>
      </c>
    </row>
    <row r="4" spans="1:46" ht="14.95" customHeight="1" thickBot="1" x14ac:dyDescent="0.35">
      <c r="A4" s="423" t="s">
        <v>356</v>
      </c>
      <c r="B4" s="424" t="s">
        <v>46</v>
      </c>
      <c r="C4" s="424" t="s">
        <v>32</v>
      </c>
      <c r="D4" s="436" t="s">
        <v>116</v>
      </c>
      <c r="E4" s="425" t="s">
        <v>1</v>
      </c>
      <c r="F4" s="425">
        <v>35</v>
      </c>
      <c r="G4" s="425">
        <v>7</v>
      </c>
      <c r="H4" s="425">
        <v>1</v>
      </c>
      <c r="I4" s="425">
        <v>0</v>
      </c>
      <c r="J4" s="425">
        <v>5</v>
      </c>
      <c r="K4" s="425">
        <v>2</v>
      </c>
      <c r="L4" s="425">
        <v>0</v>
      </c>
      <c r="M4" s="425">
        <v>2</v>
      </c>
      <c r="N4" s="425">
        <v>1</v>
      </c>
      <c r="O4" s="425">
        <v>0</v>
      </c>
      <c r="P4" s="425">
        <v>0</v>
      </c>
      <c r="Q4" s="425">
        <v>0</v>
      </c>
      <c r="R4" s="425">
        <v>1</v>
      </c>
      <c r="S4" s="426">
        <v>67144</v>
      </c>
      <c r="T4" s="438" t="s">
        <v>345</v>
      </c>
      <c r="U4" s="428" t="s">
        <v>346</v>
      </c>
      <c r="V4" s="426" t="s">
        <v>347</v>
      </c>
      <c r="W4" s="429" t="s">
        <v>348</v>
      </c>
      <c r="X4" s="430" t="s">
        <v>349</v>
      </c>
      <c r="Y4" s="431">
        <v>1</v>
      </c>
      <c r="Z4" s="431">
        <v>1</v>
      </c>
      <c r="AA4" s="431">
        <v>0</v>
      </c>
      <c r="AB4" s="432">
        <v>0</v>
      </c>
      <c r="AC4" s="431">
        <v>1</v>
      </c>
      <c r="AD4" s="431">
        <v>1</v>
      </c>
      <c r="AE4" s="431">
        <v>0</v>
      </c>
      <c r="AF4" s="431">
        <v>0</v>
      </c>
      <c r="AG4" s="431">
        <v>0</v>
      </c>
      <c r="AH4" s="431">
        <v>0</v>
      </c>
      <c r="AI4" s="431">
        <v>0</v>
      </c>
      <c r="AJ4" s="432">
        <v>0</v>
      </c>
      <c r="AK4" s="431">
        <v>0</v>
      </c>
      <c r="AL4" s="431">
        <v>0</v>
      </c>
      <c r="AM4" s="431">
        <v>0</v>
      </c>
      <c r="AN4" s="431">
        <v>0</v>
      </c>
      <c r="AP4" s="318" t="s">
        <v>131</v>
      </c>
      <c r="AQ4" s="319">
        <f>Scotlandalltestshistwon</f>
        <v>326</v>
      </c>
      <c r="AS4" s="318" t="s">
        <v>131</v>
      </c>
      <c r="AT4" s="319">
        <f>ScotlandRWChistwon</f>
        <v>26</v>
      </c>
    </row>
    <row r="5" spans="1:46" ht="14.95" customHeight="1" thickBot="1" x14ac:dyDescent="0.3">
      <c r="A5" s="396" t="s">
        <v>353</v>
      </c>
      <c r="B5" s="398" t="s">
        <v>46</v>
      </c>
      <c r="C5" s="398" t="s">
        <v>34</v>
      </c>
      <c r="D5" s="397" t="s">
        <v>112</v>
      </c>
      <c r="E5" s="399" t="s">
        <v>3</v>
      </c>
      <c r="F5" s="399">
        <v>21</v>
      </c>
      <c r="G5" s="399">
        <v>32</v>
      </c>
      <c r="H5" s="399">
        <v>0</v>
      </c>
      <c r="I5" s="399">
        <v>0</v>
      </c>
      <c r="J5" s="399">
        <v>3</v>
      </c>
      <c r="K5" s="399">
        <v>3</v>
      </c>
      <c r="L5" s="399">
        <v>0</v>
      </c>
      <c r="M5" s="399">
        <v>0</v>
      </c>
      <c r="N5" s="399">
        <v>0</v>
      </c>
      <c r="O5" s="399">
        <v>1</v>
      </c>
      <c r="P5" s="399">
        <v>1</v>
      </c>
      <c r="Q5" s="399">
        <v>0</v>
      </c>
      <c r="R5" s="399">
        <v>4</v>
      </c>
      <c r="S5" s="406">
        <v>80000</v>
      </c>
      <c r="T5" s="410" t="s">
        <v>421</v>
      </c>
      <c r="U5" s="408" t="s">
        <v>402</v>
      </c>
      <c r="V5" s="406" t="s">
        <v>279</v>
      </c>
      <c r="W5" s="408" t="s">
        <v>263</v>
      </c>
      <c r="X5" s="401" t="s">
        <v>420</v>
      </c>
      <c r="Y5" s="404">
        <v>1</v>
      </c>
      <c r="Z5" s="404">
        <v>0</v>
      </c>
      <c r="AA5" s="404">
        <v>0</v>
      </c>
      <c r="AB5" s="405">
        <v>1</v>
      </c>
      <c r="AC5" s="418">
        <v>0</v>
      </c>
      <c r="AD5" s="552">
        <v>0</v>
      </c>
      <c r="AE5" s="404">
        <v>0</v>
      </c>
      <c r="AF5" s="404">
        <v>0</v>
      </c>
      <c r="AG5" s="404">
        <v>1</v>
      </c>
      <c r="AH5" s="404">
        <v>0</v>
      </c>
      <c r="AI5" s="404">
        <v>0</v>
      </c>
      <c r="AJ5" s="405">
        <v>1</v>
      </c>
      <c r="AK5" s="404">
        <v>0</v>
      </c>
      <c r="AL5" s="404">
        <v>0</v>
      </c>
      <c r="AM5" s="404">
        <v>0</v>
      </c>
      <c r="AN5" s="404">
        <v>0</v>
      </c>
      <c r="AP5" s="318" t="s">
        <v>137</v>
      </c>
      <c r="AQ5" s="319">
        <f>Scotlandalltestshistdrawn</f>
        <v>33</v>
      </c>
      <c r="AS5" s="318" t="s">
        <v>137</v>
      </c>
      <c r="AT5" s="319">
        <f>ScotlandRWChistdrawn</f>
        <v>1</v>
      </c>
    </row>
    <row r="6" spans="1:46" ht="14.95" customHeight="1" thickBot="1" x14ac:dyDescent="0.3">
      <c r="A6" s="423" t="s">
        <v>320</v>
      </c>
      <c r="B6" s="424" t="s">
        <v>46</v>
      </c>
      <c r="C6" s="424" t="s">
        <v>39</v>
      </c>
      <c r="D6" s="436" t="s">
        <v>116</v>
      </c>
      <c r="E6" s="425" t="s">
        <v>3</v>
      </c>
      <c r="F6" s="425">
        <v>7</v>
      </c>
      <c r="G6" s="425">
        <v>22</v>
      </c>
      <c r="H6" s="425">
        <v>0</v>
      </c>
      <c r="I6" s="425">
        <v>0</v>
      </c>
      <c r="J6" s="425">
        <v>1</v>
      </c>
      <c r="K6" s="425">
        <v>1</v>
      </c>
      <c r="L6" s="425">
        <v>0</v>
      </c>
      <c r="M6" s="425">
        <v>0</v>
      </c>
      <c r="N6" s="425">
        <v>0</v>
      </c>
      <c r="O6" s="425">
        <v>0</v>
      </c>
      <c r="P6" s="425">
        <v>0</v>
      </c>
      <c r="Q6" s="425">
        <v>0</v>
      </c>
      <c r="R6" s="425">
        <v>3</v>
      </c>
      <c r="S6" s="426">
        <v>67144</v>
      </c>
      <c r="T6" s="427" t="s">
        <v>434</v>
      </c>
      <c r="U6" s="428" t="s">
        <v>266</v>
      </c>
      <c r="V6" s="426" t="s">
        <v>435</v>
      </c>
      <c r="W6" s="429" t="s">
        <v>340</v>
      </c>
      <c r="X6" s="430" t="s">
        <v>436</v>
      </c>
      <c r="Y6" s="431">
        <v>1</v>
      </c>
      <c r="Z6" s="431">
        <v>0</v>
      </c>
      <c r="AA6" s="431">
        <v>0</v>
      </c>
      <c r="AB6" s="432">
        <v>1</v>
      </c>
      <c r="AC6" s="431">
        <v>1</v>
      </c>
      <c r="AD6" s="431">
        <v>0</v>
      </c>
      <c r="AE6" s="431">
        <v>0</v>
      </c>
      <c r="AF6" s="432">
        <v>1</v>
      </c>
      <c r="AG6" s="450">
        <v>0</v>
      </c>
      <c r="AH6" s="450">
        <v>0</v>
      </c>
      <c r="AI6" s="450">
        <v>0</v>
      </c>
      <c r="AJ6" s="450">
        <v>0</v>
      </c>
      <c r="AK6" s="431">
        <v>0</v>
      </c>
      <c r="AL6" s="431">
        <v>0</v>
      </c>
      <c r="AM6" s="431">
        <v>0</v>
      </c>
      <c r="AN6" s="431">
        <v>0</v>
      </c>
      <c r="AP6" s="318" t="s">
        <v>132</v>
      </c>
      <c r="AQ6" s="319">
        <f>Scotlandalltestshistlost</f>
        <v>384</v>
      </c>
      <c r="AS6" s="318" t="s">
        <v>132</v>
      </c>
      <c r="AT6" s="319">
        <f>ScotlandRWChistlost</f>
        <v>19</v>
      </c>
    </row>
    <row r="7" spans="1:46" ht="14.95" customHeight="1" thickBot="1" x14ac:dyDescent="0.35">
      <c r="A7" s="423" t="s">
        <v>321</v>
      </c>
      <c r="B7" s="424" t="s">
        <v>46</v>
      </c>
      <c r="C7" s="424" t="s">
        <v>33</v>
      </c>
      <c r="D7" s="436" t="s">
        <v>116</v>
      </c>
      <c r="E7" s="425" t="s">
        <v>1</v>
      </c>
      <c r="F7" s="425">
        <v>26</v>
      </c>
      <c r="G7" s="425">
        <v>14</v>
      </c>
      <c r="H7" s="425">
        <v>1</v>
      </c>
      <c r="I7" s="425">
        <v>0</v>
      </c>
      <c r="J7" s="425">
        <v>4</v>
      </c>
      <c r="K7" s="425">
        <v>3</v>
      </c>
      <c r="L7" s="425">
        <v>0</v>
      </c>
      <c r="M7" s="425">
        <v>0</v>
      </c>
      <c r="N7" s="425">
        <v>0</v>
      </c>
      <c r="O7" s="425">
        <v>0</v>
      </c>
      <c r="P7" s="425">
        <v>0</v>
      </c>
      <c r="Q7" s="425">
        <v>0</v>
      </c>
      <c r="R7" s="425">
        <v>1</v>
      </c>
      <c r="S7" s="426">
        <v>67144</v>
      </c>
      <c r="T7" s="438" t="s">
        <v>460</v>
      </c>
      <c r="U7" s="428" t="s">
        <v>265</v>
      </c>
      <c r="V7" s="426" t="s">
        <v>432</v>
      </c>
      <c r="W7" s="429" t="s">
        <v>278</v>
      </c>
      <c r="X7" s="430" t="s">
        <v>414</v>
      </c>
      <c r="Y7" s="431">
        <v>1</v>
      </c>
      <c r="Z7" s="431">
        <v>1</v>
      </c>
      <c r="AA7" s="431">
        <v>0</v>
      </c>
      <c r="AB7" s="432">
        <v>0</v>
      </c>
      <c r="AC7" s="431">
        <v>1</v>
      </c>
      <c r="AD7" s="431">
        <v>1</v>
      </c>
      <c r="AE7" s="431">
        <v>0</v>
      </c>
      <c r="AF7" s="431">
        <v>0</v>
      </c>
      <c r="AG7" s="431">
        <v>0</v>
      </c>
      <c r="AH7" s="431">
        <v>0</v>
      </c>
      <c r="AI7" s="431">
        <v>0</v>
      </c>
      <c r="AJ7" s="432">
        <v>0</v>
      </c>
      <c r="AK7" s="431">
        <v>0</v>
      </c>
      <c r="AL7" s="431">
        <v>0</v>
      </c>
      <c r="AM7" s="431">
        <v>0</v>
      </c>
      <c r="AN7" s="431">
        <v>0</v>
      </c>
      <c r="AP7" s="318" t="s">
        <v>138</v>
      </c>
      <c r="AQ7" s="319">
        <f>Scotlandalltestshistptsscored</f>
        <v>11030</v>
      </c>
      <c r="AS7" s="318" t="s">
        <v>138</v>
      </c>
      <c r="AT7" s="319">
        <f>ScotlandRWChistptsscored</f>
        <v>1407</v>
      </c>
    </row>
    <row r="8" spans="1:46" ht="14.95" customHeight="1" thickBot="1" x14ac:dyDescent="0.3">
      <c r="A8" s="423" t="s">
        <v>332</v>
      </c>
      <c r="B8" s="424" t="s">
        <v>45</v>
      </c>
      <c r="C8" s="424" t="s">
        <v>33</v>
      </c>
      <c r="D8" s="436" t="s">
        <v>116</v>
      </c>
      <c r="E8" s="425" t="s">
        <v>1</v>
      </c>
      <c r="F8" s="425">
        <v>25</v>
      </c>
      <c r="G8" s="425">
        <v>13</v>
      </c>
      <c r="H8" s="425" t="s">
        <v>106</v>
      </c>
      <c r="I8" s="425" t="s">
        <v>106</v>
      </c>
      <c r="J8" s="425">
        <v>3</v>
      </c>
      <c r="K8" s="425">
        <v>2</v>
      </c>
      <c r="L8" s="425">
        <v>0</v>
      </c>
      <c r="M8" s="425">
        <v>2</v>
      </c>
      <c r="N8" s="425">
        <v>0</v>
      </c>
      <c r="O8" s="425">
        <v>0</v>
      </c>
      <c r="P8" s="425" t="s">
        <v>106</v>
      </c>
      <c r="Q8" s="425" t="s">
        <v>106</v>
      </c>
      <c r="R8" s="425">
        <v>1</v>
      </c>
      <c r="S8" s="426">
        <v>49977</v>
      </c>
      <c r="T8" s="427" t="s">
        <v>710</v>
      </c>
      <c r="U8" s="428" t="s">
        <v>271</v>
      </c>
      <c r="V8" s="426" t="s">
        <v>279</v>
      </c>
      <c r="W8" s="426" t="s">
        <v>364</v>
      </c>
      <c r="X8" s="430" t="s">
        <v>711</v>
      </c>
      <c r="Y8" s="431">
        <v>1</v>
      </c>
      <c r="Z8" s="431">
        <v>1</v>
      </c>
      <c r="AA8" s="431">
        <v>0</v>
      </c>
      <c r="AB8" s="432">
        <v>0</v>
      </c>
      <c r="AC8" s="431">
        <v>1</v>
      </c>
      <c r="AD8" s="431">
        <v>1</v>
      </c>
      <c r="AE8" s="431">
        <v>0</v>
      </c>
      <c r="AF8" s="432">
        <v>0</v>
      </c>
      <c r="AG8" s="431">
        <v>0</v>
      </c>
      <c r="AH8" s="431">
        <v>0</v>
      </c>
      <c r="AI8" s="431">
        <v>0</v>
      </c>
      <c r="AJ8" s="432">
        <v>0</v>
      </c>
      <c r="AK8" s="431">
        <v>0</v>
      </c>
      <c r="AL8" s="431">
        <v>0</v>
      </c>
      <c r="AM8" s="431">
        <v>0</v>
      </c>
      <c r="AN8" s="432">
        <v>0</v>
      </c>
      <c r="AP8" s="318" t="s">
        <v>139</v>
      </c>
      <c r="AQ8" s="319">
        <f>Scotlandalltestshistptscon</f>
        <v>11427</v>
      </c>
      <c r="AS8" s="318" t="s">
        <v>139</v>
      </c>
      <c r="AT8" s="319">
        <f>ScotlandRWChistptscon</f>
        <v>874</v>
      </c>
    </row>
    <row r="9" spans="1:46" ht="14.95" customHeight="1" thickBot="1" x14ac:dyDescent="0.3">
      <c r="A9" s="423" t="s">
        <v>322</v>
      </c>
      <c r="B9" s="424" t="s">
        <v>45</v>
      </c>
      <c r="C9" s="424" t="s">
        <v>34</v>
      </c>
      <c r="D9" s="436" t="s">
        <v>116</v>
      </c>
      <c r="E9" s="425" t="s">
        <v>1</v>
      </c>
      <c r="F9" s="425">
        <v>25</v>
      </c>
      <c r="G9" s="425">
        <v>21</v>
      </c>
      <c r="H9" s="425" t="s">
        <v>106</v>
      </c>
      <c r="I9" s="425" t="s">
        <v>106</v>
      </c>
      <c r="J9" s="425">
        <v>3</v>
      </c>
      <c r="K9" s="425">
        <v>2</v>
      </c>
      <c r="L9" s="425">
        <v>0</v>
      </c>
      <c r="M9" s="425">
        <v>2</v>
      </c>
      <c r="N9" s="425">
        <v>0</v>
      </c>
      <c r="O9" s="425">
        <v>1</v>
      </c>
      <c r="P9" s="425" t="s">
        <v>106</v>
      </c>
      <c r="Q9" s="425" t="s">
        <v>106</v>
      </c>
      <c r="R9" s="425">
        <v>3</v>
      </c>
      <c r="S9" s="426">
        <v>56256</v>
      </c>
      <c r="T9" s="439" t="s">
        <v>724</v>
      </c>
      <c r="U9" s="428" t="s">
        <v>271</v>
      </c>
      <c r="V9" s="426" t="s">
        <v>279</v>
      </c>
      <c r="W9" s="426" t="s">
        <v>348</v>
      </c>
      <c r="X9" s="430" t="s">
        <v>452</v>
      </c>
      <c r="Y9" s="431">
        <v>1</v>
      </c>
      <c r="Z9" s="431">
        <v>1</v>
      </c>
      <c r="AA9" s="431">
        <v>0</v>
      </c>
      <c r="AB9" s="432">
        <v>0</v>
      </c>
      <c r="AC9" s="431">
        <v>1</v>
      </c>
      <c r="AD9" s="431">
        <v>1</v>
      </c>
      <c r="AE9" s="431">
        <v>0</v>
      </c>
      <c r="AF9" s="432">
        <v>0</v>
      </c>
      <c r="AG9" s="431">
        <v>0</v>
      </c>
      <c r="AH9" s="431">
        <v>0</v>
      </c>
      <c r="AI9" s="431">
        <v>0</v>
      </c>
      <c r="AJ9" s="432">
        <v>0</v>
      </c>
      <c r="AK9" s="431">
        <v>0</v>
      </c>
      <c r="AL9" s="431">
        <v>0</v>
      </c>
      <c r="AM9" s="431">
        <v>0</v>
      </c>
      <c r="AN9" s="432">
        <v>0</v>
      </c>
      <c r="AP9" s="318" t="s">
        <v>129</v>
      </c>
      <c r="AQ9" s="319">
        <f>Scotlandalltestshisttriesscored</f>
        <v>1414</v>
      </c>
      <c r="AS9" s="318" t="s">
        <v>129</v>
      </c>
      <c r="AT9" s="319">
        <f>ScotlandRWChisttriesscored</f>
        <v>167</v>
      </c>
    </row>
    <row r="10" spans="1:46" ht="14.95" customHeight="1" thickBot="1" x14ac:dyDescent="0.3">
      <c r="A10" s="396" t="s">
        <v>323</v>
      </c>
      <c r="B10" s="398" t="s">
        <v>45</v>
      </c>
      <c r="C10" s="398" t="s">
        <v>34</v>
      </c>
      <c r="D10" s="397" t="s">
        <v>227</v>
      </c>
      <c r="E10" s="399" t="s">
        <v>3</v>
      </c>
      <c r="F10" s="399">
        <v>27</v>
      </c>
      <c r="G10" s="399">
        <v>30</v>
      </c>
      <c r="H10" s="399" t="s">
        <v>106</v>
      </c>
      <c r="I10" s="399" t="s">
        <v>106</v>
      </c>
      <c r="J10" s="399">
        <v>4</v>
      </c>
      <c r="K10" s="399">
        <v>2</v>
      </c>
      <c r="L10" s="399">
        <v>0</v>
      </c>
      <c r="M10" s="399">
        <v>1</v>
      </c>
      <c r="N10" s="399">
        <v>1</v>
      </c>
      <c r="O10" s="399">
        <v>0</v>
      </c>
      <c r="P10" s="399" t="s">
        <v>106</v>
      </c>
      <c r="Q10" s="399" t="s">
        <v>106</v>
      </c>
      <c r="R10" s="399">
        <v>3</v>
      </c>
      <c r="S10" s="406">
        <v>41101</v>
      </c>
      <c r="T10" s="410" t="s">
        <v>759</v>
      </c>
      <c r="U10" s="408" t="s">
        <v>280</v>
      </c>
      <c r="V10" s="406" t="s">
        <v>264</v>
      </c>
      <c r="W10" s="406" t="s">
        <v>263</v>
      </c>
      <c r="X10" s="409" t="s">
        <v>711</v>
      </c>
      <c r="Y10" s="404">
        <v>1</v>
      </c>
      <c r="Z10" s="404">
        <v>0</v>
      </c>
      <c r="AA10" s="404">
        <v>0</v>
      </c>
      <c r="AB10" s="405">
        <v>1</v>
      </c>
      <c r="AC10" s="404">
        <v>0</v>
      </c>
      <c r="AD10" s="404">
        <v>0</v>
      </c>
      <c r="AE10" s="404">
        <v>0</v>
      </c>
      <c r="AF10" s="405">
        <v>0</v>
      </c>
      <c r="AG10" s="404">
        <v>1</v>
      </c>
      <c r="AH10" s="404">
        <v>0</v>
      </c>
      <c r="AI10" s="404">
        <v>0</v>
      </c>
      <c r="AJ10" s="405">
        <v>1</v>
      </c>
      <c r="AK10" s="404">
        <v>0</v>
      </c>
      <c r="AL10" s="404">
        <v>0</v>
      </c>
      <c r="AM10" s="404">
        <v>0</v>
      </c>
      <c r="AN10" s="405">
        <v>0</v>
      </c>
    </row>
    <row r="11" spans="1:46" ht="14.95" customHeight="1" thickBot="1" x14ac:dyDescent="0.3">
      <c r="A11" s="423" t="s">
        <v>325</v>
      </c>
      <c r="B11" s="424" t="s">
        <v>45</v>
      </c>
      <c r="C11" s="424" t="s">
        <v>38</v>
      </c>
      <c r="D11" s="436" t="s">
        <v>116</v>
      </c>
      <c r="E11" s="425" t="s">
        <v>1</v>
      </c>
      <c r="F11" s="425">
        <v>33</v>
      </c>
      <c r="G11" s="425">
        <v>6</v>
      </c>
      <c r="H11" s="425" t="s">
        <v>106</v>
      </c>
      <c r="I11" s="425" t="s">
        <v>106</v>
      </c>
      <c r="J11" s="425">
        <v>5</v>
      </c>
      <c r="K11" s="425">
        <v>4</v>
      </c>
      <c r="L11" s="425">
        <v>0</v>
      </c>
      <c r="M11" s="425">
        <v>0</v>
      </c>
      <c r="N11" s="425">
        <v>0</v>
      </c>
      <c r="O11" s="425">
        <v>0</v>
      </c>
      <c r="P11" s="425" t="s">
        <v>106</v>
      </c>
      <c r="Q11" s="425" t="s">
        <v>106</v>
      </c>
      <c r="R11" s="425">
        <v>0</v>
      </c>
      <c r="S11" s="426">
        <v>54212</v>
      </c>
      <c r="T11" s="439" t="s">
        <v>757</v>
      </c>
      <c r="U11" s="428" t="s">
        <v>364</v>
      </c>
      <c r="V11" s="426" t="s">
        <v>447</v>
      </c>
      <c r="W11" s="426" t="s">
        <v>365</v>
      </c>
      <c r="X11" s="430" t="s">
        <v>377</v>
      </c>
      <c r="Y11" s="431">
        <v>1</v>
      </c>
      <c r="Z11" s="431">
        <v>1</v>
      </c>
      <c r="AA11" s="431">
        <v>0</v>
      </c>
      <c r="AB11" s="432">
        <v>0</v>
      </c>
      <c r="AC11" s="431">
        <v>1</v>
      </c>
      <c r="AD11" s="431">
        <v>1</v>
      </c>
      <c r="AE11" s="431">
        <v>0</v>
      </c>
      <c r="AF11" s="432">
        <v>0</v>
      </c>
      <c r="AG11" s="431">
        <v>0</v>
      </c>
      <c r="AH11" s="431">
        <v>0</v>
      </c>
      <c r="AI11" s="431">
        <v>0</v>
      </c>
      <c r="AJ11" s="432">
        <v>0</v>
      </c>
      <c r="AK11" s="431">
        <v>0</v>
      </c>
      <c r="AL11" s="431">
        <v>0</v>
      </c>
      <c r="AM11" s="431">
        <v>0</v>
      </c>
      <c r="AN11" s="432">
        <v>0</v>
      </c>
    </row>
    <row r="12" spans="1:46" ht="14.95" customHeight="1" thickBot="1" x14ac:dyDescent="0.3">
      <c r="A12" s="464" t="s">
        <v>359</v>
      </c>
      <c r="B12" s="465" t="s">
        <v>198</v>
      </c>
      <c r="C12" s="465" t="s">
        <v>170</v>
      </c>
      <c r="D12" s="554" t="s">
        <v>229</v>
      </c>
      <c r="E12" s="453" t="s">
        <v>3</v>
      </c>
      <c r="F12" s="453">
        <v>3</v>
      </c>
      <c r="G12" s="453">
        <v>18</v>
      </c>
      <c r="H12" s="453">
        <v>0</v>
      </c>
      <c r="I12" s="453">
        <v>0</v>
      </c>
      <c r="J12" s="453">
        <v>0</v>
      </c>
      <c r="K12" s="453">
        <v>0</v>
      </c>
      <c r="L12" s="453">
        <v>0</v>
      </c>
      <c r="M12" s="453">
        <v>1</v>
      </c>
      <c r="N12" s="453">
        <v>0</v>
      </c>
      <c r="O12" s="453">
        <v>0</v>
      </c>
      <c r="P12" s="453">
        <v>0</v>
      </c>
      <c r="Q12" s="453">
        <v>0</v>
      </c>
      <c r="R12" s="453">
        <v>2</v>
      </c>
      <c r="S12" s="466">
        <v>63586</v>
      </c>
      <c r="T12" s="558" t="s">
        <v>832</v>
      </c>
      <c r="U12" s="467" t="s">
        <v>265</v>
      </c>
      <c r="V12" s="466" t="s">
        <v>402</v>
      </c>
      <c r="W12" s="466" t="s">
        <v>281</v>
      </c>
      <c r="X12" s="466" t="s">
        <v>279</v>
      </c>
      <c r="Y12" s="364">
        <v>1</v>
      </c>
      <c r="Z12" s="364">
        <v>0</v>
      </c>
      <c r="AA12" s="364">
        <v>0</v>
      </c>
      <c r="AB12" s="454">
        <v>1</v>
      </c>
      <c r="AC12" s="364">
        <v>0</v>
      </c>
      <c r="AD12" s="364">
        <v>0</v>
      </c>
      <c r="AE12" s="364">
        <v>0</v>
      </c>
      <c r="AF12" s="454">
        <v>0</v>
      </c>
      <c r="AG12" s="364">
        <v>0</v>
      </c>
      <c r="AH12" s="364">
        <v>0</v>
      </c>
      <c r="AI12" s="364">
        <v>0</v>
      </c>
      <c r="AJ12" s="454">
        <v>0</v>
      </c>
      <c r="AK12" s="364">
        <v>1</v>
      </c>
      <c r="AL12" s="364">
        <v>0</v>
      </c>
      <c r="AM12" s="364">
        <v>0</v>
      </c>
      <c r="AN12" s="454">
        <v>1</v>
      </c>
    </row>
    <row r="13" spans="1:46" ht="14.95" customHeight="1" thickBot="1" x14ac:dyDescent="0.35">
      <c r="A13" s="464" t="s">
        <v>360</v>
      </c>
      <c r="B13" s="465" t="s">
        <v>198</v>
      </c>
      <c r="C13" s="465" t="s">
        <v>118</v>
      </c>
      <c r="D13" s="554" t="s">
        <v>231</v>
      </c>
      <c r="E13" s="453" t="s">
        <v>1</v>
      </c>
      <c r="F13" s="453">
        <v>45</v>
      </c>
      <c r="G13" s="453">
        <v>17</v>
      </c>
      <c r="H13" s="453">
        <v>1</v>
      </c>
      <c r="I13" s="453">
        <v>0</v>
      </c>
      <c r="J13" s="453">
        <v>7</v>
      </c>
      <c r="K13" s="453">
        <v>5</v>
      </c>
      <c r="L13" s="453">
        <v>0</v>
      </c>
      <c r="M13" s="453">
        <v>0</v>
      </c>
      <c r="N13" s="453">
        <v>0</v>
      </c>
      <c r="O13" s="453">
        <v>0</v>
      </c>
      <c r="P13" s="453">
        <v>0</v>
      </c>
      <c r="Q13" s="453">
        <v>0</v>
      </c>
      <c r="R13" s="453">
        <v>2</v>
      </c>
      <c r="S13" s="466">
        <v>33189</v>
      </c>
      <c r="T13" s="469" t="s">
        <v>907</v>
      </c>
      <c r="U13" s="467" t="s">
        <v>263</v>
      </c>
      <c r="V13" s="466" t="s">
        <v>279</v>
      </c>
      <c r="W13" s="466" t="s">
        <v>402</v>
      </c>
      <c r="X13" s="565" t="s">
        <v>414</v>
      </c>
      <c r="Y13" s="364">
        <v>1</v>
      </c>
      <c r="Z13" s="364">
        <v>1</v>
      </c>
      <c r="AA13" s="364">
        <v>0</v>
      </c>
      <c r="AB13" s="454">
        <v>0</v>
      </c>
      <c r="AC13" s="364">
        <v>0</v>
      </c>
      <c r="AD13" s="364">
        <v>0</v>
      </c>
      <c r="AE13" s="364">
        <v>0</v>
      </c>
      <c r="AF13" s="454">
        <v>0</v>
      </c>
      <c r="AG13" s="364">
        <v>0</v>
      </c>
      <c r="AH13" s="364">
        <v>0</v>
      </c>
      <c r="AI13" s="364">
        <v>0</v>
      </c>
      <c r="AJ13" s="454">
        <v>0</v>
      </c>
      <c r="AK13" s="364">
        <v>1</v>
      </c>
      <c r="AL13" s="364">
        <v>1</v>
      </c>
      <c r="AM13" s="364">
        <v>0</v>
      </c>
      <c r="AN13" s="454">
        <v>0</v>
      </c>
    </row>
    <row r="14" spans="1:46" ht="14.95" customHeight="1" thickBot="1" x14ac:dyDescent="0.35">
      <c r="A14" s="464" t="s">
        <v>361</v>
      </c>
      <c r="B14" s="465" t="s">
        <v>198</v>
      </c>
      <c r="C14" s="465" t="s">
        <v>122</v>
      </c>
      <c r="D14" s="554" t="s">
        <v>230</v>
      </c>
      <c r="E14" s="453" t="s">
        <v>1</v>
      </c>
      <c r="F14" s="453">
        <v>84</v>
      </c>
      <c r="G14" s="453">
        <v>0</v>
      </c>
      <c r="H14" s="453">
        <v>1</v>
      </c>
      <c r="I14" s="453">
        <v>0</v>
      </c>
      <c r="J14" s="453">
        <v>12</v>
      </c>
      <c r="K14" s="453">
        <v>12</v>
      </c>
      <c r="L14" s="453">
        <v>0</v>
      </c>
      <c r="M14" s="453">
        <v>0</v>
      </c>
      <c r="N14" s="453">
        <v>0</v>
      </c>
      <c r="O14" s="453">
        <v>0</v>
      </c>
      <c r="P14" s="453">
        <v>0</v>
      </c>
      <c r="Q14" s="453">
        <v>0</v>
      </c>
      <c r="R14" s="453">
        <v>0</v>
      </c>
      <c r="S14" s="463">
        <v>46516</v>
      </c>
      <c r="T14" s="491" t="s">
        <v>313</v>
      </c>
      <c r="U14" s="463" t="s">
        <v>340</v>
      </c>
      <c r="V14" s="463" t="s">
        <v>270</v>
      </c>
      <c r="W14" s="463" t="s">
        <v>265</v>
      </c>
      <c r="X14" s="468" t="s">
        <v>272</v>
      </c>
      <c r="Y14" s="364">
        <v>1</v>
      </c>
      <c r="Z14" s="364">
        <v>1</v>
      </c>
      <c r="AA14" s="364">
        <v>0</v>
      </c>
      <c r="AB14" s="454">
        <v>0</v>
      </c>
      <c r="AC14" s="364">
        <v>0</v>
      </c>
      <c r="AD14" s="364">
        <v>0</v>
      </c>
      <c r="AE14" s="364">
        <v>0</v>
      </c>
      <c r="AF14" s="454">
        <v>0</v>
      </c>
      <c r="AG14" s="364">
        <v>0</v>
      </c>
      <c r="AH14" s="364">
        <v>0</v>
      </c>
      <c r="AI14" s="364">
        <v>0</v>
      </c>
      <c r="AJ14" s="454">
        <v>0</v>
      </c>
      <c r="AK14" s="364">
        <v>1</v>
      </c>
      <c r="AL14" s="364">
        <v>1</v>
      </c>
      <c r="AM14" s="364">
        <v>0</v>
      </c>
      <c r="AN14" s="454">
        <v>0</v>
      </c>
      <c r="AO14" s="266"/>
    </row>
    <row r="15" spans="1:46" ht="14.95" customHeight="1" thickBot="1" x14ac:dyDescent="0.3">
      <c r="A15" s="464" t="s">
        <v>329</v>
      </c>
      <c r="B15" s="465" t="s">
        <v>198</v>
      </c>
      <c r="C15" s="465" t="s">
        <v>39</v>
      </c>
      <c r="D15" s="554" t="s">
        <v>112</v>
      </c>
      <c r="E15" s="453" t="s">
        <v>3</v>
      </c>
      <c r="F15" s="453">
        <v>14</v>
      </c>
      <c r="G15" s="453">
        <v>36</v>
      </c>
      <c r="H15" s="453">
        <v>0</v>
      </c>
      <c r="I15" s="453">
        <v>0</v>
      </c>
      <c r="J15" s="453">
        <v>2</v>
      </c>
      <c r="K15" s="453">
        <v>2</v>
      </c>
      <c r="L15" s="453">
        <v>0</v>
      </c>
      <c r="M15" s="453">
        <v>0</v>
      </c>
      <c r="N15" s="453">
        <v>1</v>
      </c>
      <c r="O15" s="453">
        <v>0</v>
      </c>
      <c r="P15" s="453">
        <v>1</v>
      </c>
      <c r="Q15" s="453">
        <v>0</v>
      </c>
      <c r="R15" s="453">
        <v>6</v>
      </c>
      <c r="S15" s="463">
        <v>78845</v>
      </c>
      <c r="T15" s="493" t="s">
        <v>784</v>
      </c>
      <c r="U15" s="463" t="s">
        <v>340</v>
      </c>
      <c r="V15" s="463" t="s">
        <v>264</v>
      </c>
      <c r="W15" s="463" t="s">
        <v>278</v>
      </c>
      <c r="X15" s="463" t="s">
        <v>436</v>
      </c>
      <c r="Y15" s="364">
        <v>1</v>
      </c>
      <c r="Z15" s="364">
        <v>0</v>
      </c>
      <c r="AA15" s="364">
        <v>0</v>
      </c>
      <c r="AB15" s="454">
        <v>1</v>
      </c>
      <c r="AC15" s="364">
        <v>0</v>
      </c>
      <c r="AD15" s="364">
        <v>0</v>
      </c>
      <c r="AE15" s="364">
        <v>0</v>
      </c>
      <c r="AF15" s="454">
        <v>0</v>
      </c>
      <c r="AG15" s="364">
        <v>0</v>
      </c>
      <c r="AH15" s="364">
        <v>0</v>
      </c>
      <c r="AI15" s="364">
        <v>0</v>
      </c>
      <c r="AJ15" s="454">
        <v>0</v>
      </c>
      <c r="AK15" s="364">
        <v>1</v>
      </c>
      <c r="AL15" s="364">
        <v>0</v>
      </c>
      <c r="AM15" s="364">
        <v>0</v>
      </c>
      <c r="AN15" s="454">
        <v>1</v>
      </c>
      <c r="AO15" s="266"/>
    </row>
    <row r="16" spans="1:46" ht="14.95" customHeight="1" thickBot="1" x14ac:dyDescent="0.3">
      <c r="A16" s="266"/>
      <c r="B16" s="267"/>
      <c r="C16" s="997" t="s">
        <v>108</v>
      </c>
      <c r="D16" s="998"/>
      <c r="E16" s="999"/>
      <c r="F16" s="265">
        <f>SUM(F3:F7)</f>
        <v>118</v>
      </c>
      <c r="G16" s="265">
        <f t="shared" ref="G16:R16" si="0">SUM(G3:G7)</f>
        <v>98</v>
      </c>
      <c r="H16" s="265">
        <f t="shared" si="0"/>
        <v>3</v>
      </c>
      <c r="I16" s="265">
        <f t="shared" si="0"/>
        <v>0</v>
      </c>
      <c r="J16" s="265">
        <f t="shared" si="0"/>
        <v>17</v>
      </c>
      <c r="K16" s="265">
        <f t="shared" si="0"/>
        <v>12</v>
      </c>
      <c r="L16" s="265">
        <f t="shared" si="0"/>
        <v>0</v>
      </c>
      <c r="M16" s="265">
        <f t="shared" si="0"/>
        <v>3</v>
      </c>
      <c r="N16" s="265">
        <f t="shared" si="0"/>
        <v>1</v>
      </c>
      <c r="O16" s="265">
        <f t="shared" si="0"/>
        <v>1</v>
      </c>
      <c r="P16" s="265">
        <f t="shared" si="0"/>
        <v>1</v>
      </c>
      <c r="Q16" s="265">
        <f t="shared" si="0"/>
        <v>1</v>
      </c>
      <c r="R16" s="265">
        <f t="shared" si="0"/>
        <v>12</v>
      </c>
      <c r="W16" s="262"/>
      <c r="X16" s="369" t="s">
        <v>108</v>
      </c>
      <c r="Y16" s="265">
        <f t="shared" ref="Y16:AN16" si="1">SUM(Y3:Y7)</f>
        <v>5</v>
      </c>
      <c r="Z16" s="265">
        <f t="shared" si="1"/>
        <v>3</v>
      </c>
      <c r="AA16" s="265">
        <f t="shared" si="1"/>
        <v>0</v>
      </c>
      <c r="AB16" s="265">
        <f t="shared" si="1"/>
        <v>2</v>
      </c>
      <c r="AC16" s="263">
        <f t="shared" si="1"/>
        <v>3</v>
      </c>
      <c r="AD16" s="263">
        <f t="shared" si="1"/>
        <v>2</v>
      </c>
      <c r="AE16" s="263">
        <f t="shared" si="1"/>
        <v>0</v>
      </c>
      <c r="AF16" s="263">
        <f t="shared" si="1"/>
        <v>1</v>
      </c>
      <c r="AG16" s="264">
        <f t="shared" si="1"/>
        <v>2</v>
      </c>
      <c r="AH16" s="264">
        <f t="shared" si="1"/>
        <v>1</v>
      </c>
      <c r="AI16" s="264">
        <f t="shared" si="1"/>
        <v>0</v>
      </c>
      <c r="AJ16" s="264">
        <f t="shared" si="1"/>
        <v>1</v>
      </c>
      <c r="AK16" s="265">
        <f t="shared" si="1"/>
        <v>0</v>
      </c>
      <c r="AL16" s="265">
        <f t="shared" si="1"/>
        <v>0</v>
      </c>
      <c r="AM16" s="265">
        <f t="shared" si="1"/>
        <v>0</v>
      </c>
      <c r="AN16" s="265">
        <f t="shared" si="1"/>
        <v>0</v>
      </c>
      <c r="AO16" s="266"/>
    </row>
    <row r="17" spans="1:41" ht="14.95" customHeight="1" thickBot="1" x14ac:dyDescent="0.3">
      <c r="A17" s="266"/>
      <c r="B17" s="267"/>
      <c r="C17" s="937" t="s">
        <v>726</v>
      </c>
      <c r="D17" s="978"/>
      <c r="E17" s="979"/>
      <c r="F17" s="476">
        <f>SUM(F8:F11)</f>
        <v>110</v>
      </c>
      <c r="G17" s="476">
        <f>SUM(G8:G11)</f>
        <v>70</v>
      </c>
      <c r="H17" s="476" t="s">
        <v>106</v>
      </c>
      <c r="I17" s="476" t="s">
        <v>106</v>
      </c>
      <c r="J17" s="476">
        <f t="shared" ref="J17:O17" si="2">SUM(J8:J11)</f>
        <v>15</v>
      </c>
      <c r="K17" s="476">
        <f t="shared" si="2"/>
        <v>10</v>
      </c>
      <c r="L17" s="476">
        <f t="shared" si="2"/>
        <v>0</v>
      </c>
      <c r="M17" s="476">
        <f t="shared" si="2"/>
        <v>5</v>
      </c>
      <c r="N17" s="476">
        <f t="shared" si="2"/>
        <v>1</v>
      </c>
      <c r="O17" s="476">
        <f t="shared" si="2"/>
        <v>1</v>
      </c>
      <c r="P17" s="476" t="s">
        <v>106</v>
      </c>
      <c r="Q17" s="476" t="s">
        <v>106</v>
      </c>
      <c r="R17" s="476">
        <f>SUM(R8:R11)</f>
        <v>7</v>
      </c>
      <c r="S17" s="488"/>
      <c r="T17" s="488"/>
      <c r="U17" s="488"/>
      <c r="V17" s="488"/>
      <c r="W17" s="474"/>
      <c r="X17" s="481" t="s">
        <v>722</v>
      </c>
      <c r="Y17" s="476">
        <f t="shared" ref="Y17:AN17" si="3">SUM(Y8:Y11)</f>
        <v>4</v>
      </c>
      <c r="Z17" s="476">
        <f t="shared" si="3"/>
        <v>3</v>
      </c>
      <c r="AA17" s="476">
        <f t="shared" si="3"/>
        <v>0</v>
      </c>
      <c r="AB17" s="476">
        <f t="shared" si="3"/>
        <v>1</v>
      </c>
      <c r="AC17" s="477">
        <f t="shared" si="3"/>
        <v>3</v>
      </c>
      <c r="AD17" s="477">
        <f t="shared" si="3"/>
        <v>3</v>
      </c>
      <c r="AE17" s="477">
        <f t="shared" si="3"/>
        <v>0</v>
      </c>
      <c r="AF17" s="477">
        <f t="shared" si="3"/>
        <v>0</v>
      </c>
      <c r="AG17" s="478">
        <f t="shared" si="3"/>
        <v>1</v>
      </c>
      <c r="AH17" s="478">
        <f t="shared" si="3"/>
        <v>0</v>
      </c>
      <c r="AI17" s="478">
        <f t="shared" si="3"/>
        <v>0</v>
      </c>
      <c r="AJ17" s="478">
        <f t="shared" si="3"/>
        <v>1</v>
      </c>
      <c r="AK17" s="476">
        <f t="shared" si="3"/>
        <v>0</v>
      </c>
      <c r="AL17" s="476">
        <f t="shared" si="3"/>
        <v>0</v>
      </c>
      <c r="AM17" s="476">
        <f t="shared" si="3"/>
        <v>0</v>
      </c>
      <c r="AN17" s="476">
        <f t="shared" si="3"/>
        <v>0</v>
      </c>
      <c r="AO17" s="266"/>
    </row>
    <row r="18" spans="1:41" ht="14.95" customHeight="1" thickBot="1" x14ac:dyDescent="0.3">
      <c r="A18" s="266"/>
      <c r="B18" s="267"/>
      <c r="C18" s="940" t="s">
        <v>625</v>
      </c>
      <c r="D18" s="941"/>
      <c r="E18" s="942"/>
      <c r="F18" s="708">
        <f t="shared" ref="F18:R18" si="4">SUM(F12:F15)</f>
        <v>146</v>
      </c>
      <c r="G18" s="708">
        <f t="shared" si="4"/>
        <v>71</v>
      </c>
      <c r="H18" s="708">
        <f t="shared" si="4"/>
        <v>2</v>
      </c>
      <c r="I18" s="708">
        <f t="shared" si="4"/>
        <v>0</v>
      </c>
      <c r="J18" s="708">
        <f t="shared" si="4"/>
        <v>21</v>
      </c>
      <c r="K18" s="708">
        <f t="shared" si="4"/>
        <v>19</v>
      </c>
      <c r="L18" s="708">
        <f t="shared" si="4"/>
        <v>0</v>
      </c>
      <c r="M18" s="708">
        <f t="shared" si="4"/>
        <v>1</v>
      </c>
      <c r="N18" s="708">
        <f t="shared" si="4"/>
        <v>1</v>
      </c>
      <c r="O18" s="708">
        <f t="shared" si="4"/>
        <v>0</v>
      </c>
      <c r="P18" s="708">
        <f t="shared" si="4"/>
        <v>1</v>
      </c>
      <c r="Q18" s="708">
        <f t="shared" si="4"/>
        <v>0</v>
      </c>
      <c r="R18" s="708">
        <f t="shared" si="4"/>
        <v>10</v>
      </c>
      <c r="S18" s="709"/>
      <c r="T18" s="709"/>
      <c r="U18" s="709"/>
      <c r="V18" s="709"/>
      <c r="W18" s="710"/>
      <c r="X18" s="711" t="s">
        <v>625</v>
      </c>
      <c r="Y18" s="712">
        <f t="shared" ref="Y18:AN18" si="5">SUM(Y12:Y15)</f>
        <v>4</v>
      </c>
      <c r="Z18" s="708">
        <f t="shared" si="5"/>
        <v>2</v>
      </c>
      <c r="AA18" s="708">
        <f t="shared" si="5"/>
        <v>0</v>
      </c>
      <c r="AB18" s="708">
        <f t="shared" si="5"/>
        <v>2</v>
      </c>
      <c r="AC18" s="713">
        <f t="shared" si="5"/>
        <v>0</v>
      </c>
      <c r="AD18" s="713">
        <f t="shared" si="5"/>
        <v>0</v>
      </c>
      <c r="AE18" s="713">
        <f t="shared" si="5"/>
        <v>0</v>
      </c>
      <c r="AF18" s="713">
        <f t="shared" si="5"/>
        <v>0</v>
      </c>
      <c r="AG18" s="714">
        <f t="shared" si="5"/>
        <v>0</v>
      </c>
      <c r="AH18" s="714">
        <f t="shared" si="5"/>
        <v>0</v>
      </c>
      <c r="AI18" s="714">
        <f t="shared" si="5"/>
        <v>0</v>
      </c>
      <c r="AJ18" s="714">
        <f t="shared" si="5"/>
        <v>0</v>
      </c>
      <c r="AK18" s="708">
        <f t="shared" si="5"/>
        <v>4</v>
      </c>
      <c r="AL18" s="708">
        <f t="shared" si="5"/>
        <v>2</v>
      </c>
      <c r="AM18" s="708">
        <f t="shared" si="5"/>
        <v>0</v>
      </c>
      <c r="AN18" s="708">
        <f t="shared" si="5"/>
        <v>2</v>
      </c>
      <c r="AO18" s="266"/>
    </row>
    <row r="19" spans="1:41" ht="14.95" customHeight="1" thickBot="1" x14ac:dyDescent="0.3">
      <c r="A19" s="266"/>
      <c r="B19" s="267"/>
      <c r="C19" s="940" t="s">
        <v>626</v>
      </c>
      <c r="D19" s="943"/>
      <c r="E19" s="944"/>
      <c r="F19" s="708">
        <v>0</v>
      </c>
      <c r="G19" s="708">
        <v>0</v>
      </c>
      <c r="H19" s="708">
        <v>0</v>
      </c>
      <c r="I19" s="708">
        <v>0</v>
      </c>
      <c r="J19" s="708">
        <v>0</v>
      </c>
      <c r="K19" s="708">
        <v>0</v>
      </c>
      <c r="L19" s="708">
        <v>0</v>
      </c>
      <c r="M19" s="708">
        <v>0</v>
      </c>
      <c r="N19" s="708">
        <v>0</v>
      </c>
      <c r="O19" s="708">
        <v>0</v>
      </c>
      <c r="P19" s="708">
        <v>0</v>
      </c>
      <c r="Q19" s="708">
        <v>0</v>
      </c>
      <c r="R19" s="708">
        <v>0</v>
      </c>
      <c r="S19" s="709"/>
      <c r="T19" s="709"/>
      <c r="U19" s="709"/>
      <c r="V19" s="709"/>
      <c r="W19" s="710"/>
      <c r="X19" s="711" t="s">
        <v>626</v>
      </c>
      <c r="Y19" s="712">
        <v>0</v>
      </c>
      <c r="Z19" s="708">
        <v>0</v>
      </c>
      <c r="AA19" s="708">
        <v>0</v>
      </c>
      <c r="AB19" s="708">
        <v>0</v>
      </c>
      <c r="AC19" s="713">
        <v>0</v>
      </c>
      <c r="AD19" s="713">
        <v>0</v>
      </c>
      <c r="AE19" s="713">
        <v>0</v>
      </c>
      <c r="AF19" s="713">
        <v>0</v>
      </c>
      <c r="AG19" s="714">
        <v>0</v>
      </c>
      <c r="AH19" s="714">
        <v>0</v>
      </c>
      <c r="AI19" s="714">
        <v>0</v>
      </c>
      <c r="AJ19" s="714">
        <v>0</v>
      </c>
      <c r="AK19" s="708">
        <v>0</v>
      </c>
      <c r="AL19" s="708">
        <v>0</v>
      </c>
      <c r="AM19" s="708">
        <v>0</v>
      </c>
      <c r="AN19" s="708">
        <v>0</v>
      </c>
    </row>
    <row r="20" spans="1:41" ht="14.95" customHeight="1" thickBot="1" x14ac:dyDescent="0.3">
      <c r="A20" s="266"/>
      <c r="B20" s="267"/>
      <c r="C20" s="940" t="s">
        <v>627</v>
      </c>
      <c r="D20" s="943"/>
      <c r="E20" s="944"/>
      <c r="F20" s="708">
        <f>SUM(F18+F19)</f>
        <v>146</v>
      </c>
      <c r="G20" s="708">
        <f t="shared" ref="G20:R20" si="6">SUM(G18+G19)</f>
        <v>71</v>
      </c>
      <c r="H20" s="708">
        <f t="shared" si="6"/>
        <v>2</v>
      </c>
      <c r="I20" s="708">
        <f t="shared" si="6"/>
        <v>0</v>
      </c>
      <c r="J20" s="708">
        <f t="shared" si="6"/>
        <v>21</v>
      </c>
      <c r="K20" s="708">
        <f t="shared" si="6"/>
        <v>19</v>
      </c>
      <c r="L20" s="708">
        <f t="shared" si="6"/>
        <v>0</v>
      </c>
      <c r="M20" s="708">
        <f t="shared" si="6"/>
        <v>1</v>
      </c>
      <c r="N20" s="708">
        <f t="shared" si="6"/>
        <v>1</v>
      </c>
      <c r="O20" s="708">
        <f t="shared" si="6"/>
        <v>0</v>
      </c>
      <c r="P20" s="708">
        <f t="shared" si="6"/>
        <v>1</v>
      </c>
      <c r="Q20" s="708">
        <f t="shared" si="6"/>
        <v>0</v>
      </c>
      <c r="R20" s="708">
        <f t="shared" si="6"/>
        <v>10</v>
      </c>
      <c r="S20" s="709"/>
      <c r="T20" s="709"/>
      <c r="U20" s="709"/>
      <c r="V20" s="709"/>
      <c r="W20" s="710"/>
      <c r="X20" s="711" t="s">
        <v>627</v>
      </c>
      <c r="Y20" s="712">
        <f t="shared" ref="Y20:AN20" si="7">SUM(Y18+Y19)</f>
        <v>4</v>
      </c>
      <c r="Z20" s="708">
        <f t="shared" si="7"/>
        <v>2</v>
      </c>
      <c r="AA20" s="708">
        <f t="shared" si="7"/>
        <v>0</v>
      </c>
      <c r="AB20" s="708">
        <f t="shared" si="7"/>
        <v>2</v>
      </c>
      <c r="AC20" s="713">
        <f t="shared" si="7"/>
        <v>0</v>
      </c>
      <c r="AD20" s="713">
        <f t="shared" si="7"/>
        <v>0</v>
      </c>
      <c r="AE20" s="713">
        <f t="shared" si="7"/>
        <v>0</v>
      </c>
      <c r="AF20" s="713">
        <f t="shared" si="7"/>
        <v>0</v>
      </c>
      <c r="AG20" s="714">
        <f t="shared" si="7"/>
        <v>0</v>
      </c>
      <c r="AH20" s="714">
        <f t="shared" si="7"/>
        <v>0</v>
      </c>
      <c r="AI20" s="714">
        <f t="shared" si="7"/>
        <v>0</v>
      </c>
      <c r="AJ20" s="714">
        <f t="shared" si="7"/>
        <v>0</v>
      </c>
      <c r="AK20" s="708">
        <f t="shared" si="7"/>
        <v>4</v>
      </c>
      <c r="AL20" s="708">
        <f t="shared" si="7"/>
        <v>2</v>
      </c>
      <c r="AM20" s="708">
        <f t="shared" si="7"/>
        <v>0</v>
      </c>
      <c r="AN20" s="708">
        <f t="shared" si="7"/>
        <v>2</v>
      </c>
    </row>
    <row r="21" spans="1:41" ht="14.95" customHeight="1" thickBot="1" x14ac:dyDescent="0.3">
      <c r="A21" s="266"/>
      <c r="B21" s="267"/>
      <c r="C21" s="946" t="s">
        <v>107</v>
      </c>
      <c r="D21" s="947"/>
      <c r="E21" s="948"/>
      <c r="F21" s="343">
        <f t="shared" ref="F21:R21" si="8">SUM(F3:F15)</f>
        <v>374</v>
      </c>
      <c r="G21" s="343">
        <f t="shared" si="8"/>
        <v>239</v>
      </c>
      <c r="H21" s="343">
        <f t="shared" si="8"/>
        <v>5</v>
      </c>
      <c r="I21" s="343">
        <f t="shared" si="8"/>
        <v>0</v>
      </c>
      <c r="J21" s="343">
        <f t="shared" si="8"/>
        <v>53</v>
      </c>
      <c r="K21" s="343">
        <f t="shared" si="8"/>
        <v>41</v>
      </c>
      <c r="L21" s="343">
        <f t="shared" si="8"/>
        <v>0</v>
      </c>
      <c r="M21" s="343">
        <f t="shared" si="8"/>
        <v>9</v>
      </c>
      <c r="N21" s="343">
        <f t="shared" si="8"/>
        <v>3</v>
      </c>
      <c r="O21" s="343">
        <f t="shared" si="8"/>
        <v>2</v>
      </c>
      <c r="P21" s="343">
        <f t="shared" si="8"/>
        <v>2</v>
      </c>
      <c r="Q21" s="343">
        <f t="shared" si="8"/>
        <v>1</v>
      </c>
      <c r="R21" s="343">
        <f t="shared" si="8"/>
        <v>29</v>
      </c>
      <c r="S21" s="340"/>
      <c r="T21" s="340"/>
      <c r="U21" s="340"/>
      <c r="V21" s="340"/>
      <c r="W21" s="13"/>
      <c r="X21" s="364" t="s">
        <v>107</v>
      </c>
      <c r="Y21" s="343">
        <f t="shared" ref="Y21:AN21" si="9">SUM(Y3:Y15)</f>
        <v>13</v>
      </c>
      <c r="Z21" s="343">
        <f t="shared" si="9"/>
        <v>8</v>
      </c>
      <c r="AA21" s="343">
        <f t="shared" si="9"/>
        <v>0</v>
      </c>
      <c r="AB21" s="343">
        <f t="shared" si="9"/>
        <v>5</v>
      </c>
      <c r="AC21" s="341">
        <f t="shared" si="9"/>
        <v>6</v>
      </c>
      <c r="AD21" s="341">
        <f t="shared" si="9"/>
        <v>5</v>
      </c>
      <c r="AE21" s="341">
        <f t="shared" si="9"/>
        <v>0</v>
      </c>
      <c r="AF21" s="341">
        <f t="shared" si="9"/>
        <v>1</v>
      </c>
      <c r="AG21" s="342">
        <f t="shared" si="9"/>
        <v>3</v>
      </c>
      <c r="AH21" s="342">
        <f t="shared" si="9"/>
        <v>1</v>
      </c>
      <c r="AI21" s="342">
        <f t="shared" si="9"/>
        <v>0</v>
      </c>
      <c r="AJ21" s="342">
        <f t="shared" si="9"/>
        <v>2</v>
      </c>
      <c r="AK21" s="343">
        <f t="shared" si="9"/>
        <v>4</v>
      </c>
      <c r="AL21" s="343">
        <f t="shared" si="9"/>
        <v>2</v>
      </c>
      <c r="AM21" s="343">
        <f t="shared" si="9"/>
        <v>0</v>
      </c>
      <c r="AN21" s="343">
        <f t="shared" si="9"/>
        <v>2</v>
      </c>
    </row>
    <row r="22" spans="1:41" ht="14.95" customHeight="1" x14ac:dyDescent="0.25">
      <c r="A22" s="965" t="s">
        <v>58</v>
      </c>
      <c r="B22" s="886"/>
      <c r="C22" s="886"/>
      <c r="D22" s="886"/>
      <c r="E22" s="886"/>
      <c r="F22" s="886"/>
      <c r="G22" s="886"/>
      <c r="H22" s="886"/>
      <c r="I22" s="886"/>
      <c r="J22" s="886"/>
      <c r="K22" s="886"/>
      <c r="L22" s="886"/>
      <c r="M22" s="886"/>
      <c r="N22" s="886"/>
      <c r="O22" s="886"/>
      <c r="P22" s="886"/>
      <c r="Q22" s="886"/>
      <c r="R22" s="886"/>
      <c r="S22" s="886"/>
      <c r="T22" s="886"/>
      <c r="U22" s="886"/>
      <c r="V22" s="886"/>
      <c r="W22" s="886"/>
      <c r="X22" s="886"/>
      <c r="Y22" s="886"/>
      <c r="Z22" s="886"/>
      <c r="AA22" s="886"/>
      <c r="AB22" s="886"/>
      <c r="AC22" s="886"/>
      <c r="AD22" s="886"/>
      <c r="AE22" s="886"/>
      <c r="AF22" s="886"/>
      <c r="AG22" s="886"/>
      <c r="AH22" s="886"/>
      <c r="AI22" s="886"/>
      <c r="AJ22" s="886"/>
      <c r="AK22" s="886"/>
      <c r="AL22" s="886"/>
      <c r="AM22" s="886"/>
      <c r="AN22" s="886"/>
    </row>
    <row r="23" spans="1:41" ht="14.95" customHeight="1" x14ac:dyDescent="0.25">
      <c r="A23" s="496" t="s">
        <v>248</v>
      </c>
    </row>
    <row r="24" spans="1:41" ht="14.95" customHeight="1" x14ac:dyDescent="0.25">
      <c r="A24" s="496" t="s">
        <v>247</v>
      </c>
    </row>
    <row r="25" spans="1:41" ht="14.95" customHeight="1" x14ac:dyDescent="0.25">
      <c r="A25" s="496" t="s">
        <v>238</v>
      </c>
    </row>
    <row r="26" spans="1:41" ht="14.95" customHeight="1" x14ac:dyDescent="0.25">
      <c r="A26" s="452" t="s">
        <v>237</v>
      </c>
    </row>
    <row r="27" spans="1:41" ht="14.95" customHeight="1" x14ac:dyDescent="0.25">
      <c r="A27" s="452" t="s">
        <v>236</v>
      </c>
    </row>
    <row r="28" spans="1:41" ht="14.95" customHeight="1" x14ac:dyDescent="0.25">
      <c r="A28" s="452" t="s">
        <v>163</v>
      </c>
    </row>
    <row r="29" spans="1:41" ht="14.95" customHeight="1" x14ac:dyDescent="0.25">
      <c r="A29" s="575"/>
      <c r="B29" t="s">
        <v>44</v>
      </c>
    </row>
    <row r="30" spans="1:41" ht="14.95" customHeight="1" x14ac:dyDescent="0.25">
      <c r="A30" s="576"/>
      <c r="B30" t="s">
        <v>42</v>
      </c>
    </row>
    <row r="31" spans="1:41" ht="14.95" customHeight="1" x14ac:dyDescent="0.25">
      <c r="A31" s="577"/>
      <c r="B31" t="s">
        <v>43</v>
      </c>
    </row>
    <row r="32" spans="1:41" ht="14.95" customHeight="1" x14ac:dyDescent="0.25">
      <c r="A32" s="15" t="s">
        <v>28</v>
      </c>
    </row>
  </sheetData>
  <mergeCells count="17">
    <mergeCell ref="C20:E20"/>
    <mergeCell ref="A22:AN22"/>
    <mergeCell ref="AK1:AN1"/>
    <mergeCell ref="P1:R1"/>
    <mergeCell ref="H1:I1"/>
    <mergeCell ref="J1:M1"/>
    <mergeCell ref="N1:O1"/>
    <mergeCell ref="Y1:AB1"/>
    <mergeCell ref="AC1:AF1"/>
    <mergeCell ref="C16:E16"/>
    <mergeCell ref="C21:E21"/>
    <mergeCell ref="A1:C1"/>
    <mergeCell ref="E1:G1"/>
    <mergeCell ref="AG1:AJ1"/>
    <mergeCell ref="C17:E17"/>
    <mergeCell ref="C18:E18"/>
    <mergeCell ref="C19:E19"/>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T34"/>
  <sheetViews>
    <sheetView zoomScaleNormal="100" workbookViewId="0">
      <selection activeCell="X11" sqref="X11"/>
    </sheetView>
  </sheetViews>
  <sheetFormatPr defaultRowHeight="14.3" x14ac:dyDescent="0.25"/>
  <cols>
    <col min="1" max="1" width="7.5" customWidth="1"/>
    <col min="2" max="2" width="5.125" bestFit="1" customWidth="1"/>
    <col min="3" max="3" width="11.5" customWidth="1"/>
    <col min="4" max="4" width="4.875" bestFit="1" customWidth="1"/>
    <col min="5" max="5" width="3.625" customWidth="1"/>
    <col min="6" max="7" width="4" bestFit="1" customWidth="1"/>
    <col min="8" max="18" width="3.625" customWidth="1"/>
    <col min="19" max="20" width="6.375" customWidth="1"/>
    <col min="21" max="22" width="20.5" bestFit="1" customWidth="1"/>
    <col min="23" max="24" width="31" bestFit="1" customWidth="1"/>
    <col min="25" max="40" width="3.625" customWidth="1"/>
    <col min="42" max="42" width="13.125" bestFit="1" customWidth="1"/>
    <col min="45" max="45" width="13.125" bestFit="1" customWidth="1"/>
  </cols>
  <sheetData>
    <row r="1" spans="1:46" ht="14.95" customHeight="1" thickBot="1" x14ac:dyDescent="0.3">
      <c r="A1" s="1131" t="s">
        <v>216</v>
      </c>
      <c r="B1" s="1132"/>
      <c r="C1" s="1132"/>
      <c r="D1" s="147"/>
      <c r="E1" s="1133" t="s">
        <v>24</v>
      </c>
      <c r="F1" s="1134"/>
      <c r="G1" s="1135"/>
      <c r="H1" s="1133" t="s">
        <v>23</v>
      </c>
      <c r="I1" s="1135"/>
      <c r="J1" s="1128" t="s">
        <v>6</v>
      </c>
      <c r="K1" s="1129"/>
      <c r="L1" s="1129"/>
      <c r="M1" s="1130"/>
      <c r="N1" s="1128" t="s">
        <v>7</v>
      </c>
      <c r="O1" s="1130"/>
      <c r="P1" s="1128" t="s">
        <v>25</v>
      </c>
      <c r="Q1" s="1129"/>
      <c r="R1" s="1130"/>
      <c r="S1" s="352" t="s">
        <v>8</v>
      </c>
      <c r="T1" s="352" t="s">
        <v>9</v>
      </c>
      <c r="U1" s="68" t="s">
        <v>10</v>
      </c>
      <c r="V1" s="67" t="s">
        <v>11</v>
      </c>
      <c r="W1" s="69" t="s">
        <v>26</v>
      </c>
      <c r="X1" s="153" t="s">
        <v>27</v>
      </c>
      <c r="Y1" s="1127" t="s">
        <v>20</v>
      </c>
      <c r="Z1" s="963"/>
      <c r="AA1" s="963"/>
      <c r="AB1" s="964"/>
      <c r="AC1" s="1127" t="s">
        <v>61</v>
      </c>
      <c r="AD1" s="963"/>
      <c r="AE1" s="963"/>
      <c r="AF1" s="964"/>
      <c r="AG1" s="1127" t="s">
        <v>62</v>
      </c>
      <c r="AH1" s="963"/>
      <c r="AI1" s="963"/>
      <c r="AJ1" s="964"/>
      <c r="AK1" s="1127" t="s">
        <v>63</v>
      </c>
      <c r="AL1" s="963"/>
      <c r="AM1" s="963"/>
      <c r="AN1" s="964"/>
      <c r="AP1" s="337" t="s">
        <v>158</v>
      </c>
      <c r="AQ1" s="322"/>
      <c r="AR1" s="322"/>
      <c r="AS1" s="337" t="s">
        <v>158</v>
      </c>
    </row>
    <row r="2" spans="1:46" ht="14.95" customHeight="1" thickBot="1" x14ac:dyDescent="0.3">
      <c r="A2" s="70" t="s">
        <v>19</v>
      </c>
      <c r="B2" s="71" t="s">
        <v>18</v>
      </c>
      <c r="C2" s="72" t="s">
        <v>17</v>
      </c>
      <c r="D2" s="73" t="s">
        <v>41</v>
      </c>
      <c r="E2" s="73" t="s">
        <v>16</v>
      </c>
      <c r="F2" s="73" t="s">
        <v>4</v>
      </c>
      <c r="G2" s="73" t="s">
        <v>5</v>
      </c>
      <c r="H2" s="74" t="s">
        <v>12</v>
      </c>
      <c r="I2" s="74" t="s">
        <v>3</v>
      </c>
      <c r="J2" s="74" t="s">
        <v>12</v>
      </c>
      <c r="K2" s="74" t="s">
        <v>13</v>
      </c>
      <c r="L2" s="74" t="s">
        <v>2</v>
      </c>
      <c r="M2" s="74" t="s">
        <v>14</v>
      </c>
      <c r="N2" s="74" t="s">
        <v>15</v>
      </c>
      <c r="O2" s="74" t="s">
        <v>16</v>
      </c>
      <c r="P2" s="74" t="s">
        <v>21</v>
      </c>
      <c r="Q2" s="74" t="s">
        <v>22</v>
      </c>
      <c r="R2" s="74" t="s">
        <v>12</v>
      </c>
      <c r="S2" s="75"/>
      <c r="T2" s="76"/>
      <c r="U2" s="77"/>
      <c r="V2" s="75"/>
      <c r="W2" s="78"/>
      <c r="X2" s="79"/>
      <c r="Y2" s="288" t="s">
        <v>0</v>
      </c>
      <c r="Z2" s="288" t="s">
        <v>1</v>
      </c>
      <c r="AA2" s="288" t="s">
        <v>2</v>
      </c>
      <c r="AB2" s="288" t="s">
        <v>3</v>
      </c>
      <c r="AC2" s="288" t="s">
        <v>0</v>
      </c>
      <c r="AD2" s="288" t="s">
        <v>1</v>
      </c>
      <c r="AE2" s="288" t="s">
        <v>2</v>
      </c>
      <c r="AF2" s="288" t="s">
        <v>3</v>
      </c>
      <c r="AG2" s="288" t="s">
        <v>0</v>
      </c>
      <c r="AH2" s="288" t="s">
        <v>1</v>
      </c>
      <c r="AI2" s="288" t="s">
        <v>2</v>
      </c>
      <c r="AJ2" s="288" t="s">
        <v>3</v>
      </c>
      <c r="AK2" s="288" t="s">
        <v>0</v>
      </c>
      <c r="AL2" s="288" t="s">
        <v>1</v>
      </c>
      <c r="AM2" s="288" t="s">
        <v>2</v>
      </c>
      <c r="AN2" s="288" t="s">
        <v>3</v>
      </c>
      <c r="AP2" s="305" t="s">
        <v>107</v>
      </c>
      <c r="AQ2" s="189"/>
      <c r="AS2" s="336" t="s">
        <v>128</v>
      </c>
      <c r="AT2" s="189"/>
    </row>
    <row r="3" spans="1:46" ht="14.95" customHeight="1" thickBot="1" x14ac:dyDescent="0.35">
      <c r="A3" s="423" t="s">
        <v>631</v>
      </c>
      <c r="B3" s="441" t="s">
        <v>541</v>
      </c>
      <c r="C3" s="424" t="s">
        <v>29</v>
      </c>
      <c r="D3" s="436" t="s">
        <v>191</v>
      </c>
      <c r="E3" s="425" t="s">
        <v>1</v>
      </c>
      <c r="F3" s="425">
        <v>43</v>
      </c>
      <c r="G3" s="425">
        <v>12</v>
      </c>
      <c r="H3" s="425">
        <v>1</v>
      </c>
      <c r="I3" s="425">
        <v>0</v>
      </c>
      <c r="J3" s="425">
        <v>6</v>
      </c>
      <c r="K3" s="425">
        <v>3</v>
      </c>
      <c r="L3" s="425">
        <v>0</v>
      </c>
      <c r="M3" s="425">
        <v>1</v>
      </c>
      <c r="N3" s="425">
        <v>0</v>
      </c>
      <c r="O3" s="425">
        <v>0</v>
      </c>
      <c r="P3" s="425">
        <v>0</v>
      </c>
      <c r="Q3" s="425">
        <v>0</v>
      </c>
      <c r="R3" s="425">
        <v>2</v>
      </c>
      <c r="S3" s="426">
        <v>50089</v>
      </c>
      <c r="T3" s="438" t="s">
        <v>542</v>
      </c>
      <c r="U3" s="428" t="s">
        <v>271</v>
      </c>
      <c r="V3" s="426" t="s">
        <v>270</v>
      </c>
      <c r="W3" s="429" t="s">
        <v>269</v>
      </c>
      <c r="X3" s="430" t="s">
        <v>420</v>
      </c>
      <c r="Y3" s="431">
        <v>1</v>
      </c>
      <c r="Z3" s="431">
        <v>1</v>
      </c>
      <c r="AA3" s="431">
        <v>0</v>
      </c>
      <c r="AB3" s="432">
        <v>0</v>
      </c>
      <c r="AC3" s="431">
        <v>1</v>
      </c>
      <c r="AD3" s="431">
        <v>1</v>
      </c>
      <c r="AE3" s="431">
        <v>0</v>
      </c>
      <c r="AF3" s="432">
        <v>0</v>
      </c>
      <c r="AG3" s="431">
        <v>0</v>
      </c>
      <c r="AH3" s="431">
        <v>0</v>
      </c>
      <c r="AI3" s="431">
        <v>0</v>
      </c>
      <c r="AJ3" s="432">
        <v>0</v>
      </c>
      <c r="AK3" s="431">
        <v>0</v>
      </c>
      <c r="AL3" s="431">
        <v>0</v>
      </c>
      <c r="AM3" s="431">
        <v>0</v>
      </c>
      <c r="AN3" s="432">
        <v>0</v>
      </c>
      <c r="AP3" s="316" t="s">
        <v>130</v>
      </c>
      <c r="AQ3" s="317">
        <f>Rsaalltestshistplayed</f>
        <v>541</v>
      </c>
      <c r="AS3" s="316" t="s">
        <v>130</v>
      </c>
      <c r="AT3" s="317">
        <f>RsaRWChistplayed</f>
        <v>49</v>
      </c>
    </row>
    <row r="4" spans="1:46" ht="14.95" customHeight="1" thickBot="1" x14ac:dyDescent="0.3">
      <c r="A4" s="396" t="s">
        <v>632</v>
      </c>
      <c r="B4" s="397" t="s">
        <v>541</v>
      </c>
      <c r="C4" s="398" t="s">
        <v>117</v>
      </c>
      <c r="D4" s="397" t="s">
        <v>127</v>
      </c>
      <c r="E4" s="399" t="s">
        <v>3</v>
      </c>
      <c r="F4" s="399">
        <v>20</v>
      </c>
      <c r="G4" s="400">
        <v>35</v>
      </c>
      <c r="H4" s="400">
        <v>0</v>
      </c>
      <c r="I4" s="399">
        <v>0</v>
      </c>
      <c r="J4" s="399">
        <v>3</v>
      </c>
      <c r="K4" s="399">
        <v>1</v>
      </c>
      <c r="L4" s="399">
        <v>0</v>
      </c>
      <c r="M4" s="399">
        <v>1</v>
      </c>
      <c r="N4" s="399">
        <v>0</v>
      </c>
      <c r="O4" s="399">
        <v>0</v>
      </c>
      <c r="P4" s="399">
        <v>0</v>
      </c>
      <c r="Q4" s="399">
        <v>0</v>
      </c>
      <c r="R4" s="399">
        <v>4</v>
      </c>
      <c r="S4" s="406">
        <v>31265</v>
      </c>
      <c r="T4" s="410" t="s">
        <v>578</v>
      </c>
      <c r="U4" s="401" t="s">
        <v>364</v>
      </c>
      <c r="V4" s="406" t="s">
        <v>279</v>
      </c>
      <c r="W4" s="401" t="s">
        <v>265</v>
      </c>
      <c r="X4" s="409" t="s">
        <v>467</v>
      </c>
      <c r="Y4" s="401">
        <v>1</v>
      </c>
      <c r="Z4" s="401">
        <v>0</v>
      </c>
      <c r="AA4" s="401">
        <v>0</v>
      </c>
      <c r="AB4" s="417">
        <v>1</v>
      </c>
      <c r="AC4" s="401">
        <v>0</v>
      </c>
      <c r="AD4" s="401">
        <v>0</v>
      </c>
      <c r="AE4" s="401">
        <v>0</v>
      </c>
      <c r="AF4" s="417">
        <v>0</v>
      </c>
      <c r="AG4" s="401">
        <v>1</v>
      </c>
      <c r="AH4" s="401">
        <v>0</v>
      </c>
      <c r="AI4" s="401">
        <v>0</v>
      </c>
      <c r="AJ4" s="417">
        <v>1</v>
      </c>
      <c r="AK4" s="401">
        <v>0</v>
      </c>
      <c r="AL4" s="401">
        <v>0</v>
      </c>
      <c r="AM4" s="401">
        <v>0</v>
      </c>
      <c r="AN4" s="417">
        <v>0</v>
      </c>
      <c r="AP4" s="318" t="s">
        <v>131</v>
      </c>
      <c r="AQ4" s="319">
        <f>Rsaalltestshistwon</f>
        <v>341</v>
      </c>
      <c r="AS4" s="318" t="s">
        <v>131</v>
      </c>
      <c r="AT4" s="319">
        <f>RsaRWChistwon</f>
        <v>41</v>
      </c>
    </row>
    <row r="5" spans="1:46" ht="14.95" customHeight="1" thickBot="1" x14ac:dyDescent="0.35">
      <c r="A5" s="423" t="s">
        <v>332</v>
      </c>
      <c r="B5" s="436" t="s">
        <v>541</v>
      </c>
      <c r="C5" s="424" t="s">
        <v>37</v>
      </c>
      <c r="D5" s="436" t="s">
        <v>630</v>
      </c>
      <c r="E5" s="425" t="s">
        <v>1</v>
      </c>
      <c r="F5" s="425">
        <v>22</v>
      </c>
      <c r="G5" s="437">
        <v>21</v>
      </c>
      <c r="H5" s="437">
        <v>0</v>
      </c>
      <c r="I5" s="425">
        <v>0</v>
      </c>
      <c r="J5" s="425">
        <v>3</v>
      </c>
      <c r="K5" s="425">
        <v>2</v>
      </c>
      <c r="L5" s="425">
        <v>0</v>
      </c>
      <c r="M5" s="425">
        <v>1</v>
      </c>
      <c r="N5" s="425">
        <v>1</v>
      </c>
      <c r="O5" s="425">
        <v>0</v>
      </c>
      <c r="P5" s="425">
        <v>0</v>
      </c>
      <c r="Q5" s="425">
        <v>1</v>
      </c>
      <c r="R5" s="425">
        <v>2</v>
      </c>
      <c r="S5" s="429">
        <v>45000</v>
      </c>
      <c r="T5" s="447" t="s">
        <v>700</v>
      </c>
      <c r="U5" s="434" t="s">
        <v>346</v>
      </c>
      <c r="V5" s="429" t="s">
        <v>432</v>
      </c>
      <c r="W5" s="429" t="s">
        <v>402</v>
      </c>
      <c r="X5" s="428" t="s">
        <v>349</v>
      </c>
      <c r="Y5" s="429">
        <v>1</v>
      </c>
      <c r="Z5" s="429">
        <v>1</v>
      </c>
      <c r="AA5" s="429">
        <v>0</v>
      </c>
      <c r="AB5" s="443">
        <v>0</v>
      </c>
      <c r="AC5" s="429">
        <v>1</v>
      </c>
      <c r="AD5" s="429">
        <v>1</v>
      </c>
      <c r="AE5" s="429">
        <v>0</v>
      </c>
      <c r="AF5" s="443">
        <v>0</v>
      </c>
      <c r="AG5" s="429">
        <v>0</v>
      </c>
      <c r="AH5" s="429">
        <v>0</v>
      </c>
      <c r="AI5" s="429">
        <v>0</v>
      </c>
      <c r="AJ5" s="443">
        <v>0</v>
      </c>
      <c r="AK5" s="429">
        <v>0</v>
      </c>
      <c r="AL5" s="429">
        <v>0</v>
      </c>
      <c r="AM5" s="429">
        <v>0</v>
      </c>
      <c r="AN5" s="443">
        <v>0</v>
      </c>
      <c r="AP5" s="318" t="s">
        <v>137</v>
      </c>
      <c r="AQ5" s="319">
        <f>Rsaalltestshistdrawn</f>
        <v>24</v>
      </c>
      <c r="AS5" s="318" t="s">
        <v>137</v>
      </c>
      <c r="AT5" s="319">
        <f>RsaRWChistdrawn</f>
        <v>0</v>
      </c>
    </row>
    <row r="6" spans="1:46" ht="14.95" customHeight="1" thickBot="1" x14ac:dyDescent="0.3">
      <c r="A6" s="396" t="s">
        <v>322</v>
      </c>
      <c r="B6" s="412" t="s">
        <v>45</v>
      </c>
      <c r="C6" s="398" t="s">
        <v>37</v>
      </c>
      <c r="D6" s="397" t="s">
        <v>195</v>
      </c>
      <c r="E6" s="399" t="s">
        <v>1</v>
      </c>
      <c r="F6" s="399">
        <v>24</v>
      </c>
      <c r="G6" s="400">
        <v>13</v>
      </c>
      <c r="H6" s="455" t="s">
        <v>106</v>
      </c>
      <c r="I6" s="400" t="s">
        <v>106</v>
      </c>
      <c r="J6" s="399">
        <v>2</v>
      </c>
      <c r="K6" s="399">
        <v>1</v>
      </c>
      <c r="L6" s="399">
        <v>0</v>
      </c>
      <c r="M6" s="399">
        <v>4</v>
      </c>
      <c r="N6" s="399">
        <v>1</v>
      </c>
      <c r="O6" s="399">
        <v>0</v>
      </c>
      <c r="P6" s="399" t="s">
        <v>106</v>
      </c>
      <c r="Q6" s="399" t="s">
        <v>106</v>
      </c>
      <c r="R6" s="399">
        <v>1</v>
      </c>
      <c r="S6" s="401">
        <v>60000</v>
      </c>
      <c r="T6" s="792" t="s">
        <v>748</v>
      </c>
      <c r="U6" s="402" t="s">
        <v>402</v>
      </c>
      <c r="V6" s="401" t="s">
        <v>347</v>
      </c>
      <c r="W6" s="401" t="s">
        <v>346</v>
      </c>
      <c r="X6" s="403" t="s">
        <v>349</v>
      </c>
      <c r="Y6" s="401">
        <v>1</v>
      </c>
      <c r="Z6" s="401">
        <v>1</v>
      </c>
      <c r="AA6" s="401">
        <v>0</v>
      </c>
      <c r="AB6" s="417">
        <v>0</v>
      </c>
      <c r="AC6" s="401">
        <v>0</v>
      </c>
      <c r="AD6" s="401">
        <v>0</v>
      </c>
      <c r="AE6" s="401">
        <v>0</v>
      </c>
      <c r="AF6" s="417">
        <v>0</v>
      </c>
      <c r="AG6" s="401">
        <v>1</v>
      </c>
      <c r="AH6" s="401">
        <v>1</v>
      </c>
      <c r="AI6" s="401">
        <v>0</v>
      </c>
      <c r="AJ6" s="417">
        <v>0</v>
      </c>
      <c r="AK6" s="401">
        <v>0</v>
      </c>
      <c r="AL6" s="401">
        <v>0</v>
      </c>
      <c r="AM6" s="401">
        <v>0</v>
      </c>
      <c r="AN6" s="417">
        <v>0</v>
      </c>
      <c r="AP6" s="318" t="s">
        <v>132</v>
      </c>
      <c r="AQ6" s="319">
        <f>Rsaalltestshistlost</f>
        <v>176</v>
      </c>
      <c r="AS6" s="318" t="s">
        <v>132</v>
      </c>
      <c r="AT6" s="319">
        <f>RsaRWChistlost</f>
        <v>8</v>
      </c>
    </row>
    <row r="7" spans="1:46" ht="14.95" customHeight="1" thickBot="1" x14ac:dyDescent="0.35">
      <c r="A7" s="396" t="s">
        <v>324</v>
      </c>
      <c r="B7" s="397" t="s">
        <v>178</v>
      </c>
      <c r="C7" s="398" t="s">
        <v>32</v>
      </c>
      <c r="D7" s="397" t="s">
        <v>111</v>
      </c>
      <c r="E7" s="399" t="s">
        <v>1</v>
      </c>
      <c r="F7" s="399">
        <v>52</v>
      </c>
      <c r="G7" s="400">
        <v>16</v>
      </c>
      <c r="H7" s="400" t="s">
        <v>106</v>
      </c>
      <c r="I7" s="399" t="s">
        <v>106</v>
      </c>
      <c r="J7" s="399">
        <v>8</v>
      </c>
      <c r="K7" s="399">
        <v>5</v>
      </c>
      <c r="L7" s="399">
        <v>0</v>
      </c>
      <c r="M7" s="399">
        <v>0</v>
      </c>
      <c r="N7" s="399">
        <v>1</v>
      </c>
      <c r="O7" s="399">
        <v>0</v>
      </c>
      <c r="P7" s="399" t="s">
        <v>106</v>
      </c>
      <c r="Q7" s="399" t="s">
        <v>106</v>
      </c>
      <c r="R7" s="399">
        <v>1</v>
      </c>
      <c r="S7" s="401">
        <v>68511</v>
      </c>
      <c r="T7" s="456" t="s">
        <v>786</v>
      </c>
      <c r="U7" s="402" t="s">
        <v>346</v>
      </c>
      <c r="V7" s="401" t="s">
        <v>431</v>
      </c>
      <c r="W7" s="401" t="s">
        <v>349</v>
      </c>
      <c r="X7" s="403" t="s">
        <v>391</v>
      </c>
      <c r="Y7" s="401">
        <v>1</v>
      </c>
      <c r="Z7" s="401">
        <v>1</v>
      </c>
      <c r="AA7" s="401">
        <v>0</v>
      </c>
      <c r="AB7" s="417">
        <v>0</v>
      </c>
      <c r="AC7" s="401">
        <v>0</v>
      </c>
      <c r="AD7" s="401">
        <v>0</v>
      </c>
      <c r="AE7" s="401">
        <v>0</v>
      </c>
      <c r="AF7" s="417">
        <v>0</v>
      </c>
      <c r="AG7" s="401">
        <v>1</v>
      </c>
      <c r="AH7" s="401">
        <v>1</v>
      </c>
      <c r="AI7" s="401">
        <v>0</v>
      </c>
      <c r="AJ7" s="417">
        <v>0</v>
      </c>
      <c r="AK7" s="401">
        <v>0</v>
      </c>
      <c r="AL7" s="401">
        <v>0</v>
      </c>
      <c r="AM7" s="401">
        <v>0</v>
      </c>
      <c r="AN7" s="417">
        <v>0</v>
      </c>
      <c r="AP7" s="318" t="s">
        <v>138</v>
      </c>
      <c r="AQ7" s="319">
        <f>Rsaalltestshistptsscored</f>
        <v>12923</v>
      </c>
      <c r="AS7" s="318" t="s">
        <v>138</v>
      </c>
      <c r="AT7" s="319">
        <f>RsaRWChistptsscored</f>
        <v>1720</v>
      </c>
    </row>
    <row r="8" spans="1:46" ht="14.95" customHeight="1" thickBot="1" x14ac:dyDescent="0.35">
      <c r="A8" s="464" t="s">
        <v>663</v>
      </c>
      <c r="B8" s="554" t="s">
        <v>45</v>
      </c>
      <c r="C8" s="465" t="s">
        <v>117</v>
      </c>
      <c r="D8" s="554" t="s">
        <v>115</v>
      </c>
      <c r="E8" s="453" t="s">
        <v>1</v>
      </c>
      <c r="F8" s="453">
        <v>35</v>
      </c>
      <c r="G8" s="555">
        <v>7</v>
      </c>
      <c r="H8" s="555" t="s">
        <v>106</v>
      </c>
      <c r="I8" s="453" t="s">
        <v>106</v>
      </c>
      <c r="J8" s="453">
        <v>5</v>
      </c>
      <c r="K8" s="453">
        <v>5</v>
      </c>
      <c r="L8" s="453">
        <v>0</v>
      </c>
      <c r="M8" s="453">
        <v>0</v>
      </c>
      <c r="N8" s="453">
        <v>1</v>
      </c>
      <c r="O8" s="453">
        <v>0</v>
      </c>
      <c r="P8" s="453" t="s">
        <v>106</v>
      </c>
      <c r="Q8" s="453" t="s">
        <v>106</v>
      </c>
      <c r="R8" s="453">
        <v>1</v>
      </c>
      <c r="S8" s="463">
        <v>80827</v>
      </c>
      <c r="T8" s="491" t="s">
        <v>801</v>
      </c>
      <c r="U8" s="463" t="s">
        <v>278</v>
      </c>
      <c r="V8" s="463" t="s">
        <v>696</v>
      </c>
      <c r="W8" s="463" t="s">
        <v>436</v>
      </c>
      <c r="X8" s="565" t="s">
        <v>414</v>
      </c>
      <c r="Y8" s="463">
        <v>1</v>
      </c>
      <c r="Z8" s="463">
        <v>1</v>
      </c>
      <c r="AA8" s="463">
        <v>0</v>
      </c>
      <c r="AB8" s="557">
        <v>0</v>
      </c>
      <c r="AC8" s="463">
        <v>0</v>
      </c>
      <c r="AD8" s="463">
        <v>0</v>
      </c>
      <c r="AE8" s="463">
        <v>0</v>
      </c>
      <c r="AF8" s="557">
        <v>0</v>
      </c>
      <c r="AG8" s="463">
        <v>0</v>
      </c>
      <c r="AH8" s="463">
        <v>0</v>
      </c>
      <c r="AI8" s="463">
        <v>0</v>
      </c>
      <c r="AJ8" s="557">
        <v>0</v>
      </c>
      <c r="AK8" s="463">
        <v>1</v>
      </c>
      <c r="AL8" s="463">
        <v>1</v>
      </c>
      <c r="AM8" s="463">
        <v>0</v>
      </c>
      <c r="AN8" s="557">
        <v>0</v>
      </c>
      <c r="AP8" s="318" t="s">
        <v>139</v>
      </c>
      <c r="AQ8" s="319">
        <f>Rsaalltestshistptscon</f>
        <v>8826</v>
      </c>
      <c r="AS8" s="318" t="s">
        <v>139</v>
      </c>
      <c r="AT8" s="319">
        <f>RsaRWChistptscon</f>
        <v>641</v>
      </c>
    </row>
    <row r="9" spans="1:46" ht="14.95" customHeight="1" thickBot="1" x14ac:dyDescent="0.35">
      <c r="A9" s="489" t="s">
        <v>359</v>
      </c>
      <c r="B9" s="490" t="s">
        <v>198</v>
      </c>
      <c r="C9" s="490" t="s">
        <v>35</v>
      </c>
      <c r="D9" s="490" t="s">
        <v>229</v>
      </c>
      <c r="E9" s="453" t="s">
        <v>1</v>
      </c>
      <c r="F9" s="453">
        <v>18</v>
      </c>
      <c r="G9" s="555">
        <v>3</v>
      </c>
      <c r="H9" s="555">
        <v>0</v>
      </c>
      <c r="I9" s="453">
        <v>0</v>
      </c>
      <c r="J9" s="453">
        <v>2</v>
      </c>
      <c r="K9" s="453">
        <v>1</v>
      </c>
      <c r="L9" s="453">
        <v>0</v>
      </c>
      <c r="M9" s="453">
        <v>2</v>
      </c>
      <c r="N9" s="453">
        <v>0</v>
      </c>
      <c r="O9" s="453">
        <v>0</v>
      </c>
      <c r="P9" s="453">
        <v>0</v>
      </c>
      <c r="Q9" s="453">
        <v>0</v>
      </c>
      <c r="R9" s="453">
        <v>0</v>
      </c>
      <c r="S9" s="466">
        <v>63586</v>
      </c>
      <c r="T9" s="469" t="s">
        <v>831</v>
      </c>
      <c r="U9" s="467" t="s">
        <v>265</v>
      </c>
      <c r="V9" s="466" t="s">
        <v>402</v>
      </c>
      <c r="W9" s="463" t="s">
        <v>281</v>
      </c>
      <c r="X9" s="468" t="s">
        <v>279</v>
      </c>
      <c r="Y9" s="463">
        <v>1</v>
      </c>
      <c r="Z9" s="463">
        <v>1</v>
      </c>
      <c r="AA9" s="463">
        <v>0</v>
      </c>
      <c r="AB9" s="557">
        <v>0</v>
      </c>
      <c r="AC9" s="463">
        <v>0</v>
      </c>
      <c r="AD9" s="463">
        <v>0</v>
      </c>
      <c r="AE9" s="463">
        <v>0</v>
      </c>
      <c r="AF9" s="557">
        <v>0</v>
      </c>
      <c r="AG9" s="463">
        <v>0</v>
      </c>
      <c r="AH9" s="463">
        <v>0</v>
      </c>
      <c r="AI9" s="463">
        <v>0</v>
      </c>
      <c r="AJ9" s="557">
        <v>0</v>
      </c>
      <c r="AK9" s="463">
        <v>0</v>
      </c>
      <c r="AL9" s="463">
        <v>0</v>
      </c>
      <c r="AM9" s="463">
        <v>0</v>
      </c>
      <c r="AN9" s="557">
        <v>0</v>
      </c>
      <c r="AP9" s="318" t="s">
        <v>129</v>
      </c>
      <c r="AQ9" s="319">
        <f>Rsaalltestshisttriesscored</f>
        <v>1550</v>
      </c>
      <c r="AS9" s="318" t="s">
        <v>129</v>
      </c>
      <c r="AT9" s="319">
        <f>RsaRWChisttriesscored</f>
        <v>201</v>
      </c>
    </row>
    <row r="10" spans="1:46" ht="14.95" customHeight="1" thickBot="1" x14ac:dyDescent="0.35">
      <c r="A10" s="489" t="s">
        <v>327</v>
      </c>
      <c r="B10" s="562" t="s">
        <v>198</v>
      </c>
      <c r="C10" s="524" t="s">
        <v>122</v>
      </c>
      <c r="D10" s="490" t="s">
        <v>228</v>
      </c>
      <c r="E10" s="453" t="s">
        <v>1</v>
      </c>
      <c r="F10" s="453">
        <v>76</v>
      </c>
      <c r="G10" s="555">
        <v>0</v>
      </c>
      <c r="H10" s="555">
        <v>1</v>
      </c>
      <c r="I10" s="453">
        <v>0</v>
      </c>
      <c r="J10" s="453">
        <v>12</v>
      </c>
      <c r="K10" s="453">
        <v>7</v>
      </c>
      <c r="L10" s="453">
        <v>0</v>
      </c>
      <c r="M10" s="453">
        <v>0</v>
      </c>
      <c r="N10" s="453">
        <v>0</v>
      </c>
      <c r="O10" s="453">
        <v>0</v>
      </c>
      <c r="P10" s="453">
        <v>0</v>
      </c>
      <c r="Q10" s="453">
        <v>0</v>
      </c>
      <c r="R10" s="453">
        <v>0</v>
      </c>
      <c r="S10" s="463">
        <v>38789</v>
      </c>
      <c r="T10" s="491" t="s">
        <v>893</v>
      </c>
      <c r="U10" s="463" t="s">
        <v>364</v>
      </c>
      <c r="V10" s="463" t="s">
        <v>432</v>
      </c>
      <c r="W10" s="463" t="s">
        <v>265</v>
      </c>
      <c r="X10" s="463" t="s">
        <v>467</v>
      </c>
      <c r="Y10" s="557">
        <v>1</v>
      </c>
      <c r="Z10" s="557">
        <v>1</v>
      </c>
      <c r="AA10" s="557">
        <v>0</v>
      </c>
      <c r="AB10" s="557">
        <v>0</v>
      </c>
      <c r="AC10" s="557">
        <v>0</v>
      </c>
      <c r="AD10" s="557">
        <v>0</v>
      </c>
      <c r="AE10" s="557">
        <v>0</v>
      </c>
      <c r="AF10" s="557">
        <v>0</v>
      </c>
      <c r="AG10" s="557">
        <v>0</v>
      </c>
      <c r="AH10" s="557">
        <v>0</v>
      </c>
      <c r="AI10" s="557">
        <v>0</v>
      </c>
      <c r="AJ10" s="557">
        <v>0</v>
      </c>
      <c r="AK10" s="557">
        <v>1</v>
      </c>
      <c r="AL10" s="557">
        <v>1</v>
      </c>
      <c r="AM10" s="557">
        <v>0</v>
      </c>
      <c r="AN10" s="557">
        <v>0</v>
      </c>
    </row>
    <row r="11" spans="1:46" ht="14.95" customHeight="1" thickBot="1" x14ac:dyDescent="0.3">
      <c r="A11" s="489" t="s">
        <v>328</v>
      </c>
      <c r="B11" s="490" t="s">
        <v>198</v>
      </c>
      <c r="C11" s="490" t="s">
        <v>39</v>
      </c>
      <c r="D11" s="490" t="s">
        <v>112</v>
      </c>
      <c r="E11" s="453" t="s">
        <v>3</v>
      </c>
      <c r="F11" s="453">
        <v>8</v>
      </c>
      <c r="G11" s="555">
        <v>13</v>
      </c>
      <c r="H11" s="555">
        <v>0</v>
      </c>
      <c r="I11" s="453">
        <v>1</v>
      </c>
      <c r="J11" s="453">
        <v>1</v>
      </c>
      <c r="K11" s="453">
        <v>0</v>
      </c>
      <c r="L11" s="453">
        <v>0</v>
      </c>
      <c r="M11" s="453">
        <v>1</v>
      </c>
      <c r="N11" s="453">
        <v>0</v>
      </c>
      <c r="O11" s="453">
        <v>0</v>
      </c>
      <c r="P11" s="453">
        <v>0</v>
      </c>
      <c r="Q11" s="453">
        <v>0</v>
      </c>
      <c r="R11" s="453">
        <v>1</v>
      </c>
      <c r="S11" s="463">
        <v>78542</v>
      </c>
      <c r="T11" s="493" t="s">
        <v>903</v>
      </c>
      <c r="U11" s="463" t="s">
        <v>271</v>
      </c>
      <c r="V11" s="463" t="s">
        <v>270</v>
      </c>
      <c r="W11" s="463" t="s">
        <v>364</v>
      </c>
      <c r="X11" s="463" t="s">
        <v>272</v>
      </c>
      <c r="Y11" s="463">
        <v>1</v>
      </c>
      <c r="Z11" s="557">
        <v>0</v>
      </c>
      <c r="AA11" s="557">
        <v>0</v>
      </c>
      <c r="AB11" s="557">
        <v>1</v>
      </c>
      <c r="AC11" s="557">
        <v>0</v>
      </c>
      <c r="AD11" s="557">
        <v>0</v>
      </c>
      <c r="AE11" s="557">
        <v>0</v>
      </c>
      <c r="AF11" s="557">
        <v>0</v>
      </c>
      <c r="AG11" s="557">
        <v>0</v>
      </c>
      <c r="AH11" s="557">
        <v>0</v>
      </c>
      <c r="AI11" s="557">
        <v>0</v>
      </c>
      <c r="AJ11" s="557">
        <v>0</v>
      </c>
      <c r="AK11" s="557">
        <v>1</v>
      </c>
      <c r="AL11" s="557">
        <v>0</v>
      </c>
      <c r="AM11" s="557">
        <v>0</v>
      </c>
      <c r="AN11" s="557">
        <v>1</v>
      </c>
    </row>
    <row r="12" spans="1:46" ht="14.95" customHeight="1" thickBot="1" x14ac:dyDescent="0.35">
      <c r="A12" s="489" t="s">
        <v>406</v>
      </c>
      <c r="B12" s="490" t="s">
        <v>198</v>
      </c>
      <c r="C12" s="490" t="s">
        <v>118</v>
      </c>
      <c r="D12" s="490" t="s">
        <v>229</v>
      </c>
      <c r="E12" s="453" t="s">
        <v>1</v>
      </c>
      <c r="F12" s="453">
        <v>49</v>
      </c>
      <c r="G12" s="555">
        <v>18</v>
      </c>
      <c r="H12" s="555">
        <v>1</v>
      </c>
      <c r="I12" s="453">
        <v>0</v>
      </c>
      <c r="J12" s="453">
        <v>7</v>
      </c>
      <c r="K12" s="453">
        <v>7</v>
      </c>
      <c r="L12" s="453">
        <v>0</v>
      </c>
      <c r="M12" s="453">
        <v>0</v>
      </c>
      <c r="N12" s="453">
        <v>0</v>
      </c>
      <c r="O12" s="453">
        <v>0</v>
      </c>
      <c r="P12" s="453">
        <v>0</v>
      </c>
      <c r="Q12" s="453">
        <v>0</v>
      </c>
      <c r="R12" s="453">
        <v>3</v>
      </c>
      <c r="S12" s="463">
        <v>60387</v>
      </c>
      <c r="T12" s="491" t="s">
        <v>935</v>
      </c>
      <c r="U12" s="463" t="s">
        <v>266</v>
      </c>
      <c r="V12" s="463" t="s">
        <v>432</v>
      </c>
      <c r="W12" s="463" t="s">
        <v>278</v>
      </c>
      <c r="X12" s="463" t="s">
        <v>436</v>
      </c>
      <c r="Y12" s="463">
        <v>1</v>
      </c>
      <c r="Z12" s="557">
        <v>1</v>
      </c>
      <c r="AA12" s="557">
        <v>0</v>
      </c>
      <c r="AB12" s="557">
        <v>0</v>
      </c>
      <c r="AC12" s="557">
        <v>0</v>
      </c>
      <c r="AD12" s="557">
        <v>0</v>
      </c>
      <c r="AE12" s="557">
        <v>0</v>
      </c>
      <c r="AF12" s="557">
        <v>0</v>
      </c>
      <c r="AG12" s="557">
        <v>0</v>
      </c>
      <c r="AH12" s="557">
        <v>0</v>
      </c>
      <c r="AI12" s="557">
        <v>0</v>
      </c>
      <c r="AJ12" s="557">
        <v>0</v>
      </c>
      <c r="AK12" s="557">
        <v>1</v>
      </c>
      <c r="AL12" s="557">
        <v>1</v>
      </c>
      <c r="AM12" s="557">
        <v>0</v>
      </c>
      <c r="AN12" s="557">
        <v>0</v>
      </c>
    </row>
    <row r="13" spans="1:46" ht="14.95" customHeight="1" thickBot="1" x14ac:dyDescent="0.3">
      <c r="A13" s="413" t="s">
        <v>937</v>
      </c>
      <c r="B13" s="412" t="s">
        <v>233</v>
      </c>
      <c r="C13" s="412" t="s">
        <v>34</v>
      </c>
      <c r="D13" s="867" t="s">
        <v>112</v>
      </c>
      <c r="E13" s="399" t="s">
        <v>1</v>
      </c>
      <c r="F13" s="399">
        <v>29</v>
      </c>
      <c r="G13" s="400">
        <v>28</v>
      </c>
      <c r="H13" s="400" t="s">
        <v>106</v>
      </c>
      <c r="I13" s="399" t="s">
        <v>106</v>
      </c>
      <c r="J13" s="399">
        <v>4</v>
      </c>
      <c r="K13" s="399">
        <v>3</v>
      </c>
      <c r="L13" s="399">
        <v>0</v>
      </c>
      <c r="M13" s="399">
        <v>1</v>
      </c>
      <c r="N13" s="399">
        <v>1</v>
      </c>
      <c r="O13" s="399">
        <v>0</v>
      </c>
      <c r="P13" s="399" t="s">
        <v>106</v>
      </c>
      <c r="Q13" s="399" t="s">
        <v>106</v>
      </c>
      <c r="R13" s="399">
        <v>3</v>
      </c>
      <c r="S13" s="401">
        <v>79486</v>
      </c>
      <c r="T13" s="792" t="s">
        <v>981</v>
      </c>
      <c r="U13" s="401" t="s">
        <v>271</v>
      </c>
      <c r="V13" s="401" t="s">
        <v>270</v>
      </c>
      <c r="W13" s="401" t="s">
        <v>269</v>
      </c>
      <c r="X13" s="401" t="s">
        <v>272</v>
      </c>
      <c r="Y13" s="401">
        <v>1</v>
      </c>
      <c r="Z13" s="417">
        <v>1</v>
      </c>
      <c r="AA13" s="417">
        <v>0</v>
      </c>
      <c r="AB13" s="417">
        <v>0</v>
      </c>
      <c r="AC13" s="417">
        <v>0</v>
      </c>
      <c r="AD13" s="417">
        <v>0</v>
      </c>
      <c r="AE13" s="417">
        <v>0</v>
      </c>
      <c r="AF13" s="417">
        <v>0</v>
      </c>
      <c r="AG13" s="417">
        <v>1</v>
      </c>
      <c r="AH13" s="417">
        <v>1</v>
      </c>
      <c r="AI13" s="417">
        <v>0</v>
      </c>
      <c r="AJ13" s="417">
        <v>0</v>
      </c>
      <c r="AK13" s="417">
        <v>0</v>
      </c>
      <c r="AL13" s="417">
        <v>0</v>
      </c>
      <c r="AM13" s="417">
        <v>0</v>
      </c>
      <c r="AN13" s="417">
        <v>0</v>
      </c>
    </row>
    <row r="14" spans="1:46" ht="14.95" customHeight="1" thickBot="1" x14ac:dyDescent="0.3">
      <c r="A14" s="570" t="s">
        <v>940</v>
      </c>
      <c r="B14" s="490" t="s">
        <v>234</v>
      </c>
      <c r="C14" s="490" t="s">
        <v>30</v>
      </c>
      <c r="D14" s="566" t="s">
        <v>112</v>
      </c>
      <c r="E14" s="453" t="s">
        <v>1</v>
      </c>
      <c r="F14" s="453">
        <v>16</v>
      </c>
      <c r="G14" s="555">
        <v>15</v>
      </c>
      <c r="H14" s="555" t="s">
        <v>106</v>
      </c>
      <c r="I14" s="453" t="s">
        <v>106</v>
      </c>
      <c r="J14" s="453">
        <v>1</v>
      </c>
      <c r="K14" s="453">
        <v>1</v>
      </c>
      <c r="L14" s="453">
        <v>0</v>
      </c>
      <c r="M14" s="453">
        <v>3</v>
      </c>
      <c r="N14" s="453">
        <v>0</v>
      </c>
      <c r="O14" s="453">
        <v>0</v>
      </c>
      <c r="P14" s="453" t="s">
        <v>106</v>
      </c>
      <c r="Q14" s="453" t="s">
        <v>106</v>
      </c>
      <c r="R14" s="453">
        <v>0</v>
      </c>
      <c r="S14" s="466">
        <v>78098</v>
      </c>
      <c r="T14" s="497" t="s">
        <v>461</v>
      </c>
      <c r="U14" s="467" t="s">
        <v>271</v>
      </c>
      <c r="V14" s="466" t="s">
        <v>270</v>
      </c>
      <c r="W14" s="463" t="s">
        <v>364</v>
      </c>
      <c r="X14" s="468" t="s">
        <v>269</v>
      </c>
      <c r="Y14" s="463">
        <v>1</v>
      </c>
      <c r="Z14" s="557">
        <v>1</v>
      </c>
      <c r="AA14" s="557">
        <v>0</v>
      </c>
      <c r="AB14" s="557">
        <v>0</v>
      </c>
      <c r="AC14" s="557">
        <v>0</v>
      </c>
      <c r="AD14" s="557">
        <v>0</v>
      </c>
      <c r="AE14" s="557">
        <v>0</v>
      </c>
      <c r="AF14" s="557">
        <v>0</v>
      </c>
      <c r="AG14" s="557">
        <v>0</v>
      </c>
      <c r="AH14" s="557">
        <v>0</v>
      </c>
      <c r="AI14" s="557">
        <v>0</v>
      </c>
      <c r="AJ14" s="557">
        <v>0</v>
      </c>
      <c r="AK14" s="557">
        <v>1</v>
      </c>
      <c r="AL14" s="557">
        <v>1</v>
      </c>
      <c r="AM14" s="557">
        <v>0</v>
      </c>
      <c r="AN14" s="557">
        <v>0</v>
      </c>
    </row>
    <row r="15" spans="1:46" ht="14.95" customHeight="1" thickBot="1" x14ac:dyDescent="0.35">
      <c r="A15" s="489" t="s">
        <v>330</v>
      </c>
      <c r="B15" s="490" t="s">
        <v>235</v>
      </c>
      <c r="C15" s="490" t="s">
        <v>117</v>
      </c>
      <c r="D15" s="566" t="s">
        <v>112</v>
      </c>
      <c r="E15" s="453" t="s">
        <v>1</v>
      </c>
      <c r="F15" s="453">
        <v>12</v>
      </c>
      <c r="G15" s="555">
        <v>11</v>
      </c>
      <c r="H15" s="555" t="s">
        <v>106</v>
      </c>
      <c r="I15" s="453" t="s">
        <v>106</v>
      </c>
      <c r="J15" s="453">
        <v>0</v>
      </c>
      <c r="K15" s="453">
        <v>0</v>
      </c>
      <c r="L15" s="453">
        <v>0</v>
      </c>
      <c r="M15" s="453">
        <v>4</v>
      </c>
      <c r="N15" s="453">
        <v>2</v>
      </c>
      <c r="O15" s="453">
        <v>0</v>
      </c>
      <c r="P15" s="453" t="s">
        <v>106</v>
      </c>
      <c r="Q15" s="453" t="s">
        <v>106</v>
      </c>
      <c r="R15" s="453">
        <v>1</v>
      </c>
      <c r="S15" s="463">
        <v>80067</v>
      </c>
      <c r="T15" s="491" t="s">
        <v>460</v>
      </c>
      <c r="U15" s="463" t="s">
        <v>340</v>
      </c>
      <c r="V15" s="463" t="s">
        <v>264</v>
      </c>
      <c r="W15" s="463" t="s">
        <v>263</v>
      </c>
      <c r="X15" s="463" t="s">
        <v>278</v>
      </c>
      <c r="Y15" s="463"/>
      <c r="Z15" s="557"/>
      <c r="AA15" s="557"/>
      <c r="AB15" s="557"/>
      <c r="AC15" s="557"/>
      <c r="AD15" s="557"/>
      <c r="AE15" s="557"/>
      <c r="AF15" s="557"/>
      <c r="AG15" s="557"/>
      <c r="AH15" s="557"/>
      <c r="AI15" s="557"/>
      <c r="AJ15" s="557"/>
      <c r="AK15" s="557"/>
      <c r="AL15" s="557"/>
      <c r="AM15" s="557"/>
      <c r="AN15" s="557"/>
    </row>
    <row r="16" spans="1:46" ht="14.95" thickBot="1" x14ac:dyDescent="0.3">
      <c r="A16" s="266"/>
      <c r="B16" s="267"/>
      <c r="C16" s="937" t="s">
        <v>166</v>
      </c>
      <c r="D16" s="978"/>
      <c r="E16" s="979"/>
      <c r="F16" s="476">
        <f>SUM(F6:F8)</f>
        <v>111</v>
      </c>
      <c r="G16" s="476">
        <f>SUM(G6:G8)</f>
        <v>36</v>
      </c>
      <c r="H16" s="476" t="s">
        <v>106</v>
      </c>
      <c r="I16" s="476" t="s">
        <v>106</v>
      </c>
      <c r="J16" s="476">
        <f t="shared" ref="J16:O16" si="0">SUM(J6:J8)</f>
        <v>15</v>
      </c>
      <c r="K16" s="476">
        <f t="shared" si="0"/>
        <v>11</v>
      </c>
      <c r="L16" s="476">
        <f t="shared" si="0"/>
        <v>0</v>
      </c>
      <c r="M16" s="476">
        <f t="shared" si="0"/>
        <v>4</v>
      </c>
      <c r="N16" s="476">
        <f t="shared" si="0"/>
        <v>3</v>
      </c>
      <c r="O16" s="476">
        <f t="shared" si="0"/>
        <v>0</v>
      </c>
      <c r="P16" s="476" t="s">
        <v>106</v>
      </c>
      <c r="Q16" s="476" t="s">
        <v>106</v>
      </c>
      <c r="R16" s="476">
        <f>SUM(R6:R8)</f>
        <v>3</v>
      </c>
      <c r="S16" s="473"/>
      <c r="T16" s="473"/>
      <c r="U16" s="473"/>
      <c r="V16" s="473"/>
      <c r="W16" s="474"/>
      <c r="X16" s="481" t="s">
        <v>166</v>
      </c>
      <c r="Y16" s="476">
        <f t="shared" ref="Y16:AN16" si="1">SUM(Y6:Y8)</f>
        <v>3</v>
      </c>
      <c r="Z16" s="476">
        <f t="shared" si="1"/>
        <v>3</v>
      </c>
      <c r="AA16" s="476">
        <f t="shared" si="1"/>
        <v>0</v>
      </c>
      <c r="AB16" s="476">
        <f t="shared" si="1"/>
        <v>0</v>
      </c>
      <c r="AC16" s="477">
        <f t="shared" si="1"/>
        <v>0</v>
      </c>
      <c r="AD16" s="477">
        <f t="shared" si="1"/>
        <v>0</v>
      </c>
      <c r="AE16" s="477">
        <f t="shared" si="1"/>
        <v>0</v>
      </c>
      <c r="AF16" s="477">
        <f t="shared" si="1"/>
        <v>0</v>
      </c>
      <c r="AG16" s="478">
        <f t="shared" si="1"/>
        <v>2</v>
      </c>
      <c r="AH16" s="478">
        <f t="shared" si="1"/>
        <v>2</v>
      </c>
      <c r="AI16" s="478">
        <f t="shared" si="1"/>
        <v>0</v>
      </c>
      <c r="AJ16" s="478">
        <f t="shared" si="1"/>
        <v>0</v>
      </c>
      <c r="AK16" s="476">
        <f t="shared" si="1"/>
        <v>1</v>
      </c>
      <c r="AL16" s="476">
        <f t="shared" si="1"/>
        <v>1</v>
      </c>
      <c r="AM16" s="476">
        <f t="shared" si="1"/>
        <v>0</v>
      </c>
      <c r="AN16" s="476">
        <f t="shared" si="1"/>
        <v>0</v>
      </c>
    </row>
    <row r="17" spans="1:40" ht="14.95" thickBot="1" x14ac:dyDescent="0.3">
      <c r="A17" s="266"/>
      <c r="B17" s="267"/>
      <c r="C17" s="952" t="s">
        <v>179</v>
      </c>
      <c r="D17" s="943"/>
      <c r="E17" s="944"/>
      <c r="F17" s="279">
        <f>SUM(F3:F5)</f>
        <v>85</v>
      </c>
      <c r="G17" s="279">
        <f t="shared" ref="G17:R17" si="2">SUM(G3:G5)</f>
        <v>68</v>
      </c>
      <c r="H17" s="279">
        <f t="shared" si="2"/>
        <v>1</v>
      </c>
      <c r="I17" s="279">
        <f t="shared" si="2"/>
        <v>0</v>
      </c>
      <c r="J17" s="279">
        <f t="shared" si="2"/>
        <v>12</v>
      </c>
      <c r="K17" s="279">
        <f t="shared" si="2"/>
        <v>6</v>
      </c>
      <c r="L17" s="279">
        <f t="shared" si="2"/>
        <v>0</v>
      </c>
      <c r="M17" s="279">
        <f t="shared" si="2"/>
        <v>3</v>
      </c>
      <c r="N17" s="279">
        <f t="shared" si="2"/>
        <v>1</v>
      </c>
      <c r="O17" s="279">
        <f t="shared" si="2"/>
        <v>0</v>
      </c>
      <c r="P17" s="279">
        <f t="shared" si="2"/>
        <v>0</v>
      </c>
      <c r="Q17" s="279">
        <f t="shared" si="2"/>
        <v>1</v>
      </c>
      <c r="R17" s="279">
        <f t="shared" si="2"/>
        <v>8</v>
      </c>
      <c r="S17" s="275"/>
      <c r="T17" s="275"/>
      <c r="U17" s="275"/>
      <c r="V17" s="275"/>
      <c r="W17" s="276"/>
      <c r="X17" s="363" t="s">
        <v>179</v>
      </c>
      <c r="Y17" s="279">
        <f t="shared" ref="Y17:AN17" si="3">SUM(Y3:Y5)</f>
        <v>3</v>
      </c>
      <c r="Z17" s="279">
        <f t="shared" si="3"/>
        <v>2</v>
      </c>
      <c r="AA17" s="279">
        <f t="shared" si="3"/>
        <v>0</v>
      </c>
      <c r="AB17" s="279">
        <f t="shared" si="3"/>
        <v>1</v>
      </c>
      <c r="AC17" s="277">
        <f t="shared" si="3"/>
        <v>2</v>
      </c>
      <c r="AD17" s="277">
        <f t="shared" si="3"/>
        <v>2</v>
      </c>
      <c r="AE17" s="277">
        <f t="shared" si="3"/>
        <v>0</v>
      </c>
      <c r="AF17" s="277">
        <f t="shared" si="3"/>
        <v>0</v>
      </c>
      <c r="AG17" s="278">
        <f t="shared" si="3"/>
        <v>1</v>
      </c>
      <c r="AH17" s="278">
        <f t="shared" si="3"/>
        <v>0</v>
      </c>
      <c r="AI17" s="278">
        <f t="shared" si="3"/>
        <v>0</v>
      </c>
      <c r="AJ17" s="278">
        <f t="shared" si="3"/>
        <v>1</v>
      </c>
      <c r="AK17" s="279">
        <f t="shared" si="3"/>
        <v>0</v>
      </c>
      <c r="AL17" s="279">
        <f t="shared" si="3"/>
        <v>0</v>
      </c>
      <c r="AM17" s="279">
        <f t="shared" si="3"/>
        <v>0</v>
      </c>
      <c r="AN17" s="279">
        <f t="shared" si="3"/>
        <v>0</v>
      </c>
    </row>
    <row r="18" spans="1:40" ht="14.95" thickBot="1" x14ac:dyDescent="0.3">
      <c r="A18" s="266"/>
      <c r="B18" s="267"/>
      <c r="C18" s="940" t="s">
        <v>625</v>
      </c>
      <c r="D18" s="941"/>
      <c r="E18" s="942"/>
      <c r="F18" s="708">
        <f>SUM(F9:F12)</f>
        <v>151</v>
      </c>
      <c r="G18" s="708">
        <f t="shared" ref="G18:R18" si="4">SUM(G9:G12)</f>
        <v>34</v>
      </c>
      <c r="H18" s="708">
        <f t="shared" si="4"/>
        <v>2</v>
      </c>
      <c r="I18" s="708">
        <f t="shared" si="4"/>
        <v>1</v>
      </c>
      <c r="J18" s="708">
        <f t="shared" si="4"/>
        <v>22</v>
      </c>
      <c r="K18" s="708">
        <f t="shared" si="4"/>
        <v>15</v>
      </c>
      <c r="L18" s="708">
        <f t="shared" si="4"/>
        <v>0</v>
      </c>
      <c r="M18" s="708">
        <f t="shared" si="4"/>
        <v>3</v>
      </c>
      <c r="N18" s="708">
        <f t="shared" si="4"/>
        <v>0</v>
      </c>
      <c r="O18" s="708">
        <f t="shared" si="4"/>
        <v>0</v>
      </c>
      <c r="P18" s="708">
        <f t="shared" si="4"/>
        <v>0</v>
      </c>
      <c r="Q18" s="708">
        <f t="shared" si="4"/>
        <v>0</v>
      </c>
      <c r="R18" s="708">
        <f t="shared" si="4"/>
        <v>4</v>
      </c>
      <c r="S18" s="709"/>
      <c r="T18" s="709"/>
      <c r="U18" s="709"/>
      <c r="V18" s="709"/>
      <c r="W18" s="710"/>
      <c r="X18" s="711" t="s">
        <v>625</v>
      </c>
      <c r="Y18" s="712">
        <f t="shared" ref="Y18:AN18" si="5">SUM(Y9:Y12)</f>
        <v>4</v>
      </c>
      <c r="Z18" s="708">
        <f t="shared" si="5"/>
        <v>3</v>
      </c>
      <c r="AA18" s="708">
        <f t="shared" si="5"/>
        <v>0</v>
      </c>
      <c r="AB18" s="708">
        <f t="shared" si="5"/>
        <v>1</v>
      </c>
      <c r="AC18" s="713">
        <f t="shared" si="5"/>
        <v>0</v>
      </c>
      <c r="AD18" s="713">
        <f t="shared" si="5"/>
        <v>0</v>
      </c>
      <c r="AE18" s="713">
        <f t="shared" si="5"/>
        <v>0</v>
      </c>
      <c r="AF18" s="713">
        <f t="shared" si="5"/>
        <v>0</v>
      </c>
      <c r="AG18" s="714">
        <f t="shared" si="5"/>
        <v>0</v>
      </c>
      <c r="AH18" s="714">
        <f t="shared" si="5"/>
        <v>0</v>
      </c>
      <c r="AI18" s="714">
        <f t="shared" si="5"/>
        <v>0</v>
      </c>
      <c r="AJ18" s="714">
        <f t="shared" si="5"/>
        <v>0</v>
      </c>
      <c r="AK18" s="708">
        <f t="shared" si="5"/>
        <v>3</v>
      </c>
      <c r="AL18" s="708">
        <f t="shared" si="5"/>
        <v>2</v>
      </c>
      <c r="AM18" s="708">
        <f t="shared" si="5"/>
        <v>0</v>
      </c>
      <c r="AN18" s="708">
        <f t="shared" si="5"/>
        <v>1</v>
      </c>
    </row>
    <row r="19" spans="1:40" ht="14.95" thickBot="1" x14ac:dyDescent="0.3">
      <c r="A19" s="266"/>
      <c r="B19" s="267"/>
      <c r="C19" s="940" t="s">
        <v>626</v>
      </c>
      <c r="D19" s="943"/>
      <c r="E19" s="944"/>
      <c r="F19" s="708">
        <f>SUM(F13:F15)</f>
        <v>57</v>
      </c>
      <c r="G19" s="708">
        <f t="shared" ref="G19:R19" si="6">SUM(G13:G15)</f>
        <v>54</v>
      </c>
      <c r="H19" s="708">
        <f t="shared" si="6"/>
        <v>0</v>
      </c>
      <c r="I19" s="708">
        <f t="shared" si="6"/>
        <v>0</v>
      </c>
      <c r="J19" s="708">
        <f t="shared" si="6"/>
        <v>5</v>
      </c>
      <c r="K19" s="708">
        <f t="shared" si="6"/>
        <v>4</v>
      </c>
      <c r="L19" s="708">
        <f t="shared" si="6"/>
        <v>0</v>
      </c>
      <c r="M19" s="708">
        <f t="shared" si="6"/>
        <v>8</v>
      </c>
      <c r="N19" s="708">
        <f t="shared" si="6"/>
        <v>3</v>
      </c>
      <c r="O19" s="708">
        <f t="shared" si="6"/>
        <v>0</v>
      </c>
      <c r="P19" s="708">
        <f t="shared" si="6"/>
        <v>0</v>
      </c>
      <c r="Q19" s="708">
        <f t="shared" si="6"/>
        <v>0</v>
      </c>
      <c r="R19" s="708">
        <f t="shared" si="6"/>
        <v>4</v>
      </c>
      <c r="S19" s="709"/>
      <c r="T19" s="709"/>
      <c r="U19" s="709"/>
      <c r="V19" s="709"/>
      <c r="W19" s="710"/>
      <c r="X19" s="711" t="s">
        <v>626</v>
      </c>
      <c r="Y19" s="712">
        <f t="shared" ref="Y19:AN19" si="7">SUM(Y13:Y15)</f>
        <v>2</v>
      </c>
      <c r="Z19" s="708">
        <f t="shared" si="7"/>
        <v>2</v>
      </c>
      <c r="AA19" s="708">
        <f t="shared" si="7"/>
        <v>0</v>
      </c>
      <c r="AB19" s="708">
        <f t="shared" si="7"/>
        <v>0</v>
      </c>
      <c r="AC19" s="713">
        <f t="shared" si="7"/>
        <v>0</v>
      </c>
      <c r="AD19" s="713">
        <f t="shared" si="7"/>
        <v>0</v>
      </c>
      <c r="AE19" s="713">
        <f t="shared" si="7"/>
        <v>0</v>
      </c>
      <c r="AF19" s="713">
        <f t="shared" si="7"/>
        <v>0</v>
      </c>
      <c r="AG19" s="714">
        <f t="shared" si="7"/>
        <v>1</v>
      </c>
      <c r="AH19" s="714">
        <f t="shared" si="7"/>
        <v>1</v>
      </c>
      <c r="AI19" s="714">
        <f t="shared" si="7"/>
        <v>0</v>
      </c>
      <c r="AJ19" s="714">
        <f t="shared" si="7"/>
        <v>0</v>
      </c>
      <c r="AK19" s="708">
        <f t="shared" si="7"/>
        <v>1</v>
      </c>
      <c r="AL19" s="708">
        <f t="shared" si="7"/>
        <v>1</v>
      </c>
      <c r="AM19" s="708">
        <f t="shared" si="7"/>
        <v>0</v>
      </c>
      <c r="AN19" s="708">
        <f t="shared" si="7"/>
        <v>0</v>
      </c>
    </row>
    <row r="20" spans="1:40" ht="14.95" thickBot="1" x14ac:dyDescent="0.3">
      <c r="A20" s="266"/>
      <c r="B20" s="267"/>
      <c r="C20" s="940" t="s">
        <v>627</v>
      </c>
      <c r="D20" s="943"/>
      <c r="E20" s="944"/>
      <c r="F20" s="708">
        <f>SUM(F18+F19)</f>
        <v>208</v>
      </c>
      <c r="G20" s="708">
        <f t="shared" ref="G20:R20" si="8">SUM(G18+G19)</f>
        <v>88</v>
      </c>
      <c r="H20" s="708">
        <f t="shared" si="8"/>
        <v>2</v>
      </c>
      <c r="I20" s="708">
        <f t="shared" si="8"/>
        <v>1</v>
      </c>
      <c r="J20" s="708">
        <f t="shared" si="8"/>
        <v>27</v>
      </c>
      <c r="K20" s="708">
        <f t="shared" si="8"/>
        <v>19</v>
      </c>
      <c r="L20" s="708">
        <f t="shared" si="8"/>
        <v>0</v>
      </c>
      <c r="M20" s="708">
        <f t="shared" si="8"/>
        <v>11</v>
      </c>
      <c r="N20" s="708">
        <f t="shared" si="8"/>
        <v>3</v>
      </c>
      <c r="O20" s="708">
        <f t="shared" si="8"/>
        <v>0</v>
      </c>
      <c r="P20" s="708">
        <f t="shared" si="8"/>
        <v>0</v>
      </c>
      <c r="Q20" s="708">
        <f t="shared" si="8"/>
        <v>0</v>
      </c>
      <c r="R20" s="708">
        <f t="shared" si="8"/>
        <v>8</v>
      </c>
      <c r="S20" s="709"/>
      <c r="T20" s="709"/>
      <c r="U20" s="709"/>
      <c r="V20" s="709"/>
      <c r="W20" s="710"/>
      <c r="X20" s="711" t="s">
        <v>627</v>
      </c>
      <c r="Y20" s="712">
        <f t="shared" ref="Y20:AN20" si="9">SUM(Y18+Y19)</f>
        <v>6</v>
      </c>
      <c r="Z20" s="708">
        <f t="shared" si="9"/>
        <v>5</v>
      </c>
      <c r="AA20" s="708">
        <f t="shared" si="9"/>
        <v>0</v>
      </c>
      <c r="AB20" s="708">
        <f t="shared" si="9"/>
        <v>1</v>
      </c>
      <c r="AC20" s="713">
        <f t="shared" si="9"/>
        <v>0</v>
      </c>
      <c r="AD20" s="713">
        <f t="shared" si="9"/>
        <v>0</v>
      </c>
      <c r="AE20" s="713">
        <f t="shared" si="9"/>
        <v>0</v>
      </c>
      <c r="AF20" s="713">
        <f t="shared" si="9"/>
        <v>0</v>
      </c>
      <c r="AG20" s="714">
        <f t="shared" si="9"/>
        <v>1</v>
      </c>
      <c r="AH20" s="714">
        <f t="shared" si="9"/>
        <v>1</v>
      </c>
      <c r="AI20" s="714">
        <f t="shared" si="9"/>
        <v>0</v>
      </c>
      <c r="AJ20" s="714">
        <f t="shared" si="9"/>
        <v>0</v>
      </c>
      <c r="AK20" s="708">
        <f t="shared" si="9"/>
        <v>4</v>
      </c>
      <c r="AL20" s="708">
        <f t="shared" si="9"/>
        <v>3</v>
      </c>
      <c r="AM20" s="708">
        <f t="shared" si="9"/>
        <v>0</v>
      </c>
      <c r="AN20" s="708">
        <f t="shared" si="9"/>
        <v>1</v>
      </c>
    </row>
    <row r="21" spans="1:40" ht="14.95" thickBot="1" x14ac:dyDescent="0.3">
      <c r="A21" s="266"/>
      <c r="B21" s="267"/>
      <c r="C21" s="946" t="s">
        <v>107</v>
      </c>
      <c r="D21" s="947"/>
      <c r="E21" s="948"/>
      <c r="F21" s="343">
        <f t="shared" ref="F21:R21" si="10">SUM(F3:F15)</f>
        <v>404</v>
      </c>
      <c r="G21" s="343">
        <f t="shared" si="10"/>
        <v>192</v>
      </c>
      <c r="H21" s="343">
        <f t="shared" si="10"/>
        <v>3</v>
      </c>
      <c r="I21" s="343">
        <f t="shared" si="10"/>
        <v>1</v>
      </c>
      <c r="J21" s="343">
        <f t="shared" si="10"/>
        <v>54</v>
      </c>
      <c r="K21" s="343">
        <f t="shared" si="10"/>
        <v>36</v>
      </c>
      <c r="L21" s="343">
        <f t="shared" si="10"/>
        <v>0</v>
      </c>
      <c r="M21" s="343">
        <f t="shared" si="10"/>
        <v>18</v>
      </c>
      <c r="N21" s="343">
        <f t="shared" si="10"/>
        <v>7</v>
      </c>
      <c r="O21" s="343">
        <f t="shared" si="10"/>
        <v>0</v>
      </c>
      <c r="P21" s="343">
        <f t="shared" si="10"/>
        <v>0</v>
      </c>
      <c r="Q21" s="343">
        <f t="shared" si="10"/>
        <v>1</v>
      </c>
      <c r="R21" s="343">
        <f t="shared" si="10"/>
        <v>19</v>
      </c>
      <c r="S21" s="340"/>
      <c r="T21" s="340"/>
      <c r="U21" s="340"/>
      <c r="V21" s="340"/>
      <c r="W21" s="13"/>
      <c r="X21" s="364" t="s">
        <v>107</v>
      </c>
      <c r="Y21" s="343">
        <f t="shared" ref="Y21:AN21" si="11">SUM(Y3:Y15)</f>
        <v>12</v>
      </c>
      <c r="Z21" s="343">
        <f t="shared" si="11"/>
        <v>10</v>
      </c>
      <c r="AA21" s="343">
        <f t="shared" si="11"/>
        <v>0</v>
      </c>
      <c r="AB21" s="343">
        <f t="shared" si="11"/>
        <v>2</v>
      </c>
      <c r="AC21" s="341">
        <f t="shared" si="11"/>
        <v>2</v>
      </c>
      <c r="AD21" s="341">
        <f t="shared" si="11"/>
        <v>2</v>
      </c>
      <c r="AE21" s="341">
        <f t="shared" si="11"/>
        <v>0</v>
      </c>
      <c r="AF21" s="341">
        <f t="shared" si="11"/>
        <v>0</v>
      </c>
      <c r="AG21" s="342">
        <f t="shared" si="11"/>
        <v>4</v>
      </c>
      <c r="AH21" s="342">
        <f t="shared" si="11"/>
        <v>3</v>
      </c>
      <c r="AI21" s="342">
        <f t="shared" si="11"/>
        <v>0</v>
      </c>
      <c r="AJ21" s="342">
        <f t="shared" si="11"/>
        <v>1</v>
      </c>
      <c r="AK21" s="343">
        <f t="shared" si="11"/>
        <v>5</v>
      </c>
      <c r="AL21" s="343">
        <f t="shared" si="11"/>
        <v>4</v>
      </c>
      <c r="AM21" s="343">
        <f t="shared" si="11"/>
        <v>0</v>
      </c>
      <c r="AN21" s="343">
        <f t="shared" si="11"/>
        <v>1</v>
      </c>
    </row>
    <row r="22" spans="1:40" x14ac:dyDescent="0.25">
      <c r="A22" s="266"/>
      <c r="B22" s="267"/>
      <c r="C22" s="677"/>
      <c r="D22" s="677"/>
      <c r="E22" s="677"/>
      <c r="F22" s="678"/>
      <c r="G22" s="678"/>
      <c r="H22" s="678"/>
      <c r="I22" s="678"/>
      <c r="J22" s="678"/>
      <c r="K22" s="678"/>
      <c r="L22" s="678"/>
      <c r="M22" s="678"/>
      <c r="N22" s="678"/>
      <c r="O22" s="678"/>
      <c r="P22" s="678"/>
      <c r="Q22" s="678"/>
      <c r="R22" s="678"/>
      <c r="S22" s="340"/>
      <c r="T22" s="340"/>
      <c r="U22" s="340"/>
      <c r="V22" s="340"/>
      <c r="W22" s="13"/>
      <c r="X22" s="13"/>
      <c r="Y22" s="678"/>
      <c r="Z22" s="678"/>
      <c r="AA22" s="678"/>
      <c r="AB22" s="678"/>
      <c r="AC22" s="678"/>
      <c r="AD22" s="678"/>
      <c r="AE22" s="678"/>
      <c r="AF22" s="678"/>
      <c r="AG22" s="678"/>
      <c r="AH22" s="678"/>
      <c r="AI22" s="678"/>
      <c r="AJ22" s="678"/>
      <c r="AK22" s="678"/>
      <c r="AL22" s="678"/>
      <c r="AM22" s="678"/>
      <c r="AN22" s="678"/>
    </row>
    <row r="23" spans="1:40" x14ac:dyDescent="0.25">
      <c r="A23" s="965" t="s">
        <v>703</v>
      </c>
      <c r="B23" s="886"/>
      <c r="C23" s="886"/>
      <c r="D23" s="886"/>
      <c r="E23" s="886"/>
      <c r="F23" s="886"/>
      <c r="G23" s="886"/>
      <c r="H23" s="886"/>
      <c r="I23" s="886"/>
      <c r="J23" s="886"/>
      <c r="K23" s="886"/>
      <c r="L23" s="886"/>
      <c r="M23" s="886"/>
      <c r="N23" s="886"/>
      <c r="O23" s="886"/>
      <c r="P23" s="886"/>
      <c r="Q23" s="886"/>
      <c r="R23" s="886"/>
    </row>
    <row r="24" spans="1:40" x14ac:dyDescent="0.25">
      <c r="A24" s="496" t="s">
        <v>704</v>
      </c>
      <c r="F24" s="14"/>
      <c r="G24" s="14"/>
      <c r="H24" s="13"/>
      <c r="I24" s="14"/>
      <c r="J24" s="14"/>
      <c r="K24" s="14"/>
      <c r="L24" s="14"/>
      <c r="M24" s="14"/>
      <c r="N24" s="14"/>
      <c r="O24" s="14"/>
      <c r="P24" s="14"/>
      <c r="Q24" s="14"/>
      <c r="R24" s="14"/>
    </row>
    <row r="25" spans="1:40" x14ac:dyDescent="0.25">
      <c r="A25" s="496" t="s">
        <v>674</v>
      </c>
      <c r="F25" s="14"/>
      <c r="G25" s="14"/>
      <c r="H25" s="13"/>
      <c r="I25" s="14"/>
      <c r="J25" s="14"/>
      <c r="K25" s="14"/>
      <c r="L25" s="14"/>
      <c r="M25" s="14"/>
      <c r="N25" s="14"/>
      <c r="O25" s="14"/>
      <c r="P25" s="14"/>
      <c r="Q25" s="14"/>
      <c r="R25" s="14"/>
    </row>
    <row r="26" spans="1:40" x14ac:dyDescent="0.25">
      <c r="A26" s="496" t="s">
        <v>681</v>
      </c>
      <c r="F26" s="14"/>
      <c r="G26" s="14"/>
      <c r="H26" s="13"/>
      <c r="I26" s="14"/>
      <c r="J26" s="14"/>
      <c r="K26" s="14"/>
      <c r="L26" s="14"/>
      <c r="M26" s="14"/>
      <c r="N26" s="14"/>
      <c r="O26" s="14"/>
      <c r="P26" s="14"/>
      <c r="Q26" s="14"/>
      <c r="R26" s="14"/>
    </row>
    <row r="27" spans="1:40" x14ac:dyDescent="0.25">
      <c r="A27" s="496" t="s">
        <v>682</v>
      </c>
      <c r="F27" s="14"/>
      <c r="G27" s="14"/>
      <c r="H27" s="13"/>
      <c r="I27" s="14"/>
      <c r="J27" s="14"/>
      <c r="K27" s="14"/>
      <c r="L27" s="14"/>
      <c r="M27" s="14"/>
      <c r="N27" s="14"/>
      <c r="O27" s="14"/>
      <c r="P27" s="14"/>
      <c r="Q27" s="14"/>
      <c r="R27" s="14"/>
    </row>
    <row r="28" spans="1:40" x14ac:dyDescent="0.25">
      <c r="A28" t="s">
        <v>678</v>
      </c>
      <c r="F28" s="14"/>
      <c r="G28" s="14"/>
      <c r="H28" s="13"/>
      <c r="I28" s="14"/>
      <c r="J28" s="14"/>
      <c r="K28" s="14"/>
      <c r="L28" s="14"/>
      <c r="M28" s="14"/>
      <c r="N28" s="14"/>
      <c r="O28" s="14"/>
      <c r="P28" s="14"/>
      <c r="Q28" s="14"/>
      <c r="R28" s="14"/>
    </row>
    <row r="29" spans="1:40" x14ac:dyDescent="0.25">
      <c r="A29" t="s">
        <v>679</v>
      </c>
      <c r="F29" s="14"/>
      <c r="G29" s="14"/>
      <c r="H29" s="13"/>
      <c r="I29" s="14"/>
      <c r="J29" s="14"/>
      <c r="K29" s="14"/>
      <c r="L29" s="14"/>
      <c r="M29" s="14"/>
      <c r="N29" s="14"/>
      <c r="O29" s="14"/>
      <c r="P29" s="14"/>
      <c r="Q29" s="14"/>
      <c r="R29" s="14"/>
    </row>
    <row r="30" spans="1:40" x14ac:dyDescent="0.25">
      <c r="A30" t="s">
        <v>895</v>
      </c>
    </row>
    <row r="31" spans="1:40" x14ac:dyDescent="0.25">
      <c r="A31" s="575"/>
      <c r="B31" t="s">
        <v>44</v>
      </c>
    </row>
    <row r="32" spans="1:40" x14ac:dyDescent="0.25">
      <c r="A32" s="576"/>
      <c r="B32" t="s">
        <v>42</v>
      </c>
    </row>
    <row r="33" spans="1:2" x14ac:dyDescent="0.25">
      <c r="A33" s="577"/>
      <c r="B33" t="s">
        <v>43</v>
      </c>
    </row>
    <row r="34" spans="1:2" x14ac:dyDescent="0.25">
      <c r="A34" s="15" t="s">
        <v>28</v>
      </c>
    </row>
  </sheetData>
  <mergeCells count="17">
    <mergeCell ref="A23:R23"/>
    <mergeCell ref="A1:C1"/>
    <mergeCell ref="E1:G1"/>
    <mergeCell ref="H1:I1"/>
    <mergeCell ref="J1:M1"/>
    <mergeCell ref="N1:O1"/>
    <mergeCell ref="C16:E16"/>
    <mergeCell ref="C21:E21"/>
    <mergeCell ref="C17:E17"/>
    <mergeCell ref="C18:E18"/>
    <mergeCell ref="C19:E19"/>
    <mergeCell ref="C20:E20"/>
    <mergeCell ref="AC1:AF1"/>
    <mergeCell ref="AG1:AJ1"/>
    <mergeCell ref="AK1:AN1"/>
    <mergeCell ref="P1:R1"/>
    <mergeCell ref="Y1:AB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4975B-6069-4ECC-9BB3-5A9F7F16B78C}">
  <dimension ref="A1:R128"/>
  <sheetViews>
    <sheetView topLeftCell="A86" workbookViewId="0">
      <selection activeCell="O97" sqref="O97"/>
    </sheetView>
  </sheetViews>
  <sheetFormatPr defaultRowHeight="14.3" x14ac:dyDescent="0.25"/>
  <cols>
    <col min="1" max="1" width="9.625" customWidth="1"/>
    <col min="2" max="13" width="6.625" customWidth="1"/>
  </cols>
  <sheetData>
    <row r="1" spans="1:17" x14ac:dyDescent="0.25">
      <c r="A1" s="629" t="s">
        <v>548</v>
      </c>
      <c r="B1" s="629" t="s">
        <v>58</v>
      </c>
      <c r="C1" s="631" t="s">
        <v>571</v>
      </c>
      <c r="D1" s="631"/>
      <c r="E1" s="631"/>
      <c r="F1" s="631"/>
      <c r="G1" s="631"/>
      <c r="H1" s="632"/>
      <c r="I1" s="632"/>
      <c r="J1" s="632"/>
      <c r="K1" s="632"/>
      <c r="L1" s="632"/>
      <c r="M1" s="632"/>
      <c r="N1" s="621" t="s">
        <v>8</v>
      </c>
      <c r="O1" s="283" t="s">
        <v>550</v>
      </c>
    </row>
    <row r="2" spans="1:17" x14ac:dyDescent="0.25">
      <c r="A2" s="633" t="s">
        <v>568</v>
      </c>
      <c r="B2" s="673">
        <v>45177</v>
      </c>
      <c r="C2" s="630">
        <v>0.84375</v>
      </c>
      <c r="D2" s="629" t="s">
        <v>854</v>
      </c>
      <c r="E2" s="634">
        <v>27</v>
      </c>
      <c r="F2" s="629">
        <v>13</v>
      </c>
      <c r="G2" s="629" t="s">
        <v>853</v>
      </c>
      <c r="H2" s="629"/>
      <c r="I2" s="634"/>
      <c r="J2" s="883" t="s">
        <v>838</v>
      </c>
      <c r="K2" s="884"/>
      <c r="L2" s="884"/>
      <c r="M2" s="884"/>
      <c r="N2" s="14">
        <v>80000</v>
      </c>
      <c r="O2" s="282">
        <v>80023</v>
      </c>
      <c r="Q2">
        <v>1</v>
      </c>
    </row>
    <row r="3" spans="1:17" x14ac:dyDescent="0.25">
      <c r="A3" s="633" t="s">
        <v>570</v>
      </c>
      <c r="B3" s="673">
        <v>45178</v>
      </c>
      <c r="C3" s="630">
        <v>0.5</v>
      </c>
      <c r="D3" s="629" t="s">
        <v>855</v>
      </c>
      <c r="E3" s="634">
        <v>52</v>
      </c>
      <c r="F3" s="629">
        <v>8</v>
      </c>
      <c r="G3" s="629" t="s">
        <v>857</v>
      </c>
      <c r="H3" s="629"/>
      <c r="I3" s="634"/>
      <c r="J3" s="883" t="s">
        <v>839</v>
      </c>
      <c r="K3" s="884"/>
      <c r="L3" s="884"/>
      <c r="M3" s="884"/>
      <c r="N3" s="14">
        <v>41170</v>
      </c>
      <c r="O3" s="282">
        <v>41965</v>
      </c>
      <c r="Q3">
        <v>1</v>
      </c>
    </row>
    <row r="4" spans="1:17" x14ac:dyDescent="0.25">
      <c r="A4" s="633" t="s">
        <v>569</v>
      </c>
      <c r="B4" s="673">
        <v>45183</v>
      </c>
      <c r="C4" s="630">
        <v>0.83333333333333337</v>
      </c>
      <c r="D4" s="629" t="s">
        <v>854</v>
      </c>
      <c r="E4" s="634">
        <v>27</v>
      </c>
      <c r="F4" s="629">
        <v>12</v>
      </c>
      <c r="G4" s="629" t="s">
        <v>856</v>
      </c>
      <c r="H4" s="629"/>
      <c r="I4" s="632"/>
      <c r="J4" s="883" t="s">
        <v>840</v>
      </c>
      <c r="K4" s="884"/>
      <c r="L4" s="884"/>
      <c r="M4" s="884"/>
      <c r="N4" s="14">
        <v>48821</v>
      </c>
      <c r="O4" s="282">
        <v>50096</v>
      </c>
      <c r="Q4">
        <v>1</v>
      </c>
    </row>
    <row r="5" spans="1:17" x14ac:dyDescent="0.25">
      <c r="A5" s="633" t="s">
        <v>568</v>
      </c>
      <c r="B5" s="673">
        <v>45184</v>
      </c>
      <c r="C5" s="630">
        <v>0.83333333333333337</v>
      </c>
      <c r="D5" s="629" t="s">
        <v>853</v>
      </c>
      <c r="E5" s="634">
        <v>71</v>
      </c>
      <c r="F5" s="629">
        <v>3</v>
      </c>
      <c r="G5" s="629" t="s">
        <v>857</v>
      </c>
      <c r="H5" s="629"/>
      <c r="I5" s="634"/>
      <c r="J5" s="883" t="s">
        <v>841</v>
      </c>
      <c r="K5" s="884"/>
      <c r="L5" s="884"/>
      <c r="M5" s="884"/>
      <c r="N5" s="14">
        <v>31996</v>
      </c>
      <c r="O5" s="282">
        <v>33103</v>
      </c>
      <c r="Q5">
        <v>1</v>
      </c>
    </row>
    <row r="6" spans="1:17" x14ac:dyDescent="0.25">
      <c r="A6" s="633" t="s">
        <v>567</v>
      </c>
      <c r="B6" s="673">
        <v>45189</v>
      </c>
      <c r="C6" s="630">
        <v>0.69791666666666663</v>
      </c>
      <c r="D6" s="629" t="s">
        <v>855</v>
      </c>
      <c r="E6" s="634">
        <v>38</v>
      </c>
      <c r="F6" s="629">
        <v>17</v>
      </c>
      <c r="G6" s="629" t="s">
        <v>856</v>
      </c>
      <c r="H6" s="629"/>
      <c r="I6" s="632"/>
      <c r="J6" s="883" t="s">
        <v>842</v>
      </c>
      <c r="K6" s="884"/>
      <c r="L6" s="884"/>
      <c r="M6" s="884"/>
      <c r="N6" s="14">
        <v>28627</v>
      </c>
      <c r="O6" s="282">
        <v>35983</v>
      </c>
      <c r="Q6">
        <v>1</v>
      </c>
    </row>
    <row r="7" spans="1:17" x14ac:dyDescent="0.25">
      <c r="A7" s="633" t="s">
        <v>569</v>
      </c>
      <c r="B7" s="673">
        <v>45190</v>
      </c>
      <c r="C7" s="630">
        <v>0.83333333333333337</v>
      </c>
      <c r="D7" s="629" t="s">
        <v>854</v>
      </c>
      <c r="E7" s="634">
        <v>76</v>
      </c>
      <c r="F7" s="629">
        <v>0</v>
      </c>
      <c r="G7" s="629" t="s">
        <v>857</v>
      </c>
      <c r="H7" s="629"/>
      <c r="I7" s="634"/>
      <c r="J7" s="883" t="s">
        <v>843</v>
      </c>
      <c r="K7" s="884"/>
      <c r="L7" s="884"/>
      <c r="M7" s="884"/>
      <c r="N7" s="14">
        <v>63486</v>
      </c>
      <c r="O7" s="282">
        <v>67847</v>
      </c>
      <c r="Q7">
        <v>1</v>
      </c>
    </row>
    <row r="8" spans="1:17" x14ac:dyDescent="0.25">
      <c r="A8" s="633" t="s">
        <v>567</v>
      </c>
      <c r="B8" s="673">
        <v>45196</v>
      </c>
      <c r="C8" s="630">
        <v>0.69791666666666663</v>
      </c>
      <c r="D8" s="629" t="s">
        <v>856</v>
      </c>
      <c r="E8" s="634">
        <v>36</v>
      </c>
      <c r="F8" s="629">
        <v>26</v>
      </c>
      <c r="G8" s="629" t="s">
        <v>857</v>
      </c>
      <c r="H8" s="629"/>
      <c r="I8" s="632"/>
      <c r="J8" s="883" t="s">
        <v>844</v>
      </c>
      <c r="K8" s="884"/>
      <c r="L8" s="884"/>
      <c r="M8" s="884"/>
      <c r="N8" s="14">
        <v>49432</v>
      </c>
      <c r="O8" s="282">
        <v>58883</v>
      </c>
      <c r="Q8">
        <v>1</v>
      </c>
    </row>
    <row r="9" spans="1:17" x14ac:dyDescent="0.25">
      <c r="A9" s="633" t="s">
        <v>568</v>
      </c>
      <c r="B9" s="673">
        <v>45198</v>
      </c>
      <c r="C9" s="630">
        <v>0.83333333333333337</v>
      </c>
      <c r="D9" s="629" t="s">
        <v>853</v>
      </c>
      <c r="E9" s="634">
        <v>96</v>
      </c>
      <c r="F9" s="629">
        <v>17</v>
      </c>
      <c r="G9" s="629" t="s">
        <v>855</v>
      </c>
      <c r="H9" s="629"/>
      <c r="I9" s="634"/>
      <c r="J9" s="883" t="s">
        <v>844</v>
      </c>
      <c r="K9" s="884"/>
      <c r="L9" s="884"/>
      <c r="M9" s="884"/>
      <c r="N9" s="14">
        <v>57083</v>
      </c>
      <c r="O9" s="282">
        <v>58883</v>
      </c>
      <c r="Q9">
        <v>1</v>
      </c>
    </row>
    <row r="10" spans="1:17" x14ac:dyDescent="0.25">
      <c r="A10" s="633" t="s">
        <v>569</v>
      </c>
      <c r="B10" s="673">
        <v>45204</v>
      </c>
      <c r="C10" s="630">
        <v>0.83333333333333337</v>
      </c>
      <c r="D10" s="629" t="s">
        <v>853</v>
      </c>
      <c r="E10" s="634">
        <v>73</v>
      </c>
      <c r="F10" s="629">
        <v>0</v>
      </c>
      <c r="G10" s="629" t="s">
        <v>856</v>
      </c>
      <c r="H10" s="629"/>
      <c r="I10" s="632"/>
      <c r="J10" s="883" t="s">
        <v>844</v>
      </c>
      <c r="K10" s="884"/>
      <c r="L10" s="884"/>
      <c r="M10" s="884"/>
      <c r="N10" s="14">
        <v>57672</v>
      </c>
      <c r="O10" s="282">
        <v>58883</v>
      </c>
      <c r="Q10">
        <v>1</v>
      </c>
    </row>
    <row r="11" spans="1:17" x14ac:dyDescent="0.25">
      <c r="A11" s="633" t="s">
        <v>568</v>
      </c>
      <c r="B11" s="673">
        <v>45205</v>
      </c>
      <c r="C11" s="630">
        <v>0.83333333333333337</v>
      </c>
      <c r="D11" s="629" t="s">
        <v>854</v>
      </c>
      <c r="E11" s="634">
        <v>60</v>
      </c>
      <c r="F11" s="629">
        <v>7</v>
      </c>
      <c r="G11" s="629" t="s">
        <v>855</v>
      </c>
      <c r="H11" s="629"/>
      <c r="I11" s="634"/>
      <c r="J11" s="883" t="s">
        <v>844</v>
      </c>
      <c r="K11" s="884"/>
      <c r="L11" s="884"/>
      <c r="M11" s="884"/>
      <c r="N11" s="14">
        <v>58102</v>
      </c>
      <c r="O11" s="282">
        <v>58883</v>
      </c>
      <c r="Q11">
        <v>1</v>
      </c>
    </row>
    <row r="12" spans="1:17" ht="14.95" thickBot="1" x14ac:dyDescent="0.3">
      <c r="A12" s="633" t="s">
        <v>58</v>
      </c>
      <c r="B12" s="635" t="s">
        <v>58</v>
      </c>
      <c r="C12" s="631"/>
      <c r="D12" s="634"/>
      <c r="E12" s="631"/>
      <c r="F12" s="631"/>
      <c r="G12" s="631"/>
      <c r="H12" s="631"/>
      <c r="I12" s="631"/>
      <c r="J12" s="631"/>
      <c r="K12" s="631"/>
      <c r="L12" s="631"/>
      <c r="M12" s="631"/>
      <c r="N12" s="14"/>
      <c r="O12" s="282"/>
    </row>
    <row r="13" spans="1:17" ht="14.95" thickBot="1" x14ac:dyDescent="0.3">
      <c r="A13" s="636" t="s">
        <v>58</v>
      </c>
      <c r="B13" s="637" t="s">
        <v>0</v>
      </c>
      <c r="C13" s="637" t="s">
        <v>1</v>
      </c>
      <c r="D13" s="637" t="s">
        <v>2</v>
      </c>
      <c r="E13" s="638" t="s">
        <v>3</v>
      </c>
      <c r="F13" s="637" t="s">
        <v>848</v>
      </c>
      <c r="G13" s="637" t="s">
        <v>849</v>
      </c>
      <c r="H13" s="638" t="s">
        <v>551</v>
      </c>
      <c r="I13" s="637" t="s">
        <v>52</v>
      </c>
      <c r="J13" s="637" t="s">
        <v>53</v>
      </c>
      <c r="K13" s="638" t="s">
        <v>552</v>
      </c>
      <c r="L13" s="637" t="s">
        <v>553</v>
      </c>
      <c r="M13" s="638" t="s">
        <v>50</v>
      </c>
      <c r="N13" s="14"/>
      <c r="O13" s="282"/>
    </row>
    <row r="14" spans="1:17" ht="14.95" customHeight="1" thickBot="1" x14ac:dyDescent="0.3">
      <c r="A14" s="731" t="s">
        <v>964</v>
      </c>
      <c r="B14" s="730">
        <f>frarwc2023poolsplayed</f>
        <v>4</v>
      </c>
      <c r="C14" s="730">
        <f>frarwc2023poolswon</f>
        <v>4</v>
      </c>
      <c r="D14" s="730">
        <f>frarwc2023poolsdrawn</f>
        <v>0</v>
      </c>
      <c r="E14" s="730">
        <f>frarwc2023poolslost</f>
        <v>0</v>
      </c>
      <c r="F14" s="730">
        <f>frarwc2023poolsptsscored</f>
        <v>210</v>
      </c>
      <c r="G14" s="730">
        <f>frarwc2023poolsptsconc</f>
        <v>32</v>
      </c>
      <c r="H14" s="796">
        <f>SUM(F14-G14)</f>
        <v>178</v>
      </c>
      <c r="I14" s="730">
        <f>frarwc2023poolstriesscored</f>
        <v>27</v>
      </c>
      <c r="J14" s="730">
        <f>frarwc2023poolstriesconc</f>
        <v>5</v>
      </c>
      <c r="K14" s="796">
        <f>SUM(I14-J14)</f>
        <v>22</v>
      </c>
      <c r="L14" s="730">
        <f>frarwc2023poolstb+frarwc2023poolslb</f>
        <v>2</v>
      </c>
      <c r="M14" s="796">
        <f>SUM(C14*4+D14*2+L14)</f>
        <v>18</v>
      </c>
      <c r="N14" s="14"/>
      <c r="O14" s="282"/>
    </row>
    <row r="15" spans="1:17" ht="14.95" thickBot="1" x14ac:dyDescent="0.3">
      <c r="A15" s="729" t="s">
        <v>965</v>
      </c>
      <c r="B15" s="730">
        <f>nzlrwc2023poolsplasyed</f>
        <v>4</v>
      </c>
      <c r="C15" s="730">
        <f>nzlrwc2023poolswon</f>
        <v>3</v>
      </c>
      <c r="D15" s="730">
        <f>nzlrwc2023poolsdrawn</f>
        <v>0</v>
      </c>
      <c r="E15" s="730">
        <f>nzlrwc2023poolslost</f>
        <v>1</v>
      </c>
      <c r="F15" s="730">
        <f>nzlrwc2023poolsptsscored</f>
        <v>253</v>
      </c>
      <c r="G15" s="730">
        <f>nzlrwc2023poolsptsconc</f>
        <v>47</v>
      </c>
      <c r="H15" s="796">
        <f>SUM(F15-G15)</f>
        <v>206</v>
      </c>
      <c r="I15" s="730">
        <f>nzlrwc2023poolstriesscored</f>
        <v>38</v>
      </c>
      <c r="J15" s="730">
        <f>nzlrwc2023poolstriesconc</f>
        <v>4</v>
      </c>
      <c r="K15" s="796">
        <f>SUM(I15-J15)</f>
        <v>34</v>
      </c>
      <c r="L15" s="730">
        <f>nzlrwc2023poolstb+nzlrwc2023poolslb</f>
        <v>3</v>
      </c>
      <c r="M15" s="796">
        <f>SUM(C15*4+D15*2+L15)</f>
        <v>15</v>
      </c>
      <c r="N15" s="14"/>
      <c r="O15" s="282"/>
    </row>
    <row r="16" spans="1:17" ht="14.95" thickBot="1" x14ac:dyDescent="0.3">
      <c r="A16" s="639" t="s">
        <v>939</v>
      </c>
      <c r="B16" s="640">
        <f>itarwc2023poolsplayed</f>
        <v>4</v>
      </c>
      <c r="C16" s="641">
        <f>itarwc2023poolswon</f>
        <v>2</v>
      </c>
      <c r="D16" s="641">
        <f>itarwc2023poolsdrawn</f>
        <v>0</v>
      </c>
      <c r="E16" s="641">
        <f>itarwc2023poolslost</f>
        <v>2</v>
      </c>
      <c r="F16" s="641">
        <f>itarwc2023poolsptsscored</f>
        <v>114</v>
      </c>
      <c r="G16" s="641">
        <f>itarwc2023poolsptsconc</f>
        <v>181</v>
      </c>
      <c r="H16" s="799">
        <f>SUM(F16-G16)</f>
        <v>-67</v>
      </c>
      <c r="I16" s="641">
        <f>itarwc2023poolstriesscored</f>
        <v>15</v>
      </c>
      <c r="J16" s="640">
        <f>itarwc2023poolstriescon</f>
        <v>25</v>
      </c>
      <c r="K16" s="799">
        <f>SUM(I16-J16)</f>
        <v>-10</v>
      </c>
      <c r="L16" s="641">
        <f>itarwc2023poolstb+itarwc2023poolslb</f>
        <v>2</v>
      </c>
      <c r="M16" s="799">
        <f>SUM(C16*4+D16*2+L16)</f>
        <v>10</v>
      </c>
      <c r="N16" s="14"/>
      <c r="O16" s="282"/>
    </row>
    <row r="17" spans="1:17" ht="14.95" thickBot="1" x14ac:dyDescent="0.3">
      <c r="A17" s="639" t="s">
        <v>856</v>
      </c>
      <c r="B17" s="640">
        <f>ururwc2023poolsplayed</f>
        <v>4</v>
      </c>
      <c r="C17" s="640">
        <f>ururwc2023poolswon</f>
        <v>1</v>
      </c>
      <c r="D17" s="640">
        <f>ururwc2023poolsdrawn</f>
        <v>0</v>
      </c>
      <c r="E17" s="640">
        <f>ururwc2023poolslost</f>
        <v>3</v>
      </c>
      <c r="F17" s="640">
        <f>ururwc2023poolsptsscored</f>
        <v>65</v>
      </c>
      <c r="G17" s="640">
        <f>ururwc2023poolsptsconc</f>
        <v>164</v>
      </c>
      <c r="H17" s="799">
        <f>SUM(F17-G17)</f>
        <v>-99</v>
      </c>
      <c r="I17" s="640">
        <f>ururwc2023poolstriesscored</f>
        <v>9</v>
      </c>
      <c r="J17" s="640">
        <f>ururwc2023poolstriesconc</f>
        <v>21</v>
      </c>
      <c r="K17" s="799">
        <f>SUM(I17-J17)</f>
        <v>-12</v>
      </c>
      <c r="L17" s="640">
        <f>ururwc2023poolstb+ururwc2023poolslb</f>
        <v>1</v>
      </c>
      <c r="M17" s="799">
        <f>SUM(C17*4+D17*2+L17)</f>
        <v>5</v>
      </c>
      <c r="N17" s="14"/>
      <c r="O17" s="282"/>
    </row>
    <row r="18" spans="1:17" ht="14.95" thickBot="1" x14ac:dyDescent="0.3">
      <c r="A18" s="639" t="s">
        <v>857</v>
      </c>
      <c r="B18" s="640">
        <f>namrwc2023poolsplayed</f>
        <v>4</v>
      </c>
      <c r="C18" s="641">
        <f>namrwc2023poolswon</f>
        <v>0</v>
      </c>
      <c r="D18" s="641">
        <f>namrwc2023poolsdrawn</f>
        <v>0</v>
      </c>
      <c r="E18" s="641">
        <f>namrwc2023poolslost</f>
        <v>4</v>
      </c>
      <c r="F18" s="641">
        <f>namrwc2023poolsptsscored</f>
        <v>37</v>
      </c>
      <c r="G18" s="641">
        <f>namrwc2023poolsptsconc</f>
        <v>255</v>
      </c>
      <c r="H18" s="799">
        <f>SUM(F18-G18)</f>
        <v>-218</v>
      </c>
      <c r="I18" s="641">
        <f>namrwc2023poolstriesscored</f>
        <v>3</v>
      </c>
      <c r="J18" s="640">
        <f>namrwc2023poolstriesconc</f>
        <v>37</v>
      </c>
      <c r="K18" s="799">
        <f>SUM(I18-J18)</f>
        <v>-34</v>
      </c>
      <c r="L18" s="641">
        <f>namrwc2023poolstb+namrwc2023poolslb</f>
        <v>0</v>
      </c>
      <c r="M18" s="799">
        <f>SUM(C18*4+D18*2+L18)</f>
        <v>0</v>
      </c>
      <c r="N18" s="14"/>
      <c r="O18" s="282"/>
    </row>
    <row r="19" spans="1:17" x14ac:dyDescent="0.25">
      <c r="A19" s="642"/>
      <c r="B19" s="643"/>
      <c r="C19" s="306"/>
      <c r="D19" s="307"/>
      <c r="E19" s="306"/>
      <c r="F19" s="306"/>
      <c r="G19" s="306"/>
      <c r="H19" s="308"/>
      <c r="I19" s="308"/>
      <c r="J19" s="308"/>
      <c r="K19" s="308"/>
      <c r="L19" s="308"/>
      <c r="M19" s="308"/>
      <c r="N19" s="14"/>
      <c r="O19" s="282"/>
    </row>
    <row r="20" spans="1:17" x14ac:dyDescent="0.25">
      <c r="A20" s="642" t="s">
        <v>554</v>
      </c>
      <c r="B20" s="644"/>
      <c r="C20" s="306" t="s">
        <v>571</v>
      </c>
      <c r="D20" s="306"/>
      <c r="E20" s="306"/>
      <c r="F20" s="306"/>
      <c r="G20" s="306"/>
      <c r="H20" s="308"/>
      <c r="I20" s="308"/>
      <c r="J20" s="308"/>
      <c r="K20" s="308"/>
      <c r="L20" s="308"/>
      <c r="M20" s="308"/>
      <c r="N20" s="14"/>
      <c r="O20" s="282"/>
    </row>
    <row r="21" spans="1:17" x14ac:dyDescent="0.25">
      <c r="A21" s="645" t="s">
        <v>570</v>
      </c>
      <c r="B21" s="674">
        <v>45178</v>
      </c>
      <c r="C21" s="644">
        <v>0.60416666666666663</v>
      </c>
      <c r="D21" s="642" t="s">
        <v>858</v>
      </c>
      <c r="E21" s="307">
        <v>82</v>
      </c>
      <c r="F21" s="642">
        <v>8</v>
      </c>
      <c r="G21" s="892" t="s">
        <v>861</v>
      </c>
      <c r="H21" s="886"/>
      <c r="I21" s="308"/>
      <c r="J21" s="892" t="s">
        <v>845</v>
      </c>
      <c r="K21" s="893"/>
      <c r="L21" s="893"/>
      <c r="M21" s="893"/>
      <c r="N21" s="14">
        <v>41570</v>
      </c>
      <c r="O21" s="282">
        <v>42060</v>
      </c>
      <c r="Q21">
        <v>1</v>
      </c>
    </row>
    <row r="22" spans="1:17" x14ac:dyDescent="0.25">
      <c r="A22" s="645" t="s">
        <v>581</v>
      </c>
      <c r="B22" s="674">
        <v>45179</v>
      </c>
      <c r="C22" s="644">
        <v>0.69791666666666663</v>
      </c>
      <c r="D22" s="642" t="s">
        <v>860</v>
      </c>
      <c r="E22" s="307">
        <v>18</v>
      </c>
      <c r="F22" s="642">
        <v>3</v>
      </c>
      <c r="G22" s="892" t="s">
        <v>859</v>
      </c>
      <c r="H22" s="886"/>
      <c r="I22" s="308"/>
      <c r="J22" s="892" t="s">
        <v>843</v>
      </c>
      <c r="K22" s="892"/>
      <c r="L22" s="892"/>
      <c r="M22" s="892"/>
      <c r="N22" s="14">
        <v>63586</v>
      </c>
      <c r="O22" s="282">
        <v>67847</v>
      </c>
      <c r="Q22">
        <v>1</v>
      </c>
    </row>
    <row r="23" spans="1:17" x14ac:dyDescent="0.25">
      <c r="A23" s="645" t="s">
        <v>570</v>
      </c>
      <c r="B23" s="674">
        <v>45185</v>
      </c>
      <c r="C23" s="644">
        <v>0.83333333333333337</v>
      </c>
      <c r="D23" s="642" t="s">
        <v>858</v>
      </c>
      <c r="E23" s="307">
        <v>59</v>
      </c>
      <c r="F23" s="642">
        <v>16</v>
      </c>
      <c r="G23" s="642" t="s">
        <v>862</v>
      </c>
      <c r="H23" s="896" t="s">
        <v>58</v>
      </c>
      <c r="I23" s="897"/>
      <c r="J23" s="892" t="s">
        <v>846</v>
      </c>
      <c r="K23" s="893"/>
      <c r="L23" s="893"/>
      <c r="M23" s="893"/>
      <c r="N23" s="14">
        <v>31673</v>
      </c>
      <c r="O23" s="282">
        <v>35520</v>
      </c>
      <c r="Q23">
        <v>1</v>
      </c>
    </row>
    <row r="24" spans="1:17" x14ac:dyDescent="0.25">
      <c r="A24" s="645" t="s">
        <v>581</v>
      </c>
      <c r="B24" s="674">
        <v>45186</v>
      </c>
      <c r="C24" s="644">
        <v>58.333333333333336</v>
      </c>
      <c r="D24" s="642" t="s">
        <v>860</v>
      </c>
      <c r="E24" s="307">
        <v>76</v>
      </c>
      <c r="F24" s="642">
        <v>0</v>
      </c>
      <c r="G24" s="892" t="s">
        <v>861</v>
      </c>
      <c r="H24" s="886"/>
      <c r="I24" s="308"/>
      <c r="J24" s="892" t="s">
        <v>845</v>
      </c>
      <c r="K24" s="893"/>
      <c r="L24" s="893"/>
      <c r="M24" s="893"/>
      <c r="N24" s="14">
        <v>38789</v>
      </c>
      <c r="O24" s="282">
        <v>42060</v>
      </c>
      <c r="Q24">
        <v>1</v>
      </c>
    </row>
    <row r="25" spans="1:17" x14ac:dyDescent="0.25">
      <c r="A25" s="645" t="s">
        <v>570</v>
      </c>
      <c r="B25" s="674">
        <v>45192</v>
      </c>
      <c r="C25" s="644">
        <v>0.83333333333333337</v>
      </c>
      <c r="D25" s="642" t="s">
        <v>860</v>
      </c>
      <c r="E25" s="307">
        <v>8</v>
      </c>
      <c r="F25" s="642">
        <v>13</v>
      </c>
      <c r="G25" s="642" t="s">
        <v>858</v>
      </c>
      <c r="H25" s="896" t="s">
        <v>58</v>
      </c>
      <c r="I25" s="897"/>
      <c r="J25" s="892" t="s">
        <v>838</v>
      </c>
      <c r="K25" s="893"/>
      <c r="L25" s="893"/>
      <c r="M25" s="893"/>
      <c r="N25" s="14">
        <v>78542</v>
      </c>
      <c r="O25" s="282">
        <v>80023</v>
      </c>
      <c r="Q25">
        <v>1</v>
      </c>
    </row>
    <row r="26" spans="1:17" x14ac:dyDescent="0.25">
      <c r="A26" s="645" t="s">
        <v>581</v>
      </c>
      <c r="B26" s="674">
        <v>45193</v>
      </c>
      <c r="C26" s="644">
        <v>0.69791666666666663</v>
      </c>
      <c r="D26" s="642" t="s">
        <v>859</v>
      </c>
      <c r="E26" s="307">
        <v>45</v>
      </c>
      <c r="F26" s="642">
        <v>17</v>
      </c>
      <c r="G26" s="642" t="s">
        <v>862</v>
      </c>
      <c r="H26" s="896" t="s">
        <v>58</v>
      </c>
      <c r="I26" s="897"/>
      <c r="J26" s="892" t="s">
        <v>842</v>
      </c>
      <c r="K26" s="893"/>
      <c r="L26" s="893"/>
      <c r="M26" s="893"/>
      <c r="N26" s="14">
        <v>33189</v>
      </c>
      <c r="O26" s="282">
        <v>35983</v>
      </c>
      <c r="Q26">
        <v>1</v>
      </c>
    </row>
    <row r="27" spans="1:17" x14ac:dyDescent="0.25">
      <c r="A27" s="645" t="s">
        <v>570</v>
      </c>
      <c r="B27" s="674">
        <v>45199</v>
      </c>
      <c r="C27" s="644">
        <v>0.83333333333333337</v>
      </c>
      <c r="D27" s="642" t="s">
        <v>859</v>
      </c>
      <c r="E27" s="307">
        <v>84</v>
      </c>
      <c r="F27" s="642">
        <v>0</v>
      </c>
      <c r="G27" s="892" t="s">
        <v>861</v>
      </c>
      <c r="H27" s="886"/>
      <c r="I27" s="886"/>
      <c r="J27" s="892" t="s">
        <v>840</v>
      </c>
      <c r="K27" s="893"/>
      <c r="L27" s="893"/>
      <c r="M27" s="893"/>
      <c r="N27" s="14">
        <v>46516</v>
      </c>
      <c r="O27" s="282">
        <v>50096</v>
      </c>
      <c r="Q27">
        <v>1</v>
      </c>
    </row>
    <row r="28" spans="1:17" x14ac:dyDescent="0.25">
      <c r="A28" s="645" t="s">
        <v>581</v>
      </c>
      <c r="B28" s="674">
        <v>45200</v>
      </c>
      <c r="C28" s="644">
        <v>0.83333333333333337</v>
      </c>
      <c r="D28" s="642" t="s">
        <v>860</v>
      </c>
      <c r="E28" s="307">
        <v>49</v>
      </c>
      <c r="F28" s="642">
        <v>18</v>
      </c>
      <c r="G28" s="642" t="s">
        <v>862</v>
      </c>
      <c r="H28" s="896" t="s">
        <v>58</v>
      </c>
      <c r="I28" s="897"/>
      <c r="J28" s="892" t="s">
        <v>843</v>
      </c>
      <c r="K28" s="892"/>
      <c r="L28" s="892"/>
      <c r="M28" s="892"/>
      <c r="N28" s="14">
        <v>60387</v>
      </c>
      <c r="O28" s="282">
        <v>67847</v>
      </c>
      <c r="Q28">
        <v>1</v>
      </c>
    </row>
    <row r="29" spans="1:17" x14ac:dyDescent="0.25">
      <c r="A29" s="645" t="s">
        <v>570</v>
      </c>
      <c r="B29" s="674">
        <v>45206</v>
      </c>
      <c r="C29" s="644">
        <v>0.83333333333333337</v>
      </c>
      <c r="D29" s="642" t="s">
        <v>858</v>
      </c>
      <c r="E29" s="307">
        <v>36</v>
      </c>
      <c r="F29" s="642">
        <v>14</v>
      </c>
      <c r="G29" s="892" t="s">
        <v>859</v>
      </c>
      <c r="H29" s="886"/>
      <c r="I29" s="308"/>
      <c r="J29" s="892" t="s">
        <v>838</v>
      </c>
      <c r="K29" s="893"/>
      <c r="L29" s="893"/>
      <c r="M29" s="893"/>
      <c r="N29" s="623">
        <v>78400</v>
      </c>
      <c r="O29" s="282">
        <v>80023</v>
      </c>
      <c r="Q29">
        <v>1</v>
      </c>
    </row>
    <row r="30" spans="1:17" x14ac:dyDescent="0.25">
      <c r="A30" s="645" t="s">
        <v>581</v>
      </c>
      <c r="B30" s="674">
        <v>45207</v>
      </c>
      <c r="C30" s="644">
        <v>0.69791666666666663</v>
      </c>
      <c r="D30" s="642" t="s">
        <v>862</v>
      </c>
      <c r="E30" s="307">
        <v>45</v>
      </c>
      <c r="F30" s="642">
        <v>24</v>
      </c>
      <c r="G30" s="892" t="s">
        <v>861</v>
      </c>
      <c r="H30" s="886"/>
      <c r="I30" s="886"/>
      <c r="J30" s="892" t="s">
        <v>840</v>
      </c>
      <c r="K30" s="893"/>
      <c r="L30" s="893"/>
      <c r="M30" s="893"/>
      <c r="N30" s="623">
        <v>45042</v>
      </c>
      <c r="O30" s="282">
        <v>50096</v>
      </c>
      <c r="Q30">
        <v>1</v>
      </c>
    </row>
    <row r="31" spans="1:17" ht="14.95" thickBot="1" x14ac:dyDescent="0.3">
      <c r="A31" s="645" t="s">
        <v>58</v>
      </c>
      <c r="B31" s="643" t="s">
        <v>58</v>
      </c>
      <c r="C31" s="306"/>
      <c r="D31" s="307"/>
      <c r="E31" s="306"/>
      <c r="F31" s="306"/>
      <c r="G31" s="306"/>
      <c r="H31" s="306"/>
      <c r="I31" s="306"/>
      <c r="J31" s="306"/>
      <c r="K31" s="306"/>
      <c r="L31" s="306"/>
      <c r="M31" s="306"/>
      <c r="N31" s="14"/>
      <c r="O31" s="282"/>
    </row>
    <row r="32" spans="1:17" ht="14.95" thickBot="1" x14ac:dyDescent="0.3">
      <c r="A32" s="646" t="s">
        <v>58</v>
      </c>
      <c r="B32" s="647" t="s">
        <v>0</v>
      </c>
      <c r="C32" s="647" t="s">
        <v>1</v>
      </c>
      <c r="D32" s="647" t="s">
        <v>2</v>
      </c>
      <c r="E32" s="648" t="s">
        <v>3</v>
      </c>
      <c r="F32" s="647" t="s">
        <v>848</v>
      </c>
      <c r="G32" s="647" t="s">
        <v>849</v>
      </c>
      <c r="H32" s="648" t="s">
        <v>551</v>
      </c>
      <c r="I32" s="647" t="s">
        <v>52</v>
      </c>
      <c r="J32" s="647" t="s">
        <v>53</v>
      </c>
      <c r="K32" s="648" t="s">
        <v>552</v>
      </c>
      <c r="L32" s="647" t="s">
        <v>553</v>
      </c>
      <c r="M32" s="648" t="s">
        <v>50</v>
      </c>
      <c r="N32" s="14"/>
      <c r="O32" s="282"/>
    </row>
    <row r="33" spans="1:17" ht="14.95" thickBot="1" x14ac:dyDescent="0.3">
      <c r="A33" s="731" t="s">
        <v>966</v>
      </c>
      <c r="B33" s="730">
        <f>irerwc2023poolsplayed</f>
        <v>4</v>
      </c>
      <c r="C33" s="732">
        <f>irerwc2023poolswon</f>
        <v>4</v>
      </c>
      <c r="D33" s="732">
        <f>irerwc2023poolsdrawn</f>
        <v>0</v>
      </c>
      <c r="E33" s="732">
        <f>irerwc2023poolslost</f>
        <v>0</v>
      </c>
      <c r="F33" s="732">
        <f>irerwc2023poolsptsscored</f>
        <v>190</v>
      </c>
      <c r="G33" s="732">
        <f>irerwc2023poolsptsconc</f>
        <v>46</v>
      </c>
      <c r="H33" s="796">
        <f>SUM(F33-G33)</f>
        <v>144</v>
      </c>
      <c r="I33" s="732">
        <f>irerwc2023poolstriesscored</f>
        <v>27</v>
      </c>
      <c r="J33" s="730">
        <f>irerwc2023poolstriesconc</f>
        <v>5</v>
      </c>
      <c r="K33" s="796">
        <f>SUM(I33-J33)</f>
        <v>22</v>
      </c>
      <c r="L33" s="732">
        <f>irerwc2023poolstb+irerwc2023poolslb</f>
        <v>3</v>
      </c>
      <c r="M33" s="796">
        <f>SUM(C33*4+D33*2+L33)</f>
        <v>19</v>
      </c>
      <c r="N33" s="14"/>
      <c r="O33" s="282"/>
    </row>
    <row r="34" spans="1:17" ht="14.95" thickBot="1" x14ac:dyDescent="0.3">
      <c r="A34" s="729" t="s">
        <v>967</v>
      </c>
      <c r="B34" s="730">
        <f>RSArwc2023poolsplayed</f>
        <v>4</v>
      </c>
      <c r="C34" s="730">
        <f>RSArwc2023poolswon</f>
        <v>3</v>
      </c>
      <c r="D34" s="730">
        <f>RSArwc2023poolsdrawn</f>
        <v>0</v>
      </c>
      <c r="E34" s="730">
        <f>RSArwc2023poolslost</f>
        <v>1</v>
      </c>
      <c r="F34" s="730">
        <f>RSArwc2023poolsptsscored</f>
        <v>151</v>
      </c>
      <c r="G34" s="730">
        <f>RSArwc2023poolsptsconc</f>
        <v>34</v>
      </c>
      <c r="H34" s="796">
        <f>SUM(F34-G34)</f>
        <v>117</v>
      </c>
      <c r="I34" s="730">
        <f>RSArwc2023poolstriescored</f>
        <v>22</v>
      </c>
      <c r="J34" s="730">
        <f>RSArwc2023poolstriesconc</f>
        <v>4</v>
      </c>
      <c r="K34" s="796">
        <f>SUM(I34-J34)</f>
        <v>18</v>
      </c>
      <c r="L34" s="730">
        <f>RSArwc2023poolstb+RSArwc2023poolslb</f>
        <v>3</v>
      </c>
      <c r="M34" s="796">
        <f>SUM(C34*4+D34*2+L34)</f>
        <v>15</v>
      </c>
      <c r="N34" s="14"/>
      <c r="O34" s="282"/>
    </row>
    <row r="35" spans="1:17" ht="14.95" thickBot="1" x14ac:dyDescent="0.3">
      <c r="A35" s="649" t="s">
        <v>934</v>
      </c>
      <c r="B35" s="650">
        <f>scorwc2023poolsplayed</f>
        <v>4</v>
      </c>
      <c r="C35" s="650">
        <f>scorwc2023poolswon</f>
        <v>2</v>
      </c>
      <c r="D35" s="650">
        <f>scorwc2023poolsdrawn</f>
        <v>0</v>
      </c>
      <c r="E35" s="650">
        <f>scorwc2023poolslost</f>
        <v>2</v>
      </c>
      <c r="F35" s="650">
        <f>scorwc2023poolsptsscored</f>
        <v>146</v>
      </c>
      <c r="G35" s="650">
        <f>scorwc2023poolsptscconc</f>
        <v>71</v>
      </c>
      <c r="H35" s="800">
        <f>SUM(F35-G35)</f>
        <v>75</v>
      </c>
      <c r="I35" s="650">
        <f>scorwc2023poolstriescored</f>
        <v>21</v>
      </c>
      <c r="J35" s="650">
        <f>scorwc2023poolstriesconc</f>
        <v>10</v>
      </c>
      <c r="K35" s="800">
        <f>SUM(I35-J35)</f>
        <v>11</v>
      </c>
      <c r="L35" s="650">
        <f>scorwc2023poolstb+scorwc2023poolslb</f>
        <v>2</v>
      </c>
      <c r="M35" s="800">
        <f>SUM(C35*4+D35*2+L35)</f>
        <v>10</v>
      </c>
      <c r="N35" s="14"/>
      <c r="O35" s="282"/>
    </row>
    <row r="36" spans="1:17" ht="14.95" thickBot="1" x14ac:dyDescent="0.3">
      <c r="A36" s="649" t="s">
        <v>862</v>
      </c>
      <c r="B36" s="650">
        <f>tgarwc2023poolsplayed</f>
        <v>4</v>
      </c>
      <c r="C36" s="651">
        <f>tgarwc2023poolswon</f>
        <v>1</v>
      </c>
      <c r="D36" s="651">
        <f>tgarwc2023poolsdrawn</f>
        <v>0</v>
      </c>
      <c r="E36" s="651">
        <f>tgarwc2023poolslost</f>
        <v>3</v>
      </c>
      <c r="F36" s="651">
        <f>tgarwc2023poolsptsscored</f>
        <v>96</v>
      </c>
      <c r="G36" s="651">
        <f>tgarwc2023poolsptsconc</f>
        <v>177</v>
      </c>
      <c r="H36" s="800">
        <f>SUM(F36-G36)</f>
        <v>-81</v>
      </c>
      <c r="I36" s="651">
        <f>tgarwc2023poolstriesscored</f>
        <v>13</v>
      </c>
      <c r="J36" s="650">
        <f>tgarwc2023poolstriesconc</f>
        <v>25</v>
      </c>
      <c r="K36" s="800">
        <f>SUM(I36-J36)</f>
        <v>-12</v>
      </c>
      <c r="L36" s="651">
        <f>tgarwc2023poolstb+tgarwc2023poolslb</f>
        <v>1</v>
      </c>
      <c r="M36" s="800">
        <f>SUM(C36*4+D36*2+L36)</f>
        <v>5</v>
      </c>
      <c r="N36" s="14"/>
      <c r="O36" s="282"/>
    </row>
    <row r="37" spans="1:17" ht="14.95" thickBot="1" x14ac:dyDescent="0.3">
      <c r="A37" s="649" t="s">
        <v>861</v>
      </c>
      <c r="B37" s="650">
        <f>romrwc2023poolsplayed</f>
        <v>4</v>
      </c>
      <c r="C37" s="650">
        <f>romrwc2023poolswon</f>
        <v>0</v>
      </c>
      <c r="D37" s="650">
        <f>romrwc2023poolsdrawn</f>
        <v>0</v>
      </c>
      <c r="E37" s="650">
        <f>romrwc2023poolslost</f>
        <v>4</v>
      </c>
      <c r="F37" s="650">
        <f>romrwc2023poolsptsscored</f>
        <v>32</v>
      </c>
      <c r="G37" s="650">
        <f>romrwc2023poolsptsconc</f>
        <v>287</v>
      </c>
      <c r="H37" s="800">
        <f>SUM(F37-G37)</f>
        <v>-255</v>
      </c>
      <c r="I37" s="650">
        <f>romrwc2023poolstriesscored</f>
        <v>4</v>
      </c>
      <c r="J37" s="650">
        <f>romrwc2023poolstriesconc</f>
        <v>43</v>
      </c>
      <c r="K37" s="800">
        <f>SUM(I37-J37)</f>
        <v>-39</v>
      </c>
      <c r="L37" s="650">
        <f>romrwc2023poolstb+romrwc2023poolslb</f>
        <v>0</v>
      </c>
      <c r="M37" s="800">
        <f>SUM(C37*4+D37*2+L37)</f>
        <v>0</v>
      </c>
      <c r="N37" s="14"/>
      <c r="O37" s="282"/>
    </row>
    <row r="38" spans="1:17" x14ac:dyDescent="0.25">
      <c r="A38" s="170"/>
      <c r="B38" s="624"/>
      <c r="C38" s="624"/>
      <c r="D38" s="624"/>
      <c r="E38" s="624"/>
      <c r="F38" s="172"/>
      <c r="G38" s="172"/>
      <c r="H38" s="625"/>
      <c r="I38" s="172"/>
      <c r="J38" s="172"/>
      <c r="K38" s="625"/>
      <c r="L38" s="172"/>
      <c r="M38" s="625"/>
      <c r="N38" s="14"/>
      <c r="O38" s="282"/>
    </row>
    <row r="39" spans="1:17" x14ac:dyDescent="0.25">
      <c r="A39" s="626"/>
      <c r="B39" s="627"/>
      <c r="C39" s="304"/>
      <c r="D39" s="628"/>
      <c r="E39" s="304"/>
      <c r="F39" s="304"/>
      <c r="G39" s="304"/>
      <c r="H39" s="14"/>
      <c r="I39" s="14"/>
      <c r="J39" s="14"/>
      <c r="K39" s="14"/>
      <c r="L39" s="14"/>
      <c r="M39" s="14"/>
      <c r="N39" s="14"/>
      <c r="O39" s="282"/>
    </row>
    <row r="40" spans="1:17" x14ac:dyDescent="0.25">
      <c r="A40" s="694" t="s">
        <v>555</v>
      </c>
      <c r="B40" s="695" t="s">
        <v>549</v>
      </c>
      <c r="C40" s="696" t="s">
        <v>571</v>
      </c>
      <c r="D40" s="696"/>
      <c r="E40" s="696"/>
      <c r="F40" s="696"/>
      <c r="G40" s="696"/>
      <c r="H40" s="697"/>
      <c r="I40" s="697"/>
      <c r="J40" s="697"/>
      <c r="K40" s="697"/>
      <c r="L40" s="697"/>
      <c r="M40" s="697"/>
      <c r="N40" s="14"/>
      <c r="O40" s="282"/>
    </row>
    <row r="41" spans="1:17" x14ac:dyDescent="0.25">
      <c r="A41" s="698" t="s">
        <v>570</v>
      </c>
      <c r="B41" s="699">
        <v>45178</v>
      </c>
      <c r="C41" s="695">
        <v>0.70833333333333337</v>
      </c>
      <c r="D41" s="694" t="s">
        <v>863</v>
      </c>
      <c r="E41" s="701">
        <v>35</v>
      </c>
      <c r="F41" s="694">
        <v>15</v>
      </c>
      <c r="G41" s="694" t="s">
        <v>865</v>
      </c>
      <c r="H41" s="696"/>
      <c r="I41" s="697"/>
      <c r="J41" s="890" t="s">
        <v>838</v>
      </c>
      <c r="K41" s="891"/>
      <c r="L41" s="891"/>
      <c r="M41" s="891"/>
      <c r="N41" s="14">
        <v>75770</v>
      </c>
      <c r="O41" s="282">
        <v>80023</v>
      </c>
      <c r="Q41">
        <v>1</v>
      </c>
    </row>
    <row r="42" spans="1:17" x14ac:dyDescent="0.25">
      <c r="A42" s="698" t="s">
        <v>581</v>
      </c>
      <c r="B42" s="699">
        <v>45179</v>
      </c>
      <c r="C42" s="695">
        <v>0.83333333333333337</v>
      </c>
      <c r="D42" s="694" t="s">
        <v>864</v>
      </c>
      <c r="E42" s="701">
        <v>32</v>
      </c>
      <c r="F42" s="694">
        <v>26</v>
      </c>
      <c r="G42" s="694" t="s">
        <v>867</v>
      </c>
      <c r="H42" s="894"/>
      <c r="I42" s="895"/>
      <c r="J42" s="890" t="s">
        <v>845</v>
      </c>
      <c r="K42" s="891"/>
      <c r="L42" s="891"/>
      <c r="M42" s="891"/>
      <c r="N42" s="14">
        <v>41274</v>
      </c>
      <c r="O42" s="282">
        <v>42060</v>
      </c>
      <c r="Q42">
        <v>1</v>
      </c>
    </row>
    <row r="43" spans="1:17" x14ac:dyDescent="0.25">
      <c r="A43" s="698" t="s">
        <v>570</v>
      </c>
      <c r="B43" s="699">
        <v>45185</v>
      </c>
      <c r="C43" s="695">
        <v>0.69791666666666663</v>
      </c>
      <c r="D43" s="694" t="s">
        <v>864</v>
      </c>
      <c r="E43" s="701">
        <v>28</v>
      </c>
      <c r="F43" s="694">
        <v>8</v>
      </c>
      <c r="G43" s="694" t="s">
        <v>866</v>
      </c>
      <c r="H43" s="696"/>
      <c r="I43" s="697"/>
      <c r="J43" s="890" t="s">
        <v>842</v>
      </c>
      <c r="K43" s="891"/>
      <c r="L43" s="891"/>
      <c r="M43" s="891"/>
      <c r="N43" s="14">
        <v>28700</v>
      </c>
      <c r="O43" s="282">
        <v>35983</v>
      </c>
      <c r="Q43">
        <v>1</v>
      </c>
    </row>
    <row r="44" spans="1:17" x14ac:dyDescent="0.25">
      <c r="A44" s="698" t="s">
        <v>581</v>
      </c>
      <c r="B44" s="699">
        <v>45186</v>
      </c>
      <c r="C44" s="695">
        <v>0.69791666666666663</v>
      </c>
      <c r="D44" s="694" t="s">
        <v>863</v>
      </c>
      <c r="E44" s="701">
        <v>15</v>
      </c>
      <c r="F44" s="694">
        <v>22</v>
      </c>
      <c r="G44" s="694" t="s">
        <v>867</v>
      </c>
      <c r="H44" s="894"/>
      <c r="I44" s="895"/>
      <c r="J44" s="890" t="s">
        <v>839</v>
      </c>
      <c r="K44" s="891"/>
      <c r="L44" s="891"/>
      <c r="M44" s="891"/>
      <c r="N44" s="14">
        <v>41294</v>
      </c>
      <c r="O44" s="282">
        <v>41965</v>
      </c>
      <c r="Q44">
        <v>1</v>
      </c>
    </row>
    <row r="45" spans="1:17" x14ac:dyDescent="0.25">
      <c r="A45" s="698" t="s">
        <v>570</v>
      </c>
      <c r="B45" s="699">
        <v>45192</v>
      </c>
      <c r="C45" s="695">
        <v>0.54166666666666663</v>
      </c>
      <c r="D45" s="694" t="s">
        <v>865</v>
      </c>
      <c r="E45" s="701">
        <v>18</v>
      </c>
      <c r="F45" s="694">
        <v>18</v>
      </c>
      <c r="G45" s="694" t="s">
        <v>866</v>
      </c>
      <c r="H45" s="696"/>
      <c r="I45" s="697"/>
      <c r="J45" s="890" t="s">
        <v>841</v>
      </c>
      <c r="K45" s="891"/>
      <c r="L45" s="891"/>
      <c r="M45" s="891"/>
      <c r="N45" s="14">
        <v>28700</v>
      </c>
      <c r="O45" s="282">
        <v>33103</v>
      </c>
      <c r="Q45">
        <v>1</v>
      </c>
    </row>
    <row r="46" spans="1:17" x14ac:dyDescent="0.25">
      <c r="A46" s="698" t="s">
        <v>581</v>
      </c>
      <c r="B46" s="699">
        <v>45193</v>
      </c>
      <c r="C46" s="695">
        <v>0.83333333333333337</v>
      </c>
      <c r="D46" s="694" t="s">
        <v>864</v>
      </c>
      <c r="E46" s="701">
        <v>40</v>
      </c>
      <c r="F46" s="694">
        <v>6</v>
      </c>
      <c r="G46" s="694" t="s">
        <v>863</v>
      </c>
      <c r="H46" s="696"/>
      <c r="I46" s="697"/>
      <c r="J46" s="890" t="s">
        <v>844</v>
      </c>
      <c r="K46" s="891"/>
      <c r="L46" s="891"/>
      <c r="M46" s="891"/>
      <c r="N46" s="14">
        <v>55296</v>
      </c>
      <c r="O46" s="282">
        <v>58883</v>
      </c>
      <c r="Q46">
        <v>1</v>
      </c>
    </row>
    <row r="47" spans="1:17" x14ac:dyDescent="0.25">
      <c r="A47" s="698" t="s">
        <v>570</v>
      </c>
      <c r="B47" s="699">
        <v>45199</v>
      </c>
      <c r="C47" s="695">
        <v>0.69791666666666663</v>
      </c>
      <c r="D47" s="694" t="s">
        <v>867</v>
      </c>
      <c r="E47" s="701">
        <v>17</v>
      </c>
      <c r="F47" s="694">
        <v>12</v>
      </c>
      <c r="G47" s="694" t="s">
        <v>865</v>
      </c>
      <c r="H47" s="696"/>
      <c r="I47" s="697"/>
      <c r="J47" s="890" t="s">
        <v>845</v>
      </c>
      <c r="K47" s="891"/>
      <c r="L47" s="891"/>
      <c r="M47" s="891"/>
      <c r="N47" s="14">
        <v>39862</v>
      </c>
      <c r="O47" s="282">
        <v>42060</v>
      </c>
      <c r="Q47">
        <v>1</v>
      </c>
    </row>
    <row r="48" spans="1:17" x14ac:dyDescent="0.25">
      <c r="A48" s="698" t="s">
        <v>581</v>
      </c>
      <c r="B48" s="699">
        <v>45200</v>
      </c>
      <c r="C48" s="695">
        <v>0.69791666666666663</v>
      </c>
      <c r="D48" s="694" t="s">
        <v>863</v>
      </c>
      <c r="E48" s="701">
        <v>34</v>
      </c>
      <c r="F48" s="694">
        <v>14</v>
      </c>
      <c r="G48" s="694" t="s">
        <v>866</v>
      </c>
      <c r="H48" s="696"/>
      <c r="I48" s="697"/>
      <c r="J48" s="890" t="s">
        <v>839</v>
      </c>
      <c r="K48" s="891"/>
      <c r="L48" s="891"/>
      <c r="M48" s="891"/>
      <c r="N48" s="14">
        <v>41342</v>
      </c>
      <c r="O48" s="282">
        <v>41965</v>
      </c>
      <c r="Q48">
        <v>1</v>
      </c>
    </row>
    <row r="49" spans="1:17" x14ac:dyDescent="0.25">
      <c r="A49" s="698" t="s">
        <v>570</v>
      </c>
      <c r="B49" s="699">
        <v>45206</v>
      </c>
      <c r="C49" s="695">
        <v>0.58333333333333337</v>
      </c>
      <c r="D49" s="694" t="s">
        <v>864</v>
      </c>
      <c r="E49" s="701">
        <v>43</v>
      </c>
      <c r="F49" s="694">
        <v>19</v>
      </c>
      <c r="G49" s="694" t="s">
        <v>865</v>
      </c>
      <c r="H49" s="696"/>
      <c r="I49" s="697"/>
      <c r="J49" s="890" t="s">
        <v>846</v>
      </c>
      <c r="K49" s="891"/>
      <c r="L49" s="891"/>
      <c r="M49" s="891"/>
      <c r="N49" s="623">
        <v>33580</v>
      </c>
      <c r="O49" s="282">
        <v>35520</v>
      </c>
      <c r="Q49">
        <v>1</v>
      </c>
    </row>
    <row r="50" spans="1:17" x14ac:dyDescent="0.25">
      <c r="A50" s="698" t="s">
        <v>581</v>
      </c>
      <c r="B50" s="699">
        <v>45207</v>
      </c>
      <c r="C50" s="695">
        <v>0.83333333333333337</v>
      </c>
      <c r="D50" s="694" t="s">
        <v>867</v>
      </c>
      <c r="E50" s="701">
        <v>23</v>
      </c>
      <c r="F50" s="694">
        <v>24</v>
      </c>
      <c r="G50" s="694" t="s">
        <v>866</v>
      </c>
      <c r="H50" s="696"/>
      <c r="I50" s="697"/>
      <c r="J50" s="890" t="s">
        <v>841</v>
      </c>
      <c r="K50" s="891"/>
      <c r="L50" s="891"/>
      <c r="M50" s="891"/>
      <c r="N50" s="14">
        <v>32223</v>
      </c>
      <c r="O50" s="282">
        <v>33103</v>
      </c>
      <c r="Q50">
        <v>1</v>
      </c>
    </row>
    <row r="51" spans="1:17" ht="14.95" thickBot="1" x14ac:dyDescent="0.3">
      <c r="A51" s="698" t="s">
        <v>58</v>
      </c>
      <c r="B51" s="700" t="s">
        <v>58</v>
      </c>
      <c r="C51" s="696"/>
      <c r="D51" s="701"/>
      <c r="E51" s="696"/>
      <c r="F51" s="696"/>
      <c r="G51" s="696"/>
      <c r="H51" s="696"/>
      <c r="I51" s="696"/>
      <c r="J51" s="696"/>
      <c r="K51" s="696"/>
      <c r="L51" s="696"/>
      <c r="M51" s="696"/>
      <c r="N51" s="14"/>
      <c r="O51" s="282"/>
    </row>
    <row r="52" spans="1:17" ht="14.95" thickBot="1" x14ac:dyDescent="0.3">
      <c r="A52" s="702" t="s">
        <v>58</v>
      </c>
      <c r="B52" s="703" t="s">
        <v>0</v>
      </c>
      <c r="C52" s="703" t="s">
        <v>1</v>
      </c>
      <c r="D52" s="703" t="s">
        <v>2</v>
      </c>
      <c r="E52" s="704" t="s">
        <v>3</v>
      </c>
      <c r="F52" s="703" t="s">
        <v>848</v>
      </c>
      <c r="G52" s="703" t="s">
        <v>849</v>
      </c>
      <c r="H52" s="704" t="s">
        <v>551</v>
      </c>
      <c r="I52" s="703" t="s">
        <v>847</v>
      </c>
      <c r="J52" s="703" t="s">
        <v>53</v>
      </c>
      <c r="K52" s="704" t="s">
        <v>552</v>
      </c>
      <c r="L52" s="703" t="s">
        <v>553</v>
      </c>
      <c r="M52" s="704" t="s">
        <v>50</v>
      </c>
      <c r="N52" s="14"/>
      <c r="O52" s="282"/>
    </row>
    <row r="53" spans="1:17" ht="14.95" thickBot="1" x14ac:dyDescent="0.3">
      <c r="A53" s="729" t="s">
        <v>968</v>
      </c>
      <c r="B53" s="730">
        <f>walrwc2023poolsplayed</f>
        <v>4</v>
      </c>
      <c r="C53" s="730">
        <f>walrwc2023poolswon</f>
        <v>4</v>
      </c>
      <c r="D53" s="730">
        <f>walrwc2023poolsdrawn</f>
        <v>0</v>
      </c>
      <c r="E53" s="730">
        <f>walrwc2023poolslost</f>
        <v>0</v>
      </c>
      <c r="F53" s="730">
        <f>walrwc2023poolsptsscored</f>
        <v>143</v>
      </c>
      <c r="G53" s="730">
        <f>walrwc2023poolsptsconc</f>
        <v>59</v>
      </c>
      <c r="H53" s="796">
        <f>SUM(F53-G53)</f>
        <v>84</v>
      </c>
      <c r="I53" s="730">
        <f>walrwc2023poolstriesscored</f>
        <v>17</v>
      </c>
      <c r="J53" s="730">
        <f>walrwc2023poolstriesconc</f>
        <v>8</v>
      </c>
      <c r="K53" s="796">
        <f>SUM(I53-J53)</f>
        <v>9</v>
      </c>
      <c r="L53" s="730">
        <f>walrwc2023poolstb+walrwc2023poolslb</f>
        <v>3</v>
      </c>
      <c r="M53" s="796">
        <f>SUM(C53*4+D53*2+L53)</f>
        <v>19</v>
      </c>
      <c r="N53" s="14"/>
      <c r="O53" s="282"/>
    </row>
    <row r="54" spans="1:17" ht="14.95" thickBot="1" x14ac:dyDescent="0.3">
      <c r="A54" s="731" t="s">
        <v>969</v>
      </c>
      <c r="B54" s="730">
        <f>fijrwc2023poolsplayed</f>
        <v>4</v>
      </c>
      <c r="C54" s="732">
        <f>fijrwc2023poolswon</f>
        <v>2</v>
      </c>
      <c r="D54" s="732">
        <f>fijrwc2023poolsdrawn</f>
        <v>0</v>
      </c>
      <c r="E54" s="732">
        <f>fijrwc2023poolslost</f>
        <v>2</v>
      </c>
      <c r="F54" s="732">
        <f>fijrwc2023poolsptsscored</f>
        <v>88</v>
      </c>
      <c r="G54" s="732">
        <f>fijrwc2023poolsptsconc</f>
        <v>83</v>
      </c>
      <c r="H54" s="796">
        <f>SUM(F54-G54)</f>
        <v>5</v>
      </c>
      <c r="I54" s="732">
        <f>fijrwc2023poolstriesscored</f>
        <v>9</v>
      </c>
      <c r="J54" s="730">
        <f>fijrwc2023poolstriesconc</f>
        <v>9</v>
      </c>
      <c r="K54" s="796">
        <f>SUM(I54-J54)</f>
        <v>0</v>
      </c>
      <c r="L54" s="732">
        <f>fijrwc2023poolstb+fijrwc2023poolslb</f>
        <v>3</v>
      </c>
      <c r="M54" s="796">
        <f>SUM(C54*4+D54*2+L54)</f>
        <v>11</v>
      </c>
      <c r="N54" s="14"/>
      <c r="O54" s="282"/>
    </row>
    <row r="55" spans="1:17" ht="14.95" thickBot="1" x14ac:dyDescent="0.3">
      <c r="A55" s="705" t="s">
        <v>926</v>
      </c>
      <c r="B55" s="706">
        <f>aus2023wcpoolsplayed</f>
        <v>4</v>
      </c>
      <c r="C55" s="706">
        <f>aus2023wcpoolswon</f>
        <v>2</v>
      </c>
      <c r="D55" s="706">
        <f>aus2023wcpoolsdrawn</f>
        <v>0</v>
      </c>
      <c r="E55" s="706">
        <f>aus2023wcpoolslost</f>
        <v>2</v>
      </c>
      <c r="F55" s="706">
        <f>aus2023wcpoolsptsscored</f>
        <v>90</v>
      </c>
      <c r="G55" s="706">
        <f>aus2023wcpoolsptsconc</f>
        <v>91</v>
      </c>
      <c r="H55" s="797">
        <f>SUM(F55-G55)</f>
        <v>-1</v>
      </c>
      <c r="I55" s="706">
        <f>aus2023wcpoolstriesscoredcorrect</f>
        <v>11</v>
      </c>
      <c r="J55" s="706">
        <f>aus2023wcpoolstriesconc</f>
        <v>8</v>
      </c>
      <c r="K55" s="797">
        <f>SUM(I55-J55)</f>
        <v>3</v>
      </c>
      <c r="L55" s="706">
        <f>aus2023wcpoolstb+aus2023wcpoolslbcorrect</f>
        <v>3</v>
      </c>
      <c r="M55" s="797">
        <f>SUM(C55*4+D55*2+L55)</f>
        <v>11</v>
      </c>
      <c r="N55" s="14"/>
      <c r="O55" s="282"/>
    </row>
    <row r="56" spans="1:17" ht="14.95" thickBot="1" x14ac:dyDescent="0.3">
      <c r="A56" s="705" t="s">
        <v>866</v>
      </c>
      <c r="B56" s="706">
        <f>prtrwc2023poolsplayed</f>
        <v>4</v>
      </c>
      <c r="C56" s="707">
        <f>prtrwc2023poolswon</f>
        <v>1</v>
      </c>
      <c r="D56" s="707">
        <f>prtrwc2023poolsdrawn</f>
        <v>1</v>
      </c>
      <c r="E56" s="707">
        <f>prtrwc2023poolslost</f>
        <v>2</v>
      </c>
      <c r="F56" s="707">
        <f>prtrwc2023poolsptsscored</f>
        <v>64</v>
      </c>
      <c r="G56" s="707">
        <f>prtrwc2023poolsptsconc</f>
        <v>103</v>
      </c>
      <c r="H56" s="797">
        <f>SUM(F56-G56)</f>
        <v>-39</v>
      </c>
      <c r="I56" s="707">
        <f>prtrwc2023poolstriesscored</f>
        <v>8</v>
      </c>
      <c r="J56" s="706">
        <f>prtrwc2023poolstriesconc</f>
        <v>13</v>
      </c>
      <c r="K56" s="797">
        <f>SUM(I56-J56)</f>
        <v>-5</v>
      </c>
      <c r="L56" s="707">
        <f>prtrwc2023poolstb+prtrwc2023poolslb</f>
        <v>0</v>
      </c>
      <c r="M56" s="797">
        <f>SUM(C56*4+D56*2+L56)</f>
        <v>6</v>
      </c>
      <c r="N56" s="14"/>
      <c r="O56" s="282"/>
    </row>
    <row r="57" spans="1:17" ht="14.95" thickBot="1" x14ac:dyDescent="0.3">
      <c r="A57" s="705" t="s">
        <v>865</v>
      </c>
      <c r="B57" s="706">
        <f>georwc2023poolsplayed</f>
        <v>4</v>
      </c>
      <c r="C57" s="706">
        <f>georwc2023poolswon</f>
        <v>0</v>
      </c>
      <c r="D57" s="706">
        <f>georwc2023poolsdrawn</f>
        <v>1</v>
      </c>
      <c r="E57" s="706">
        <f>georwc2023poolslost</f>
        <v>3</v>
      </c>
      <c r="F57" s="706">
        <f>georwc2023poolsptsscored</f>
        <v>64</v>
      </c>
      <c r="G57" s="706">
        <f>georwc2023poolsptsconc</f>
        <v>113</v>
      </c>
      <c r="H57" s="797">
        <f>SUM(F57-G57)</f>
        <v>-49</v>
      </c>
      <c r="I57" s="706">
        <f>georwc2023poolstriesscored</f>
        <v>7</v>
      </c>
      <c r="J57" s="706">
        <f>georwc2023poolstriesconc</f>
        <v>14</v>
      </c>
      <c r="K57" s="797">
        <f>SUM(I57-J57)</f>
        <v>-7</v>
      </c>
      <c r="L57" s="706">
        <f>georwc2023poolstb+georwc2023poolslb</f>
        <v>1</v>
      </c>
      <c r="M57" s="797">
        <f>SUM(C57*4+D57*2+L57)</f>
        <v>3</v>
      </c>
      <c r="N57" s="14"/>
      <c r="O57" s="282"/>
    </row>
    <row r="58" spans="1:17" x14ac:dyDescent="0.25">
      <c r="A58" s="716"/>
      <c r="B58" s="717"/>
      <c r="C58" s="718"/>
      <c r="D58" s="719"/>
      <c r="E58" s="718"/>
      <c r="F58" s="718"/>
      <c r="G58" s="718"/>
      <c r="H58" s="720"/>
      <c r="I58" s="720"/>
      <c r="J58" s="720"/>
      <c r="K58" s="720"/>
      <c r="L58" s="720"/>
      <c r="M58" s="720"/>
      <c r="N58" s="14"/>
      <c r="O58" s="282"/>
    </row>
    <row r="59" spans="1:17" x14ac:dyDescent="0.25">
      <c r="A59" s="716" t="s">
        <v>556</v>
      </c>
      <c r="B59" s="721" t="s">
        <v>58</v>
      </c>
      <c r="C59" s="718" t="s">
        <v>571</v>
      </c>
      <c r="D59" s="718"/>
      <c r="E59" s="718"/>
      <c r="F59" s="718"/>
      <c r="G59" s="718"/>
      <c r="H59" s="720"/>
      <c r="I59" s="720"/>
      <c r="J59" s="720"/>
      <c r="K59" s="720"/>
      <c r="L59" s="720"/>
      <c r="M59" s="720"/>
      <c r="N59" s="14"/>
      <c r="O59" s="282"/>
    </row>
    <row r="60" spans="1:17" x14ac:dyDescent="0.25">
      <c r="A60" s="722" t="s">
        <v>570</v>
      </c>
      <c r="B60" s="723">
        <v>45178</v>
      </c>
      <c r="C60" s="721">
        <v>0.83333333333333337</v>
      </c>
      <c r="D60" s="718" t="s">
        <v>868</v>
      </c>
      <c r="E60" s="719">
        <v>27</v>
      </c>
      <c r="F60" s="716">
        <v>10</v>
      </c>
      <c r="G60" s="885" t="s">
        <v>869</v>
      </c>
      <c r="H60" s="886"/>
      <c r="I60" s="719"/>
      <c r="J60" s="885" t="s">
        <v>843</v>
      </c>
      <c r="K60" s="889"/>
      <c r="L60" s="889"/>
      <c r="M60" s="889"/>
      <c r="N60" s="14">
        <v>63118</v>
      </c>
      <c r="O60" s="282">
        <v>67847</v>
      </c>
      <c r="Q60">
        <v>1</v>
      </c>
    </row>
    <row r="61" spans="1:17" x14ac:dyDescent="0.25">
      <c r="A61" s="722" t="s">
        <v>581</v>
      </c>
      <c r="B61" s="723">
        <v>45179</v>
      </c>
      <c r="C61" s="721">
        <v>0.5</v>
      </c>
      <c r="D61" s="718" t="s">
        <v>871</v>
      </c>
      <c r="E61" s="719">
        <v>42</v>
      </c>
      <c r="F61" s="716">
        <v>12</v>
      </c>
      <c r="G61" s="716" t="s">
        <v>872</v>
      </c>
      <c r="H61" s="718" t="s">
        <v>58</v>
      </c>
      <c r="I61" s="719"/>
      <c r="J61" s="885" t="s">
        <v>841</v>
      </c>
      <c r="K61" s="889"/>
      <c r="L61" s="889"/>
      <c r="M61" s="889"/>
      <c r="N61" s="14">
        <v>30187</v>
      </c>
      <c r="O61" s="282">
        <v>33103</v>
      </c>
      <c r="Q61">
        <v>1</v>
      </c>
    </row>
    <row r="62" spans="1:17" x14ac:dyDescent="0.25">
      <c r="A62" s="722" t="s">
        <v>570</v>
      </c>
      <c r="B62" s="723">
        <v>45185</v>
      </c>
      <c r="C62" s="721">
        <v>0.58333333333333337</v>
      </c>
      <c r="D62" s="718" t="s">
        <v>870</v>
      </c>
      <c r="E62" s="719">
        <v>43</v>
      </c>
      <c r="F62" s="716">
        <v>10</v>
      </c>
      <c r="G62" s="716" t="s">
        <v>872</v>
      </c>
      <c r="H62" s="718" t="s">
        <v>58</v>
      </c>
      <c r="I62" s="719"/>
      <c r="J62" s="885" t="s">
        <v>845</v>
      </c>
      <c r="K62" s="889"/>
      <c r="L62" s="889"/>
      <c r="M62" s="889"/>
      <c r="N62" s="14">
        <v>39291</v>
      </c>
      <c r="O62" s="282">
        <v>42060</v>
      </c>
      <c r="Q62">
        <v>1</v>
      </c>
    </row>
    <row r="63" spans="1:17" x14ac:dyDescent="0.25">
      <c r="A63" s="722" t="s">
        <v>581</v>
      </c>
      <c r="B63" s="723">
        <v>45186</v>
      </c>
      <c r="C63" s="721">
        <v>0.83333333333333337</v>
      </c>
      <c r="D63" s="718" t="s">
        <v>868</v>
      </c>
      <c r="E63" s="719">
        <v>34</v>
      </c>
      <c r="F63" s="716">
        <v>12</v>
      </c>
      <c r="G63" s="716" t="s">
        <v>871</v>
      </c>
      <c r="H63" s="718" t="s">
        <v>58</v>
      </c>
      <c r="I63" s="719"/>
      <c r="J63" s="885" t="s">
        <v>842</v>
      </c>
      <c r="K63" s="889"/>
      <c r="L63" s="889"/>
      <c r="M63" s="889"/>
      <c r="N63" s="14">
        <v>30500</v>
      </c>
      <c r="O63" s="282">
        <v>35983</v>
      </c>
      <c r="Q63">
        <v>1</v>
      </c>
    </row>
    <row r="64" spans="1:17" x14ac:dyDescent="0.25">
      <c r="A64" s="722" t="s">
        <v>568</v>
      </c>
      <c r="B64" s="723">
        <v>45191</v>
      </c>
      <c r="C64" s="721">
        <v>0.69791666666666663</v>
      </c>
      <c r="D64" s="718" t="s">
        <v>869</v>
      </c>
      <c r="E64" s="719">
        <v>19</v>
      </c>
      <c r="F64" s="716">
        <v>10</v>
      </c>
      <c r="G64" s="716" t="s">
        <v>870</v>
      </c>
      <c r="H64" s="718" t="s">
        <v>58</v>
      </c>
      <c r="I64" s="719"/>
      <c r="J64" s="885" t="s">
        <v>839</v>
      </c>
      <c r="K64" s="889"/>
      <c r="L64" s="889"/>
      <c r="M64" s="889"/>
      <c r="N64" s="14">
        <v>38358</v>
      </c>
      <c r="O64" s="282">
        <v>41965</v>
      </c>
      <c r="Q64">
        <v>1</v>
      </c>
    </row>
    <row r="65" spans="1:17" x14ac:dyDescent="0.25">
      <c r="A65" s="722" t="s">
        <v>570</v>
      </c>
      <c r="B65" s="723">
        <v>45192</v>
      </c>
      <c r="C65" s="721">
        <v>0.69791666666666663</v>
      </c>
      <c r="D65" s="718" t="s">
        <v>868</v>
      </c>
      <c r="E65" s="719">
        <v>71</v>
      </c>
      <c r="F65" s="716">
        <v>0</v>
      </c>
      <c r="G65" s="716" t="s">
        <v>872</v>
      </c>
      <c r="H65" s="718" t="s">
        <v>58</v>
      </c>
      <c r="I65" s="719"/>
      <c r="J65" s="885" t="s">
        <v>840</v>
      </c>
      <c r="K65" s="889"/>
      <c r="L65" s="889"/>
      <c r="M65" s="889"/>
      <c r="N65" s="14">
        <v>44315</v>
      </c>
      <c r="O65" s="282">
        <v>50096</v>
      </c>
      <c r="Q65">
        <v>1</v>
      </c>
    </row>
    <row r="66" spans="1:17" x14ac:dyDescent="0.25">
      <c r="A66" s="722" t="s">
        <v>569</v>
      </c>
      <c r="B66" s="723">
        <v>45197</v>
      </c>
      <c r="C66" s="721">
        <v>0.83333333333333337</v>
      </c>
      <c r="D66" s="718" t="s">
        <v>871</v>
      </c>
      <c r="E66" s="719">
        <v>28</v>
      </c>
      <c r="F66" s="716">
        <v>22</v>
      </c>
      <c r="G66" s="716" t="s">
        <v>870</v>
      </c>
      <c r="H66" s="718" t="s">
        <v>58</v>
      </c>
      <c r="I66" s="719"/>
      <c r="J66" s="885" t="s">
        <v>841</v>
      </c>
      <c r="K66" s="889"/>
      <c r="L66" s="889"/>
      <c r="M66" s="889"/>
      <c r="N66" s="14">
        <v>30500</v>
      </c>
      <c r="O66" s="282">
        <v>33103</v>
      </c>
      <c r="Q66">
        <v>1</v>
      </c>
    </row>
    <row r="67" spans="1:17" x14ac:dyDescent="0.25">
      <c r="A67" s="722" t="s">
        <v>570</v>
      </c>
      <c r="B67" s="723">
        <v>45199</v>
      </c>
      <c r="C67" s="721">
        <v>0.58333333333333337</v>
      </c>
      <c r="D67" s="718" t="s">
        <v>869</v>
      </c>
      <c r="E67" s="719">
        <v>59</v>
      </c>
      <c r="F67" s="716">
        <v>5</v>
      </c>
      <c r="G67" s="716" t="s">
        <v>872</v>
      </c>
      <c r="H67" s="718" t="s">
        <v>58</v>
      </c>
      <c r="I67" s="719"/>
      <c r="J67" s="885" t="s">
        <v>846</v>
      </c>
      <c r="K67" s="889"/>
      <c r="L67" s="889"/>
      <c r="M67" s="889"/>
      <c r="N67" s="14">
        <v>34000</v>
      </c>
      <c r="O67" s="282">
        <v>35520</v>
      </c>
      <c r="Q67">
        <v>1</v>
      </c>
    </row>
    <row r="68" spans="1:17" x14ac:dyDescent="0.25">
      <c r="A68" s="722" t="s">
        <v>570</v>
      </c>
      <c r="B68" s="723">
        <v>45206</v>
      </c>
      <c r="C68" s="721">
        <v>0.69791666666666663</v>
      </c>
      <c r="D68" s="718" t="s">
        <v>868</v>
      </c>
      <c r="E68" s="719">
        <v>18</v>
      </c>
      <c r="F68" s="716">
        <v>17</v>
      </c>
      <c r="G68" s="716" t="s">
        <v>870</v>
      </c>
      <c r="H68" s="718" t="s">
        <v>58</v>
      </c>
      <c r="I68" s="719"/>
      <c r="J68" s="885" t="s">
        <v>840</v>
      </c>
      <c r="K68" s="889"/>
      <c r="L68" s="889"/>
      <c r="M68" s="889"/>
      <c r="N68" s="14">
        <v>47891</v>
      </c>
      <c r="O68" s="282">
        <v>50096</v>
      </c>
      <c r="Q68">
        <v>1</v>
      </c>
    </row>
    <row r="69" spans="1:17" x14ac:dyDescent="0.25">
      <c r="A69" s="722" t="s">
        <v>581</v>
      </c>
      <c r="B69" s="723">
        <v>45207</v>
      </c>
      <c r="C69" s="721">
        <v>0.5</v>
      </c>
      <c r="D69" s="718" t="s">
        <v>871</v>
      </c>
      <c r="E69" s="719">
        <v>27</v>
      </c>
      <c r="F69" s="716">
        <v>39</v>
      </c>
      <c r="G69" s="885" t="s">
        <v>869</v>
      </c>
      <c r="H69" s="886"/>
      <c r="I69" s="719"/>
      <c r="J69" s="885" t="s">
        <v>846</v>
      </c>
      <c r="K69" s="889"/>
      <c r="L69" s="889"/>
      <c r="M69" s="889"/>
      <c r="N69" s="14">
        <v>33624</v>
      </c>
      <c r="O69" s="282">
        <v>35520</v>
      </c>
      <c r="Q69">
        <v>1</v>
      </c>
    </row>
    <row r="70" spans="1:17" ht="14.95" thickBot="1" x14ac:dyDescent="0.3">
      <c r="A70" s="722" t="s">
        <v>58</v>
      </c>
      <c r="B70" s="717" t="s">
        <v>58</v>
      </c>
      <c r="C70" s="718"/>
      <c r="D70" s="719"/>
      <c r="E70" s="718"/>
      <c r="F70" s="718"/>
      <c r="G70" s="718"/>
      <c r="H70" s="718"/>
      <c r="I70" s="718"/>
      <c r="J70" s="718"/>
      <c r="K70" s="718"/>
      <c r="L70" s="718"/>
      <c r="M70" s="718"/>
      <c r="N70" s="14"/>
      <c r="O70" s="282"/>
    </row>
    <row r="71" spans="1:17" ht="14.95" thickBot="1" x14ac:dyDescent="0.3">
      <c r="A71" s="724" t="s">
        <v>58</v>
      </c>
      <c r="B71" s="725" t="s">
        <v>0</v>
      </c>
      <c r="C71" s="725" t="s">
        <v>1</v>
      </c>
      <c r="D71" s="725" t="s">
        <v>2</v>
      </c>
      <c r="E71" s="726" t="s">
        <v>3</v>
      </c>
      <c r="F71" s="725" t="s">
        <v>848</v>
      </c>
      <c r="G71" s="725" t="s">
        <v>849</v>
      </c>
      <c r="H71" s="726" t="s">
        <v>551</v>
      </c>
      <c r="I71" s="725" t="s">
        <v>52</v>
      </c>
      <c r="J71" s="725" t="s">
        <v>53</v>
      </c>
      <c r="K71" s="726" t="s">
        <v>552</v>
      </c>
      <c r="L71" s="725" t="s">
        <v>553</v>
      </c>
      <c r="M71" s="726" t="s">
        <v>50</v>
      </c>
      <c r="N71" s="14"/>
      <c r="O71" s="282"/>
    </row>
    <row r="72" spans="1:17" ht="14.95" thickBot="1" x14ac:dyDescent="0.3">
      <c r="A72" s="731" t="s">
        <v>970</v>
      </c>
      <c r="B72" s="730">
        <f>englandrwc2023poolsplayed</f>
        <v>4</v>
      </c>
      <c r="C72" s="730">
        <f>englandrwc2023poolswon</f>
        <v>4</v>
      </c>
      <c r="D72" s="730">
        <f>englandrwc2023poolsdrawn</f>
        <v>0</v>
      </c>
      <c r="E72" s="730">
        <f>englandrwc2023poolslost</f>
        <v>0</v>
      </c>
      <c r="F72" s="730">
        <f>englandrwc2023poolsptsscored</f>
        <v>150</v>
      </c>
      <c r="G72" s="730">
        <f>englandrwc2023poolsptsconc</f>
        <v>39</v>
      </c>
      <c r="H72" s="796">
        <f>SUM(F72-G72)</f>
        <v>111</v>
      </c>
      <c r="I72" s="730">
        <f>englandrwc2023poolstriesscored</f>
        <v>17</v>
      </c>
      <c r="J72" s="730">
        <f>englandrwc2023poolstriescon</f>
        <v>3</v>
      </c>
      <c r="K72" s="796">
        <f>SUM(I72-J72)</f>
        <v>14</v>
      </c>
      <c r="L72" s="730">
        <f>englandrwc2023poolstb+englandrwc2023poolslb</f>
        <v>2</v>
      </c>
      <c r="M72" s="796">
        <f>SUM(C72*4+D72*2+L72)</f>
        <v>18</v>
      </c>
      <c r="N72" s="14"/>
      <c r="O72" s="282"/>
    </row>
    <row r="73" spans="1:17" ht="14.95" thickBot="1" x14ac:dyDescent="0.3">
      <c r="A73" s="731" t="s">
        <v>971</v>
      </c>
      <c r="B73" s="730">
        <f>arg2023wcpoolplayed</f>
        <v>4</v>
      </c>
      <c r="C73" s="730">
        <f>arg2023wcpoolwon</f>
        <v>3</v>
      </c>
      <c r="D73" s="730">
        <f>arg2023wcpooldrawn</f>
        <v>0</v>
      </c>
      <c r="E73" s="730">
        <f>arg2023wcpoollost</f>
        <v>1</v>
      </c>
      <c r="F73" s="730">
        <f>arg2023wcpoolptsscored</f>
        <v>127</v>
      </c>
      <c r="G73" s="730">
        <f>arg2023wcpoolptsconc</f>
        <v>69</v>
      </c>
      <c r="H73" s="796">
        <f>SUM(F73-G73)</f>
        <v>58</v>
      </c>
      <c r="I73" s="730">
        <f>arg2023wcpooltriesscored</f>
        <v>15</v>
      </c>
      <c r="J73" s="730">
        <f>arg2023wcpooltriesconc</f>
        <v>5</v>
      </c>
      <c r="K73" s="796">
        <f>SUM(I73-J73)</f>
        <v>10</v>
      </c>
      <c r="L73" s="730">
        <f>arg2023wcpooltb+arg2023wcpoollb</f>
        <v>2</v>
      </c>
      <c r="M73" s="796">
        <f>SUM(C73*4+D73*2+L73)</f>
        <v>14</v>
      </c>
      <c r="N73" s="14"/>
      <c r="O73" s="282"/>
    </row>
    <row r="74" spans="1:17" ht="14.95" thickBot="1" x14ac:dyDescent="0.3">
      <c r="A74" s="727" t="s">
        <v>941</v>
      </c>
      <c r="B74" s="715">
        <f>jpnrwc2023poolsplayed</f>
        <v>4</v>
      </c>
      <c r="C74" s="715">
        <f>jpnrwc2023poolswon</f>
        <v>2</v>
      </c>
      <c r="D74" s="715">
        <f>jpnrwc2023poolsdrawn</f>
        <v>0</v>
      </c>
      <c r="E74" s="715">
        <f>jpnrwc2023poolslost</f>
        <v>2</v>
      </c>
      <c r="F74" s="715">
        <f>jpnrwc2023poolsptsscored</f>
        <v>109</v>
      </c>
      <c r="G74" s="715">
        <f>jpnrwc2023poolsptsconc</f>
        <v>107</v>
      </c>
      <c r="H74" s="798">
        <f>SUM(F74-G74)</f>
        <v>2</v>
      </c>
      <c r="I74" s="715">
        <f>jpnrwc2023poolstriesscored</f>
        <v>12</v>
      </c>
      <c r="J74" s="715">
        <f>jpnrwc2023poolstriesconc</f>
        <v>14</v>
      </c>
      <c r="K74" s="798">
        <f>SUM(I74-J74)</f>
        <v>-2</v>
      </c>
      <c r="L74" s="715">
        <f>jpnrwc2023poolstb+jpnrwc2023poolslb</f>
        <v>1</v>
      </c>
      <c r="M74" s="798">
        <f>SUM(C74*4+D74*2+L74)</f>
        <v>9</v>
      </c>
      <c r="N74" s="14"/>
      <c r="O74" s="282"/>
    </row>
    <row r="75" spans="1:17" ht="14.95" thickBot="1" x14ac:dyDescent="0.3">
      <c r="A75" s="727" t="s">
        <v>870</v>
      </c>
      <c r="B75" s="715">
        <f>samrwc2023poolsplayed</f>
        <v>4</v>
      </c>
      <c r="C75" s="728">
        <f>samrwc2023poolswon</f>
        <v>1</v>
      </c>
      <c r="D75" s="728">
        <f>samrwc2023poolsdrawn</f>
        <v>0</v>
      </c>
      <c r="E75" s="728">
        <f>samrwc2023poolslost</f>
        <v>3</v>
      </c>
      <c r="F75" s="728">
        <f>samrwc2023poolsptsscored</f>
        <v>92</v>
      </c>
      <c r="G75" s="728">
        <f>samrwc2023poolsptsconc</f>
        <v>75</v>
      </c>
      <c r="H75" s="798">
        <f>SUM(F75-G75)</f>
        <v>17</v>
      </c>
      <c r="I75" s="728">
        <f>samrwc2023poolstriesscored</f>
        <v>11</v>
      </c>
      <c r="J75" s="715">
        <f>samrwc2023poolstriesconc</f>
        <v>7</v>
      </c>
      <c r="K75" s="798">
        <f>SUM(I75-J75)</f>
        <v>4</v>
      </c>
      <c r="L75" s="728">
        <f>samrwc2023poolstb+samrwc2023poolslb</f>
        <v>3</v>
      </c>
      <c r="M75" s="798">
        <f>SUM(C75*4+D75*2+L75)</f>
        <v>7</v>
      </c>
      <c r="N75" s="14"/>
      <c r="O75" s="282"/>
    </row>
    <row r="76" spans="1:17" ht="14.95" thickBot="1" x14ac:dyDescent="0.3">
      <c r="A76" s="727" t="s">
        <v>872</v>
      </c>
      <c r="B76" s="715">
        <f>chl2023wcpoolsplayed</f>
        <v>4</v>
      </c>
      <c r="C76" s="728">
        <f>chl2023wcpoolswon</f>
        <v>0</v>
      </c>
      <c r="D76" s="728">
        <f>chl2023wcpoolsdrawn</f>
        <v>0</v>
      </c>
      <c r="E76" s="728">
        <f>chl2023wcpoolslost</f>
        <v>4</v>
      </c>
      <c r="F76" s="728">
        <f>chl2023wcpoolsptsscored</f>
        <v>27</v>
      </c>
      <c r="G76" s="728">
        <f>chl2023wcpoolsptsconc</f>
        <v>215</v>
      </c>
      <c r="H76" s="798">
        <f>SUM(F76-G76)</f>
        <v>-188</v>
      </c>
      <c r="I76" s="728">
        <f>chl2023wcpoolstriesscored</f>
        <v>4</v>
      </c>
      <c r="J76" s="715">
        <f>chl2023wcpoolstriesconc</f>
        <v>30</v>
      </c>
      <c r="K76" s="798">
        <f>SUM(I76-J76)</f>
        <v>-26</v>
      </c>
      <c r="L76" s="728">
        <f>chl2023wcpoolstb+chl2023wcpoolslb</f>
        <v>0</v>
      </c>
      <c r="M76" s="798">
        <f>SUM(C76*4+D76*2+L76)</f>
        <v>0</v>
      </c>
      <c r="N76" s="14"/>
      <c r="O76" s="282"/>
    </row>
    <row r="77" spans="1:17" x14ac:dyDescent="0.25">
      <c r="A77" s="652"/>
      <c r="B77" s="653"/>
      <c r="C77" s="654"/>
      <c r="D77" s="654"/>
      <c r="E77" s="654"/>
      <c r="F77" s="655"/>
      <c r="G77" s="655"/>
      <c r="H77" s="656"/>
      <c r="I77" s="655"/>
      <c r="J77" s="657"/>
      <c r="K77" s="656"/>
      <c r="L77" s="655"/>
      <c r="M77" s="656"/>
      <c r="N77" s="14"/>
      <c r="O77" s="282"/>
    </row>
    <row r="78" spans="1:17" x14ac:dyDescent="0.25">
      <c r="A78" s="14" t="s">
        <v>582</v>
      </c>
      <c r="B78" s="658"/>
      <c r="C78" s="304"/>
      <c r="D78" s="659"/>
      <c r="E78" s="304"/>
      <c r="F78" s="304"/>
      <c r="G78" s="304"/>
      <c r="H78" s="14"/>
      <c r="I78" s="14"/>
      <c r="J78" s="14"/>
      <c r="K78" s="14"/>
      <c r="L78" s="14"/>
      <c r="M78" s="14"/>
      <c r="N78" s="14"/>
      <c r="O78" s="282"/>
    </row>
    <row r="79" spans="1:17" x14ac:dyDescent="0.25">
      <c r="A79" s="14" t="s">
        <v>583</v>
      </c>
      <c r="B79" s="658"/>
      <c r="C79" s="304"/>
      <c r="D79" s="659"/>
      <c r="E79" s="304"/>
      <c r="F79" s="304"/>
      <c r="G79" s="304"/>
      <c r="H79" s="14"/>
      <c r="I79" s="14"/>
      <c r="J79" s="14"/>
      <c r="K79" s="14"/>
      <c r="L79" s="14"/>
      <c r="M79" s="14"/>
      <c r="N79" s="14"/>
      <c r="O79" s="282"/>
    </row>
    <row r="80" spans="1:17" x14ac:dyDescent="0.25">
      <c r="A80" s="14"/>
      <c r="B80" s="658"/>
      <c r="C80" s="304"/>
      <c r="D80" s="659"/>
      <c r="E80" s="304"/>
      <c r="F80" s="304"/>
      <c r="G80" s="304"/>
      <c r="H80" s="14"/>
      <c r="I80" s="14"/>
      <c r="J80" s="14"/>
      <c r="K80" s="14"/>
      <c r="L80" s="14"/>
      <c r="M80" s="14"/>
      <c r="N80" s="14"/>
      <c r="O80" s="282"/>
    </row>
    <row r="81" spans="1:17" x14ac:dyDescent="0.25">
      <c r="B81" s="658"/>
      <c r="C81" s="304"/>
      <c r="D81" s="659"/>
      <c r="E81" s="304"/>
      <c r="F81" s="304"/>
      <c r="G81" s="304"/>
      <c r="H81" s="14"/>
      <c r="I81" s="14"/>
      <c r="J81" s="14"/>
      <c r="K81" s="14"/>
      <c r="L81" s="14"/>
      <c r="M81" s="14"/>
      <c r="N81" s="14"/>
      <c r="O81" s="282"/>
    </row>
    <row r="82" spans="1:17" x14ac:dyDescent="0.25">
      <c r="A82" s="887" t="s">
        <v>584</v>
      </c>
      <c r="B82" s="882"/>
      <c r="C82" s="662" t="s">
        <v>571</v>
      </c>
      <c r="D82" s="663"/>
      <c r="E82" s="662"/>
      <c r="F82" s="662"/>
      <c r="G82" s="662"/>
      <c r="H82" s="664"/>
      <c r="I82" s="664"/>
      <c r="J82" s="664"/>
      <c r="K82" s="664"/>
      <c r="L82" s="664"/>
      <c r="M82" s="664"/>
      <c r="N82" s="14"/>
      <c r="O82" s="282"/>
    </row>
    <row r="83" spans="1:17" x14ac:dyDescent="0.25">
      <c r="A83" s="665" t="s">
        <v>570</v>
      </c>
      <c r="B83" s="675">
        <v>45213</v>
      </c>
      <c r="C83" s="661">
        <v>0.66666666666666663</v>
      </c>
      <c r="D83" s="660" t="s">
        <v>864</v>
      </c>
      <c r="E83" s="666">
        <v>17</v>
      </c>
      <c r="F83" s="660">
        <v>29</v>
      </c>
      <c r="G83" s="660" t="s">
        <v>869</v>
      </c>
      <c r="H83" s="660"/>
      <c r="I83" s="667"/>
      <c r="J83" s="887" t="s">
        <v>843</v>
      </c>
      <c r="K83" s="886"/>
      <c r="L83" s="886"/>
      <c r="M83" s="886"/>
      <c r="N83" s="14">
        <v>62576</v>
      </c>
      <c r="O83" s="282">
        <v>67847</v>
      </c>
      <c r="Q83">
        <v>1</v>
      </c>
    </row>
    <row r="84" spans="1:17" x14ac:dyDescent="0.25">
      <c r="A84" s="665" t="s">
        <v>570</v>
      </c>
      <c r="B84" s="675">
        <v>45213</v>
      </c>
      <c r="C84" s="661">
        <v>0.83333333333333337</v>
      </c>
      <c r="D84" s="660" t="s">
        <v>858</v>
      </c>
      <c r="E84" s="666">
        <v>24</v>
      </c>
      <c r="F84" s="660">
        <v>28</v>
      </c>
      <c r="G84" s="660" t="s">
        <v>853</v>
      </c>
      <c r="H84" s="660"/>
      <c r="I84" s="667"/>
      <c r="J84" s="887" t="s">
        <v>838</v>
      </c>
      <c r="K84" s="886"/>
      <c r="L84" s="886"/>
      <c r="M84" s="886"/>
      <c r="N84" s="14">
        <v>78845</v>
      </c>
      <c r="O84" s="282">
        <v>80023</v>
      </c>
      <c r="Q84">
        <v>1</v>
      </c>
    </row>
    <row r="85" spans="1:17" x14ac:dyDescent="0.25">
      <c r="A85" s="665" t="s">
        <v>581</v>
      </c>
      <c r="B85" s="675">
        <v>45214</v>
      </c>
      <c r="C85" s="661">
        <v>0.66666666666666663</v>
      </c>
      <c r="D85" s="660" t="s">
        <v>868</v>
      </c>
      <c r="E85" s="666">
        <v>30</v>
      </c>
      <c r="F85" s="660">
        <v>24</v>
      </c>
      <c r="G85" s="660" t="s">
        <v>867</v>
      </c>
      <c r="H85" s="660"/>
      <c r="I85" s="667"/>
      <c r="J85" s="887" t="s">
        <v>843</v>
      </c>
      <c r="K85" s="886"/>
      <c r="L85" s="886"/>
      <c r="M85" s="886"/>
      <c r="N85" s="14">
        <v>61863</v>
      </c>
      <c r="O85" s="282">
        <v>67847</v>
      </c>
      <c r="Q85">
        <v>1</v>
      </c>
    </row>
    <row r="86" spans="1:17" x14ac:dyDescent="0.25">
      <c r="A86" s="665" t="s">
        <v>581</v>
      </c>
      <c r="B86" s="675">
        <v>45214</v>
      </c>
      <c r="C86" s="661">
        <v>0.83333333333333337</v>
      </c>
      <c r="D86" s="660" t="s">
        <v>854</v>
      </c>
      <c r="E86" s="666">
        <v>28</v>
      </c>
      <c r="F86" s="660">
        <v>29</v>
      </c>
      <c r="G86" s="660" t="s">
        <v>860</v>
      </c>
      <c r="H86" s="660"/>
      <c r="I86" s="667"/>
      <c r="J86" s="887" t="s">
        <v>838</v>
      </c>
      <c r="K86" s="886"/>
      <c r="L86" s="886"/>
      <c r="M86" s="886"/>
      <c r="N86" s="14">
        <v>79486</v>
      </c>
      <c r="O86" s="282">
        <v>80023</v>
      </c>
      <c r="Q86">
        <v>1</v>
      </c>
    </row>
    <row r="87" spans="1:17" x14ac:dyDescent="0.25">
      <c r="A87" s="660"/>
      <c r="B87" s="661"/>
      <c r="C87" s="662"/>
      <c r="D87" s="663"/>
      <c r="E87" s="666"/>
      <c r="F87" s="666"/>
      <c r="G87" s="660"/>
      <c r="H87" s="667"/>
      <c r="I87" s="667"/>
      <c r="J87" s="667"/>
      <c r="K87" s="660"/>
      <c r="L87" s="666"/>
      <c r="M87" s="666"/>
      <c r="N87" s="14"/>
      <c r="O87" s="282"/>
    </row>
    <row r="88" spans="1:17" x14ac:dyDescent="0.25">
      <c r="A88" s="887" t="s">
        <v>585</v>
      </c>
      <c r="B88" s="882"/>
      <c r="C88" s="662" t="s">
        <v>571</v>
      </c>
      <c r="D88" s="663"/>
      <c r="E88" s="666"/>
      <c r="F88" s="666"/>
      <c r="G88" s="660"/>
      <c r="H88" s="667"/>
      <c r="I88" s="667"/>
      <c r="J88" s="667"/>
      <c r="K88" s="660"/>
      <c r="L88" s="666"/>
      <c r="M88" s="666"/>
      <c r="N88" s="14"/>
      <c r="O88" s="282"/>
    </row>
    <row r="89" spans="1:17" x14ac:dyDescent="0.25">
      <c r="A89" s="665" t="s">
        <v>568</v>
      </c>
      <c r="B89" s="675">
        <v>45219</v>
      </c>
      <c r="C89" s="661">
        <v>0.83333333333333337</v>
      </c>
      <c r="D89" s="660" t="s">
        <v>869</v>
      </c>
      <c r="E89" s="666">
        <v>6</v>
      </c>
      <c r="F89" s="660">
        <v>44</v>
      </c>
      <c r="G89" s="660" t="s">
        <v>853</v>
      </c>
      <c r="H89" s="887"/>
      <c r="I89" s="888"/>
      <c r="J89" s="887" t="s">
        <v>838</v>
      </c>
      <c r="K89" s="886"/>
      <c r="L89" s="886"/>
      <c r="M89" s="886"/>
      <c r="N89" s="14">
        <v>77653</v>
      </c>
      <c r="O89" s="282">
        <v>80023</v>
      </c>
      <c r="Q89">
        <v>1</v>
      </c>
    </row>
    <row r="90" spans="1:17" x14ac:dyDescent="0.25">
      <c r="A90" s="665" t="s">
        <v>570</v>
      </c>
      <c r="B90" s="675">
        <v>45220</v>
      </c>
      <c r="C90" s="661">
        <v>0.83333333333333337</v>
      </c>
      <c r="D90" s="660" t="s">
        <v>868</v>
      </c>
      <c r="E90" s="666">
        <v>15</v>
      </c>
      <c r="F90" s="660">
        <v>16</v>
      </c>
      <c r="G90" s="660" t="s">
        <v>860</v>
      </c>
      <c r="H90" s="887"/>
      <c r="I90" s="888"/>
      <c r="J90" s="887" t="s">
        <v>838</v>
      </c>
      <c r="K90" s="886"/>
      <c r="L90" s="886"/>
      <c r="M90" s="886"/>
      <c r="N90" s="14">
        <v>78098</v>
      </c>
      <c r="O90" s="282">
        <v>80023</v>
      </c>
      <c r="Q90">
        <v>1</v>
      </c>
    </row>
    <row r="91" spans="1:17" x14ac:dyDescent="0.25">
      <c r="A91" s="660"/>
      <c r="B91" s="661"/>
      <c r="C91" s="662"/>
      <c r="D91" s="663"/>
      <c r="E91" s="666"/>
      <c r="F91" s="666"/>
      <c r="G91" s="660"/>
      <c r="H91" s="667"/>
      <c r="I91" s="667"/>
      <c r="J91" s="667"/>
      <c r="K91" s="660"/>
      <c r="L91" s="666"/>
      <c r="M91" s="666"/>
      <c r="N91" s="14"/>
      <c r="O91" s="282"/>
    </row>
    <row r="92" spans="1:17" x14ac:dyDescent="0.25">
      <c r="A92" s="887" t="s">
        <v>586</v>
      </c>
      <c r="B92" s="882"/>
      <c r="C92" s="662" t="s">
        <v>571</v>
      </c>
      <c r="D92" s="663"/>
      <c r="E92" s="666"/>
      <c r="F92" s="666"/>
      <c r="G92" s="660"/>
      <c r="H92" s="667"/>
      <c r="I92" s="667"/>
      <c r="J92" s="667"/>
      <c r="K92" s="660"/>
      <c r="L92" s="666"/>
      <c r="M92" s="666" t="s">
        <v>58</v>
      </c>
      <c r="N92" s="14"/>
      <c r="O92" s="282"/>
    </row>
    <row r="93" spans="1:17" x14ac:dyDescent="0.25">
      <c r="A93" s="665" t="s">
        <v>568</v>
      </c>
      <c r="B93" s="675">
        <v>45226</v>
      </c>
      <c r="C93" s="661">
        <v>0.83333333333333337</v>
      </c>
      <c r="D93" s="660" t="s">
        <v>869</v>
      </c>
      <c r="E93" s="666">
        <v>23</v>
      </c>
      <c r="F93" s="660">
        <v>26</v>
      </c>
      <c r="G93" s="660" t="s">
        <v>868</v>
      </c>
      <c r="H93" s="887"/>
      <c r="I93" s="888"/>
      <c r="J93" s="887" t="s">
        <v>838</v>
      </c>
      <c r="K93" s="886"/>
      <c r="L93" s="886"/>
      <c r="M93" s="886"/>
      <c r="N93" s="14">
        <v>77674</v>
      </c>
      <c r="O93" s="282">
        <v>80023</v>
      </c>
      <c r="Q93">
        <v>1</v>
      </c>
    </row>
    <row r="94" spans="1:17" x14ac:dyDescent="0.25">
      <c r="A94" s="660"/>
      <c r="B94" s="661"/>
      <c r="C94" s="662"/>
      <c r="D94" s="663"/>
      <c r="E94" s="666"/>
      <c r="F94" s="666"/>
      <c r="G94" s="660"/>
      <c r="H94" s="667"/>
      <c r="I94" s="667"/>
      <c r="J94" s="667"/>
      <c r="K94" s="660"/>
      <c r="L94" s="666"/>
      <c r="M94" s="666"/>
      <c r="N94" s="14"/>
      <c r="O94" s="282"/>
    </row>
    <row r="95" spans="1:17" x14ac:dyDescent="0.25">
      <c r="A95" s="887" t="s">
        <v>587</v>
      </c>
      <c r="B95" s="882"/>
      <c r="C95" s="662" t="s">
        <v>571</v>
      </c>
      <c r="D95" s="663"/>
      <c r="E95" s="666"/>
      <c r="F95" s="666"/>
      <c r="G95" s="660"/>
      <c r="H95" s="667"/>
      <c r="I95" s="667"/>
      <c r="J95" s="667"/>
      <c r="K95" s="660"/>
      <c r="L95" s="666"/>
      <c r="M95" s="666"/>
      <c r="N95" s="14"/>
      <c r="O95" s="282"/>
    </row>
    <row r="96" spans="1:17" x14ac:dyDescent="0.25">
      <c r="A96" s="665" t="s">
        <v>570</v>
      </c>
      <c r="B96" s="675">
        <v>45227</v>
      </c>
      <c r="C96" s="661">
        <v>0.83333333333333337</v>
      </c>
      <c r="D96" s="660" t="s">
        <v>853</v>
      </c>
      <c r="E96" s="666">
        <v>11</v>
      </c>
      <c r="F96" s="660">
        <v>12</v>
      </c>
      <c r="G96" s="660" t="s">
        <v>860</v>
      </c>
      <c r="H96" s="887"/>
      <c r="I96" s="888"/>
      <c r="J96" s="887" t="s">
        <v>838</v>
      </c>
      <c r="K96" s="886"/>
      <c r="L96" s="886"/>
      <c r="M96" s="886"/>
      <c r="N96" s="14">
        <v>80067</v>
      </c>
      <c r="O96" s="282">
        <v>80067</v>
      </c>
      <c r="Q96">
        <v>1</v>
      </c>
    </row>
    <row r="97" spans="1:18" x14ac:dyDescent="0.25">
      <c r="A97" s="626"/>
      <c r="B97" s="627"/>
      <c r="C97" s="304"/>
      <c r="D97" s="659"/>
      <c r="E97" s="304"/>
      <c r="F97" s="304">
        <f>SUM(E83:E96)</f>
        <v>154</v>
      </c>
      <c r="G97" s="304">
        <f>SUM(F83:F96)</f>
        <v>208</v>
      </c>
      <c r="N97">
        <f>SUM(N1:N96)</f>
        <v>2440170</v>
      </c>
      <c r="O97">
        <f>SUM(O1:O96)</f>
        <v>2581938</v>
      </c>
      <c r="P97" s="814">
        <f>SUM(N97/O97)*1</f>
        <v>0.94509240733123723</v>
      </c>
      <c r="Q97" s="814">
        <f>SUM(Q1:Q96)/48</f>
        <v>1</v>
      </c>
    </row>
    <row r="98" spans="1:18" x14ac:dyDescent="0.25">
      <c r="A98" s="626"/>
      <c r="B98" s="627"/>
      <c r="C98" s="304"/>
      <c r="D98" s="659"/>
      <c r="E98" s="304"/>
      <c r="F98" s="304"/>
      <c r="G98" s="304"/>
      <c r="N98" s="283" t="s">
        <v>557</v>
      </c>
      <c r="O98" s="283" t="s">
        <v>558</v>
      </c>
      <c r="P98" s="283" t="s">
        <v>559</v>
      </c>
      <c r="Q98" s="283" t="s">
        <v>835</v>
      </c>
    </row>
    <row r="99" spans="1:18" x14ac:dyDescent="0.25">
      <c r="A99" s="626"/>
      <c r="B99" s="627"/>
      <c r="C99" s="304"/>
      <c r="D99" s="659"/>
      <c r="E99" s="304"/>
      <c r="F99" s="304"/>
      <c r="G99" s="304"/>
      <c r="N99" t="s">
        <v>946</v>
      </c>
    </row>
    <row r="100" spans="1:18" x14ac:dyDescent="0.25">
      <c r="A100" s="626"/>
      <c r="B100" s="627"/>
      <c r="C100" s="304"/>
      <c r="D100" s="659"/>
      <c r="E100" s="304"/>
      <c r="F100" s="304"/>
      <c r="G100" s="304"/>
      <c r="N100" t="s">
        <v>947</v>
      </c>
    </row>
    <row r="101" spans="1:18" x14ac:dyDescent="0.25">
      <c r="A101" s="626"/>
      <c r="B101" s="627"/>
      <c r="C101" s="304"/>
      <c r="D101" s="659"/>
      <c r="E101" s="304"/>
      <c r="F101" s="304"/>
      <c r="G101" s="304"/>
      <c r="N101" t="s">
        <v>948</v>
      </c>
    </row>
    <row r="102" spans="1:18" x14ac:dyDescent="0.25">
      <c r="A102" s="626"/>
      <c r="B102" s="658"/>
      <c r="C102" s="304"/>
      <c r="D102" s="659"/>
      <c r="E102" s="304"/>
      <c r="F102" s="304"/>
      <c r="G102" s="304"/>
      <c r="R102">
        <f>SUM(F14:F18)</f>
        <v>679</v>
      </c>
    </row>
    <row r="103" spans="1:18" x14ac:dyDescent="0.25">
      <c r="A103" s="626"/>
      <c r="B103" s="627"/>
      <c r="C103" s="304"/>
      <c r="D103" s="659"/>
      <c r="E103" s="304"/>
      <c r="F103" s="304"/>
      <c r="G103" s="304"/>
      <c r="R103">
        <f>SUM(F33:F37)</f>
        <v>615</v>
      </c>
    </row>
    <row r="104" spans="1:18" x14ac:dyDescent="0.25">
      <c r="A104" s="626"/>
      <c r="B104" s="627"/>
      <c r="C104" s="304"/>
      <c r="D104" s="659"/>
      <c r="E104" s="304"/>
      <c r="F104" s="304"/>
      <c r="G104" s="304"/>
      <c r="R104">
        <f>SUM(F53:F57)</f>
        <v>449</v>
      </c>
    </row>
    <row r="105" spans="1:18" x14ac:dyDescent="0.25">
      <c r="A105" s="626"/>
      <c r="B105" s="627"/>
      <c r="C105" s="304"/>
      <c r="D105" s="659"/>
      <c r="E105" s="304"/>
      <c r="F105" s="304"/>
      <c r="G105" s="304"/>
      <c r="R105">
        <f>SUM(F72:F76)</f>
        <v>505</v>
      </c>
    </row>
    <row r="106" spans="1:18" x14ac:dyDescent="0.25">
      <c r="A106" s="626"/>
      <c r="B106" s="627"/>
      <c r="C106" s="304"/>
      <c r="D106" s="659"/>
      <c r="E106" s="304"/>
      <c r="F106" s="304"/>
      <c r="G106" s="304"/>
      <c r="R106">
        <f>SUM(F97+G97)</f>
        <v>362</v>
      </c>
    </row>
    <row r="107" spans="1:18" x14ac:dyDescent="0.25">
      <c r="A107" s="626"/>
      <c r="B107" s="627"/>
      <c r="C107" s="304"/>
      <c r="D107" s="659"/>
      <c r="E107" s="304"/>
      <c r="F107" s="304"/>
      <c r="G107" s="304"/>
      <c r="R107">
        <f>SUM(R102:R106)</f>
        <v>2610</v>
      </c>
    </row>
    <row r="109" spans="1:18" x14ac:dyDescent="0.25">
      <c r="A109" s="189" t="s">
        <v>560</v>
      </c>
    </row>
    <row r="110" spans="1:18" x14ac:dyDescent="0.25">
      <c r="A110" t="s">
        <v>561</v>
      </c>
    </row>
    <row r="111" spans="1:18" x14ac:dyDescent="0.25">
      <c r="A111" t="s">
        <v>562</v>
      </c>
    </row>
    <row r="112" spans="1:18" x14ac:dyDescent="0.25">
      <c r="A112" t="s">
        <v>563</v>
      </c>
    </row>
    <row r="113" spans="1:1" x14ac:dyDescent="0.25">
      <c r="A113" t="s">
        <v>564</v>
      </c>
    </row>
    <row r="114" spans="1:1" x14ac:dyDescent="0.25">
      <c r="A114" t="s">
        <v>565</v>
      </c>
    </row>
    <row r="115" spans="1:1" x14ac:dyDescent="0.25">
      <c r="A115" t="s">
        <v>588</v>
      </c>
    </row>
    <row r="116" spans="1:1" x14ac:dyDescent="0.25">
      <c r="A116" t="s">
        <v>883</v>
      </c>
    </row>
    <row r="117" spans="1:1" x14ac:dyDescent="0.25">
      <c r="A117" s="15"/>
    </row>
    <row r="118" spans="1:1" x14ac:dyDescent="0.25">
      <c r="A118" t="s">
        <v>884</v>
      </c>
    </row>
    <row r="119" spans="1:1" x14ac:dyDescent="0.25">
      <c r="A119" t="s">
        <v>885</v>
      </c>
    </row>
    <row r="120" spans="1:1" x14ac:dyDescent="0.25">
      <c r="A120" t="s">
        <v>886</v>
      </c>
    </row>
    <row r="121" spans="1:1" x14ac:dyDescent="0.25">
      <c r="A121" t="s">
        <v>887</v>
      </c>
    </row>
    <row r="122" spans="1:1" x14ac:dyDescent="0.25">
      <c r="A122" t="s">
        <v>888</v>
      </c>
    </row>
    <row r="123" spans="1:1" x14ac:dyDescent="0.25">
      <c r="A123" t="s">
        <v>889</v>
      </c>
    </row>
    <row r="125" spans="1:1" x14ac:dyDescent="0.25">
      <c r="A125" t="s">
        <v>890</v>
      </c>
    </row>
    <row r="127" spans="1:1" x14ac:dyDescent="0.25">
      <c r="A127" t="s">
        <v>891</v>
      </c>
    </row>
    <row r="128" spans="1:1" x14ac:dyDescent="0.25">
      <c r="A128" t="s">
        <v>892</v>
      </c>
    </row>
  </sheetData>
  <sortState xmlns:xlrd2="http://schemas.microsoft.com/office/spreadsheetml/2017/richdata2" ref="A56:M57">
    <sortCondition descending="1" ref="M56:M57"/>
  </sortState>
  <mergeCells count="70">
    <mergeCell ref="J96:M96"/>
    <mergeCell ref="J85:M85"/>
    <mergeCell ref="J86:M86"/>
    <mergeCell ref="A82:B82"/>
    <mergeCell ref="A88:B88"/>
    <mergeCell ref="J89:M89"/>
    <mergeCell ref="J90:M90"/>
    <mergeCell ref="A92:B92"/>
    <mergeCell ref="H93:I93"/>
    <mergeCell ref="J93:M93"/>
    <mergeCell ref="J83:M83"/>
    <mergeCell ref="J84:M84"/>
    <mergeCell ref="J8:M8"/>
    <mergeCell ref="J9:M9"/>
    <mergeCell ref="J10:M10"/>
    <mergeCell ref="J11:M11"/>
    <mergeCell ref="A95:B95"/>
    <mergeCell ref="G21:H21"/>
    <mergeCell ref="G22:H22"/>
    <mergeCell ref="J24:M24"/>
    <mergeCell ref="J25:M25"/>
    <mergeCell ref="J26:M26"/>
    <mergeCell ref="J21:M21"/>
    <mergeCell ref="J22:M22"/>
    <mergeCell ref="J23:M23"/>
    <mergeCell ref="J27:M27"/>
    <mergeCell ref="H25:I25"/>
    <mergeCell ref="H26:I26"/>
    <mergeCell ref="H23:I23"/>
    <mergeCell ref="G24:H24"/>
    <mergeCell ref="G27:I27"/>
    <mergeCell ref="H28:I28"/>
    <mergeCell ref="J28:M28"/>
    <mergeCell ref="J29:M29"/>
    <mergeCell ref="J30:M30"/>
    <mergeCell ref="G29:H29"/>
    <mergeCell ref="G30:I30"/>
    <mergeCell ref="J68:M68"/>
    <mergeCell ref="H44:I44"/>
    <mergeCell ref="H42:I42"/>
    <mergeCell ref="J41:M41"/>
    <mergeCell ref="J42:M42"/>
    <mergeCell ref="J43:M43"/>
    <mergeCell ref="J44:M44"/>
    <mergeCell ref="J60:M60"/>
    <mergeCell ref="J64:M64"/>
    <mergeCell ref="J65:M65"/>
    <mergeCell ref="J66:M66"/>
    <mergeCell ref="J67:M67"/>
    <mergeCell ref="G60:H60"/>
    <mergeCell ref="G69:H69"/>
    <mergeCell ref="J3:M3"/>
    <mergeCell ref="H90:I90"/>
    <mergeCell ref="H96:I96"/>
    <mergeCell ref="H89:I89"/>
    <mergeCell ref="J61:M61"/>
    <mergeCell ref="J62:M62"/>
    <mergeCell ref="J63:M63"/>
    <mergeCell ref="J45:M45"/>
    <mergeCell ref="J46:M46"/>
    <mergeCell ref="J47:M47"/>
    <mergeCell ref="J48:M48"/>
    <mergeCell ref="J69:M69"/>
    <mergeCell ref="J49:M49"/>
    <mergeCell ref="J50:M50"/>
    <mergeCell ref="J2:M2"/>
    <mergeCell ref="J4:M4"/>
    <mergeCell ref="J5:M5"/>
    <mergeCell ref="J6:M6"/>
    <mergeCell ref="J7:M7"/>
  </mergeCells>
  <pageMargins left="0.7" right="0.7" top="0.75" bottom="0.75" header="0.3" footer="0.3"/>
  <pageSetup orientation="portrait" horizontalDpi="360" verticalDpi="36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T26"/>
  <sheetViews>
    <sheetView workbookViewId="0">
      <selection activeCell="U3" sqref="U3"/>
    </sheetView>
  </sheetViews>
  <sheetFormatPr defaultRowHeight="14.3" x14ac:dyDescent="0.25"/>
  <cols>
    <col min="1" max="1" width="7.5" customWidth="1"/>
    <col min="2" max="2" width="5.125" bestFit="1" customWidth="1"/>
    <col min="3" max="3" width="11.5" customWidth="1"/>
    <col min="4" max="4" width="4.375" customWidth="1"/>
    <col min="5" max="5" width="3.625" customWidth="1"/>
    <col min="6" max="7" width="4" bestFit="1" customWidth="1"/>
    <col min="8" max="18" width="3.625" customWidth="1"/>
    <col min="19" max="20" width="6.375" customWidth="1"/>
    <col min="21" max="21" width="20.125" bestFit="1" customWidth="1"/>
    <col min="22" max="22" width="20.375" bestFit="1" customWidth="1"/>
    <col min="23" max="23" width="21.125" customWidth="1"/>
    <col min="24" max="24" width="24" bestFit="1" customWidth="1"/>
    <col min="25" max="40" width="3.625" customWidth="1"/>
    <col min="42" max="42" width="13.125" bestFit="1" customWidth="1"/>
    <col min="45" max="45" width="13.125" bestFit="1" customWidth="1"/>
  </cols>
  <sheetData>
    <row r="1" spans="1:46" ht="14.95" customHeight="1" thickBot="1" x14ac:dyDescent="0.3">
      <c r="A1" s="1136" t="s">
        <v>217</v>
      </c>
      <c r="B1" s="1137"/>
      <c r="C1" s="1137"/>
      <c r="D1" s="150"/>
      <c r="E1" s="1138" t="s">
        <v>24</v>
      </c>
      <c r="F1" s="1139"/>
      <c r="G1" s="1140"/>
      <c r="H1" s="1138" t="s">
        <v>23</v>
      </c>
      <c r="I1" s="1140"/>
      <c r="J1" s="1141" t="s">
        <v>6</v>
      </c>
      <c r="K1" s="1142"/>
      <c r="L1" s="1142"/>
      <c r="M1" s="1143"/>
      <c r="N1" s="1141" t="s">
        <v>7</v>
      </c>
      <c r="O1" s="1143"/>
      <c r="P1" s="1141" t="s">
        <v>25</v>
      </c>
      <c r="Q1" s="1142"/>
      <c r="R1" s="1143"/>
      <c r="S1" s="351" t="s">
        <v>8</v>
      </c>
      <c r="T1" s="351" t="s">
        <v>9</v>
      </c>
      <c r="U1" s="1" t="s">
        <v>10</v>
      </c>
      <c r="V1" s="6" t="s">
        <v>11</v>
      </c>
      <c r="W1" s="52" t="s">
        <v>26</v>
      </c>
      <c r="X1" s="151" t="s">
        <v>27</v>
      </c>
      <c r="Y1" s="1144" t="s">
        <v>20</v>
      </c>
      <c r="Z1" s="1145"/>
      <c r="AA1" s="1145"/>
      <c r="AB1" s="1146"/>
      <c r="AC1" s="1144" t="s">
        <v>61</v>
      </c>
      <c r="AD1" s="1145"/>
      <c r="AE1" s="1145"/>
      <c r="AF1" s="1146"/>
      <c r="AG1" s="1144" t="s">
        <v>62</v>
      </c>
      <c r="AH1" s="1145"/>
      <c r="AI1" s="1145"/>
      <c r="AJ1" s="1146"/>
      <c r="AK1" s="1144" t="s">
        <v>63</v>
      </c>
      <c r="AL1" s="1145"/>
      <c r="AM1" s="1145"/>
      <c r="AN1" s="1146"/>
      <c r="AP1" s="338" t="s">
        <v>159</v>
      </c>
      <c r="AQ1" s="322"/>
      <c r="AR1" s="322"/>
      <c r="AS1" s="338" t="s">
        <v>159</v>
      </c>
    </row>
    <row r="2" spans="1:46" ht="14.95" customHeight="1" thickBot="1" x14ac:dyDescent="0.3">
      <c r="A2" s="7" t="s">
        <v>19</v>
      </c>
      <c r="B2" s="8" t="s">
        <v>18</v>
      </c>
      <c r="C2" s="9" t="s">
        <v>17</v>
      </c>
      <c r="D2" s="10" t="s">
        <v>41</v>
      </c>
      <c r="E2" s="10" t="s">
        <v>16</v>
      </c>
      <c r="F2" s="10" t="s">
        <v>4</v>
      </c>
      <c r="G2" s="10" t="s">
        <v>5</v>
      </c>
      <c r="H2" s="11" t="s">
        <v>12</v>
      </c>
      <c r="I2" s="11" t="s">
        <v>3</v>
      </c>
      <c r="J2" s="11" t="s">
        <v>12</v>
      </c>
      <c r="K2" s="11" t="s">
        <v>13</v>
      </c>
      <c r="L2" s="11" t="s">
        <v>2</v>
      </c>
      <c r="M2" s="11" t="s">
        <v>14</v>
      </c>
      <c r="N2" s="11" t="s">
        <v>15</v>
      </c>
      <c r="O2" s="11" t="s">
        <v>16</v>
      </c>
      <c r="P2" s="11" t="s">
        <v>21</v>
      </c>
      <c r="Q2" s="11" t="s">
        <v>22</v>
      </c>
      <c r="R2" s="11" t="s">
        <v>12</v>
      </c>
      <c r="S2" s="2"/>
      <c r="T2" s="3"/>
      <c r="U2" s="4"/>
      <c r="V2" s="2"/>
      <c r="W2" s="53"/>
      <c r="X2" s="5"/>
      <c r="Y2" s="295" t="s">
        <v>0</v>
      </c>
      <c r="Z2" s="295" t="s">
        <v>1</v>
      </c>
      <c r="AA2" s="295" t="s">
        <v>2</v>
      </c>
      <c r="AB2" s="295" t="s">
        <v>3</v>
      </c>
      <c r="AC2" s="295" t="s">
        <v>0</v>
      </c>
      <c r="AD2" s="295" t="s">
        <v>1</v>
      </c>
      <c r="AE2" s="295" t="s">
        <v>2</v>
      </c>
      <c r="AF2" s="295" t="s">
        <v>3</v>
      </c>
      <c r="AG2" s="295" t="s">
        <v>0</v>
      </c>
      <c r="AH2" s="295" t="s">
        <v>1</v>
      </c>
      <c r="AI2" s="295" t="s">
        <v>2</v>
      </c>
      <c r="AJ2" s="295" t="s">
        <v>3</v>
      </c>
      <c r="AK2" s="295" t="s">
        <v>0</v>
      </c>
      <c r="AL2" s="295" t="s">
        <v>1</v>
      </c>
      <c r="AM2" s="295" t="s">
        <v>2</v>
      </c>
      <c r="AN2" s="295" t="s">
        <v>3</v>
      </c>
      <c r="AP2" s="305" t="s">
        <v>107</v>
      </c>
      <c r="AQ2" s="189"/>
      <c r="AS2" s="336" t="s">
        <v>128</v>
      </c>
      <c r="AT2" s="189"/>
    </row>
    <row r="3" spans="1:46" ht="14.95" customHeight="1" thickBot="1" x14ac:dyDescent="0.3">
      <c r="A3" s="412" t="s">
        <v>598</v>
      </c>
      <c r="B3" s="398" t="s">
        <v>45</v>
      </c>
      <c r="C3" s="398" t="s">
        <v>31</v>
      </c>
      <c r="D3" s="398" t="s">
        <v>601</v>
      </c>
      <c r="E3" s="399" t="s">
        <v>3</v>
      </c>
      <c r="F3" s="399">
        <v>20</v>
      </c>
      <c r="G3" s="399">
        <v>36</v>
      </c>
      <c r="H3" s="399" t="s">
        <v>106</v>
      </c>
      <c r="I3" s="399" t="s">
        <v>106</v>
      </c>
      <c r="J3" s="399">
        <v>3</v>
      </c>
      <c r="K3" s="399">
        <v>1</v>
      </c>
      <c r="L3" s="399">
        <v>0</v>
      </c>
      <c r="M3" s="399">
        <v>1</v>
      </c>
      <c r="N3" s="399">
        <v>1</v>
      </c>
      <c r="O3" s="399">
        <v>0</v>
      </c>
      <c r="P3" s="399" t="s">
        <v>106</v>
      </c>
      <c r="Q3" s="399" t="s">
        <v>106</v>
      </c>
      <c r="R3" s="399">
        <v>5</v>
      </c>
      <c r="S3" s="406">
        <v>15000</v>
      </c>
      <c r="T3" s="410" t="s">
        <v>604</v>
      </c>
      <c r="U3" s="408" t="s">
        <v>269</v>
      </c>
      <c r="V3" s="406" t="s">
        <v>258</v>
      </c>
      <c r="W3" s="401" t="s">
        <v>272</v>
      </c>
      <c r="X3" s="409" t="s">
        <v>596</v>
      </c>
      <c r="Y3" s="422">
        <v>1</v>
      </c>
      <c r="Z3" s="422">
        <v>0</v>
      </c>
      <c r="AA3" s="422">
        <v>0</v>
      </c>
      <c r="AB3" s="593">
        <v>1</v>
      </c>
      <c r="AC3" s="422">
        <v>0</v>
      </c>
      <c r="AD3" s="422">
        <v>0</v>
      </c>
      <c r="AE3" s="422">
        <v>0</v>
      </c>
      <c r="AF3" s="593">
        <v>0</v>
      </c>
      <c r="AG3" s="422">
        <v>1</v>
      </c>
      <c r="AH3" s="422">
        <v>0</v>
      </c>
      <c r="AI3" s="422">
        <v>0</v>
      </c>
      <c r="AJ3" s="593">
        <v>1</v>
      </c>
      <c r="AK3" s="422">
        <v>0</v>
      </c>
      <c r="AL3" s="422">
        <v>0</v>
      </c>
      <c r="AM3" s="422">
        <v>0</v>
      </c>
      <c r="AN3" s="593">
        <v>0</v>
      </c>
      <c r="AP3" s="316" t="s">
        <v>130</v>
      </c>
      <c r="AQ3" s="317">
        <f>Tongaalltestshistplayed</f>
        <v>306</v>
      </c>
      <c r="AS3" s="316" t="s">
        <v>130</v>
      </c>
      <c r="AT3" s="317">
        <f>TongaRWChistplayed</f>
        <v>33</v>
      </c>
    </row>
    <row r="4" spans="1:46" ht="14.95" customHeight="1" thickBot="1" x14ac:dyDescent="0.3">
      <c r="A4" s="412" t="s">
        <v>332</v>
      </c>
      <c r="B4" s="398" t="s">
        <v>45</v>
      </c>
      <c r="C4" s="398" t="s">
        <v>36</v>
      </c>
      <c r="D4" s="398" t="s">
        <v>603</v>
      </c>
      <c r="E4" s="399" t="s">
        <v>3</v>
      </c>
      <c r="F4" s="399">
        <v>16</v>
      </c>
      <c r="G4" s="399">
        <v>21</v>
      </c>
      <c r="H4" s="399" t="s">
        <v>106</v>
      </c>
      <c r="I4" s="399" t="s">
        <v>106</v>
      </c>
      <c r="J4" s="399">
        <v>2</v>
      </c>
      <c r="K4" s="399">
        <v>0</v>
      </c>
      <c r="L4" s="399">
        <v>0</v>
      </c>
      <c r="M4" s="399">
        <v>2</v>
      </c>
      <c r="N4" s="399">
        <v>0</v>
      </c>
      <c r="O4" s="399">
        <v>0</v>
      </c>
      <c r="P4" s="399" t="s">
        <v>106</v>
      </c>
      <c r="Q4" s="399" t="s">
        <v>106</v>
      </c>
      <c r="R4" s="399">
        <v>3</v>
      </c>
      <c r="S4" s="406">
        <v>27346</v>
      </c>
      <c r="T4" s="410" t="s">
        <v>715</v>
      </c>
      <c r="U4" s="408" t="s">
        <v>278</v>
      </c>
      <c r="V4" s="406" t="s">
        <v>363</v>
      </c>
      <c r="W4" s="401" t="s">
        <v>430</v>
      </c>
      <c r="X4" s="409" t="s">
        <v>281</v>
      </c>
      <c r="Y4" s="422">
        <v>1</v>
      </c>
      <c r="Z4" s="422">
        <v>0</v>
      </c>
      <c r="AA4" s="422">
        <v>0</v>
      </c>
      <c r="AB4" s="593">
        <v>1</v>
      </c>
      <c r="AC4" s="422">
        <v>0</v>
      </c>
      <c r="AD4" s="422">
        <v>0</v>
      </c>
      <c r="AE4" s="422">
        <v>0</v>
      </c>
      <c r="AF4" s="593">
        <v>0</v>
      </c>
      <c r="AG4" s="422">
        <v>1</v>
      </c>
      <c r="AH4" s="422">
        <v>0</v>
      </c>
      <c r="AI4" s="422">
        <v>0</v>
      </c>
      <c r="AJ4" s="593">
        <v>1</v>
      </c>
      <c r="AK4" s="422">
        <v>0</v>
      </c>
      <c r="AL4" s="422">
        <v>0</v>
      </c>
      <c r="AM4" s="422">
        <v>0</v>
      </c>
      <c r="AN4" s="593">
        <v>0</v>
      </c>
      <c r="AP4" s="318" t="s">
        <v>131</v>
      </c>
      <c r="AQ4" s="319">
        <f>Tongaalltestshistwon</f>
        <v>116</v>
      </c>
      <c r="AS4" s="318" t="s">
        <v>131</v>
      </c>
      <c r="AT4" s="319">
        <f>TongaRWChistwon</f>
        <v>9</v>
      </c>
    </row>
    <row r="5" spans="1:46" ht="14.95" customHeight="1" thickBot="1" x14ac:dyDescent="0.3">
      <c r="A5" s="412" t="s">
        <v>322</v>
      </c>
      <c r="B5" s="398" t="s">
        <v>45</v>
      </c>
      <c r="C5" s="398" t="s">
        <v>119</v>
      </c>
      <c r="D5" s="398" t="s">
        <v>597</v>
      </c>
      <c r="E5" s="399" t="s">
        <v>3</v>
      </c>
      <c r="F5" s="399">
        <v>9</v>
      </c>
      <c r="G5" s="399">
        <v>34</v>
      </c>
      <c r="H5" s="399" t="s">
        <v>106</v>
      </c>
      <c r="I5" s="399" t="s">
        <v>106</v>
      </c>
      <c r="J5" s="399">
        <v>0</v>
      </c>
      <c r="K5" s="399">
        <v>0</v>
      </c>
      <c r="L5" s="399">
        <v>0</v>
      </c>
      <c r="M5" s="399">
        <v>3</v>
      </c>
      <c r="N5" s="399">
        <v>0</v>
      </c>
      <c r="O5" s="399">
        <v>0</v>
      </c>
      <c r="P5" s="399" t="s">
        <v>106</v>
      </c>
      <c r="Q5" s="399" t="s">
        <v>106</v>
      </c>
      <c r="R5" s="399">
        <v>4</v>
      </c>
      <c r="S5" s="406">
        <v>4000</v>
      </c>
      <c r="T5" s="410" t="s">
        <v>732</v>
      </c>
      <c r="U5" s="408" t="s">
        <v>265</v>
      </c>
      <c r="V5" s="406" t="s">
        <v>258</v>
      </c>
      <c r="W5" s="401" t="s">
        <v>430</v>
      </c>
      <c r="X5" s="409" t="s">
        <v>692</v>
      </c>
      <c r="Y5" s="422">
        <v>1</v>
      </c>
      <c r="Z5" s="422">
        <v>0</v>
      </c>
      <c r="AA5" s="422">
        <v>0</v>
      </c>
      <c r="AB5" s="593">
        <v>1</v>
      </c>
      <c r="AC5" s="422">
        <v>0</v>
      </c>
      <c r="AD5" s="422">
        <v>0</v>
      </c>
      <c r="AE5" s="422">
        <v>0</v>
      </c>
      <c r="AF5" s="422">
        <v>0</v>
      </c>
      <c r="AG5" s="422">
        <v>1</v>
      </c>
      <c r="AH5" s="422">
        <v>0</v>
      </c>
      <c r="AI5" s="422">
        <v>0</v>
      </c>
      <c r="AJ5" s="676">
        <v>1</v>
      </c>
      <c r="AK5" s="676">
        <v>0</v>
      </c>
      <c r="AL5" s="676">
        <v>0</v>
      </c>
      <c r="AM5" s="676">
        <v>0</v>
      </c>
      <c r="AN5" s="676">
        <v>0</v>
      </c>
      <c r="AP5" s="318" t="s">
        <v>137</v>
      </c>
      <c r="AQ5" s="319">
        <f>Tongaalltestshistdrawn</f>
        <v>7</v>
      </c>
      <c r="AS5" s="318" t="s">
        <v>137</v>
      </c>
      <c r="AT5" s="319">
        <f>TongaRWChistdrawn</f>
        <v>0</v>
      </c>
    </row>
    <row r="6" spans="1:46" ht="14.95" customHeight="1" thickBot="1" x14ac:dyDescent="0.35">
      <c r="A6" s="494" t="s">
        <v>622</v>
      </c>
      <c r="B6" s="424" t="s">
        <v>45</v>
      </c>
      <c r="C6" s="424" t="s">
        <v>40</v>
      </c>
      <c r="D6" s="424" t="s">
        <v>623</v>
      </c>
      <c r="E6" s="425" t="s">
        <v>1</v>
      </c>
      <c r="F6" s="425">
        <v>28</v>
      </c>
      <c r="G6" s="425">
        <v>3</v>
      </c>
      <c r="H6" s="425" t="s">
        <v>106</v>
      </c>
      <c r="I6" s="425" t="s">
        <v>106</v>
      </c>
      <c r="J6" s="425">
        <v>4</v>
      </c>
      <c r="K6" s="425">
        <v>4</v>
      </c>
      <c r="L6" s="425">
        <v>0</v>
      </c>
      <c r="M6" s="425">
        <v>0</v>
      </c>
      <c r="N6" s="425">
        <v>0</v>
      </c>
      <c r="O6" s="425">
        <v>1</v>
      </c>
      <c r="P6" s="425" t="s">
        <v>106</v>
      </c>
      <c r="Q6" s="425" t="s">
        <v>106</v>
      </c>
      <c r="R6" s="425">
        <v>0</v>
      </c>
      <c r="S6" s="426">
        <v>6000</v>
      </c>
      <c r="T6" s="438" t="s">
        <v>768</v>
      </c>
      <c r="U6" s="428" t="s">
        <v>281</v>
      </c>
      <c r="V6" s="426" t="s">
        <v>258</v>
      </c>
      <c r="W6" s="429" t="s">
        <v>272</v>
      </c>
      <c r="X6" s="430" t="s">
        <v>769</v>
      </c>
      <c r="Y6" s="590">
        <v>1</v>
      </c>
      <c r="Z6" s="590">
        <v>1</v>
      </c>
      <c r="AA6" s="590">
        <v>0</v>
      </c>
      <c r="AB6" s="591">
        <v>0</v>
      </c>
      <c r="AC6" s="693">
        <v>1</v>
      </c>
      <c r="AD6" s="693">
        <v>1</v>
      </c>
      <c r="AE6" s="693">
        <v>0</v>
      </c>
      <c r="AF6" s="693">
        <v>0</v>
      </c>
      <c r="AG6" s="693">
        <v>0</v>
      </c>
      <c r="AH6" s="693">
        <v>0</v>
      </c>
      <c r="AI6" s="693">
        <v>0</v>
      </c>
      <c r="AJ6" s="693">
        <v>0</v>
      </c>
      <c r="AK6" s="693">
        <v>0</v>
      </c>
      <c r="AL6" s="693">
        <v>0</v>
      </c>
      <c r="AM6" s="693">
        <v>0</v>
      </c>
      <c r="AN6" s="693">
        <v>0</v>
      </c>
      <c r="AP6" s="318" t="s">
        <v>132</v>
      </c>
      <c r="AQ6" s="319">
        <f>Tongaalltestshistlost</f>
        <v>183</v>
      </c>
      <c r="AS6" s="318" t="s">
        <v>132</v>
      </c>
      <c r="AT6" s="319">
        <f>TongaRWChistlost</f>
        <v>24</v>
      </c>
    </row>
    <row r="7" spans="1:46" ht="14.95" customHeight="1" thickBot="1" x14ac:dyDescent="0.35">
      <c r="A7" s="494" t="s">
        <v>624</v>
      </c>
      <c r="B7" s="424" t="s">
        <v>45</v>
      </c>
      <c r="C7" s="424" t="s">
        <v>40</v>
      </c>
      <c r="D7" s="424" t="s">
        <v>623</v>
      </c>
      <c r="E7" s="425" t="s">
        <v>1</v>
      </c>
      <c r="F7" s="425">
        <v>36</v>
      </c>
      <c r="G7" s="425">
        <v>12</v>
      </c>
      <c r="H7" s="425" t="s">
        <v>106</v>
      </c>
      <c r="I7" s="425" t="s">
        <v>106</v>
      </c>
      <c r="J7" s="425">
        <v>6</v>
      </c>
      <c r="K7" s="425">
        <v>3</v>
      </c>
      <c r="L7" s="425">
        <v>0</v>
      </c>
      <c r="M7" s="425">
        <v>0</v>
      </c>
      <c r="N7" s="425">
        <v>0</v>
      </c>
      <c r="O7" s="425">
        <v>0</v>
      </c>
      <c r="P7" s="425" t="s">
        <v>106</v>
      </c>
      <c r="Q7" s="425" t="s">
        <v>106</v>
      </c>
      <c r="R7" s="425">
        <v>2</v>
      </c>
      <c r="S7" s="426">
        <v>4000</v>
      </c>
      <c r="T7" s="438" t="s">
        <v>783</v>
      </c>
      <c r="U7" s="428" t="s">
        <v>272</v>
      </c>
      <c r="V7" s="426" t="s">
        <v>258</v>
      </c>
      <c r="W7" s="429" t="s">
        <v>281</v>
      </c>
      <c r="X7" s="430" t="s">
        <v>769</v>
      </c>
      <c r="Y7" s="590">
        <v>1</v>
      </c>
      <c r="Z7" s="590">
        <v>1</v>
      </c>
      <c r="AA7" s="590">
        <v>0</v>
      </c>
      <c r="AB7" s="591">
        <v>0</v>
      </c>
      <c r="AC7" s="693">
        <v>1</v>
      </c>
      <c r="AD7" s="693">
        <v>1</v>
      </c>
      <c r="AE7" s="693">
        <v>0</v>
      </c>
      <c r="AF7" s="693">
        <v>0</v>
      </c>
      <c r="AG7" s="693">
        <v>0</v>
      </c>
      <c r="AH7" s="693">
        <v>0</v>
      </c>
      <c r="AI7" s="693">
        <v>0</v>
      </c>
      <c r="AJ7" s="693">
        <v>0</v>
      </c>
      <c r="AK7" s="693">
        <v>0</v>
      </c>
      <c r="AL7" s="693">
        <v>0</v>
      </c>
      <c r="AM7" s="693">
        <v>0</v>
      </c>
      <c r="AN7" s="693">
        <v>0</v>
      </c>
      <c r="AP7" s="318" t="s">
        <v>138</v>
      </c>
      <c r="AQ7" s="319">
        <f>Tongaalltestshistptsscored</f>
        <v>5668</v>
      </c>
      <c r="AS7" s="318" t="s">
        <v>138</v>
      </c>
      <c r="AT7" s="319">
        <f>TongaRWChistptsscored</f>
        <v>568</v>
      </c>
    </row>
    <row r="8" spans="1:46" ht="14.95" customHeight="1" thickBot="1" x14ac:dyDescent="0.3">
      <c r="A8" s="464" t="s">
        <v>358</v>
      </c>
      <c r="B8" s="465" t="s">
        <v>198</v>
      </c>
      <c r="C8" s="465" t="s">
        <v>39</v>
      </c>
      <c r="D8" s="465" t="s">
        <v>224</v>
      </c>
      <c r="E8" s="453" t="s">
        <v>3</v>
      </c>
      <c r="F8" s="453">
        <v>16</v>
      </c>
      <c r="G8" s="453">
        <v>59</v>
      </c>
      <c r="H8" s="453">
        <v>0</v>
      </c>
      <c r="I8" s="453">
        <v>0</v>
      </c>
      <c r="J8" s="453">
        <v>1</v>
      </c>
      <c r="K8" s="453">
        <v>1</v>
      </c>
      <c r="L8" s="453">
        <v>0</v>
      </c>
      <c r="M8" s="453">
        <v>3</v>
      </c>
      <c r="N8" s="453">
        <v>0</v>
      </c>
      <c r="O8" s="453">
        <v>0</v>
      </c>
      <c r="P8" s="453">
        <v>1</v>
      </c>
      <c r="Q8" s="453">
        <v>0</v>
      </c>
      <c r="R8" s="453">
        <v>8</v>
      </c>
      <c r="S8" s="466">
        <v>31673</v>
      </c>
      <c r="T8" s="558" t="s">
        <v>881</v>
      </c>
      <c r="U8" s="467" t="s">
        <v>340</v>
      </c>
      <c r="V8" s="466" t="s">
        <v>264</v>
      </c>
      <c r="W8" s="463" t="s">
        <v>278</v>
      </c>
      <c r="X8" s="468" t="s">
        <v>414</v>
      </c>
      <c r="Y8" s="364">
        <v>1</v>
      </c>
      <c r="Z8" s="364">
        <v>0</v>
      </c>
      <c r="AA8" s="364">
        <v>0</v>
      </c>
      <c r="AB8" s="454">
        <v>1</v>
      </c>
      <c r="AC8" s="533">
        <v>0</v>
      </c>
      <c r="AD8" s="533">
        <v>0</v>
      </c>
      <c r="AE8" s="533">
        <v>0</v>
      </c>
      <c r="AF8" s="533">
        <v>0</v>
      </c>
      <c r="AG8" s="533">
        <v>0</v>
      </c>
      <c r="AH8" s="533">
        <v>0</v>
      </c>
      <c r="AI8" s="533">
        <v>0</v>
      </c>
      <c r="AJ8" s="533">
        <v>0</v>
      </c>
      <c r="AK8" s="533">
        <v>1</v>
      </c>
      <c r="AL8" s="533">
        <v>0</v>
      </c>
      <c r="AM8" s="533">
        <v>0</v>
      </c>
      <c r="AN8" s="533">
        <v>1</v>
      </c>
      <c r="AP8" s="318" t="s">
        <v>139</v>
      </c>
      <c r="AQ8" s="319">
        <f>Tongaalltestshistptsagainst</f>
        <v>7307</v>
      </c>
      <c r="AS8" s="318" t="s">
        <v>139</v>
      </c>
      <c r="AT8" s="319">
        <f>TongaRWChistptscon</f>
        <v>1143</v>
      </c>
    </row>
    <row r="9" spans="1:46" ht="14.95" customHeight="1" thickBot="1" x14ac:dyDescent="0.3">
      <c r="A9" s="464" t="s">
        <v>360</v>
      </c>
      <c r="B9" s="465" t="s">
        <v>198</v>
      </c>
      <c r="C9" s="465" t="s">
        <v>35</v>
      </c>
      <c r="D9" s="465" t="s">
        <v>231</v>
      </c>
      <c r="E9" s="453" t="s">
        <v>3</v>
      </c>
      <c r="F9" s="453">
        <v>17</v>
      </c>
      <c r="G9" s="453">
        <v>45</v>
      </c>
      <c r="H9" s="453">
        <v>0</v>
      </c>
      <c r="I9" s="453">
        <v>0</v>
      </c>
      <c r="J9" s="453">
        <v>2</v>
      </c>
      <c r="K9" s="453">
        <v>2</v>
      </c>
      <c r="L9" s="453">
        <v>0</v>
      </c>
      <c r="M9" s="453">
        <v>1</v>
      </c>
      <c r="N9" s="453">
        <v>1</v>
      </c>
      <c r="O9" s="453">
        <v>1</v>
      </c>
      <c r="P9" s="453">
        <v>1</v>
      </c>
      <c r="Q9" s="453">
        <v>0</v>
      </c>
      <c r="R9" s="453">
        <v>7</v>
      </c>
      <c r="S9" s="466">
        <v>33189</v>
      </c>
      <c r="T9" s="558" t="s">
        <v>908</v>
      </c>
      <c r="U9" s="467" t="s">
        <v>263</v>
      </c>
      <c r="V9" s="466" t="s">
        <v>279</v>
      </c>
      <c r="W9" s="463" t="s">
        <v>402</v>
      </c>
      <c r="X9" s="468" t="s">
        <v>414</v>
      </c>
      <c r="Y9" s="364">
        <v>1</v>
      </c>
      <c r="Z9" s="364">
        <v>0</v>
      </c>
      <c r="AA9" s="364">
        <v>0</v>
      </c>
      <c r="AB9" s="454">
        <v>1</v>
      </c>
      <c r="AC9" s="364">
        <v>0</v>
      </c>
      <c r="AD9" s="364">
        <v>0</v>
      </c>
      <c r="AE9" s="364">
        <v>0</v>
      </c>
      <c r="AF9" s="364">
        <v>0</v>
      </c>
      <c r="AG9" s="364">
        <v>0</v>
      </c>
      <c r="AH9" s="364">
        <v>0</v>
      </c>
      <c r="AI9" s="364">
        <v>0</v>
      </c>
      <c r="AJ9" s="364">
        <v>0</v>
      </c>
      <c r="AK9" s="364">
        <v>1</v>
      </c>
      <c r="AL9" s="364">
        <v>0</v>
      </c>
      <c r="AM9" s="364">
        <v>0</v>
      </c>
      <c r="AN9" s="364">
        <v>1</v>
      </c>
      <c r="AP9" s="318" t="s">
        <v>129</v>
      </c>
      <c r="AQ9" s="319">
        <f>Tongaalltestshisttriesscored</f>
        <v>683</v>
      </c>
      <c r="AS9" s="318" t="s">
        <v>129</v>
      </c>
      <c r="AT9" s="319">
        <f>TongaRWChisttriesscored</f>
        <v>66</v>
      </c>
    </row>
    <row r="10" spans="1:46" ht="14.95" thickBot="1" x14ac:dyDescent="0.3">
      <c r="A10" s="464" t="s">
        <v>406</v>
      </c>
      <c r="B10" s="465" t="s">
        <v>198</v>
      </c>
      <c r="C10" s="465" t="s">
        <v>170</v>
      </c>
      <c r="D10" s="465" t="s">
        <v>229</v>
      </c>
      <c r="E10" s="453" t="s">
        <v>3</v>
      </c>
      <c r="F10" s="453">
        <v>18</v>
      </c>
      <c r="G10" s="453">
        <v>49</v>
      </c>
      <c r="H10" s="453">
        <v>0</v>
      </c>
      <c r="I10" s="453">
        <v>0</v>
      </c>
      <c r="J10" s="453">
        <v>3</v>
      </c>
      <c r="K10" s="453">
        <v>0</v>
      </c>
      <c r="L10" s="453">
        <v>0</v>
      </c>
      <c r="M10" s="453">
        <v>1</v>
      </c>
      <c r="N10" s="453">
        <v>0</v>
      </c>
      <c r="O10" s="453">
        <v>0</v>
      </c>
      <c r="P10" s="453">
        <v>1</v>
      </c>
      <c r="Q10" s="453">
        <v>0</v>
      </c>
      <c r="R10" s="453">
        <v>7</v>
      </c>
      <c r="S10" s="463">
        <v>60387</v>
      </c>
      <c r="T10" s="493" t="s">
        <v>936</v>
      </c>
      <c r="U10" s="463" t="s">
        <v>266</v>
      </c>
      <c r="V10" s="463" t="s">
        <v>432</v>
      </c>
      <c r="W10" s="463" t="s">
        <v>278</v>
      </c>
      <c r="X10" s="463" t="s">
        <v>436</v>
      </c>
      <c r="Y10" s="364">
        <v>1</v>
      </c>
      <c r="Z10" s="364">
        <v>0</v>
      </c>
      <c r="AA10" s="364">
        <v>0</v>
      </c>
      <c r="AB10" s="454">
        <v>1</v>
      </c>
      <c r="AC10" s="364">
        <v>0</v>
      </c>
      <c r="AD10" s="364">
        <v>0</v>
      </c>
      <c r="AE10" s="364">
        <v>0</v>
      </c>
      <c r="AF10" s="364">
        <v>0</v>
      </c>
      <c r="AG10" s="364">
        <v>0</v>
      </c>
      <c r="AH10" s="364">
        <v>0</v>
      </c>
      <c r="AI10" s="364">
        <v>0</v>
      </c>
      <c r="AJ10" s="364">
        <v>0</v>
      </c>
      <c r="AK10" s="364">
        <v>1</v>
      </c>
      <c r="AL10" s="364">
        <v>0</v>
      </c>
      <c r="AM10" s="364">
        <v>0</v>
      </c>
      <c r="AN10" s="364">
        <v>1</v>
      </c>
    </row>
    <row r="11" spans="1:46" ht="15.8" customHeight="1" thickBot="1" x14ac:dyDescent="0.35">
      <c r="A11" s="464" t="s">
        <v>407</v>
      </c>
      <c r="B11" s="465" t="s">
        <v>198</v>
      </c>
      <c r="C11" s="465" t="s">
        <v>122</v>
      </c>
      <c r="D11" s="465" t="s">
        <v>230</v>
      </c>
      <c r="E11" s="453" t="s">
        <v>1</v>
      </c>
      <c r="F11" s="453">
        <v>45</v>
      </c>
      <c r="G11" s="453">
        <v>24</v>
      </c>
      <c r="H11" s="453">
        <v>1</v>
      </c>
      <c r="I11" s="453">
        <v>0</v>
      </c>
      <c r="J11" s="453">
        <v>7</v>
      </c>
      <c r="K11" s="453">
        <v>5</v>
      </c>
      <c r="L11" s="453">
        <v>0</v>
      </c>
      <c r="M11" s="453">
        <v>0</v>
      </c>
      <c r="N11" s="453">
        <v>1</v>
      </c>
      <c r="O11" s="453">
        <v>0</v>
      </c>
      <c r="P11" s="453">
        <v>0</v>
      </c>
      <c r="Q11" s="453">
        <v>0</v>
      </c>
      <c r="R11" s="453">
        <v>3</v>
      </c>
      <c r="S11" s="466">
        <v>45042</v>
      </c>
      <c r="T11" s="469" t="s">
        <v>957</v>
      </c>
      <c r="U11" s="463" t="s">
        <v>265</v>
      </c>
      <c r="V11" s="466" t="s">
        <v>279</v>
      </c>
      <c r="W11" s="463" t="s">
        <v>364</v>
      </c>
      <c r="X11" s="463" t="s">
        <v>436</v>
      </c>
      <c r="Y11" s="364">
        <v>1</v>
      </c>
      <c r="Z11" s="364">
        <v>1</v>
      </c>
      <c r="AA11" s="364">
        <v>0</v>
      </c>
      <c r="AB11" s="454">
        <v>0</v>
      </c>
      <c r="AC11" s="364">
        <v>0</v>
      </c>
      <c r="AD11" s="364">
        <v>0</v>
      </c>
      <c r="AE11" s="364">
        <v>0</v>
      </c>
      <c r="AF11" s="364">
        <v>0</v>
      </c>
      <c r="AG11" s="364">
        <v>0</v>
      </c>
      <c r="AH11" s="364">
        <v>0</v>
      </c>
      <c r="AI11" s="364">
        <v>0</v>
      </c>
      <c r="AJ11" s="364">
        <v>0</v>
      </c>
      <c r="AK11" s="364">
        <v>1</v>
      </c>
      <c r="AL11" s="364">
        <v>1</v>
      </c>
      <c r="AM11" s="364">
        <v>0</v>
      </c>
      <c r="AN11" s="364">
        <v>0</v>
      </c>
    </row>
    <row r="12" spans="1:46" ht="14.95" thickBot="1" x14ac:dyDescent="0.3">
      <c r="A12" s="266"/>
      <c r="B12" s="267"/>
      <c r="C12" s="1078" t="s">
        <v>166</v>
      </c>
      <c r="D12" s="1079"/>
      <c r="E12" s="1080"/>
      <c r="F12" s="682">
        <f>SUM(F3:F8)</f>
        <v>125</v>
      </c>
      <c r="G12" s="682">
        <f>SUM(G3:G8)</f>
        <v>165</v>
      </c>
      <c r="H12" s="682" t="s">
        <v>106</v>
      </c>
      <c r="I12" s="682" t="s">
        <v>106</v>
      </c>
      <c r="J12" s="682">
        <f t="shared" ref="J12:O12" si="0">SUM(J3:J8)</f>
        <v>16</v>
      </c>
      <c r="K12" s="682">
        <f t="shared" si="0"/>
        <v>9</v>
      </c>
      <c r="L12" s="682">
        <f t="shared" si="0"/>
        <v>0</v>
      </c>
      <c r="M12" s="682">
        <f t="shared" si="0"/>
        <v>9</v>
      </c>
      <c r="N12" s="682">
        <f t="shared" si="0"/>
        <v>1</v>
      </c>
      <c r="O12" s="682">
        <f t="shared" si="0"/>
        <v>1</v>
      </c>
      <c r="P12" s="682" t="s">
        <v>106</v>
      </c>
      <c r="Q12" s="682" t="s">
        <v>106</v>
      </c>
      <c r="R12" s="682">
        <f>SUM(R3:R8)</f>
        <v>22</v>
      </c>
      <c r="S12" s="687"/>
      <c r="T12" s="687"/>
      <c r="U12" s="687"/>
      <c r="V12" s="687"/>
      <c r="W12" s="688"/>
      <c r="X12" s="689" t="s">
        <v>166</v>
      </c>
      <c r="Y12" s="682">
        <f t="shared" ref="Y12:AN12" si="1">SUM(Y3:Y8)</f>
        <v>6</v>
      </c>
      <c r="Z12" s="682">
        <f t="shared" si="1"/>
        <v>2</v>
      </c>
      <c r="AA12" s="690">
        <f t="shared" si="1"/>
        <v>0</v>
      </c>
      <c r="AB12" s="690">
        <f t="shared" si="1"/>
        <v>4</v>
      </c>
      <c r="AC12" s="691">
        <f t="shared" si="1"/>
        <v>2</v>
      </c>
      <c r="AD12" s="691">
        <f t="shared" si="1"/>
        <v>2</v>
      </c>
      <c r="AE12" s="691">
        <f t="shared" si="1"/>
        <v>0</v>
      </c>
      <c r="AF12" s="691">
        <f t="shared" si="1"/>
        <v>0</v>
      </c>
      <c r="AG12" s="692">
        <f t="shared" si="1"/>
        <v>3</v>
      </c>
      <c r="AH12" s="692">
        <f t="shared" si="1"/>
        <v>0</v>
      </c>
      <c r="AI12" s="692">
        <f t="shared" si="1"/>
        <v>0</v>
      </c>
      <c r="AJ12" s="692">
        <f t="shared" si="1"/>
        <v>3</v>
      </c>
      <c r="AK12" s="690">
        <f t="shared" si="1"/>
        <v>1</v>
      </c>
      <c r="AL12" s="690">
        <f t="shared" si="1"/>
        <v>0</v>
      </c>
      <c r="AM12" s="690">
        <f t="shared" si="1"/>
        <v>0</v>
      </c>
      <c r="AN12" s="690">
        <f t="shared" si="1"/>
        <v>1</v>
      </c>
    </row>
    <row r="13" spans="1:46" ht="14.95" thickBot="1" x14ac:dyDescent="0.3">
      <c r="A13" s="266"/>
      <c r="B13" s="267"/>
      <c r="C13" s="940" t="s">
        <v>625</v>
      </c>
      <c r="D13" s="941"/>
      <c r="E13" s="942"/>
      <c r="F13" s="708">
        <f t="shared" ref="F13:R13" si="2">SUM(F8:F11)</f>
        <v>96</v>
      </c>
      <c r="G13" s="708">
        <f t="shared" si="2"/>
        <v>177</v>
      </c>
      <c r="H13" s="708">
        <f t="shared" si="2"/>
        <v>1</v>
      </c>
      <c r="I13" s="708">
        <f t="shared" si="2"/>
        <v>0</v>
      </c>
      <c r="J13" s="708">
        <f t="shared" si="2"/>
        <v>13</v>
      </c>
      <c r="K13" s="708">
        <f t="shared" si="2"/>
        <v>8</v>
      </c>
      <c r="L13" s="708">
        <f t="shared" si="2"/>
        <v>0</v>
      </c>
      <c r="M13" s="708">
        <f t="shared" si="2"/>
        <v>5</v>
      </c>
      <c r="N13" s="708">
        <f t="shared" si="2"/>
        <v>2</v>
      </c>
      <c r="O13" s="708">
        <f t="shared" si="2"/>
        <v>1</v>
      </c>
      <c r="P13" s="708">
        <f t="shared" si="2"/>
        <v>3</v>
      </c>
      <c r="Q13" s="708">
        <f t="shared" si="2"/>
        <v>0</v>
      </c>
      <c r="R13" s="708">
        <f t="shared" si="2"/>
        <v>25</v>
      </c>
      <c r="S13" s="709"/>
      <c r="T13" s="709"/>
      <c r="U13" s="709"/>
      <c r="V13" s="709"/>
      <c r="W13" s="710"/>
      <c r="X13" s="711" t="s">
        <v>625</v>
      </c>
      <c r="Y13" s="712">
        <f t="shared" ref="Y13:AN13" si="3">SUM(Y8:Y11)</f>
        <v>4</v>
      </c>
      <c r="Z13" s="708">
        <f t="shared" si="3"/>
        <v>1</v>
      </c>
      <c r="AA13" s="708">
        <f t="shared" si="3"/>
        <v>0</v>
      </c>
      <c r="AB13" s="708">
        <f t="shared" si="3"/>
        <v>3</v>
      </c>
      <c r="AC13" s="713">
        <f t="shared" si="3"/>
        <v>0</v>
      </c>
      <c r="AD13" s="713">
        <f t="shared" si="3"/>
        <v>0</v>
      </c>
      <c r="AE13" s="713">
        <f t="shared" si="3"/>
        <v>0</v>
      </c>
      <c r="AF13" s="713">
        <f t="shared" si="3"/>
        <v>0</v>
      </c>
      <c r="AG13" s="714">
        <f t="shared" si="3"/>
        <v>0</v>
      </c>
      <c r="AH13" s="714">
        <f t="shared" si="3"/>
        <v>0</v>
      </c>
      <c r="AI13" s="714">
        <f t="shared" si="3"/>
        <v>0</v>
      </c>
      <c r="AJ13" s="714">
        <f t="shared" si="3"/>
        <v>0</v>
      </c>
      <c r="AK13" s="708">
        <f t="shared" si="3"/>
        <v>4</v>
      </c>
      <c r="AL13" s="708">
        <f t="shared" si="3"/>
        <v>1</v>
      </c>
      <c r="AM13" s="708">
        <f t="shared" si="3"/>
        <v>0</v>
      </c>
      <c r="AN13" s="708">
        <f t="shared" si="3"/>
        <v>3</v>
      </c>
    </row>
    <row r="14" spans="1:46" ht="14.95" thickBot="1" x14ac:dyDescent="0.3">
      <c r="A14" s="266"/>
      <c r="B14" s="267"/>
      <c r="C14" s="940" t="s">
        <v>626</v>
      </c>
      <c r="D14" s="943"/>
      <c r="E14" s="944"/>
      <c r="F14" s="708">
        <v>0</v>
      </c>
      <c r="G14" s="708">
        <v>0</v>
      </c>
      <c r="H14" s="708">
        <v>0</v>
      </c>
      <c r="I14" s="708">
        <v>0</v>
      </c>
      <c r="J14" s="708">
        <v>0</v>
      </c>
      <c r="K14" s="708">
        <v>0</v>
      </c>
      <c r="L14" s="708">
        <v>0</v>
      </c>
      <c r="M14" s="708">
        <v>0</v>
      </c>
      <c r="N14" s="708">
        <v>0</v>
      </c>
      <c r="O14" s="708">
        <v>0</v>
      </c>
      <c r="P14" s="708">
        <v>0</v>
      </c>
      <c r="Q14" s="708">
        <v>0</v>
      </c>
      <c r="R14" s="708">
        <v>0</v>
      </c>
      <c r="S14" s="709"/>
      <c r="T14" s="709"/>
      <c r="U14" s="709"/>
      <c r="V14" s="709"/>
      <c r="W14" s="710"/>
      <c r="X14" s="711" t="s">
        <v>626</v>
      </c>
      <c r="Y14" s="712">
        <v>0</v>
      </c>
      <c r="Z14" s="708">
        <v>0</v>
      </c>
      <c r="AA14" s="708">
        <v>0</v>
      </c>
      <c r="AB14" s="708">
        <v>0</v>
      </c>
      <c r="AC14" s="713">
        <v>0</v>
      </c>
      <c r="AD14" s="713">
        <v>0</v>
      </c>
      <c r="AE14" s="713">
        <v>0</v>
      </c>
      <c r="AF14" s="713">
        <v>0</v>
      </c>
      <c r="AG14" s="714">
        <v>0</v>
      </c>
      <c r="AH14" s="714">
        <v>0</v>
      </c>
      <c r="AI14" s="714">
        <v>0</v>
      </c>
      <c r="AJ14" s="714">
        <v>0</v>
      </c>
      <c r="AK14" s="708">
        <v>0</v>
      </c>
      <c r="AL14" s="708">
        <v>0</v>
      </c>
      <c r="AM14" s="708">
        <v>0</v>
      </c>
      <c r="AN14" s="708">
        <v>0</v>
      </c>
    </row>
    <row r="15" spans="1:46" ht="14.95" thickBot="1" x14ac:dyDescent="0.3">
      <c r="A15" s="266"/>
      <c r="B15" s="267"/>
      <c r="C15" s="940" t="s">
        <v>627</v>
      </c>
      <c r="D15" s="943"/>
      <c r="E15" s="944"/>
      <c r="F15" s="708">
        <f>SUM(F13+F14)</f>
        <v>96</v>
      </c>
      <c r="G15" s="708">
        <f t="shared" ref="G15:R15" si="4">SUM(G13+G14)</f>
        <v>177</v>
      </c>
      <c r="H15" s="708">
        <f t="shared" si="4"/>
        <v>1</v>
      </c>
      <c r="I15" s="708">
        <f t="shared" si="4"/>
        <v>0</v>
      </c>
      <c r="J15" s="708">
        <f t="shared" si="4"/>
        <v>13</v>
      </c>
      <c r="K15" s="708">
        <f t="shared" si="4"/>
        <v>8</v>
      </c>
      <c r="L15" s="708">
        <f t="shared" si="4"/>
        <v>0</v>
      </c>
      <c r="M15" s="708">
        <f t="shared" si="4"/>
        <v>5</v>
      </c>
      <c r="N15" s="708">
        <f t="shared" si="4"/>
        <v>2</v>
      </c>
      <c r="O15" s="708">
        <f t="shared" si="4"/>
        <v>1</v>
      </c>
      <c r="P15" s="708">
        <f t="shared" si="4"/>
        <v>3</v>
      </c>
      <c r="Q15" s="708">
        <f t="shared" si="4"/>
        <v>0</v>
      </c>
      <c r="R15" s="708">
        <f t="shared" si="4"/>
        <v>25</v>
      </c>
      <c r="S15" s="709"/>
      <c r="T15" s="709"/>
      <c r="U15" s="709"/>
      <c r="V15" s="709"/>
      <c r="W15" s="710"/>
      <c r="X15" s="711" t="s">
        <v>627</v>
      </c>
      <c r="Y15" s="712">
        <f t="shared" ref="Y15:AN15" si="5">SUM(Y13+Y14)</f>
        <v>4</v>
      </c>
      <c r="Z15" s="708">
        <f t="shared" si="5"/>
        <v>1</v>
      </c>
      <c r="AA15" s="708">
        <f t="shared" si="5"/>
        <v>0</v>
      </c>
      <c r="AB15" s="708">
        <f t="shared" si="5"/>
        <v>3</v>
      </c>
      <c r="AC15" s="713">
        <f t="shared" si="5"/>
        <v>0</v>
      </c>
      <c r="AD15" s="713">
        <f t="shared" si="5"/>
        <v>0</v>
      </c>
      <c r="AE15" s="713">
        <f t="shared" si="5"/>
        <v>0</v>
      </c>
      <c r="AF15" s="713">
        <f t="shared" si="5"/>
        <v>0</v>
      </c>
      <c r="AG15" s="714">
        <f t="shared" si="5"/>
        <v>0</v>
      </c>
      <c r="AH15" s="714">
        <f t="shared" si="5"/>
        <v>0</v>
      </c>
      <c r="AI15" s="714">
        <f t="shared" si="5"/>
        <v>0</v>
      </c>
      <c r="AJ15" s="714">
        <f t="shared" si="5"/>
        <v>0</v>
      </c>
      <c r="AK15" s="708">
        <f t="shared" si="5"/>
        <v>4</v>
      </c>
      <c r="AL15" s="708">
        <f t="shared" si="5"/>
        <v>1</v>
      </c>
      <c r="AM15" s="708">
        <f t="shared" si="5"/>
        <v>0</v>
      </c>
      <c r="AN15" s="708">
        <f t="shared" si="5"/>
        <v>3</v>
      </c>
    </row>
    <row r="16" spans="1:46" ht="14.95" thickBot="1" x14ac:dyDescent="0.3">
      <c r="A16" s="266"/>
      <c r="B16" s="267"/>
      <c r="C16" s="946" t="s">
        <v>107</v>
      </c>
      <c r="D16" s="947"/>
      <c r="E16" s="948"/>
      <c r="F16" s="343">
        <f t="shared" ref="F16:R16" si="6">SUM(F3:F11)</f>
        <v>205</v>
      </c>
      <c r="G16" s="343">
        <f t="shared" si="6"/>
        <v>283</v>
      </c>
      <c r="H16" s="343">
        <f t="shared" si="6"/>
        <v>1</v>
      </c>
      <c r="I16" s="343">
        <f t="shared" si="6"/>
        <v>0</v>
      </c>
      <c r="J16" s="343">
        <f t="shared" si="6"/>
        <v>28</v>
      </c>
      <c r="K16" s="343">
        <f t="shared" si="6"/>
        <v>16</v>
      </c>
      <c r="L16" s="343">
        <f t="shared" si="6"/>
        <v>0</v>
      </c>
      <c r="M16" s="343">
        <f t="shared" si="6"/>
        <v>11</v>
      </c>
      <c r="N16" s="343">
        <f t="shared" si="6"/>
        <v>3</v>
      </c>
      <c r="O16" s="343">
        <f t="shared" si="6"/>
        <v>2</v>
      </c>
      <c r="P16" s="343">
        <f t="shared" si="6"/>
        <v>3</v>
      </c>
      <c r="Q16" s="343">
        <f t="shared" si="6"/>
        <v>0</v>
      </c>
      <c r="R16" s="343">
        <f t="shared" si="6"/>
        <v>39</v>
      </c>
      <c r="S16" s="340"/>
      <c r="T16" s="340"/>
      <c r="U16" s="340"/>
      <c r="V16" s="340"/>
      <c r="W16" s="13"/>
      <c r="X16" s="364" t="s">
        <v>107</v>
      </c>
      <c r="Y16" s="343">
        <f t="shared" ref="Y16:AN16" si="7">SUM(Y3:Y11)</f>
        <v>9</v>
      </c>
      <c r="Z16" s="343">
        <f t="shared" si="7"/>
        <v>3</v>
      </c>
      <c r="AA16" s="343">
        <f t="shared" si="7"/>
        <v>0</v>
      </c>
      <c r="AB16" s="343">
        <f t="shared" si="7"/>
        <v>6</v>
      </c>
      <c r="AC16" s="341">
        <f t="shared" si="7"/>
        <v>2</v>
      </c>
      <c r="AD16" s="341">
        <f t="shared" si="7"/>
        <v>2</v>
      </c>
      <c r="AE16" s="341">
        <f t="shared" si="7"/>
        <v>0</v>
      </c>
      <c r="AF16" s="341">
        <f t="shared" si="7"/>
        <v>0</v>
      </c>
      <c r="AG16" s="342">
        <f t="shared" si="7"/>
        <v>3</v>
      </c>
      <c r="AH16" s="342">
        <f t="shared" si="7"/>
        <v>0</v>
      </c>
      <c r="AI16" s="342">
        <f t="shared" si="7"/>
        <v>0</v>
      </c>
      <c r="AJ16" s="342">
        <f t="shared" si="7"/>
        <v>3</v>
      </c>
      <c r="AK16" s="343">
        <f t="shared" si="7"/>
        <v>4</v>
      </c>
      <c r="AL16" s="343">
        <f t="shared" si="7"/>
        <v>1</v>
      </c>
      <c r="AM16" s="343">
        <f t="shared" si="7"/>
        <v>0</v>
      </c>
      <c r="AN16" s="343">
        <f t="shared" si="7"/>
        <v>3</v>
      </c>
    </row>
    <row r="17" spans="1:40" x14ac:dyDescent="0.25">
      <c r="A17" s="266"/>
      <c r="B17" s="267"/>
      <c r="C17" s="677"/>
      <c r="D17" s="677"/>
      <c r="E17" s="677"/>
      <c r="F17" s="678"/>
      <c r="G17" s="678"/>
      <c r="H17" s="678"/>
      <c r="I17" s="678"/>
      <c r="J17" s="678"/>
      <c r="K17" s="678"/>
      <c r="L17" s="678"/>
      <c r="M17" s="678"/>
      <c r="N17" s="678"/>
      <c r="O17" s="678"/>
      <c r="P17" s="678"/>
      <c r="Q17" s="678"/>
      <c r="R17" s="678"/>
      <c r="S17" s="679"/>
      <c r="T17" s="679"/>
      <c r="U17" s="679"/>
      <c r="V17" s="679"/>
      <c r="W17" s="13"/>
      <c r="X17" s="13"/>
      <c r="Y17" s="678"/>
      <c r="Z17" s="678"/>
      <c r="AA17" s="678"/>
      <c r="AB17" s="678"/>
      <c r="AC17" s="678"/>
      <c r="AD17" s="678"/>
      <c r="AE17" s="678"/>
      <c r="AF17" s="678"/>
      <c r="AG17" s="678"/>
      <c r="AH17" s="678"/>
      <c r="AI17" s="678"/>
      <c r="AJ17" s="678"/>
      <c r="AK17" s="678"/>
      <c r="AL17" s="678"/>
      <c r="AM17" s="678"/>
      <c r="AN17" s="678"/>
    </row>
    <row r="18" spans="1:40" x14ac:dyDescent="0.25">
      <c r="A18" s="965" t="s">
        <v>602</v>
      </c>
      <c r="B18" s="965"/>
      <c r="C18" s="965"/>
      <c r="D18" s="965"/>
      <c r="E18" s="965"/>
      <c r="F18" s="965"/>
      <c r="G18" s="965"/>
      <c r="H18" s="965"/>
      <c r="I18" s="965"/>
      <c r="J18" s="965"/>
      <c r="K18" s="965"/>
      <c r="L18" s="965"/>
      <c r="M18" s="965"/>
      <c r="N18" s="965"/>
      <c r="O18" s="965"/>
      <c r="P18" s="965"/>
      <c r="Q18" s="965"/>
      <c r="R18" s="965"/>
      <c r="S18" s="965"/>
      <c r="T18" s="965"/>
      <c r="U18" s="965"/>
      <c r="V18" s="965"/>
      <c r="W18" s="965"/>
      <c r="X18" s="965"/>
      <c r="Y18" s="965"/>
      <c r="Z18" s="965"/>
      <c r="AA18" s="965"/>
      <c r="AB18" s="965"/>
      <c r="AC18" s="965"/>
      <c r="AD18" s="965"/>
      <c r="AE18" s="965"/>
      <c r="AF18" s="965"/>
      <c r="AG18" s="965"/>
      <c r="AH18" s="965"/>
      <c r="AI18" s="965"/>
      <c r="AJ18" s="965"/>
      <c r="AK18" s="965"/>
      <c r="AL18" s="965"/>
      <c r="AM18" s="965"/>
      <c r="AN18" s="965"/>
    </row>
    <row r="19" spans="1:40" ht="14.3" customHeight="1" x14ac:dyDescent="0.25">
      <c r="A19" s="965" t="s">
        <v>683</v>
      </c>
      <c r="B19" s="1147"/>
      <c r="C19" s="1147"/>
      <c r="D19" s="1147"/>
      <c r="E19" s="1147"/>
      <c r="F19" s="1147"/>
      <c r="G19" s="1147"/>
      <c r="H19" s="1147"/>
      <c r="I19" s="1147"/>
      <c r="J19" s="1147"/>
      <c r="K19" s="1147"/>
      <c r="L19" s="1147"/>
      <c r="M19" s="1147"/>
      <c r="N19" s="1147"/>
      <c r="O19" s="1147"/>
      <c r="P19" s="1147"/>
      <c r="Q19" s="1147"/>
      <c r="R19" s="1147"/>
      <c r="S19" s="1147"/>
      <c r="T19" s="1147"/>
      <c r="U19" s="1147"/>
      <c r="V19" s="1147"/>
      <c r="W19" s="1147"/>
      <c r="X19" s="1147"/>
      <c r="Y19" s="1147"/>
      <c r="Z19" s="1147"/>
      <c r="AA19" s="1147"/>
      <c r="AB19" s="1147"/>
      <c r="AC19" s="1147"/>
      <c r="AD19" s="1147"/>
      <c r="AE19" s="1147"/>
      <c r="AF19" s="1147"/>
      <c r="AG19" s="1147"/>
      <c r="AH19" s="1147"/>
      <c r="AI19" s="1147"/>
      <c r="AJ19" s="1147"/>
      <c r="AK19" s="1147"/>
      <c r="AL19" s="1147"/>
      <c r="AM19" s="1147"/>
      <c r="AN19" s="1147"/>
    </row>
    <row r="20" spans="1:40" x14ac:dyDescent="0.25">
      <c r="A20" s="965" t="s">
        <v>684</v>
      </c>
      <c r="B20" s="1147"/>
      <c r="C20" s="1147"/>
      <c r="D20" s="1147"/>
      <c r="E20" s="1147"/>
      <c r="F20" s="1147"/>
      <c r="G20" s="1147"/>
      <c r="H20" s="1147"/>
      <c r="I20" s="1147"/>
      <c r="J20" s="1147"/>
      <c r="K20" s="1147"/>
      <c r="L20" s="1147"/>
      <c r="M20" s="1147"/>
      <c r="N20" s="1147"/>
      <c r="O20" s="1147"/>
      <c r="P20" s="1147"/>
      <c r="Q20" s="1147"/>
      <c r="R20" s="1147"/>
      <c r="S20" s="1147"/>
      <c r="T20" s="1147"/>
      <c r="U20" s="1147"/>
      <c r="V20" s="1147"/>
      <c r="W20" s="1147"/>
      <c r="X20" s="1147"/>
      <c r="Y20" s="1147"/>
      <c r="Z20" s="1147"/>
      <c r="AA20" s="1147"/>
      <c r="AB20" s="1147"/>
      <c r="AC20" s="1147"/>
      <c r="AD20" s="1147"/>
      <c r="AE20" s="1147"/>
      <c r="AF20" s="1147"/>
      <c r="AG20" s="1147"/>
      <c r="AH20" s="1147"/>
      <c r="AI20" s="1147"/>
      <c r="AJ20" s="1147"/>
      <c r="AK20" s="1147"/>
      <c r="AL20" s="1147"/>
      <c r="AM20" s="1147"/>
      <c r="AN20" s="1147"/>
    </row>
    <row r="21" spans="1:40" x14ac:dyDescent="0.25">
      <c r="A21" s="965" t="s">
        <v>608</v>
      </c>
      <c r="B21" s="886"/>
      <c r="C21" s="886"/>
      <c r="D21" s="886"/>
      <c r="E21" s="886"/>
      <c r="F21" s="886"/>
      <c r="G21" s="886"/>
      <c r="H21" s="886"/>
      <c r="I21" s="886"/>
      <c r="J21" s="886"/>
      <c r="K21" s="886"/>
      <c r="L21" s="886"/>
      <c r="M21" s="886"/>
      <c r="N21" s="886"/>
      <c r="O21" s="886"/>
      <c r="P21" s="886"/>
      <c r="Q21" s="886"/>
      <c r="R21" s="886"/>
    </row>
    <row r="22" spans="1:40" x14ac:dyDescent="0.25">
      <c r="A22" s="496" t="s">
        <v>767</v>
      </c>
      <c r="F22" s="14"/>
      <c r="G22" s="14"/>
      <c r="H22" s="13"/>
      <c r="I22" s="14"/>
      <c r="J22" s="14"/>
      <c r="K22" s="14"/>
      <c r="L22" s="14"/>
      <c r="M22" s="14"/>
      <c r="N22" s="14"/>
      <c r="O22" s="14"/>
      <c r="P22" s="14"/>
      <c r="Q22" s="14"/>
      <c r="R22" s="14"/>
    </row>
    <row r="23" spans="1:40" x14ac:dyDescent="0.25">
      <c r="A23" s="575"/>
      <c r="B23" t="s">
        <v>44</v>
      </c>
    </row>
    <row r="24" spans="1:40" x14ac:dyDescent="0.25">
      <c r="A24" s="576"/>
      <c r="B24" t="s">
        <v>42</v>
      </c>
    </row>
    <row r="25" spans="1:40" x14ac:dyDescent="0.25">
      <c r="A25" s="577"/>
      <c r="B25" t="s">
        <v>43</v>
      </c>
    </row>
    <row r="26" spans="1:40" x14ac:dyDescent="0.25">
      <c r="A26" s="15" t="s">
        <v>28</v>
      </c>
    </row>
  </sheetData>
  <mergeCells count="19">
    <mergeCell ref="C14:E14"/>
    <mergeCell ref="C15:E15"/>
    <mergeCell ref="A19:AN19"/>
    <mergeCell ref="C12:E12"/>
    <mergeCell ref="A21:R21"/>
    <mergeCell ref="A18:AN18"/>
    <mergeCell ref="A20:AN20"/>
    <mergeCell ref="C16:E16"/>
    <mergeCell ref="C13:E13"/>
    <mergeCell ref="AG1:AJ1"/>
    <mergeCell ref="AK1:AN1"/>
    <mergeCell ref="AC1:AF1"/>
    <mergeCell ref="Y1:AB1"/>
    <mergeCell ref="P1:R1"/>
    <mergeCell ref="A1:C1"/>
    <mergeCell ref="E1:G1"/>
    <mergeCell ref="H1:I1"/>
    <mergeCell ref="J1:M1"/>
    <mergeCell ref="N1:O1"/>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T18"/>
  <sheetViews>
    <sheetView workbookViewId="0">
      <selection activeCell="A13" sqref="A13"/>
    </sheetView>
  </sheetViews>
  <sheetFormatPr defaultRowHeight="14.3" x14ac:dyDescent="0.25"/>
  <cols>
    <col min="1" max="1" width="7.5" customWidth="1"/>
    <col min="2" max="2" width="4.5" bestFit="1" customWidth="1"/>
    <col min="3" max="3" width="11.5" customWidth="1"/>
    <col min="4" max="4" width="5" customWidth="1"/>
    <col min="5" max="5" width="3.625" customWidth="1"/>
    <col min="6" max="6" width="4" bestFit="1" customWidth="1"/>
    <col min="7" max="18" width="3.625" customWidth="1"/>
    <col min="19" max="20" width="6.375" customWidth="1"/>
    <col min="21" max="21" width="27.5" customWidth="1"/>
    <col min="22" max="22" width="24.125" bestFit="1" customWidth="1"/>
    <col min="23" max="23" width="27.5" customWidth="1"/>
    <col min="24" max="24" width="25.875" bestFit="1" customWidth="1"/>
    <col min="25" max="28" width="4.375" customWidth="1"/>
    <col min="29" max="40" width="3.625" customWidth="1"/>
    <col min="42" max="42" width="13.125" bestFit="1" customWidth="1"/>
    <col min="45" max="45" width="13.125" bestFit="1" customWidth="1"/>
  </cols>
  <sheetData>
    <row r="1" spans="1:46" ht="14.95" customHeight="1" thickBot="1" x14ac:dyDescent="0.3">
      <c r="A1" s="1153" t="s">
        <v>218</v>
      </c>
      <c r="B1" s="1154"/>
      <c r="C1" s="1154"/>
      <c r="D1" s="148"/>
      <c r="E1" s="1155" t="s">
        <v>24</v>
      </c>
      <c r="F1" s="1156"/>
      <c r="G1" s="1157"/>
      <c r="H1" s="1155" t="s">
        <v>23</v>
      </c>
      <c r="I1" s="1157"/>
      <c r="J1" s="1150" t="s">
        <v>6</v>
      </c>
      <c r="K1" s="1151"/>
      <c r="L1" s="1151"/>
      <c r="M1" s="1152"/>
      <c r="N1" s="1150" t="s">
        <v>7</v>
      </c>
      <c r="O1" s="1152"/>
      <c r="P1" s="1150" t="s">
        <v>25</v>
      </c>
      <c r="Q1" s="1151"/>
      <c r="R1" s="1152"/>
      <c r="S1" s="119" t="s">
        <v>8</v>
      </c>
      <c r="T1" s="119" t="s">
        <v>9</v>
      </c>
      <c r="U1" s="120" t="s">
        <v>10</v>
      </c>
      <c r="V1" s="119" t="s">
        <v>11</v>
      </c>
      <c r="W1" s="121" t="s">
        <v>26</v>
      </c>
      <c r="X1" s="152" t="s">
        <v>27</v>
      </c>
      <c r="Y1" s="1148" t="s">
        <v>20</v>
      </c>
      <c r="Z1" s="963"/>
      <c r="AA1" s="963"/>
      <c r="AB1" s="964"/>
      <c r="AC1" s="1149" t="s">
        <v>61</v>
      </c>
      <c r="AD1" s="1092"/>
      <c r="AE1" s="1092"/>
      <c r="AF1" s="1092"/>
      <c r="AG1" s="1148" t="s">
        <v>62</v>
      </c>
      <c r="AH1" s="963"/>
      <c r="AI1" s="963"/>
      <c r="AJ1" s="964"/>
      <c r="AK1" s="1148" t="s">
        <v>63</v>
      </c>
      <c r="AL1" s="963"/>
      <c r="AM1" s="963"/>
      <c r="AN1" s="964"/>
      <c r="AP1" s="339" t="s">
        <v>60</v>
      </c>
      <c r="AQ1" s="322"/>
      <c r="AR1" s="322"/>
      <c r="AS1" s="339" t="s">
        <v>60</v>
      </c>
    </row>
    <row r="2" spans="1:46" ht="14.95" customHeight="1" thickBot="1" x14ac:dyDescent="0.3">
      <c r="A2" s="122" t="s">
        <v>19</v>
      </c>
      <c r="B2" s="123" t="s">
        <v>18</v>
      </c>
      <c r="C2" s="124" t="s">
        <v>17</v>
      </c>
      <c r="D2" s="125" t="s">
        <v>41</v>
      </c>
      <c r="E2" s="125" t="s">
        <v>16</v>
      </c>
      <c r="F2" s="125" t="s">
        <v>4</v>
      </c>
      <c r="G2" s="125" t="s">
        <v>5</v>
      </c>
      <c r="H2" s="126" t="s">
        <v>12</v>
      </c>
      <c r="I2" s="126" t="s">
        <v>3</v>
      </c>
      <c r="J2" s="126" t="s">
        <v>12</v>
      </c>
      <c r="K2" s="126" t="s">
        <v>13</v>
      </c>
      <c r="L2" s="126" t="s">
        <v>2</v>
      </c>
      <c r="M2" s="126" t="s">
        <v>14</v>
      </c>
      <c r="N2" s="126" t="s">
        <v>15</v>
      </c>
      <c r="O2" s="126" t="s">
        <v>16</v>
      </c>
      <c r="P2" s="126" t="s">
        <v>21</v>
      </c>
      <c r="Q2" s="126" t="s">
        <v>22</v>
      </c>
      <c r="R2" s="126" t="s">
        <v>12</v>
      </c>
      <c r="S2" s="127"/>
      <c r="T2" s="128"/>
      <c r="U2" s="129"/>
      <c r="V2" s="127"/>
      <c r="W2" s="161"/>
      <c r="X2" s="130"/>
      <c r="Y2" s="345" t="s">
        <v>0</v>
      </c>
      <c r="Z2" s="345" t="s">
        <v>1</v>
      </c>
      <c r="AA2" s="345" t="s">
        <v>2</v>
      </c>
      <c r="AB2" s="345" t="s">
        <v>3</v>
      </c>
      <c r="AC2" s="345" t="s">
        <v>0</v>
      </c>
      <c r="AD2" s="345" t="s">
        <v>1</v>
      </c>
      <c r="AE2" s="345" t="s">
        <v>2</v>
      </c>
      <c r="AF2" s="345" t="s">
        <v>3</v>
      </c>
      <c r="AG2" s="345" t="s">
        <v>0</v>
      </c>
      <c r="AH2" s="345" t="s">
        <v>1</v>
      </c>
      <c r="AI2" s="345" t="s">
        <v>2</v>
      </c>
      <c r="AJ2" s="345" t="s">
        <v>3</v>
      </c>
      <c r="AK2" s="345" t="s">
        <v>0</v>
      </c>
      <c r="AL2" s="345" t="s">
        <v>1</v>
      </c>
      <c r="AM2" s="345" t="s">
        <v>2</v>
      </c>
      <c r="AN2" s="345" t="s">
        <v>3</v>
      </c>
      <c r="AP2" s="305" t="s">
        <v>107</v>
      </c>
      <c r="AQ2" s="189"/>
      <c r="AS2" s="306" t="s">
        <v>128</v>
      </c>
      <c r="AT2" s="189"/>
    </row>
    <row r="3" spans="1:46" ht="14.95" customHeight="1" thickBot="1" x14ac:dyDescent="0.35">
      <c r="A3" s="413" t="s">
        <v>322</v>
      </c>
      <c r="B3" s="412" t="s">
        <v>45</v>
      </c>
      <c r="C3" s="420" t="s">
        <v>122</v>
      </c>
      <c r="D3" s="414" t="s">
        <v>295</v>
      </c>
      <c r="E3" s="414" t="s">
        <v>1</v>
      </c>
      <c r="F3" s="414">
        <v>31</v>
      </c>
      <c r="G3" s="414">
        <v>17</v>
      </c>
      <c r="H3" s="399" t="s">
        <v>106</v>
      </c>
      <c r="I3" s="399" t="s">
        <v>106</v>
      </c>
      <c r="J3" s="399">
        <v>5</v>
      </c>
      <c r="K3" s="399">
        <v>2</v>
      </c>
      <c r="L3" s="399">
        <v>0</v>
      </c>
      <c r="M3" s="399">
        <v>0</v>
      </c>
      <c r="N3" s="399">
        <v>0</v>
      </c>
      <c r="O3" s="399">
        <v>0</v>
      </c>
      <c r="P3" s="399" t="s">
        <v>106</v>
      </c>
      <c r="Q3" s="399" t="s">
        <v>106</v>
      </c>
      <c r="R3" s="399">
        <v>3</v>
      </c>
      <c r="S3" s="401"/>
      <c r="T3" s="456" t="s">
        <v>362</v>
      </c>
      <c r="U3" s="401" t="s">
        <v>749</v>
      </c>
      <c r="V3" s="401" t="s">
        <v>750</v>
      </c>
      <c r="W3" s="401" t="s">
        <v>302</v>
      </c>
      <c r="X3" s="401" t="s">
        <v>751</v>
      </c>
      <c r="Y3" s="422">
        <v>1</v>
      </c>
      <c r="Z3" s="422">
        <v>1</v>
      </c>
      <c r="AA3" s="422">
        <v>0</v>
      </c>
      <c r="AB3" s="422">
        <v>0</v>
      </c>
      <c r="AC3" s="422">
        <v>0</v>
      </c>
      <c r="AD3" s="422">
        <v>0</v>
      </c>
      <c r="AE3" s="422">
        <v>0</v>
      </c>
      <c r="AF3" s="422">
        <v>0</v>
      </c>
      <c r="AG3" s="422">
        <v>1</v>
      </c>
      <c r="AH3" s="422">
        <v>1</v>
      </c>
      <c r="AI3" s="422">
        <v>0</v>
      </c>
      <c r="AJ3" s="422">
        <v>0</v>
      </c>
      <c r="AK3" s="422">
        <v>0</v>
      </c>
      <c r="AL3" s="422">
        <v>0</v>
      </c>
      <c r="AM3" s="422">
        <v>0</v>
      </c>
      <c r="AN3" s="422">
        <v>0</v>
      </c>
      <c r="AP3" s="316" t="s">
        <v>130</v>
      </c>
      <c r="AQ3" s="317">
        <f>United_Statesalltestshistplayed</f>
        <v>277</v>
      </c>
      <c r="AS3" s="316" t="s">
        <v>130</v>
      </c>
      <c r="AT3" s="317">
        <f>United_StatesRWChistplayed</f>
        <v>29</v>
      </c>
    </row>
    <row r="4" spans="1:46" ht="14.95" customHeight="1" thickBot="1" x14ac:dyDescent="0.3">
      <c r="A4" s="413" t="s">
        <v>323</v>
      </c>
      <c r="B4" s="412" t="s">
        <v>45</v>
      </c>
      <c r="C4" s="420" t="s">
        <v>124</v>
      </c>
      <c r="D4" s="414" t="s">
        <v>668</v>
      </c>
      <c r="E4" s="342" t="s">
        <v>3</v>
      </c>
      <c r="F4" s="414">
        <v>20</v>
      </c>
      <c r="G4" s="414">
        <v>46</v>
      </c>
      <c r="H4" s="399" t="s">
        <v>106</v>
      </c>
      <c r="I4" s="399" t="s">
        <v>106</v>
      </c>
      <c r="J4" s="399">
        <v>2</v>
      </c>
      <c r="K4" s="399">
        <v>1</v>
      </c>
      <c r="L4" s="399">
        <v>0</v>
      </c>
      <c r="M4" s="399">
        <v>2</v>
      </c>
      <c r="N4" s="399">
        <v>1</v>
      </c>
      <c r="O4" s="399">
        <v>0</v>
      </c>
      <c r="P4" s="399" t="s">
        <v>106</v>
      </c>
      <c r="Q4" s="399" t="s">
        <v>106</v>
      </c>
      <c r="R4" s="399">
        <v>7</v>
      </c>
      <c r="S4" s="401"/>
      <c r="T4" s="415" t="s">
        <v>776</v>
      </c>
      <c r="U4" s="401" t="s">
        <v>269</v>
      </c>
      <c r="V4" s="401" t="s">
        <v>447</v>
      </c>
      <c r="W4" s="401" t="s">
        <v>412</v>
      </c>
      <c r="X4" s="401" t="s">
        <v>302</v>
      </c>
      <c r="Y4" s="422">
        <v>1</v>
      </c>
      <c r="Z4" s="422">
        <v>0</v>
      </c>
      <c r="AA4" s="422">
        <v>0</v>
      </c>
      <c r="AB4" s="422">
        <v>1</v>
      </c>
      <c r="AC4" s="422">
        <v>0</v>
      </c>
      <c r="AD4" s="422">
        <v>0</v>
      </c>
      <c r="AE4" s="422">
        <v>0</v>
      </c>
      <c r="AF4" s="422">
        <v>0</v>
      </c>
      <c r="AG4" s="422">
        <v>1</v>
      </c>
      <c r="AH4" s="422">
        <v>0</v>
      </c>
      <c r="AI4" s="422">
        <v>0</v>
      </c>
      <c r="AJ4" s="422">
        <v>1</v>
      </c>
      <c r="AK4" s="422">
        <v>0</v>
      </c>
      <c r="AL4" s="422">
        <v>0</v>
      </c>
      <c r="AM4" s="422">
        <v>0</v>
      </c>
      <c r="AN4" s="422">
        <v>0</v>
      </c>
      <c r="AP4" s="318" t="s">
        <v>131</v>
      </c>
      <c r="AQ4" s="319">
        <f>United_Statesalltestshistwon</f>
        <v>103</v>
      </c>
      <c r="AS4" s="318" t="s">
        <v>131</v>
      </c>
      <c r="AT4" s="319">
        <f>United_StatesRWChistwon</f>
        <v>3</v>
      </c>
    </row>
    <row r="5" spans="1:46" ht="14.95" customHeight="1" thickBot="1" x14ac:dyDescent="0.35">
      <c r="A5" s="413" t="s">
        <v>324</v>
      </c>
      <c r="B5" s="412" t="s">
        <v>45</v>
      </c>
      <c r="C5" s="420" t="s">
        <v>38</v>
      </c>
      <c r="D5" s="414" t="s">
        <v>646</v>
      </c>
      <c r="E5" s="342" t="s">
        <v>3</v>
      </c>
      <c r="F5" s="342">
        <v>7</v>
      </c>
      <c r="G5" s="342">
        <v>22</v>
      </c>
      <c r="H5" s="399" t="s">
        <v>106</v>
      </c>
      <c r="I5" s="399" t="s">
        <v>106</v>
      </c>
      <c r="J5" s="399">
        <v>1</v>
      </c>
      <c r="K5" s="399">
        <v>1</v>
      </c>
      <c r="L5" s="399">
        <v>0</v>
      </c>
      <c r="M5" s="399">
        <v>0</v>
      </c>
      <c r="N5" s="399">
        <v>1</v>
      </c>
      <c r="O5" s="399">
        <v>0</v>
      </c>
      <c r="P5" s="399" t="s">
        <v>106</v>
      </c>
      <c r="Q5" s="399" t="s">
        <v>106</v>
      </c>
      <c r="R5" s="399">
        <v>3</v>
      </c>
      <c r="S5" s="401">
        <v>15000</v>
      </c>
      <c r="T5" s="456" t="s">
        <v>789</v>
      </c>
      <c r="U5" s="401" t="s">
        <v>433</v>
      </c>
      <c r="V5" s="401" t="s">
        <v>447</v>
      </c>
      <c r="W5" s="401" t="s">
        <v>749</v>
      </c>
      <c r="X5" s="401" t="s">
        <v>730</v>
      </c>
      <c r="Y5" s="593">
        <v>1</v>
      </c>
      <c r="Z5" s="593">
        <v>0</v>
      </c>
      <c r="AA5" s="593">
        <v>0</v>
      </c>
      <c r="AB5" s="593">
        <v>1</v>
      </c>
      <c r="AC5" s="593">
        <v>0</v>
      </c>
      <c r="AD5" s="593">
        <v>0</v>
      </c>
      <c r="AE5" s="593">
        <v>0</v>
      </c>
      <c r="AF5" s="593">
        <v>0</v>
      </c>
      <c r="AG5" s="593">
        <v>1</v>
      </c>
      <c r="AH5" s="593">
        <v>0</v>
      </c>
      <c r="AI5" s="593">
        <v>0</v>
      </c>
      <c r="AJ5" s="593">
        <v>1</v>
      </c>
      <c r="AK5" s="593">
        <v>0</v>
      </c>
      <c r="AL5" s="593">
        <v>0</v>
      </c>
      <c r="AM5" s="593">
        <v>0</v>
      </c>
      <c r="AN5" s="593">
        <v>0</v>
      </c>
      <c r="AP5" s="318" t="s">
        <v>137</v>
      </c>
      <c r="AQ5" s="319">
        <f>United_Statesalltestshistdrawn</f>
        <v>5</v>
      </c>
      <c r="AS5" s="318" t="s">
        <v>137</v>
      </c>
      <c r="AT5" s="319">
        <f>United_StatesRWChistdrawn</f>
        <v>0</v>
      </c>
    </row>
    <row r="6" spans="1:46" ht="14.95" customHeight="1" thickBot="1" x14ac:dyDescent="0.35">
      <c r="A6" s="489" t="s">
        <v>1035</v>
      </c>
      <c r="B6" s="490" t="s">
        <v>1034</v>
      </c>
      <c r="C6" s="524" t="s">
        <v>1038</v>
      </c>
      <c r="D6" s="366" t="s">
        <v>1040</v>
      </c>
      <c r="E6" s="343" t="s">
        <v>1</v>
      </c>
      <c r="F6" s="343">
        <v>48</v>
      </c>
      <c r="G6" s="343">
        <v>3</v>
      </c>
      <c r="H6" s="453" t="s">
        <v>106</v>
      </c>
      <c r="I6" s="453" t="s">
        <v>106</v>
      </c>
      <c r="J6" s="453">
        <v>8</v>
      </c>
      <c r="K6" s="453">
        <v>4</v>
      </c>
      <c r="L6" s="453">
        <v>0</v>
      </c>
      <c r="M6" s="453">
        <v>0</v>
      </c>
      <c r="N6" s="453">
        <v>0</v>
      </c>
      <c r="O6" s="453">
        <v>0</v>
      </c>
      <c r="P6" s="453" t="s">
        <v>106</v>
      </c>
      <c r="Q6" s="453" t="s">
        <v>106</v>
      </c>
      <c r="R6" s="453">
        <v>0</v>
      </c>
      <c r="S6" s="463"/>
      <c r="T6" s="491" t="s">
        <v>394</v>
      </c>
      <c r="U6" s="463" t="s">
        <v>790</v>
      </c>
      <c r="V6" s="463"/>
      <c r="W6" s="463"/>
      <c r="X6" s="463"/>
      <c r="Y6" s="525">
        <v>1</v>
      </c>
      <c r="Z6" s="525">
        <v>1</v>
      </c>
      <c r="AA6" s="525">
        <v>0</v>
      </c>
      <c r="AB6" s="525">
        <v>0</v>
      </c>
      <c r="AC6" s="525">
        <v>0</v>
      </c>
      <c r="AD6" s="525">
        <v>0</v>
      </c>
      <c r="AE6" s="525">
        <v>0</v>
      </c>
      <c r="AF6" s="525">
        <v>0</v>
      </c>
      <c r="AG6" s="525">
        <v>0</v>
      </c>
      <c r="AH6" s="525">
        <v>0</v>
      </c>
      <c r="AI6" s="525">
        <v>0</v>
      </c>
      <c r="AJ6" s="525">
        <v>0</v>
      </c>
      <c r="AK6" s="525">
        <v>1</v>
      </c>
      <c r="AL6" s="525">
        <v>1</v>
      </c>
      <c r="AM6" s="525">
        <v>0</v>
      </c>
      <c r="AN6" s="525">
        <v>0</v>
      </c>
      <c r="AP6" s="318" t="s">
        <v>132</v>
      </c>
      <c r="AQ6" s="319">
        <f>United_Statesalltestshistlost</f>
        <v>169</v>
      </c>
      <c r="AS6" s="318" t="s">
        <v>132</v>
      </c>
      <c r="AT6" s="319">
        <f>United_StatesRWChistlost</f>
        <v>26</v>
      </c>
    </row>
    <row r="7" spans="1:46" ht="14.95" customHeight="1" thickBot="1" x14ac:dyDescent="0.35">
      <c r="A7" s="413" t="s">
        <v>1036</v>
      </c>
      <c r="B7" s="412" t="s">
        <v>1034</v>
      </c>
      <c r="C7" s="412" t="s">
        <v>123</v>
      </c>
      <c r="D7" s="414" t="s">
        <v>1040</v>
      </c>
      <c r="E7" s="342" t="s">
        <v>1</v>
      </c>
      <c r="F7" s="342">
        <v>42</v>
      </c>
      <c r="G7" s="342">
        <v>12</v>
      </c>
      <c r="H7" s="399" t="s">
        <v>106</v>
      </c>
      <c r="I7" s="399" t="s">
        <v>106</v>
      </c>
      <c r="J7" s="399">
        <v>5</v>
      </c>
      <c r="K7" s="399">
        <v>3</v>
      </c>
      <c r="L7" s="399">
        <v>0</v>
      </c>
      <c r="M7" s="399">
        <v>3</v>
      </c>
      <c r="N7" s="399">
        <v>0</v>
      </c>
      <c r="O7" s="399">
        <v>0</v>
      </c>
      <c r="P7" s="399" t="s">
        <v>106</v>
      </c>
      <c r="Q7" s="399" t="s">
        <v>106</v>
      </c>
      <c r="R7" s="399">
        <v>2</v>
      </c>
      <c r="S7" s="401"/>
      <c r="T7" s="456" t="s">
        <v>345</v>
      </c>
      <c r="U7" s="401" t="s">
        <v>790</v>
      </c>
      <c r="V7" s="401"/>
      <c r="W7" s="401"/>
      <c r="X7" s="401"/>
      <c r="Y7" s="593">
        <v>1</v>
      </c>
      <c r="Z7" s="593">
        <v>1</v>
      </c>
      <c r="AA7" s="593">
        <v>0</v>
      </c>
      <c r="AB7" s="593">
        <v>0</v>
      </c>
      <c r="AC7" s="593">
        <v>0</v>
      </c>
      <c r="AD7" s="593">
        <v>0</v>
      </c>
      <c r="AE7" s="593">
        <v>0</v>
      </c>
      <c r="AF7" s="593">
        <v>0</v>
      </c>
      <c r="AG7" s="593">
        <v>1</v>
      </c>
      <c r="AH7" s="593">
        <v>1</v>
      </c>
      <c r="AI7" s="593">
        <v>0</v>
      </c>
      <c r="AJ7" s="593">
        <v>0</v>
      </c>
      <c r="AK7" s="593">
        <v>0</v>
      </c>
      <c r="AL7" s="593">
        <v>0</v>
      </c>
      <c r="AM7" s="593">
        <v>0</v>
      </c>
      <c r="AN7" s="593">
        <v>0</v>
      </c>
      <c r="AP7" s="318" t="s">
        <v>138</v>
      </c>
      <c r="AQ7" s="319">
        <f>United_Statesalltestshistptsscored</f>
        <v>5967</v>
      </c>
      <c r="AS7" s="318" t="s">
        <v>138</v>
      </c>
      <c r="AT7" s="319">
        <f>United_StatesRWChistptsscored</f>
        <v>402</v>
      </c>
    </row>
    <row r="8" spans="1:46" ht="14.95" customHeight="1" thickBot="1" x14ac:dyDescent="0.3">
      <c r="A8" s="266"/>
      <c r="B8" s="267"/>
      <c r="C8" s="946" t="s">
        <v>107</v>
      </c>
      <c r="D8" s="947"/>
      <c r="E8" s="948"/>
      <c r="F8" s="343">
        <f>SUM(F3:F7)</f>
        <v>148</v>
      </c>
      <c r="G8" s="343">
        <f>SUM(G3:G7)</f>
        <v>100</v>
      </c>
      <c r="H8" s="343">
        <f t="shared" ref="H8:Q8" si="0">SUM(H3:H5)</f>
        <v>0</v>
      </c>
      <c r="I8" s="343">
        <f t="shared" si="0"/>
        <v>0</v>
      </c>
      <c r="J8" s="343">
        <f t="shared" ref="J8:O8" si="1">SUM(J3:J7)</f>
        <v>21</v>
      </c>
      <c r="K8" s="343">
        <f t="shared" si="1"/>
        <v>11</v>
      </c>
      <c r="L8" s="343">
        <f t="shared" si="1"/>
        <v>0</v>
      </c>
      <c r="M8" s="343">
        <f t="shared" si="1"/>
        <v>5</v>
      </c>
      <c r="N8" s="343">
        <f t="shared" si="1"/>
        <v>2</v>
      </c>
      <c r="O8" s="343">
        <f t="shared" si="1"/>
        <v>0</v>
      </c>
      <c r="P8" s="343">
        <f t="shared" si="0"/>
        <v>0</v>
      </c>
      <c r="Q8" s="343">
        <f t="shared" si="0"/>
        <v>0</v>
      </c>
      <c r="R8" s="343">
        <f>SUM(R3:R7)</f>
        <v>15</v>
      </c>
      <c r="S8" s="340"/>
      <c r="T8" s="340"/>
      <c r="U8" s="340"/>
      <c r="V8" s="340"/>
      <c r="W8" s="13"/>
      <c r="X8" s="364" t="s">
        <v>107</v>
      </c>
      <c r="Y8" s="343">
        <f t="shared" ref="Y8:AN8" si="2">SUM(Y3:Y7)</f>
        <v>5</v>
      </c>
      <c r="Z8" s="343">
        <f t="shared" si="2"/>
        <v>3</v>
      </c>
      <c r="AA8" s="343">
        <f t="shared" si="2"/>
        <v>0</v>
      </c>
      <c r="AB8" s="343">
        <f t="shared" si="2"/>
        <v>2</v>
      </c>
      <c r="AC8" s="341">
        <f t="shared" si="2"/>
        <v>0</v>
      </c>
      <c r="AD8" s="341">
        <f t="shared" si="2"/>
        <v>0</v>
      </c>
      <c r="AE8" s="341">
        <f t="shared" si="2"/>
        <v>0</v>
      </c>
      <c r="AF8" s="341">
        <f t="shared" si="2"/>
        <v>0</v>
      </c>
      <c r="AG8" s="342">
        <f t="shared" si="2"/>
        <v>4</v>
      </c>
      <c r="AH8" s="342">
        <f t="shared" si="2"/>
        <v>2</v>
      </c>
      <c r="AI8" s="342">
        <f t="shared" si="2"/>
        <v>0</v>
      </c>
      <c r="AJ8" s="342">
        <f t="shared" si="2"/>
        <v>2</v>
      </c>
      <c r="AK8" s="343">
        <f t="shared" si="2"/>
        <v>1</v>
      </c>
      <c r="AL8" s="343">
        <f t="shared" si="2"/>
        <v>1</v>
      </c>
      <c r="AM8" s="343">
        <f t="shared" si="2"/>
        <v>0</v>
      </c>
      <c r="AN8" s="343">
        <f t="shared" si="2"/>
        <v>0</v>
      </c>
      <c r="AP8" s="318" t="s">
        <v>139</v>
      </c>
      <c r="AQ8" s="319">
        <f>United_Statesalltestshistptscon</f>
        <v>7491</v>
      </c>
      <c r="AS8" s="318" t="s">
        <v>139</v>
      </c>
      <c r="AT8" s="319">
        <f>United_StatesRWChistptscon</f>
        <v>1048</v>
      </c>
    </row>
    <row r="9" spans="1:46" ht="14.95" customHeight="1" thickBot="1" x14ac:dyDescent="0.3">
      <c r="A9" s="266"/>
      <c r="B9" s="267"/>
      <c r="C9" s="395"/>
      <c r="D9" s="395"/>
      <c r="E9" s="395"/>
      <c r="F9" s="395"/>
      <c r="G9" s="395"/>
      <c r="H9" s="395"/>
      <c r="I9" s="395"/>
      <c r="J9" s="395"/>
      <c r="K9" s="395"/>
      <c r="L9" s="395"/>
      <c r="M9" s="395"/>
      <c r="N9" s="395"/>
      <c r="O9" s="395"/>
      <c r="P9" s="395"/>
      <c r="Q9" s="395"/>
      <c r="R9" s="395"/>
      <c r="S9" s="395"/>
      <c r="T9" s="395"/>
      <c r="U9" s="395"/>
      <c r="V9" s="395"/>
      <c r="W9" s="395"/>
      <c r="X9" s="395"/>
      <c r="Y9" s="395"/>
      <c r="Z9" s="395"/>
      <c r="AA9" s="395"/>
      <c r="AB9" s="395"/>
      <c r="AC9" s="395"/>
      <c r="AD9" s="395"/>
      <c r="AE9" s="395"/>
      <c r="AF9" s="395"/>
      <c r="AG9" s="395"/>
      <c r="AH9" s="395"/>
      <c r="AI9" s="395"/>
      <c r="AJ9" s="395"/>
      <c r="AK9" s="395"/>
      <c r="AL9" s="395"/>
      <c r="AM9" s="395"/>
      <c r="AN9" s="395"/>
      <c r="AP9" s="318" t="s">
        <v>129</v>
      </c>
      <c r="AQ9" s="319">
        <f>United_Statesalltestshisttriesscored</f>
        <v>715</v>
      </c>
      <c r="AS9" s="318" t="s">
        <v>129</v>
      </c>
      <c r="AT9" s="319">
        <f>United_StatesRWChisttriesscored</f>
        <v>44</v>
      </c>
    </row>
    <row r="10" spans="1:46" x14ac:dyDescent="0.25">
      <c r="A10" s="496" t="s">
        <v>777</v>
      </c>
      <c r="F10" s="14"/>
      <c r="G10" s="14"/>
      <c r="H10" s="13"/>
      <c r="I10" s="14"/>
      <c r="J10" s="14"/>
      <c r="K10" s="14"/>
      <c r="L10" s="14"/>
      <c r="M10" s="14"/>
      <c r="N10" s="14"/>
      <c r="O10" s="14"/>
      <c r="P10" s="14"/>
      <c r="Q10" s="14"/>
      <c r="R10" s="14"/>
    </row>
    <row r="11" spans="1:46" x14ac:dyDescent="0.25">
      <c r="A11" s="965" t="s">
        <v>1039</v>
      </c>
      <c r="B11" s="966"/>
      <c r="C11" s="966"/>
      <c r="D11" s="966"/>
      <c r="E11" s="966"/>
      <c r="F11" s="966"/>
      <c r="G11" s="966"/>
      <c r="H11" s="966"/>
      <c r="I11" s="966"/>
      <c r="J11" s="966"/>
      <c r="K11" s="966"/>
      <c r="L11" s="966"/>
      <c r="M11" s="966"/>
      <c r="N11" s="966"/>
      <c r="O11" s="966"/>
      <c r="P11" s="966"/>
      <c r="Q11" s="966"/>
      <c r="R11" s="966"/>
    </row>
    <row r="12" spans="1:46" x14ac:dyDescent="0.25">
      <c r="A12" s="471"/>
    </row>
    <row r="13" spans="1:46" ht="14.95" customHeight="1" x14ac:dyDescent="0.25">
      <c r="A13" s="496" t="s">
        <v>1037</v>
      </c>
    </row>
    <row r="14" spans="1:46" x14ac:dyDescent="0.25">
      <c r="A14" s="496" t="s">
        <v>1041</v>
      </c>
    </row>
    <row r="15" spans="1:46" x14ac:dyDescent="0.25">
      <c r="A15" s="575"/>
      <c r="B15" t="s">
        <v>44</v>
      </c>
    </row>
    <row r="16" spans="1:46" x14ac:dyDescent="0.25">
      <c r="A16" s="576"/>
      <c r="B16" t="s">
        <v>42</v>
      </c>
    </row>
    <row r="17" spans="1:2" x14ac:dyDescent="0.25">
      <c r="A17" s="577"/>
      <c r="B17" t="s">
        <v>43</v>
      </c>
    </row>
    <row r="18" spans="1:2" x14ac:dyDescent="0.25">
      <c r="A18" s="15" t="s">
        <v>28</v>
      </c>
    </row>
  </sheetData>
  <mergeCells count="12">
    <mergeCell ref="A11:R11"/>
    <mergeCell ref="C8:E8"/>
    <mergeCell ref="A1:C1"/>
    <mergeCell ref="E1:G1"/>
    <mergeCell ref="H1:I1"/>
    <mergeCell ref="J1:M1"/>
    <mergeCell ref="N1:O1"/>
    <mergeCell ref="Y1:AB1"/>
    <mergeCell ref="AC1:AF1"/>
    <mergeCell ref="AG1:AJ1"/>
    <mergeCell ref="AK1:AN1"/>
    <mergeCell ref="P1:R1"/>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T22"/>
  <sheetViews>
    <sheetView workbookViewId="0">
      <selection activeCell="W5" sqref="W5"/>
    </sheetView>
  </sheetViews>
  <sheetFormatPr defaultRowHeight="14.3" x14ac:dyDescent="0.25"/>
  <cols>
    <col min="1" max="1" width="7.5" customWidth="1"/>
    <col min="2" max="2" width="5.125" bestFit="1" customWidth="1"/>
    <col min="3" max="3" width="13.625" customWidth="1"/>
    <col min="4" max="4" width="4.875" bestFit="1" customWidth="1"/>
    <col min="5" max="5" width="3.625" customWidth="1"/>
    <col min="6" max="7" width="4" bestFit="1" customWidth="1"/>
    <col min="8" max="18" width="3.625" customWidth="1"/>
    <col min="19" max="20" width="6.375" customWidth="1"/>
    <col min="21" max="21" width="25.875" customWidth="1"/>
    <col min="22" max="22" width="22.5" bestFit="1" customWidth="1"/>
    <col min="23" max="23" width="24.125" bestFit="1" customWidth="1"/>
    <col min="24" max="24" width="24.625" bestFit="1" customWidth="1"/>
    <col min="25" max="40" width="3.625" customWidth="1"/>
    <col min="42" max="42" width="13.125" bestFit="1" customWidth="1"/>
    <col min="45" max="45" width="13.125" bestFit="1" customWidth="1"/>
  </cols>
  <sheetData>
    <row r="1" spans="1:46" ht="14.95" customHeight="1" thickBot="1" x14ac:dyDescent="0.3">
      <c r="A1" s="1161" t="s">
        <v>219</v>
      </c>
      <c r="B1" s="1162"/>
      <c r="C1" s="1162"/>
      <c r="D1" s="149"/>
      <c r="E1" s="1163" t="s">
        <v>24</v>
      </c>
      <c r="F1" s="1164"/>
      <c r="G1" s="1165"/>
      <c r="H1" s="1163" t="s">
        <v>23</v>
      </c>
      <c r="I1" s="1165"/>
      <c r="J1" s="1166" t="s">
        <v>6</v>
      </c>
      <c r="K1" s="1167"/>
      <c r="L1" s="1167"/>
      <c r="M1" s="1168"/>
      <c r="N1" s="1166" t="s">
        <v>7</v>
      </c>
      <c r="O1" s="1168"/>
      <c r="P1" s="1166" t="s">
        <v>25</v>
      </c>
      <c r="Q1" s="1167"/>
      <c r="R1" s="1168"/>
      <c r="S1" s="300" t="s">
        <v>8</v>
      </c>
      <c r="T1" s="300" t="s">
        <v>9</v>
      </c>
      <c r="U1" s="301" t="s">
        <v>10</v>
      </c>
      <c r="V1" s="300" t="s">
        <v>11</v>
      </c>
      <c r="W1" s="302" t="s">
        <v>26</v>
      </c>
      <c r="X1" s="303" t="s">
        <v>27</v>
      </c>
      <c r="Y1" s="1169" t="s">
        <v>20</v>
      </c>
      <c r="Z1" s="963"/>
      <c r="AA1" s="963"/>
      <c r="AB1" s="964"/>
      <c r="AC1" s="1169" t="s">
        <v>61</v>
      </c>
      <c r="AD1" s="963"/>
      <c r="AE1" s="963"/>
      <c r="AF1" s="964"/>
      <c r="AG1" s="1169" t="s">
        <v>62</v>
      </c>
      <c r="AH1" s="963"/>
      <c r="AI1" s="963"/>
      <c r="AJ1" s="964"/>
      <c r="AK1" s="1169" t="s">
        <v>63</v>
      </c>
      <c r="AL1" s="963"/>
      <c r="AM1" s="963"/>
      <c r="AN1" s="964"/>
      <c r="AP1" s="326" t="s">
        <v>160</v>
      </c>
      <c r="AQ1" s="322"/>
      <c r="AR1" s="322"/>
      <c r="AS1" s="326" t="s">
        <v>160</v>
      </c>
    </row>
    <row r="2" spans="1:46" ht="14.95" customHeight="1" thickBot="1" x14ac:dyDescent="0.3">
      <c r="A2" s="132" t="s">
        <v>19</v>
      </c>
      <c r="B2" s="133" t="s">
        <v>18</v>
      </c>
      <c r="C2" s="134" t="s">
        <v>17</v>
      </c>
      <c r="D2" s="135" t="s">
        <v>41</v>
      </c>
      <c r="E2" s="135" t="s">
        <v>16</v>
      </c>
      <c r="F2" s="135" t="s">
        <v>4</v>
      </c>
      <c r="G2" s="135" t="s">
        <v>5</v>
      </c>
      <c r="H2" s="136" t="s">
        <v>12</v>
      </c>
      <c r="I2" s="136" t="s">
        <v>3</v>
      </c>
      <c r="J2" s="136" t="s">
        <v>12</v>
      </c>
      <c r="K2" s="136" t="s">
        <v>13</v>
      </c>
      <c r="L2" s="136" t="s">
        <v>2</v>
      </c>
      <c r="M2" s="136" t="s">
        <v>14</v>
      </c>
      <c r="N2" s="136" t="s">
        <v>15</v>
      </c>
      <c r="O2" s="136" t="s">
        <v>16</v>
      </c>
      <c r="P2" s="136" t="s">
        <v>21</v>
      </c>
      <c r="Q2" s="136" t="s">
        <v>22</v>
      </c>
      <c r="R2" s="136" t="s">
        <v>12</v>
      </c>
      <c r="S2" s="137"/>
      <c r="T2" s="280"/>
      <c r="U2" s="138"/>
      <c r="V2" s="137"/>
      <c r="W2" s="163"/>
      <c r="X2" s="139"/>
      <c r="Y2" s="131" t="s">
        <v>0</v>
      </c>
      <c r="Z2" s="131" t="s">
        <v>1</v>
      </c>
      <c r="AA2" s="131" t="s">
        <v>2</v>
      </c>
      <c r="AB2" s="131" t="s">
        <v>3</v>
      </c>
      <c r="AC2" s="131" t="s">
        <v>0</v>
      </c>
      <c r="AD2" s="131" t="s">
        <v>1</v>
      </c>
      <c r="AE2" s="131" t="s">
        <v>2</v>
      </c>
      <c r="AF2" s="131" t="s">
        <v>3</v>
      </c>
      <c r="AG2" s="131" t="s">
        <v>0</v>
      </c>
      <c r="AH2" s="131" t="s">
        <v>1</v>
      </c>
      <c r="AI2" s="131" t="s">
        <v>2</v>
      </c>
      <c r="AJ2" s="131" t="s">
        <v>3</v>
      </c>
      <c r="AK2" s="131" t="s">
        <v>0</v>
      </c>
      <c r="AL2" s="131" t="s">
        <v>1</v>
      </c>
      <c r="AM2" s="131" t="s">
        <v>2</v>
      </c>
      <c r="AN2" s="131" t="s">
        <v>3</v>
      </c>
      <c r="AP2" s="305" t="s">
        <v>107</v>
      </c>
      <c r="AQ2" s="189"/>
      <c r="AS2" s="336" t="s">
        <v>128</v>
      </c>
      <c r="AT2" s="189"/>
    </row>
    <row r="3" spans="1:46" ht="14.95" customHeight="1" thickBot="1" x14ac:dyDescent="0.3">
      <c r="A3" s="748" t="s">
        <v>332</v>
      </c>
      <c r="B3" s="424" t="s">
        <v>45</v>
      </c>
      <c r="C3" s="424" t="s">
        <v>192</v>
      </c>
      <c r="D3" s="436" t="s">
        <v>655</v>
      </c>
      <c r="E3" s="425" t="s">
        <v>1</v>
      </c>
      <c r="F3" s="425">
        <v>26</v>
      </c>
      <c r="G3" s="425">
        <v>25</v>
      </c>
      <c r="H3" s="425" t="s">
        <v>106</v>
      </c>
      <c r="I3" s="425" t="s">
        <v>106</v>
      </c>
      <c r="J3" s="425">
        <v>4</v>
      </c>
      <c r="K3" s="425">
        <v>2</v>
      </c>
      <c r="L3" s="425">
        <v>0</v>
      </c>
      <c r="M3" s="425">
        <v>0</v>
      </c>
      <c r="N3" s="425">
        <v>0</v>
      </c>
      <c r="O3" s="425">
        <v>0</v>
      </c>
      <c r="P3" s="425" t="s">
        <v>106</v>
      </c>
      <c r="Q3" s="425" t="s">
        <v>106</v>
      </c>
      <c r="R3" s="425">
        <v>3</v>
      </c>
      <c r="S3" s="426"/>
      <c r="T3" s="681" t="s">
        <v>717</v>
      </c>
      <c r="U3" s="428" t="s">
        <v>266</v>
      </c>
      <c r="V3" s="426" t="s">
        <v>258</v>
      </c>
      <c r="W3" s="429" t="s">
        <v>718</v>
      </c>
      <c r="X3" s="430" t="s">
        <v>719</v>
      </c>
      <c r="Y3" s="431">
        <v>1</v>
      </c>
      <c r="Z3" s="431">
        <v>1</v>
      </c>
      <c r="AA3" s="431">
        <v>0</v>
      </c>
      <c r="AB3" s="432">
        <v>0</v>
      </c>
      <c r="AC3" s="431">
        <v>1</v>
      </c>
      <c r="AD3" s="431">
        <v>1</v>
      </c>
      <c r="AE3" s="431">
        <v>0</v>
      </c>
      <c r="AF3" s="432">
        <v>0</v>
      </c>
      <c r="AG3" s="431">
        <v>0</v>
      </c>
      <c r="AH3" s="431">
        <v>0</v>
      </c>
      <c r="AI3" s="431">
        <v>0</v>
      </c>
      <c r="AJ3" s="432">
        <v>0</v>
      </c>
      <c r="AK3" s="431">
        <v>0</v>
      </c>
      <c r="AL3" s="431">
        <v>0</v>
      </c>
      <c r="AM3" s="431">
        <v>0</v>
      </c>
      <c r="AN3" s="432">
        <v>0</v>
      </c>
      <c r="AP3" s="316" t="s">
        <v>130</v>
      </c>
      <c r="AQ3" s="317">
        <f>Urualltestshistplayed</f>
        <v>306</v>
      </c>
      <c r="AS3" s="316" t="s">
        <v>130</v>
      </c>
      <c r="AT3" s="317">
        <f>UruRWChistplayed</f>
        <v>19</v>
      </c>
    </row>
    <row r="4" spans="1:46" ht="14.95" customHeight="1" thickBot="1" x14ac:dyDescent="0.35">
      <c r="A4" s="748" t="s">
        <v>322</v>
      </c>
      <c r="B4" s="424" t="s">
        <v>45</v>
      </c>
      <c r="C4" s="424" t="s">
        <v>121</v>
      </c>
      <c r="D4" s="436" t="s">
        <v>655</v>
      </c>
      <c r="E4" s="425" t="s">
        <v>1</v>
      </c>
      <c r="F4" s="425">
        <v>26</v>
      </c>
      <c r="G4" s="425">
        <v>18</v>
      </c>
      <c r="H4" s="425" t="s">
        <v>106</v>
      </c>
      <c r="I4" s="425" t="s">
        <v>106</v>
      </c>
      <c r="J4" s="425">
        <v>4</v>
      </c>
      <c r="K4" s="425">
        <v>3</v>
      </c>
      <c r="L4" s="425">
        <v>0</v>
      </c>
      <c r="M4" s="425">
        <v>0</v>
      </c>
      <c r="N4" s="425">
        <v>1</v>
      </c>
      <c r="O4" s="425">
        <v>0</v>
      </c>
      <c r="P4" s="425" t="s">
        <v>106</v>
      </c>
      <c r="Q4" s="425" t="s">
        <v>106</v>
      </c>
      <c r="R4" s="425">
        <v>3</v>
      </c>
      <c r="S4" s="426">
        <v>5000</v>
      </c>
      <c r="T4" s="438" t="s">
        <v>752</v>
      </c>
      <c r="U4" s="428" t="s">
        <v>266</v>
      </c>
      <c r="V4" s="426" t="s">
        <v>258</v>
      </c>
      <c r="W4" s="429" t="s">
        <v>718</v>
      </c>
      <c r="X4" s="430" t="s">
        <v>719</v>
      </c>
      <c r="Y4" s="431">
        <v>1</v>
      </c>
      <c r="Z4" s="431">
        <v>1</v>
      </c>
      <c r="AA4" s="431">
        <v>0</v>
      </c>
      <c r="AB4" s="432">
        <v>0</v>
      </c>
      <c r="AC4" s="431">
        <v>1</v>
      </c>
      <c r="AD4" s="431">
        <v>1</v>
      </c>
      <c r="AE4" s="431">
        <v>0</v>
      </c>
      <c r="AF4" s="432">
        <v>0</v>
      </c>
      <c r="AG4" s="431">
        <v>0</v>
      </c>
      <c r="AH4" s="431">
        <v>0</v>
      </c>
      <c r="AI4" s="431">
        <v>0</v>
      </c>
      <c r="AJ4" s="432">
        <v>0</v>
      </c>
      <c r="AK4" s="431">
        <v>0</v>
      </c>
      <c r="AL4" s="431">
        <v>0</v>
      </c>
      <c r="AM4" s="431">
        <v>0</v>
      </c>
      <c r="AN4" s="432">
        <v>0</v>
      </c>
      <c r="AP4" s="318" t="s">
        <v>131</v>
      </c>
      <c r="AQ4" s="319">
        <f>Urualltestshistwon</f>
        <v>144</v>
      </c>
      <c r="AS4" s="318" t="s">
        <v>131</v>
      </c>
      <c r="AT4" s="319">
        <f>UruRWChistwon</f>
        <v>4</v>
      </c>
    </row>
    <row r="5" spans="1:46" ht="14.95" customHeight="1" thickBot="1" x14ac:dyDescent="0.3">
      <c r="A5" s="396" t="s">
        <v>354</v>
      </c>
      <c r="B5" s="398" t="s">
        <v>198</v>
      </c>
      <c r="C5" s="398" t="s">
        <v>34</v>
      </c>
      <c r="D5" s="398" t="s">
        <v>230</v>
      </c>
      <c r="E5" s="399" t="s">
        <v>3</v>
      </c>
      <c r="F5" s="399">
        <v>12</v>
      </c>
      <c r="G5" s="399">
        <v>27</v>
      </c>
      <c r="H5" s="399">
        <v>0</v>
      </c>
      <c r="I5" s="399">
        <v>0</v>
      </c>
      <c r="J5" s="399">
        <v>2</v>
      </c>
      <c r="K5" s="399">
        <v>1</v>
      </c>
      <c r="L5" s="399">
        <v>0</v>
      </c>
      <c r="M5" s="399">
        <v>0</v>
      </c>
      <c r="N5" s="399">
        <v>0</v>
      </c>
      <c r="O5" s="399">
        <v>0</v>
      </c>
      <c r="P5" s="399">
        <v>0</v>
      </c>
      <c r="Q5" s="399">
        <v>0</v>
      </c>
      <c r="R5" s="399">
        <v>3</v>
      </c>
      <c r="S5" s="406">
        <v>48821</v>
      </c>
      <c r="T5" s="419" t="s">
        <v>715</v>
      </c>
      <c r="U5" s="408" t="s">
        <v>271</v>
      </c>
      <c r="V5" s="406" t="s">
        <v>279</v>
      </c>
      <c r="W5" s="401" t="s">
        <v>269</v>
      </c>
      <c r="X5" s="409" t="s">
        <v>272</v>
      </c>
      <c r="Y5" s="422">
        <v>1</v>
      </c>
      <c r="Z5" s="422">
        <v>0</v>
      </c>
      <c r="AA5" s="422">
        <v>0</v>
      </c>
      <c r="AB5" s="593">
        <v>1</v>
      </c>
      <c r="AC5" s="422">
        <v>0</v>
      </c>
      <c r="AD5" s="422">
        <v>0</v>
      </c>
      <c r="AE5" s="422">
        <v>0</v>
      </c>
      <c r="AF5" s="593">
        <v>0</v>
      </c>
      <c r="AG5" s="422">
        <v>1</v>
      </c>
      <c r="AH5" s="422">
        <v>0</v>
      </c>
      <c r="AI5" s="422">
        <v>0</v>
      </c>
      <c r="AJ5" s="593">
        <v>1</v>
      </c>
      <c r="AK5" s="422">
        <v>0</v>
      </c>
      <c r="AL5" s="422">
        <v>0</v>
      </c>
      <c r="AM5" s="422">
        <v>0</v>
      </c>
      <c r="AN5" s="593">
        <v>0</v>
      </c>
      <c r="AP5" s="318" t="s">
        <v>137</v>
      </c>
      <c r="AQ5" s="319">
        <f>Urualltestshistdrawn</f>
        <v>4</v>
      </c>
      <c r="AS5" s="318" t="s">
        <v>137</v>
      </c>
      <c r="AT5" s="319">
        <f>UruRWChistdrawn</f>
        <v>0</v>
      </c>
    </row>
    <row r="6" spans="1:46" ht="14.95" customHeight="1" thickBot="1" x14ac:dyDescent="0.35">
      <c r="A6" s="464" t="s">
        <v>334</v>
      </c>
      <c r="B6" s="465" t="s">
        <v>198</v>
      </c>
      <c r="C6" s="465" t="s">
        <v>33</v>
      </c>
      <c r="D6" s="465" t="s">
        <v>231</v>
      </c>
      <c r="E6" s="453" t="s">
        <v>3</v>
      </c>
      <c r="F6" s="453">
        <v>17</v>
      </c>
      <c r="G6" s="453">
        <v>38</v>
      </c>
      <c r="H6" s="453">
        <v>0</v>
      </c>
      <c r="I6" s="453">
        <v>0</v>
      </c>
      <c r="J6" s="453">
        <v>2</v>
      </c>
      <c r="K6" s="453">
        <v>1</v>
      </c>
      <c r="L6" s="453">
        <v>1</v>
      </c>
      <c r="M6" s="453">
        <v>0</v>
      </c>
      <c r="N6" s="453">
        <v>1</v>
      </c>
      <c r="O6" s="453">
        <v>0</v>
      </c>
      <c r="P6" s="453">
        <v>1</v>
      </c>
      <c r="Q6" s="453">
        <v>0</v>
      </c>
      <c r="R6" s="453">
        <v>5</v>
      </c>
      <c r="S6" s="466">
        <v>28627</v>
      </c>
      <c r="T6" s="495" t="s">
        <v>897</v>
      </c>
      <c r="U6" s="467" t="s">
        <v>265</v>
      </c>
      <c r="V6" s="466" t="s">
        <v>264</v>
      </c>
      <c r="W6" s="463" t="s">
        <v>346</v>
      </c>
      <c r="X6" s="468" t="s">
        <v>281</v>
      </c>
      <c r="Y6" s="611">
        <v>1</v>
      </c>
      <c r="Z6" s="611">
        <v>0</v>
      </c>
      <c r="AA6" s="611">
        <v>0</v>
      </c>
      <c r="AB6" s="525">
        <v>1</v>
      </c>
      <c r="AC6" s="611">
        <v>0</v>
      </c>
      <c r="AD6" s="611">
        <v>0</v>
      </c>
      <c r="AE6" s="611">
        <v>0</v>
      </c>
      <c r="AF6" s="525">
        <v>0</v>
      </c>
      <c r="AG6" s="611">
        <v>0</v>
      </c>
      <c r="AH6" s="611">
        <v>0</v>
      </c>
      <c r="AI6" s="611">
        <v>0</v>
      </c>
      <c r="AJ6" s="525">
        <v>0</v>
      </c>
      <c r="AK6" s="611">
        <v>1</v>
      </c>
      <c r="AL6" s="611">
        <v>0</v>
      </c>
      <c r="AM6" s="611">
        <v>0</v>
      </c>
      <c r="AN6" s="525">
        <v>1</v>
      </c>
      <c r="AP6" s="318" t="s">
        <v>132</v>
      </c>
      <c r="AQ6" s="319">
        <f>Urualltestshistlost</f>
        <v>158</v>
      </c>
      <c r="AS6" s="318" t="s">
        <v>132</v>
      </c>
      <c r="AT6" s="319">
        <f>UruRWChistlost</f>
        <v>15</v>
      </c>
    </row>
    <row r="7" spans="1:46" ht="14.95" customHeight="1" thickBot="1" x14ac:dyDescent="0.3">
      <c r="A7" s="464" t="s">
        <v>662</v>
      </c>
      <c r="B7" s="465" t="s">
        <v>198</v>
      </c>
      <c r="C7" s="465" t="s">
        <v>121</v>
      </c>
      <c r="D7" s="465" t="s">
        <v>232</v>
      </c>
      <c r="E7" s="453" t="s">
        <v>1</v>
      </c>
      <c r="F7" s="453">
        <v>36</v>
      </c>
      <c r="G7" s="453">
        <v>26</v>
      </c>
      <c r="H7" s="453">
        <v>1</v>
      </c>
      <c r="I7" s="453">
        <v>0</v>
      </c>
      <c r="J7" s="453">
        <v>5</v>
      </c>
      <c r="K7" s="453">
        <v>4</v>
      </c>
      <c r="L7" s="453">
        <v>0</v>
      </c>
      <c r="M7" s="453">
        <v>1</v>
      </c>
      <c r="N7" s="453">
        <v>1</v>
      </c>
      <c r="O7" s="453">
        <v>0</v>
      </c>
      <c r="P7" s="453">
        <v>0</v>
      </c>
      <c r="Q7" s="453">
        <v>0</v>
      </c>
      <c r="R7" s="453">
        <v>2</v>
      </c>
      <c r="S7" s="466">
        <v>49432</v>
      </c>
      <c r="T7" s="497" t="s">
        <v>913</v>
      </c>
      <c r="U7" s="467" t="s">
        <v>364</v>
      </c>
      <c r="V7" s="466" t="s">
        <v>279</v>
      </c>
      <c r="W7" s="466" t="s">
        <v>280</v>
      </c>
      <c r="X7" s="468" t="s">
        <v>349</v>
      </c>
      <c r="Y7" s="611">
        <v>1</v>
      </c>
      <c r="Z7" s="611">
        <v>1</v>
      </c>
      <c r="AA7" s="611">
        <v>0</v>
      </c>
      <c r="AB7" s="525">
        <v>0</v>
      </c>
      <c r="AC7" s="611">
        <v>0</v>
      </c>
      <c r="AD7" s="611">
        <v>0</v>
      </c>
      <c r="AE7" s="611">
        <v>0</v>
      </c>
      <c r="AF7" s="525">
        <v>0</v>
      </c>
      <c r="AG7" s="611">
        <v>0</v>
      </c>
      <c r="AH7" s="611">
        <v>0</v>
      </c>
      <c r="AI7" s="611">
        <v>0</v>
      </c>
      <c r="AJ7" s="525">
        <v>0</v>
      </c>
      <c r="AK7" s="611">
        <v>1</v>
      </c>
      <c r="AL7" s="611">
        <v>1</v>
      </c>
      <c r="AM7" s="611">
        <v>0</v>
      </c>
      <c r="AN7" s="525">
        <v>0</v>
      </c>
      <c r="AP7" s="318" t="s">
        <v>138</v>
      </c>
      <c r="AQ7" s="319">
        <f>Urualltestshistptsscored</f>
        <v>6867</v>
      </c>
      <c r="AS7" s="318" t="s">
        <v>138</v>
      </c>
      <c r="AT7" s="319">
        <f>UruRWChistptsscored</f>
        <v>253</v>
      </c>
    </row>
    <row r="8" spans="1:46" ht="14.95" customHeight="1" thickBot="1" x14ac:dyDescent="0.3">
      <c r="A8" s="489" t="s">
        <v>664</v>
      </c>
      <c r="B8" s="843" t="s">
        <v>198</v>
      </c>
      <c r="C8" s="843" t="s">
        <v>117</v>
      </c>
      <c r="D8" s="843" t="s">
        <v>232</v>
      </c>
      <c r="E8" s="343" t="s">
        <v>3</v>
      </c>
      <c r="F8" s="343">
        <v>0</v>
      </c>
      <c r="G8" s="343">
        <v>73</v>
      </c>
      <c r="H8" s="343">
        <v>0</v>
      </c>
      <c r="I8" s="343">
        <v>0</v>
      </c>
      <c r="J8" s="343">
        <v>0</v>
      </c>
      <c r="K8" s="343">
        <v>0</v>
      </c>
      <c r="L8" s="343">
        <v>0</v>
      </c>
      <c r="M8" s="343">
        <v>0</v>
      </c>
      <c r="N8" s="343">
        <v>0</v>
      </c>
      <c r="O8" s="343">
        <v>0</v>
      </c>
      <c r="P8" s="343">
        <v>1</v>
      </c>
      <c r="Q8" s="343">
        <v>0</v>
      </c>
      <c r="R8" s="343">
        <v>11</v>
      </c>
      <c r="S8" s="463">
        <v>57672</v>
      </c>
      <c r="T8" s="493" t="s">
        <v>784</v>
      </c>
      <c r="U8" s="463" t="s">
        <v>340</v>
      </c>
      <c r="V8" s="463" t="s">
        <v>413</v>
      </c>
      <c r="W8" s="463" t="s">
        <v>278</v>
      </c>
      <c r="X8" s="463" t="s">
        <v>281</v>
      </c>
      <c r="Y8" s="611">
        <v>1</v>
      </c>
      <c r="Z8" s="611">
        <v>0</v>
      </c>
      <c r="AA8" s="611">
        <v>0</v>
      </c>
      <c r="AB8" s="525">
        <v>1</v>
      </c>
      <c r="AC8" s="611">
        <v>0</v>
      </c>
      <c r="AD8" s="611">
        <v>0</v>
      </c>
      <c r="AE8" s="611">
        <v>0</v>
      </c>
      <c r="AF8" s="525">
        <v>0</v>
      </c>
      <c r="AG8" s="611">
        <v>0</v>
      </c>
      <c r="AH8" s="611">
        <v>0</v>
      </c>
      <c r="AI8" s="611">
        <v>0</v>
      </c>
      <c r="AJ8" s="525">
        <v>0</v>
      </c>
      <c r="AK8" s="611">
        <v>1</v>
      </c>
      <c r="AL8" s="611">
        <v>0</v>
      </c>
      <c r="AM8" s="611">
        <v>0</v>
      </c>
      <c r="AN8" s="525">
        <v>1</v>
      </c>
      <c r="AP8" s="318" t="s">
        <v>139</v>
      </c>
      <c r="AQ8" s="319">
        <f>Urualltestshistptscon</f>
        <v>7853</v>
      </c>
      <c r="AS8" s="318" t="s">
        <v>139</v>
      </c>
      <c r="AT8" s="319">
        <f>UruRWChistptscon</f>
        <v>882</v>
      </c>
    </row>
    <row r="9" spans="1:46" ht="14.95" customHeight="1" thickBot="1" x14ac:dyDescent="0.3">
      <c r="A9" s="266"/>
      <c r="B9" s="267"/>
      <c r="C9" s="1158" t="s">
        <v>166</v>
      </c>
      <c r="D9" s="1159"/>
      <c r="E9" s="1160"/>
      <c r="F9" s="776">
        <f t="shared" ref="F9:R9" si="0">SUM(F3:F4)</f>
        <v>52</v>
      </c>
      <c r="G9" s="776">
        <f t="shared" si="0"/>
        <v>43</v>
      </c>
      <c r="H9" s="776">
        <f t="shared" si="0"/>
        <v>0</v>
      </c>
      <c r="I9" s="776">
        <f t="shared" si="0"/>
        <v>0</v>
      </c>
      <c r="J9" s="776">
        <f t="shared" si="0"/>
        <v>8</v>
      </c>
      <c r="K9" s="776">
        <f t="shared" si="0"/>
        <v>5</v>
      </c>
      <c r="L9" s="776">
        <f t="shared" si="0"/>
        <v>0</v>
      </c>
      <c r="M9" s="776">
        <f t="shared" si="0"/>
        <v>0</v>
      </c>
      <c r="N9" s="776">
        <f t="shared" si="0"/>
        <v>1</v>
      </c>
      <c r="O9" s="776">
        <f t="shared" si="0"/>
        <v>0</v>
      </c>
      <c r="P9" s="776">
        <f t="shared" si="0"/>
        <v>0</v>
      </c>
      <c r="Q9" s="776">
        <f t="shared" si="0"/>
        <v>0</v>
      </c>
      <c r="R9" s="776">
        <f t="shared" si="0"/>
        <v>6</v>
      </c>
      <c r="S9" s="687"/>
      <c r="T9" s="687"/>
      <c r="U9" s="687"/>
      <c r="V9" s="687"/>
      <c r="W9" s="688"/>
      <c r="X9" s="689" t="s">
        <v>166</v>
      </c>
      <c r="Y9" s="793">
        <f t="shared" ref="Y9:AN9" si="1">SUM(Y3:Y4)</f>
        <v>2</v>
      </c>
      <c r="Z9" s="793">
        <f t="shared" si="1"/>
        <v>2</v>
      </c>
      <c r="AA9" s="793">
        <f t="shared" si="1"/>
        <v>0</v>
      </c>
      <c r="AB9" s="793">
        <f t="shared" si="1"/>
        <v>0</v>
      </c>
      <c r="AC9" s="794">
        <f t="shared" si="1"/>
        <v>2</v>
      </c>
      <c r="AD9" s="794">
        <f t="shared" si="1"/>
        <v>2</v>
      </c>
      <c r="AE9" s="794">
        <f t="shared" si="1"/>
        <v>0</v>
      </c>
      <c r="AF9" s="794">
        <f t="shared" si="1"/>
        <v>0</v>
      </c>
      <c r="AG9" s="795">
        <f t="shared" si="1"/>
        <v>0</v>
      </c>
      <c r="AH9" s="795">
        <f t="shared" si="1"/>
        <v>0</v>
      </c>
      <c r="AI9" s="795">
        <f t="shared" si="1"/>
        <v>0</v>
      </c>
      <c r="AJ9" s="795">
        <f t="shared" si="1"/>
        <v>0</v>
      </c>
      <c r="AK9" s="793">
        <f t="shared" si="1"/>
        <v>0</v>
      </c>
      <c r="AL9" s="793">
        <f t="shared" si="1"/>
        <v>0</v>
      </c>
      <c r="AM9" s="793">
        <f t="shared" si="1"/>
        <v>0</v>
      </c>
      <c r="AN9" s="793">
        <f t="shared" si="1"/>
        <v>0</v>
      </c>
      <c r="AP9" s="318" t="s">
        <v>129</v>
      </c>
      <c r="AQ9" s="319">
        <f>Urualltestshisttriesscored</f>
        <v>835</v>
      </c>
      <c r="AS9" s="318" t="s">
        <v>129</v>
      </c>
      <c r="AT9" s="319">
        <f>UruRWChisttriesscored</f>
        <v>27</v>
      </c>
    </row>
    <row r="10" spans="1:46" ht="14.95" thickBot="1" x14ac:dyDescent="0.3">
      <c r="A10" s="266"/>
      <c r="B10" s="267"/>
      <c r="C10" s="940" t="s">
        <v>625</v>
      </c>
      <c r="D10" s="941"/>
      <c r="E10" s="942"/>
      <c r="F10" s="708">
        <f t="shared" ref="F10:R10" si="2">SUM(F5:F8)</f>
        <v>65</v>
      </c>
      <c r="G10" s="708">
        <f t="shared" si="2"/>
        <v>164</v>
      </c>
      <c r="H10" s="708">
        <f t="shared" si="2"/>
        <v>1</v>
      </c>
      <c r="I10" s="708">
        <f t="shared" si="2"/>
        <v>0</v>
      </c>
      <c r="J10" s="708">
        <f t="shared" si="2"/>
        <v>9</v>
      </c>
      <c r="K10" s="708">
        <f t="shared" si="2"/>
        <v>6</v>
      </c>
      <c r="L10" s="708">
        <f t="shared" si="2"/>
        <v>1</v>
      </c>
      <c r="M10" s="708">
        <f t="shared" si="2"/>
        <v>1</v>
      </c>
      <c r="N10" s="708">
        <f t="shared" si="2"/>
        <v>2</v>
      </c>
      <c r="O10" s="708">
        <f t="shared" si="2"/>
        <v>0</v>
      </c>
      <c r="P10" s="708">
        <f t="shared" si="2"/>
        <v>2</v>
      </c>
      <c r="Q10" s="708">
        <f t="shared" si="2"/>
        <v>0</v>
      </c>
      <c r="R10" s="708">
        <f t="shared" si="2"/>
        <v>21</v>
      </c>
      <c r="S10" s="709"/>
      <c r="T10" s="709"/>
      <c r="U10" s="709"/>
      <c r="V10" s="709"/>
      <c r="W10" s="710"/>
      <c r="X10" s="711" t="s">
        <v>625</v>
      </c>
      <c r="Y10" s="712">
        <f t="shared" ref="Y10:AN10" si="3">SUM(Y5:Y8)</f>
        <v>4</v>
      </c>
      <c r="Z10" s="708">
        <f t="shared" si="3"/>
        <v>1</v>
      </c>
      <c r="AA10" s="708">
        <f t="shared" si="3"/>
        <v>0</v>
      </c>
      <c r="AB10" s="708">
        <f t="shared" si="3"/>
        <v>3</v>
      </c>
      <c r="AC10" s="713">
        <f t="shared" si="3"/>
        <v>0</v>
      </c>
      <c r="AD10" s="713">
        <f t="shared" si="3"/>
        <v>0</v>
      </c>
      <c r="AE10" s="713">
        <f t="shared" si="3"/>
        <v>0</v>
      </c>
      <c r="AF10" s="713">
        <f t="shared" si="3"/>
        <v>0</v>
      </c>
      <c r="AG10" s="714">
        <f t="shared" si="3"/>
        <v>1</v>
      </c>
      <c r="AH10" s="714">
        <f t="shared" si="3"/>
        <v>0</v>
      </c>
      <c r="AI10" s="714">
        <f t="shared" si="3"/>
        <v>0</v>
      </c>
      <c r="AJ10" s="714">
        <f t="shared" si="3"/>
        <v>1</v>
      </c>
      <c r="AK10" s="708">
        <f t="shared" si="3"/>
        <v>3</v>
      </c>
      <c r="AL10" s="708">
        <f t="shared" si="3"/>
        <v>1</v>
      </c>
      <c r="AM10" s="708">
        <f t="shared" si="3"/>
        <v>0</v>
      </c>
      <c r="AN10" s="708">
        <f t="shared" si="3"/>
        <v>2</v>
      </c>
    </row>
    <row r="11" spans="1:46" ht="14.95" thickBot="1" x14ac:dyDescent="0.3">
      <c r="A11" s="266"/>
      <c r="B11" s="267"/>
      <c r="C11" s="940" t="s">
        <v>626</v>
      </c>
      <c r="D11" s="943"/>
      <c r="E11" s="944"/>
      <c r="F11" s="708">
        <v>0</v>
      </c>
      <c r="G11" s="708">
        <v>0</v>
      </c>
      <c r="H11" s="708">
        <v>0</v>
      </c>
      <c r="I11" s="708">
        <v>0</v>
      </c>
      <c r="J11" s="708">
        <v>0</v>
      </c>
      <c r="K11" s="708">
        <v>0</v>
      </c>
      <c r="L11" s="708">
        <v>0</v>
      </c>
      <c r="M11" s="708">
        <v>0</v>
      </c>
      <c r="N11" s="708">
        <v>0</v>
      </c>
      <c r="O11" s="708">
        <v>0</v>
      </c>
      <c r="P11" s="708">
        <v>0</v>
      </c>
      <c r="Q11" s="708">
        <v>0</v>
      </c>
      <c r="R11" s="708">
        <v>0</v>
      </c>
      <c r="S11" s="709"/>
      <c r="T11" s="709"/>
      <c r="U11" s="709"/>
      <c r="V11" s="709"/>
      <c r="W11" s="710"/>
      <c r="X11" s="711" t="s">
        <v>626</v>
      </c>
      <c r="Y11" s="712">
        <v>0</v>
      </c>
      <c r="Z11" s="708">
        <v>0</v>
      </c>
      <c r="AA11" s="708">
        <v>0</v>
      </c>
      <c r="AB11" s="708">
        <v>0</v>
      </c>
      <c r="AC11" s="713">
        <v>0</v>
      </c>
      <c r="AD11" s="713">
        <v>0</v>
      </c>
      <c r="AE11" s="713">
        <v>0</v>
      </c>
      <c r="AF11" s="713">
        <v>0</v>
      </c>
      <c r="AG11" s="714">
        <v>0</v>
      </c>
      <c r="AH11" s="714">
        <v>0</v>
      </c>
      <c r="AI11" s="714">
        <v>0</v>
      </c>
      <c r="AJ11" s="714">
        <v>0</v>
      </c>
      <c r="AK11" s="708">
        <v>0</v>
      </c>
      <c r="AL11" s="708">
        <v>0</v>
      </c>
      <c r="AM11" s="708">
        <v>0</v>
      </c>
      <c r="AN11" s="708">
        <v>0</v>
      </c>
    </row>
    <row r="12" spans="1:46" ht="14.95" thickBot="1" x14ac:dyDescent="0.3">
      <c r="A12" s="266"/>
      <c r="B12" s="267"/>
      <c r="C12" s="940" t="s">
        <v>627</v>
      </c>
      <c r="D12" s="943"/>
      <c r="E12" s="944"/>
      <c r="F12" s="708">
        <f>SUM(F10+F11)</f>
        <v>65</v>
      </c>
      <c r="G12" s="708">
        <f t="shared" ref="G12:R12" si="4">SUM(G10+G11)</f>
        <v>164</v>
      </c>
      <c r="H12" s="708">
        <f t="shared" si="4"/>
        <v>1</v>
      </c>
      <c r="I12" s="708">
        <f t="shared" si="4"/>
        <v>0</v>
      </c>
      <c r="J12" s="708">
        <f t="shared" si="4"/>
        <v>9</v>
      </c>
      <c r="K12" s="708">
        <f t="shared" si="4"/>
        <v>6</v>
      </c>
      <c r="L12" s="708">
        <f t="shared" si="4"/>
        <v>1</v>
      </c>
      <c r="M12" s="708">
        <f t="shared" si="4"/>
        <v>1</v>
      </c>
      <c r="N12" s="708">
        <f t="shared" si="4"/>
        <v>2</v>
      </c>
      <c r="O12" s="708">
        <f t="shared" si="4"/>
        <v>0</v>
      </c>
      <c r="P12" s="708">
        <f t="shared" si="4"/>
        <v>2</v>
      </c>
      <c r="Q12" s="708">
        <f t="shared" si="4"/>
        <v>0</v>
      </c>
      <c r="R12" s="708">
        <f t="shared" si="4"/>
        <v>21</v>
      </c>
      <c r="S12" s="709"/>
      <c r="T12" s="709"/>
      <c r="U12" s="709"/>
      <c r="V12" s="709"/>
      <c r="W12" s="710"/>
      <c r="X12" s="711" t="s">
        <v>627</v>
      </c>
      <c r="Y12" s="712">
        <f t="shared" ref="Y12:AN12" si="5">SUM(Y10+Y11)</f>
        <v>4</v>
      </c>
      <c r="Z12" s="708">
        <f t="shared" si="5"/>
        <v>1</v>
      </c>
      <c r="AA12" s="708">
        <f t="shared" si="5"/>
        <v>0</v>
      </c>
      <c r="AB12" s="708">
        <f t="shared" si="5"/>
        <v>3</v>
      </c>
      <c r="AC12" s="713">
        <f t="shared" si="5"/>
        <v>0</v>
      </c>
      <c r="AD12" s="713">
        <f t="shared" si="5"/>
        <v>0</v>
      </c>
      <c r="AE12" s="713">
        <f t="shared" si="5"/>
        <v>0</v>
      </c>
      <c r="AF12" s="713">
        <f t="shared" si="5"/>
        <v>0</v>
      </c>
      <c r="AG12" s="714">
        <f t="shared" si="5"/>
        <v>1</v>
      </c>
      <c r="AH12" s="714">
        <f t="shared" si="5"/>
        <v>0</v>
      </c>
      <c r="AI12" s="714">
        <f t="shared" si="5"/>
        <v>0</v>
      </c>
      <c r="AJ12" s="714">
        <f t="shared" si="5"/>
        <v>1</v>
      </c>
      <c r="AK12" s="708">
        <f t="shared" si="5"/>
        <v>3</v>
      </c>
      <c r="AL12" s="708">
        <f t="shared" si="5"/>
        <v>1</v>
      </c>
      <c r="AM12" s="708">
        <f t="shared" si="5"/>
        <v>0</v>
      </c>
      <c r="AN12" s="708">
        <f t="shared" si="5"/>
        <v>2</v>
      </c>
    </row>
    <row r="13" spans="1:46" ht="14.95" thickBot="1" x14ac:dyDescent="0.3">
      <c r="A13" s="266"/>
      <c r="B13" s="267"/>
      <c r="C13" s="946" t="s">
        <v>107</v>
      </c>
      <c r="D13" s="947"/>
      <c r="E13" s="948"/>
      <c r="F13" s="343">
        <f t="shared" ref="F13:R13" si="6">SUM(F3:F8)</f>
        <v>117</v>
      </c>
      <c r="G13" s="343">
        <f t="shared" si="6"/>
        <v>207</v>
      </c>
      <c r="H13" s="343">
        <f t="shared" si="6"/>
        <v>1</v>
      </c>
      <c r="I13" s="343">
        <f t="shared" si="6"/>
        <v>0</v>
      </c>
      <c r="J13" s="343">
        <f t="shared" si="6"/>
        <v>17</v>
      </c>
      <c r="K13" s="343">
        <f t="shared" si="6"/>
        <v>11</v>
      </c>
      <c r="L13" s="343">
        <f t="shared" si="6"/>
        <v>1</v>
      </c>
      <c r="M13" s="343">
        <f t="shared" si="6"/>
        <v>1</v>
      </c>
      <c r="N13" s="343">
        <f t="shared" si="6"/>
        <v>3</v>
      </c>
      <c r="O13" s="343">
        <f t="shared" si="6"/>
        <v>0</v>
      </c>
      <c r="P13" s="343">
        <f t="shared" si="6"/>
        <v>2</v>
      </c>
      <c r="Q13" s="343">
        <f t="shared" si="6"/>
        <v>0</v>
      </c>
      <c r="R13" s="343">
        <f t="shared" si="6"/>
        <v>27</v>
      </c>
      <c r="S13" s="340"/>
      <c r="T13" s="340"/>
      <c r="U13" s="340"/>
      <c r="V13" s="340"/>
      <c r="W13" s="13"/>
      <c r="X13" s="364" t="s">
        <v>107</v>
      </c>
      <c r="Y13" s="343">
        <f t="shared" ref="Y13:AN13" si="7">SUM(Y3:Y8)</f>
        <v>6</v>
      </c>
      <c r="Z13" s="343">
        <f t="shared" si="7"/>
        <v>3</v>
      </c>
      <c r="AA13" s="343">
        <f t="shared" si="7"/>
        <v>0</v>
      </c>
      <c r="AB13" s="343">
        <f t="shared" si="7"/>
        <v>3</v>
      </c>
      <c r="AC13" s="341">
        <f t="shared" si="7"/>
        <v>2</v>
      </c>
      <c r="AD13" s="341">
        <f t="shared" si="7"/>
        <v>2</v>
      </c>
      <c r="AE13" s="341">
        <f t="shared" si="7"/>
        <v>0</v>
      </c>
      <c r="AF13" s="341">
        <f t="shared" si="7"/>
        <v>0</v>
      </c>
      <c r="AG13" s="342">
        <f t="shared" si="7"/>
        <v>1</v>
      </c>
      <c r="AH13" s="342">
        <f t="shared" si="7"/>
        <v>0</v>
      </c>
      <c r="AI13" s="342">
        <f t="shared" si="7"/>
        <v>0</v>
      </c>
      <c r="AJ13" s="342">
        <f t="shared" si="7"/>
        <v>1</v>
      </c>
      <c r="AK13" s="343">
        <f t="shared" si="7"/>
        <v>3</v>
      </c>
      <c r="AL13" s="343">
        <f t="shared" si="7"/>
        <v>1</v>
      </c>
      <c r="AM13" s="343">
        <f t="shared" si="7"/>
        <v>0</v>
      </c>
      <c r="AN13" s="343">
        <f t="shared" si="7"/>
        <v>2</v>
      </c>
    </row>
    <row r="14" spans="1:46" x14ac:dyDescent="0.25">
      <c r="A14" s="965"/>
      <c r="B14" s="965"/>
      <c r="C14" s="965"/>
      <c r="D14" s="965"/>
      <c r="E14" s="965"/>
      <c r="F14" s="965"/>
      <c r="G14" s="965"/>
      <c r="H14" s="965"/>
      <c r="I14" s="965"/>
      <c r="J14" s="965"/>
      <c r="K14" s="965"/>
      <c r="L14" s="965"/>
      <c r="M14" s="965"/>
      <c r="N14" s="965"/>
      <c r="O14" s="965"/>
      <c r="P14" s="965"/>
      <c r="Q14" s="965"/>
      <c r="R14" s="965"/>
      <c r="S14" s="965"/>
      <c r="T14" s="965"/>
      <c r="U14" s="965"/>
      <c r="V14" s="965"/>
      <c r="W14" s="965"/>
      <c r="X14" s="965"/>
      <c r="Y14" s="965"/>
      <c r="Z14" s="965"/>
      <c r="AA14" s="965"/>
      <c r="AB14" s="965"/>
      <c r="AC14" s="965"/>
      <c r="AD14" s="965"/>
      <c r="AE14" s="965"/>
      <c r="AF14" s="965"/>
      <c r="AG14" s="965"/>
      <c r="AH14" s="965"/>
      <c r="AI14" s="965"/>
      <c r="AJ14" s="965"/>
      <c r="AK14" s="965"/>
      <c r="AL14" s="965"/>
      <c r="AM14" s="965"/>
      <c r="AN14" s="965"/>
    </row>
    <row r="15" spans="1:46" x14ac:dyDescent="0.25">
      <c r="A15" s="496" t="s">
        <v>685</v>
      </c>
      <c r="F15" s="14"/>
      <c r="G15" s="14"/>
      <c r="H15" s="13"/>
      <c r="I15" s="14"/>
      <c r="J15" s="14"/>
      <c r="K15" s="14"/>
      <c r="L15" s="14"/>
      <c r="M15" s="14"/>
      <c r="N15" s="14"/>
      <c r="O15" s="14"/>
      <c r="P15" s="14"/>
      <c r="Q15" s="14"/>
      <c r="R15" s="14"/>
    </row>
    <row r="16" spans="1:46" x14ac:dyDescent="0.25">
      <c r="A16" s="496" t="s">
        <v>241</v>
      </c>
      <c r="F16" s="14"/>
      <c r="G16" s="14"/>
      <c r="H16" s="13"/>
      <c r="I16" s="14"/>
      <c r="J16" s="14"/>
      <c r="K16" s="14"/>
      <c r="L16" s="14"/>
      <c r="M16" s="14"/>
      <c r="N16" s="14"/>
      <c r="O16" s="14"/>
      <c r="P16" s="14"/>
      <c r="Q16" s="14"/>
      <c r="R16" s="14"/>
    </row>
    <row r="17" spans="1:18" x14ac:dyDescent="0.25">
      <c r="A17" s="496" t="s">
        <v>657</v>
      </c>
      <c r="F17" s="14"/>
      <c r="G17" s="14"/>
      <c r="H17" s="13"/>
      <c r="I17" s="14"/>
      <c r="J17" s="14"/>
      <c r="K17" s="14"/>
      <c r="L17" s="14"/>
      <c r="M17" s="14"/>
      <c r="N17" s="14"/>
      <c r="O17" s="14"/>
      <c r="P17" s="14"/>
      <c r="Q17" s="14"/>
      <c r="R17" s="14"/>
    </row>
    <row r="18" spans="1:18" x14ac:dyDescent="0.25">
      <c r="A18" s="496" t="s">
        <v>898</v>
      </c>
      <c r="F18" s="14"/>
      <c r="G18" s="14"/>
      <c r="H18" s="13"/>
      <c r="I18" s="14"/>
      <c r="J18" s="14"/>
      <c r="K18" s="14"/>
      <c r="L18" s="14"/>
      <c r="M18" s="14"/>
      <c r="N18" s="14"/>
      <c r="O18" s="14"/>
      <c r="P18" s="14"/>
      <c r="Q18" s="14"/>
      <c r="R18" s="14"/>
    </row>
    <row r="19" spans="1:18" x14ac:dyDescent="0.25">
      <c r="A19" s="575"/>
      <c r="B19" t="s">
        <v>44</v>
      </c>
    </row>
    <row r="20" spans="1:18" x14ac:dyDescent="0.25">
      <c r="A20" s="576"/>
      <c r="B20" t="s">
        <v>42</v>
      </c>
    </row>
    <row r="21" spans="1:18" x14ac:dyDescent="0.25">
      <c r="A21" s="577"/>
      <c r="B21" t="s">
        <v>43</v>
      </c>
    </row>
    <row r="22" spans="1:18" x14ac:dyDescent="0.25">
      <c r="A22" s="15" t="s">
        <v>28</v>
      </c>
    </row>
  </sheetData>
  <mergeCells count="16">
    <mergeCell ref="A14:AN14"/>
    <mergeCell ref="C9:E9"/>
    <mergeCell ref="C13:E13"/>
    <mergeCell ref="A1:C1"/>
    <mergeCell ref="E1:G1"/>
    <mergeCell ref="H1:I1"/>
    <mergeCell ref="J1:M1"/>
    <mergeCell ref="N1:O1"/>
    <mergeCell ref="Y1:AB1"/>
    <mergeCell ref="AC1:AF1"/>
    <mergeCell ref="AG1:AJ1"/>
    <mergeCell ref="AK1:AN1"/>
    <mergeCell ref="P1:R1"/>
    <mergeCell ref="C10:E10"/>
    <mergeCell ref="C11:E11"/>
    <mergeCell ref="C12:E12"/>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T34"/>
  <sheetViews>
    <sheetView workbookViewId="0">
      <selection activeCell="W14" sqref="W14"/>
    </sheetView>
  </sheetViews>
  <sheetFormatPr defaultRowHeight="14.95" customHeight="1" x14ac:dyDescent="0.25"/>
  <cols>
    <col min="1" max="1" width="7.5" customWidth="1"/>
    <col min="2" max="2" width="5.125" bestFit="1" customWidth="1"/>
    <col min="3" max="3" width="11.5" customWidth="1"/>
    <col min="4" max="4" width="4.5" bestFit="1" customWidth="1"/>
    <col min="5" max="5" width="3.625" customWidth="1"/>
    <col min="6" max="7" width="4" bestFit="1" customWidth="1"/>
    <col min="8" max="18" width="3.625" customWidth="1"/>
    <col min="19" max="20" width="6.375" customWidth="1"/>
    <col min="21" max="21" width="30.5" customWidth="1"/>
    <col min="22" max="22" width="27.25" bestFit="1" customWidth="1"/>
    <col min="23" max="23" width="22.125" bestFit="1" customWidth="1"/>
    <col min="24" max="24" width="27.5" customWidth="1"/>
    <col min="25" max="28" width="4.375" customWidth="1"/>
    <col min="29" max="40" width="3.625" customWidth="1"/>
    <col min="42" max="42" width="13.125" bestFit="1" customWidth="1"/>
    <col min="45" max="45" width="13.125" bestFit="1" customWidth="1"/>
  </cols>
  <sheetData>
    <row r="1" spans="1:46" ht="14.95" customHeight="1" thickBot="1" x14ac:dyDescent="0.3">
      <c r="A1" s="1136" t="s">
        <v>220</v>
      </c>
      <c r="B1" s="1137"/>
      <c r="C1" s="1137"/>
      <c r="D1" s="150"/>
      <c r="E1" s="1138" t="s">
        <v>24</v>
      </c>
      <c r="F1" s="1139"/>
      <c r="G1" s="1140"/>
      <c r="H1" s="1138" t="s">
        <v>23</v>
      </c>
      <c r="I1" s="1140"/>
      <c r="J1" s="1141" t="s">
        <v>6</v>
      </c>
      <c r="K1" s="1142"/>
      <c r="L1" s="1142"/>
      <c r="M1" s="1143"/>
      <c r="N1" s="1141" t="s">
        <v>7</v>
      </c>
      <c r="O1" s="1143"/>
      <c r="P1" s="1141" t="s">
        <v>25</v>
      </c>
      <c r="Q1" s="1142"/>
      <c r="R1" s="1143"/>
      <c r="S1" s="351" t="s">
        <v>8</v>
      </c>
      <c r="T1" s="351" t="s">
        <v>9</v>
      </c>
      <c r="U1" s="1" t="s">
        <v>10</v>
      </c>
      <c r="V1" s="6" t="s">
        <v>11</v>
      </c>
      <c r="W1" s="52" t="s">
        <v>26</v>
      </c>
      <c r="X1" s="151" t="s">
        <v>27</v>
      </c>
      <c r="Y1" s="1144" t="s">
        <v>20</v>
      </c>
      <c r="Z1" s="963"/>
      <c r="AA1" s="963"/>
      <c r="AB1" s="964"/>
      <c r="AC1" s="1144" t="s">
        <v>61</v>
      </c>
      <c r="AD1" s="963"/>
      <c r="AE1" s="963"/>
      <c r="AF1" s="964"/>
      <c r="AG1" s="1144" t="s">
        <v>62</v>
      </c>
      <c r="AH1" s="963"/>
      <c r="AI1" s="963"/>
      <c r="AJ1" s="964"/>
      <c r="AK1" s="1144" t="s">
        <v>63</v>
      </c>
      <c r="AL1" s="963"/>
      <c r="AM1" s="963"/>
      <c r="AN1" s="964"/>
      <c r="AP1" s="338" t="s">
        <v>161</v>
      </c>
      <c r="AQ1" s="322"/>
      <c r="AR1" s="322"/>
      <c r="AS1" s="338" t="s">
        <v>161</v>
      </c>
    </row>
    <row r="2" spans="1:46" ht="14.95" customHeight="1" thickBot="1" x14ac:dyDescent="0.3">
      <c r="A2" s="7" t="s">
        <v>19</v>
      </c>
      <c r="B2" s="8" t="s">
        <v>18</v>
      </c>
      <c r="C2" s="9" t="s">
        <v>850</v>
      </c>
      <c r="D2" s="10" t="s">
        <v>41</v>
      </c>
      <c r="E2" s="10" t="s">
        <v>16</v>
      </c>
      <c r="F2" s="10" t="s">
        <v>4</v>
      </c>
      <c r="G2" s="10" t="s">
        <v>5</v>
      </c>
      <c r="H2" s="11" t="s">
        <v>12</v>
      </c>
      <c r="I2" s="11" t="s">
        <v>3</v>
      </c>
      <c r="J2" s="11" t="s">
        <v>12</v>
      </c>
      <c r="K2" s="11" t="s">
        <v>13</v>
      </c>
      <c r="L2" s="11" t="s">
        <v>2</v>
      </c>
      <c r="M2" s="11" t="s">
        <v>14</v>
      </c>
      <c r="N2" s="11" t="s">
        <v>15</v>
      </c>
      <c r="O2" s="11" t="s">
        <v>16</v>
      </c>
      <c r="P2" s="11" t="s">
        <v>21</v>
      </c>
      <c r="Q2" s="11" t="s">
        <v>22</v>
      </c>
      <c r="R2" s="11" t="s">
        <v>12</v>
      </c>
      <c r="S2" s="2"/>
      <c r="T2" s="3"/>
      <c r="U2" s="4"/>
      <c r="V2" s="2"/>
      <c r="W2" s="53"/>
      <c r="X2" s="5"/>
      <c r="Y2" s="295" t="s">
        <v>0</v>
      </c>
      <c r="Z2" s="295" t="s">
        <v>1</v>
      </c>
      <c r="AA2" s="295" t="s">
        <v>2</v>
      </c>
      <c r="AB2" s="295" t="s">
        <v>3</v>
      </c>
      <c r="AC2" s="295" t="s">
        <v>0</v>
      </c>
      <c r="AD2" s="295" t="s">
        <v>1</v>
      </c>
      <c r="AE2" s="295" t="s">
        <v>2</v>
      </c>
      <c r="AF2" s="295" t="s">
        <v>3</v>
      </c>
      <c r="AG2" s="295" t="s">
        <v>0</v>
      </c>
      <c r="AH2" s="295" t="s">
        <v>1</v>
      </c>
      <c r="AI2" s="295" t="s">
        <v>2</v>
      </c>
      <c r="AJ2" s="295" t="s">
        <v>3</v>
      </c>
      <c r="AK2" s="295" t="s">
        <v>0</v>
      </c>
      <c r="AL2" s="295" t="s">
        <v>1</v>
      </c>
      <c r="AM2" s="295" t="s">
        <v>2</v>
      </c>
      <c r="AN2" s="295" t="s">
        <v>3</v>
      </c>
      <c r="AP2" s="305" t="s">
        <v>107</v>
      </c>
      <c r="AQ2" s="189"/>
      <c r="AS2" s="336" t="s">
        <v>128</v>
      </c>
      <c r="AT2" s="189"/>
    </row>
    <row r="3" spans="1:46" ht="14.95" customHeight="1" thickBot="1" x14ac:dyDescent="0.3">
      <c r="A3" s="423" t="s">
        <v>317</v>
      </c>
      <c r="B3" s="424" t="s">
        <v>46</v>
      </c>
      <c r="C3" s="424" t="s">
        <v>39</v>
      </c>
      <c r="D3" s="424" t="s">
        <v>111</v>
      </c>
      <c r="E3" s="425" t="s">
        <v>3</v>
      </c>
      <c r="F3" s="425">
        <v>10</v>
      </c>
      <c r="G3" s="425">
        <v>34</v>
      </c>
      <c r="H3" s="425">
        <v>0</v>
      </c>
      <c r="I3" s="425">
        <v>0</v>
      </c>
      <c r="J3" s="425">
        <v>1</v>
      </c>
      <c r="K3" s="425">
        <v>1</v>
      </c>
      <c r="L3" s="425">
        <v>0</v>
      </c>
      <c r="M3" s="425">
        <v>1</v>
      </c>
      <c r="N3" s="425">
        <v>1</v>
      </c>
      <c r="O3" s="425">
        <v>0</v>
      </c>
      <c r="P3" s="425">
        <v>1</v>
      </c>
      <c r="Q3" s="425">
        <v>0</v>
      </c>
      <c r="R3" s="425">
        <v>4</v>
      </c>
      <c r="S3" s="426">
        <v>74500</v>
      </c>
      <c r="T3" s="427" t="s">
        <v>262</v>
      </c>
      <c r="U3" s="428" t="s">
        <v>263</v>
      </c>
      <c r="V3" s="426" t="s">
        <v>264</v>
      </c>
      <c r="W3" s="429" t="s">
        <v>265</v>
      </c>
      <c r="X3" s="430" t="s">
        <v>266</v>
      </c>
      <c r="Y3" s="431">
        <v>1</v>
      </c>
      <c r="Z3" s="431">
        <v>0</v>
      </c>
      <c r="AA3" s="431">
        <v>0</v>
      </c>
      <c r="AB3" s="432">
        <v>1</v>
      </c>
      <c r="AC3" s="431">
        <v>1</v>
      </c>
      <c r="AD3" s="431">
        <v>0</v>
      </c>
      <c r="AE3" s="431">
        <v>0</v>
      </c>
      <c r="AF3" s="432">
        <v>1</v>
      </c>
      <c r="AG3" s="431">
        <v>0</v>
      </c>
      <c r="AH3" s="431">
        <v>0</v>
      </c>
      <c r="AI3" s="431">
        <v>0</v>
      </c>
      <c r="AJ3" s="432">
        <v>0</v>
      </c>
      <c r="AK3" s="431">
        <v>0</v>
      </c>
      <c r="AL3" s="431">
        <v>0</v>
      </c>
      <c r="AM3" s="431">
        <v>0</v>
      </c>
      <c r="AN3" s="432">
        <v>0</v>
      </c>
      <c r="AP3" s="316" t="s">
        <v>130</v>
      </c>
      <c r="AQ3" s="317">
        <f>Walesalltestshistplayed</f>
        <v>780</v>
      </c>
      <c r="AS3" s="316" t="s">
        <v>130</v>
      </c>
      <c r="AT3" s="317">
        <f>WalesRWChistplayed</f>
        <v>49</v>
      </c>
    </row>
    <row r="4" spans="1:46" ht="14.95" customHeight="1" thickBot="1" x14ac:dyDescent="0.3">
      <c r="A4" s="396" t="s">
        <v>356</v>
      </c>
      <c r="B4" s="398" t="s">
        <v>46</v>
      </c>
      <c r="C4" s="398" t="s">
        <v>35</v>
      </c>
      <c r="D4" s="398" t="s">
        <v>116</v>
      </c>
      <c r="E4" s="399" t="s">
        <v>3</v>
      </c>
      <c r="F4" s="399">
        <v>7</v>
      </c>
      <c r="G4" s="399">
        <v>35</v>
      </c>
      <c r="H4" s="399">
        <v>0</v>
      </c>
      <c r="I4" s="399">
        <v>0</v>
      </c>
      <c r="J4" s="399">
        <v>1</v>
      </c>
      <c r="K4" s="399">
        <v>1</v>
      </c>
      <c r="L4" s="399">
        <v>0</v>
      </c>
      <c r="M4" s="399">
        <v>0</v>
      </c>
      <c r="N4" s="399">
        <v>2</v>
      </c>
      <c r="O4" s="399">
        <v>0</v>
      </c>
      <c r="P4" s="399">
        <v>1</v>
      </c>
      <c r="Q4" s="399">
        <v>0</v>
      </c>
      <c r="R4" s="399">
        <v>5</v>
      </c>
      <c r="S4" s="406">
        <v>67144</v>
      </c>
      <c r="T4" s="410" t="s">
        <v>350</v>
      </c>
      <c r="U4" s="408" t="s">
        <v>346</v>
      </c>
      <c r="V4" s="406" t="s">
        <v>347</v>
      </c>
      <c r="W4" s="401" t="s">
        <v>348</v>
      </c>
      <c r="X4" s="409" t="s">
        <v>349</v>
      </c>
      <c r="Y4" s="404">
        <v>1</v>
      </c>
      <c r="Z4" s="404">
        <v>0</v>
      </c>
      <c r="AA4" s="404">
        <v>0</v>
      </c>
      <c r="AB4" s="405">
        <v>1</v>
      </c>
      <c r="AC4" s="404">
        <v>0</v>
      </c>
      <c r="AD4" s="404">
        <v>0</v>
      </c>
      <c r="AE4" s="404">
        <v>0</v>
      </c>
      <c r="AF4" s="405">
        <v>0</v>
      </c>
      <c r="AG4" s="404">
        <v>1</v>
      </c>
      <c r="AH4" s="404">
        <v>0</v>
      </c>
      <c r="AI4" s="404">
        <v>0</v>
      </c>
      <c r="AJ4" s="405">
        <v>1</v>
      </c>
      <c r="AK4" s="404">
        <v>0</v>
      </c>
      <c r="AL4" s="404">
        <v>0</v>
      </c>
      <c r="AM4" s="404">
        <v>0</v>
      </c>
      <c r="AN4" s="405">
        <v>0</v>
      </c>
      <c r="AP4" s="318" t="s">
        <v>131</v>
      </c>
      <c r="AQ4" s="319">
        <f>Walesalltestshistwon</f>
        <v>404</v>
      </c>
      <c r="AS4" s="318" t="s">
        <v>131</v>
      </c>
      <c r="AT4" s="319">
        <f>WalesRWChistwon</f>
        <v>30</v>
      </c>
    </row>
    <row r="5" spans="1:46" ht="14.95" customHeight="1" thickBot="1" x14ac:dyDescent="0.3">
      <c r="A5" s="423" t="s">
        <v>319</v>
      </c>
      <c r="B5" s="424" t="s">
        <v>46</v>
      </c>
      <c r="C5" s="424" t="s">
        <v>30</v>
      </c>
      <c r="D5" s="424" t="s">
        <v>111</v>
      </c>
      <c r="E5" s="425" t="s">
        <v>3</v>
      </c>
      <c r="F5" s="425">
        <v>10</v>
      </c>
      <c r="G5" s="425">
        <v>20</v>
      </c>
      <c r="H5" s="425">
        <v>0</v>
      </c>
      <c r="I5" s="425">
        <v>0</v>
      </c>
      <c r="J5" s="425">
        <v>1</v>
      </c>
      <c r="K5" s="425">
        <v>1</v>
      </c>
      <c r="L5" s="425">
        <v>0</v>
      </c>
      <c r="M5" s="425">
        <v>1</v>
      </c>
      <c r="N5" s="425">
        <v>0</v>
      </c>
      <c r="O5" s="425">
        <v>0</v>
      </c>
      <c r="P5" s="425">
        <v>0</v>
      </c>
      <c r="Q5" s="425">
        <v>0</v>
      </c>
      <c r="R5" s="425">
        <v>3</v>
      </c>
      <c r="S5" s="426">
        <v>74007</v>
      </c>
      <c r="T5" s="427" t="s">
        <v>416</v>
      </c>
      <c r="U5" s="428" t="s">
        <v>364</v>
      </c>
      <c r="V5" s="426" t="s">
        <v>347</v>
      </c>
      <c r="W5" s="429" t="s">
        <v>346</v>
      </c>
      <c r="X5" s="430" t="s">
        <v>349</v>
      </c>
      <c r="Y5" s="431">
        <v>1</v>
      </c>
      <c r="Z5" s="431">
        <v>0</v>
      </c>
      <c r="AA5" s="431">
        <v>0</v>
      </c>
      <c r="AB5" s="432">
        <v>1</v>
      </c>
      <c r="AC5" s="431">
        <v>1</v>
      </c>
      <c r="AD5" s="431">
        <v>0</v>
      </c>
      <c r="AE5" s="431">
        <v>0</v>
      </c>
      <c r="AF5" s="432">
        <v>1</v>
      </c>
      <c r="AG5" s="431">
        <v>0</v>
      </c>
      <c r="AH5" s="431">
        <v>0</v>
      </c>
      <c r="AI5" s="431">
        <v>0</v>
      </c>
      <c r="AJ5" s="432">
        <v>0</v>
      </c>
      <c r="AK5" s="431">
        <v>0</v>
      </c>
      <c r="AL5" s="431">
        <v>0</v>
      </c>
      <c r="AM5" s="431">
        <v>0</v>
      </c>
      <c r="AN5" s="432">
        <v>0</v>
      </c>
      <c r="AP5" s="318" t="s">
        <v>137</v>
      </c>
      <c r="AQ5" s="319">
        <f>Walesalltestshistdrawn</f>
        <v>30</v>
      </c>
      <c r="AS5" s="318" t="s">
        <v>137</v>
      </c>
      <c r="AT5" s="319">
        <f>WalesRWChistdrawn</f>
        <v>0</v>
      </c>
    </row>
    <row r="6" spans="1:46" ht="14.95" customHeight="1" thickBot="1" x14ac:dyDescent="0.35">
      <c r="A6" s="396" t="s">
        <v>320</v>
      </c>
      <c r="B6" s="398" t="s">
        <v>46</v>
      </c>
      <c r="C6" s="398" t="s">
        <v>33</v>
      </c>
      <c r="D6" s="398" t="s">
        <v>113</v>
      </c>
      <c r="E6" s="399" t="s">
        <v>1</v>
      </c>
      <c r="F6" s="399">
        <v>29</v>
      </c>
      <c r="G6" s="399">
        <v>17</v>
      </c>
      <c r="H6" s="399">
        <v>1</v>
      </c>
      <c r="I6" s="399">
        <v>0</v>
      </c>
      <c r="J6" s="399">
        <v>4</v>
      </c>
      <c r="K6" s="399">
        <v>2</v>
      </c>
      <c r="L6" s="399">
        <v>0</v>
      </c>
      <c r="M6" s="399">
        <v>1</v>
      </c>
      <c r="N6" s="399">
        <v>0</v>
      </c>
      <c r="O6" s="399">
        <v>0</v>
      </c>
      <c r="P6" s="399">
        <v>0</v>
      </c>
      <c r="Q6" s="399">
        <v>0</v>
      </c>
      <c r="R6" s="399">
        <v>2</v>
      </c>
      <c r="S6" s="406">
        <v>61536</v>
      </c>
      <c r="T6" s="407" t="s">
        <v>394</v>
      </c>
      <c r="U6" s="408" t="s">
        <v>430</v>
      </c>
      <c r="V6" s="406" t="s">
        <v>431</v>
      </c>
      <c r="W6" s="401" t="s">
        <v>263</v>
      </c>
      <c r="X6" s="409" t="s">
        <v>349</v>
      </c>
      <c r="Y6" s="404">
        <v>1</v>
      </c>
      <c r="Z6" s="404">
        <v>1</v>
      </c>
      <c r="AA6" s="404">
        <v>0</v>
      </c>
      <c r="AB6" s="405">
        <v>0</v>
      </c>
      <c r="AC6" s="404">
        <v>0</v>
      </c>
      <c r="AD6" s="404">
        <v>0</v>
      </c>
      <c r="AE6" s="404">
        <v>0</v>
      </c>
      <c r="AF6" s="405">
        <v>0</v>
      </c>
      <c r="AG6" s="404">
        <v>1</v>
      </c>
      <c r="AH6" s="404">
        <v>1</v>
      </c>
      <c r="AI6" s="404">
        <v>0</v>
      </c>
      <c r="AJ6" s="405">
        <v>0</v>
      </c>
      <c r="AK6" s="404">
        <v>0</v>
      </c>
      <c r="AL6" s="404">
        <v>0</v>
      </c>
      <c r="AM6" s="404">
        <v>0</v>
      </c>
      <c r="AN6" s="405">
        <v>0</v>
      </c>
      <c r="AP6" s="318" t="s">
        <v>132</v>
      </c>
      <c r="AQ6" s="319">
        <f>Walesalltestshistlost</f>
        <v>345</v>
      </c>
      <c r="AS6" s="318" t="s">
        <v>132</v>
      </c>
      <c r="AT6" s="319">
        <f>WalesRWChistlost</f>
        <v>19</v>
      </c>
    </row>
    <row r="7" spans="1:46" ht="14.95" customHeight="1" thickBot="1" x14ac:dyDescent="0.3">
      <c r="A7" s="396" t="s">
        <v>321</v>
      </c>
      <c r="B7" s="398" t="s">
        <v>46</v>
      </c>
      <c r="C7" s="398" t="s">
        <v>34</v>
      </c>
      <c r="D7" s="398" t="s">
        <v>112</v>
      </c>
      <c r="E7" s="399" t="s">
        <v>3</v>
      </c>
      <c r="F7" s="399">
        <v>28</v>
      </c>
      <c r="G7" s="399">
        <v>41</v>
      </c>
      <c r="H7" s="399">
        <v>1</v>
      </c>
      <c r="I7" s="399">
        <v>0</v>
      </c>
      <c r="J7" s="399">
        <v>4</v>
      </c>
      <c r="K7" s="399">
        <v>4</v>
      </c>
      <c r="L7" s="399">
        <v>0</v>
      </c>
      <c r="M7" s="399">
        <v>0</v>
      </c>
      <c r="N7" s="399">
        <v>0</v>
      </c>
      <c r="O7" s="399">
        <v>0</v>
      </c>
      <c r="P7" s="399">
        <v>1</v>
      </c>
      <c r="Q7" s="399">
        <v>0</v>
      </c>
      <c r="R7" s="399">
        <v>5</v>
      </c>
      <c r="S7" s="401">
        <v>78635</v>
      </c>
      <c r="T7" s="415" t="s">
        <v>464</v>
      </c>
      <c r="U7" s="401" t="s">
        <v>280</v>
      </c>
      <c r="V7" s="401" t="s">
        <v>431</v>
      </c>
      <c r="W7" s="401" t="s">
        <v>346</v>
      </c>
      <c r="X7" s="409" t="s">
        <v>436</v>
      </c>
      <c r="Y7" s="404">
        <v>1</v>
      </c>
      <c r="Z7" s="404">
        <v>0</v>
      </c>
      <c r="AA7" s="404">
        <v>0</v>
      </c>
      <c r="AB7" s="405">
        <v>1</v>
      </c>
      <c r="AC7" s="404">
        <v>0</v>
      </c>
      <c r="AD7" s="404">
        <v>0</v>
      </c>
      <c r="AE7" s="404">
        <v>0</v>
      </c>
      <c r="AF7" s="405">
        <v>0</v>
      </c>
      <c r="AG7" s="404">
        <v>1</v>
      </c>
      <c r="AH7" s="404">
        <v>0</v>
      </c>
      <c r="AI7" s="404">
        <v>0</v>
      </c>
      <c r="AJ7" s="405">
        <v>1</v>
      </c>
      <c r="AK7" s="404">
        <v>0</v>
      </c>
      <c r="AL7" s="404">
        <v>0</v>
      </c>
      <c r="AM7" s="404">
        <v>0</v>
      </c>
      <c r="AN7" s="405">
        <v>0</v>
      </c>
      <c r="AP7" s="318" t="s">
        <v>138</v>
      </c>
      <c r="AQ7" s="319">
        <f>Walesalltestshistptsscored</f>
        <v>13766</v>
      </c>
      <c r="AS7" s="318" t="s">
        <v>138</v>
      </c>
      <c r="AT7" s="319">
        <f>WalesRWChistptsscored</f>
        <v>1398</v>
      </c>
    </row>
    <row r="8" spans="1:46" ht="14.95" customHeight="1" thickBot="1" x14ac:dyDescent="0.3">
      <c r="A8" s="440" t="s">
        <v>322</v>
      </c>
      <c r="B8" s="446" t="s">
        <v>615</v>
      </c>
      <c r="C8" s="441" t="s">
        <v>30</v>
      </c>
      <c r="D8" s="446" t="s">
        <v>111</v>
      </c>
      <c r="E8" s="442" t="s">
        <v>1</v>
      </c>
      <c r="F8" s="341">
        <v>20</v>
      </c>
      <c r="G8" s="341">
        <v>9</v>
      </c>
      <c r="H8" s="341" t="s">
        <v>106</v>
      </c>
      <c r="I8" s="341" t="s">
        <v>106</v>
      </c>
      <c r="J8" s="341">
        <v>2</v>
      </c>
      <c r="K8" s="341">
        <v>2</v>
      </c>
      <c r="L8" s="341">
        <v>0</v>
      </c>
      <c r="M8" s="341">
        <v>2</v>
      </c>
      <c r="N8" s="341">
        <v>0</v>
      </c>
      <c r="O8" s="341">
        <v>0</v>
      </c>
      <c r="P8" s="341" t="s">
        <v>106</v>
      </c>
      <c r="Q8" s="341" t="s">
        <v>106</v>
      </c>
      <c r="R8" s="341">
        <v>0</v>
      </c>
      <c r="S8" s="429">
        <v>65802</v>
      </c>
      <c r="T8" s="553" t="s">
        <v>727</v>
      </c>
      <c r="U8" s="429" t="s">
        <v>280</v>
      </c>
      <c r="V8" s="429" t="s">
        <v>431</v>
      </c>
      <c r="W8" s="429" t="s">
        <v>412</v>
      </c>
      <c r="X8" s="429" t="s">
        <v>728</v>
      </c>
      <c r="Y8" s="431">
        <v>1</v>
      </c>
      <c r="Z8" s="431">
        <v>1</v>
      </c>
      <c r="AA8" s="431">
        <v>0</v>
      </c>
      <c r="AB8" s="432">
        <v>0</v>
      </c>
      <c r="AC8" s="431">
        <v>1</v>
      </c>
      <c r="AD8" s="431">
        <v>1</v>
      </c>
      <c r="AE8" s="431">
        <v>0</v>
      </c>
      <c r="AF8" s="432">
        <v>0</v>
      </c>
      <c r="AG8" s="431">
        <v>0</v>
      </c>
      <c r="AH8" s="431">
        <v>0</v>
      </c>
      <c r="AI8" s="431">
        <v>0</v>
      </c>
      <c r="AJ8" s="432">
        <v>0</v>
      </c>
      <c r="AK8" s="431">
        <v>0</v>
      </c>
      <c r="AL8" s="431">
        <v>0</v>
      </c>
      <c r="AM8" s="431">
        <v>0</v>
      </c>
      <c r="AN8" s="432">
        <v>0</v>
      </c>
      <c r="AP8" s="318" t="s">
        <v>139</v>
      </c>
      <c r="AQ8" s="319">
        <f>Walesalltestshistptscon</f>
        <v>12206</v>
      </c>
      <c r="AS8" s="318" t="s">
        <v>139</v>
      </c>
      <c r="AT8" s="319">
        <f>WalesRWChistptscon</f>
        <v>953</v>
      </c>
    </row>
    <row r="9" spans="1:46" ht="14.95" customHeight="1" thickBot="1" x14ac:dyDescent="0.3">
      <c r="A9" s="413" t="s">
        <v>323</v>
      </c>
      <c r="B9" s="412" t="s">
        <v>615</v>
      </c>
      <c r="C9" s="412" t="s">
        <v>30</v>
      </c>
      <c r="D9" s="451" t="s">
        <v>115</v>
      </c>
      <c r="E9" s="414" t="s">
        <v>3</v>
      </c>
      <c r="F9" s="399">
        <v>17</v>
      </c>
      <c r="G9" s="399">
        <v>19</v>
      </c>
      <c r="H9" s="399" t="s">
        <v>106</v>
      </c>
      <c r="I9" s="399" t="s">
        <v>106</v>
      </c>
      <c r="J9" s="399">
        <v>2</v>
      </c>
      <c r="K9" s="399">
        <v>1</v>
      </c>
      <c r="L9" s="399">
        <v>0</v>
      </c>
      <c r="M9" s="399">
        <v>1</v>
      </c>
      <c r="N9" s="399">
        <v>2</v>
      </c>
      <c r="O9" s="399">
        <v>0</v>
      </c>
      <c r="P9" s="399" t="s">
        <v>106</v>
      </c>
      <c r="Q9" s="399" t="s">
        <v>106</v>
      </c>
      <c r="R9" s="399">
        <v>1</v>
      </c>
      <c r="S9" s="401">
        <v>74256</v>
      </c>
      <c r="T9" s="415" t="s">
        <v>757</v>
      </c>
      <c r="U9" s="401" t="s">
        <v>402</v>
      </c>
      <c r="V9" s="401" t="s">
        <v>347</v>
      </c>
      <c r="W9" s="401" t="s">
        <v>346</v>
      </c>
      <c r="X9" s="421" t="s">
        <v>420</v>
      </c>
      <c r="Y9" s="404">
        <v>1</v>
      </c>
      <c r="Z9" s="483">
        <v>0</v>
      </c>
      <c r="AA9" s="483">
        <v>0</v>
      </c>
      <c r="AB9" s="484">
        <v>1</v>
      </c>
      <c r="AC9" s="483">
        <v>0</v>
      </c>
      <c r="AD9" s="483">
        <v>0</v>
      </c>
      <c r="AE9" s="483">
        <v>0</v>
      </c>
      <c r="AF9" s="484">
        <v>0</v>
      </c>
      <c r="AG9" s="483">
        <v>1</v>
      </c>
      <c r="AH9" s="483">
        <v>0</v>
      </c>
      <c r="AI9" s="483">
        <v>0</v>
      </c>
      <c r="AJ9" s="484">
        <v>1</v>
      </c>
      <c r="AK9" s="483">
        <v>0</v>
      </c>
      <c r="AL9" s="483">
        <v>0</v>
      </c>
      <c r="AM9" s="483">
        <v>0</v>
      </c>
      <c r="AN9" s="484">
        <v>0</v>
      </c>
      <c r="AP9" s="318" t="s">
        <v>129</v>
      </c>
      <c r="AQ9" s="319">
        <f>Walesalltestshisttriesscored</f>
        <v>1718</v>
      </c>
      <c r="AS9" s="318" t="s">
        <v>129</v>
      </c>
      <c r="AT9" s="319">
        <f>WalesRWChisttriesscored</f>
        <v>168</v>
      </c>
    </row>
    <row r="10" spans="1:46" ht="14.95" customHeight="1" thickBot="1" x14ac:dyDescent="0.3">
      <c r="A10" s="440" t="s">
        <v>324</v>
      </c>
      <c r="B10" s="441" t="s">
        <v>178</v>
      </c>
      <c r="C10" s="441" t="s">
        <v>170</v>
      </c>
      <c r="D10" s="441" t="s">
        <v>111</v>
      </c>
      <c r="E10" s="442" t="s">
        <v>3</v>
      </c>
      <c r="F10" s="425">
        <v>16</v>
      </c>
      <c r="G10" s="425">
        <v>52</v>
      </c>
      <c r="H10" s="425" t="s">
        <v>106</v>
      </c>
      <c r="I10" s="425" t="s">
        <v>106</v>
      </c>
      <c r="J10" s="425">
        <v>1</v>
      </c>
      <c r="K10" s="425">
        <v>1</v>
      </c>
      <c r="L10" s="425">
        <v>0</v>
      </c>
      <c r="M10" s="425">
        <v>3</v>
      </c>
      <c r="N10" s="425">
        <v>2</v>
      </c>
      <c r="O10" s="425">
        <v>0</v>
      </c>
      <c r="P10" s="425" t="s">
        <v>106</v>
      </c>
      <c r="Q10" s="425" t="s">
        <v>106</v>
      </c>
      <c r="R10" s="425">
        <v>8</v>
      </c>
      <c r="S10" s="429">
        <v>68511</v>
      </c>
      <c r="T10" s="433" t="s">
        <v>785</v>
      </c>
      <c r="U10" s="429" t="s">
        <v>346</v>
      </c>
      <c r="V10" s="429" t="s">
        <v>431</v>
      </c>
      <c r="W10" s="429" t="s">
        <v>349</v>
      </c>
      <c r="X10" s="429" t="s">
        <v>391</v>
      </c>
      <c r="Y10" s="431">
        <v>1</v>
      </c>
      <c r="Z10" s="431">
        <v>0</v>
      </c>
      <c r="AA10" s="431">
        <v>0</v>
      </c>
      <c r="AB10" s="432">
        <v>1</v>
      </c>
      <c r="AC10" s="431">
        <v>1</v>
      </c>
      <c r="AD10" s="431">
        <v>0</v>
      </c>
      <c r="AE10" s="431">
        <v>0</v>
      </c>
      <c r="AF10" s="432">
        <v>1</v>
      </c>
      <c r="AG10" s="431">
        <v>0</v>
      </c>
      <c r="AH10" s="431">
        <v>0</v>
      </c>
      <c r="AI10" s="431">
        <v>0</v>
      </c>
      <c r="AJ10" s="432">
        <v>0</v>
      </c>
      <c r="AK10" s="431">
        <v>0</v>
      </c>
      <c r="AL10" s="431">
        <v>0</v>
      </c>
      <c r="AM10" s="431">
        <v>0</v>
      </c>
      <c r="AN10" s="432">
        <v>0</v>
      </c>
    </row>
    <row r="11" spans="1:46" ht="14.95" customHeight="1" thickBot="1" x14ac:dyDescent="0.35">
      <c r="A11" s="561" t="s">
        <v>359</v>
      </c>
      <c r="B11" s="562" t="s">
        <v>198</v>
      </c>
      <c r="C11" s="568" t="s">
        <v>31</v>
      </c>
      <c r="D11" s="490" t="s">
        <v>228</v>
      </c>
      <c r="E11" s="453" t="s">
        <v>1</v>
      </c>
      <c r="F11" s="453">
        <v>32</v>
      </c>
      <c r="G11" s="453">
        <v>26</v>
      </c>
      <c r="H11" s="453">
        <v>1</v>
      </c>
      <c r="I11" s="453">
        <v>0</v>
      </c>
      <c r="J11" s="453">
        <v>4</v>
      </c>
      <c r="K11" s="453">
        <v>3</v>
      </c>
      <c r="L11" s="453">
        <v>0</v>
      </c>
      <c r="M11" s="453">
        <v>2</v>
      </c>
      <c r="N11" s="453">
        <v>1</v>
      </c>
      <c r="O11" s="453">
        <v>0</v>
      </c>
      <c r="P11" s="453">
        <v>1</v>
      </c>
      <c r="Q11" s="453">
        <v>1</v>
      </c>
      <c r="R11" s="453">
        <v>4</v>
      </c>
      <c r="S11" s="463">
        <v>41274</v>
      </c>
      <c r="T11" s="491" t="s">
        <v>833</v>
      </c>
      <c r="U11" s="463" t="s">
        <v>278</v>
      </c>
      <c r="V11" s="463" t="s">
        <v>340</v>
      </c>
      <c r="W11" s="463" t="s">
        <v>436</v>
      </c>
      <c r="X11" s="463" t="s">
        <v>347</v>
      </c>
      <c r="Y11" s="364">
        <v>1</v>
      </c>
      <c r="Z11" s="364">
        <v>1</v>
      </c>
      <c r="AA11" s="364">
        <v>0</v>
      </c>
      <c r="AB11" s="454">
        <v>0</v>
      </c>
      <c r="AC11" s="364">
        <v>0</v>
      </c>
      <c r="AD11" s="364">
        <v>0</v>
      </c>
      <c r="AE11" s="364">
        <v>0</v>
      </c>
      <c r="AF11" s="454">
        <v>0</v>
      </c>
      <c r="AG11" s="364">
        <v>0</v>
      </c>
      <c r="AH11" s="364">
        <v>0</v>
      </c>
      <c r="AI11" s="364">
        <v>0</v>
      </c>
      <c r="AJ11" s="454">
        <v>0</v>
      </c>
      <c r="AK11" s="364">
        <v>1</v>
      </c>
      <c r="AL11" s="364">
        <v>1</v>
      </c>
      <c r="AM11" s="364">
        <v>0</v>
      </c>
      <c r="AN11" s="454">
        <v>0</v>
      </c>
    </row>
    <row r="12" spans="1:46" ht="14.95" customHeight="1" thickBot="1" x14ac:dyDescent="0.35">
      <c r="A12" s="489" t="s">
        <v>358</v>
      </c>
      <c r="B12" s="490" t="s">
        <v>198</v>
      </c>
      <c r="C12" s="490" t="s">
        <v>124</v>
      </c>
      <c r="D12" s="490" t="s">
        <v>231</v>
      </c>
      <c r="E12" s="453" t="s">
        <v>1</v>
      </c>
      <c r="F12" s="453">
        <v>28</v>
      </c>
      <c r="G12" s="453">
        <v>8</v>
      </c>
      <c r="H12" s="453">
        <v>1</v>
      </c>
      <c r="I12" s="453">
        <v>0</v>
      </c>
      <c r="J12" s="453">
        <v>4</v>
      </c>
      <c r="K12" s="453">
        <v>4</v>
      </c>
      <c r="L12" s="453">
        <v>0</v>
      </c>
      <c r="M12" s="453">
        <v>0</v>
      </c>
      <c r="N12" s="453">
        <v>1</v>
      </c>
      <c r="O12" s="453">
        <v>0</v>
      </c>
      <c r="P12" s="453">
        <v>0</v>
      </c>
      <c r="Q12" s="453">
        <v>0</v>
      </c>
      <c r="R12" s="453">
        <v>1</v>
      </c>
      <c r="S12" s="463">
        <v>28700</v>
      </c>
      <c r="T12" s="491" t="s">
        <v>768</v>
      </c>
      <c r="U12" s="463" t="s">
        <v>263</v>
      </c>
      <c r="V12" s="463" t="s">
        <v>266</v>
      </c>
      <c r="W12" s="463" t="s">
        <v>420</v>
      </c>
      <c r="X12" s="463" t="s">
        <v>413</v>
      </c>
      <c r="Y12" s="364">
        <v>1</v>
      </c>
      <c r="Z12" s="364">
        <v>1</v>
      </c>
      <c r="AA12" s="364">
        <v>0</v>
      </c>
      <c r="AB12" s="454">
        <v>0</v>
      </c>
      <c r="AC12" s="364">
        <v>1</v>
      </c>
      <c r="AD12" s="364">
        <v>1</v>
      </c>
      <c r="AE12" s="364">
        <v>0</v>
      </c>
      <c r="AF12" s="454">
        <v>0</v>
      </c>
      <c r="AG12" s="364">
        <v>0</v>
      </c>
      <c r="AH12" s="364">
        <v>0</v>
      </c>
      <c r="AI12" s="364">
        <v>0</v>
      </c>
      <c r="AJ12" s="454">
        <v>0</v>
      </c>
      <c r="AK12" s="364">
        <v>0</v>
      </c>
      <c r="AL12" s="364">
        <v>0</v>
      </c>
      <c r="AM12" s="364">
        <v>0</v>
      </c>
      <c r="AN12" s="454">
        <v>0</v>
      </c>
    </row>
    <row r="13" spans="1:46" ht="14.95" customHeight="1" thickBot="1" x14ac:dyDescent="0.35">
      <c r="A13" s="489" t="s">
        <v>360</v>
      </c>
      <c r="B13" s="490" t="s">
        <v>198</v>
      </c>
      <c r="C13" s="490" t="s">
        <v>29</v>
      </c>
      <c r="D13" s="490" t="s">
        <v>232</v>
      </c>
      <c r="E13" s="453" t="s">
        <v>1</v>
      </c>
      <c r="F13" s="453">
        <v>40</v>
      </c>
      <c r="G13" s="453">
        <v>6</v>
      </c>
      <c r="H13" s="453">
        <v>0</v>
      </c>
      <c r="I13" s="453">
        <v>0</v>
      </c>
      <c r="J13" s="453">
        <v>3</v>
      </c>
      <c r="K13" s="453">
        <v>2</v>
      </c>
      <c r="L13" s="453">
        <v>1</v>
      </c>
      <c r="M13" s="453">
        <v>6</v>
      </c>
      <c r="N13" s="453">
        <v>0</v>
      </c>
      <c r="O13" s="453">
        <v>0</v>
      </c>
      <c r="P13" s="453">
        <v>0</v>
      </c>
      <c r="Q13" s="453">
        <v>0</v>
      </c>
      <c r="R13" s="453">
        <v>0</v>
      </c>
      <c r="S13" s="463">
        <v>55296</v>
      </c>
      <c r="T13" s="491" t="s">
        <v>912</v>
      </c>
      <c r="U13" s="463" t="s">
        <v>340</v>
      </c>
      <c r="V13" s="463" t="s">
        <v>264</v>
      </c>
      <c r="W13" s="463" t="s">
        <v>266</v>
      </c>
      <c r="X13" s="463" t="s">
        <v>436</v>
      </c>
      <c r="Y13" s="364">
        <v>1</v>
      </c>
      <c r="Z13" s="364">
        <v>1</v>
      </c>
      <c r="AA13" s="364">
        <v>0</v>
      </c>
      <c r="AB13" s="454">
        <v>0</v>
      </c>
      <c r="AC13" s="364">
        <v>0</v>
      </c>
      <c r="AD13" s="364">
        <v>0</v>
      </c>
      <c r="AE13" s="364">
        <v>0</v>
      </c>
      <c r="AF13" s="454">
        <v>0</v>
      </c>
      <c r="AG13" s="364">
        <v>0</v>
      </c>
      <c r="AH13" s="364">
        <v>0</v>
      </c>
      <c r="AI13" s="364">
        <v>0</v>
      </c>
      <c r="AJ13" s="454">
        <v>0</v>
      </c>
      <c r="AK13" s="364">
        <v>1</v>
      </c>
      <c r="AL13" s="364">
        <v>1</v>
      </c>
      <c r="AM13" s="364">
        <v>0</v>
      </c>
      <c r="AN13" s="454">
        <v>0</v>
      </c>
    </row>
    <row r="14" spans="1:46" ht="14.95" customHeight="1" thickBot="1" x14ac:dyDescent="0.35">
      <c r="A14" s="489" t="s">
        <v>329</v>
      </c>
      <c r="B14" s="490" t="s">
        <v>198</v>
      </c>
      <c r="C14" s="490" t="s">
        <v>38</v>
      </c>
      <c r="D14" s="490" t="s">
        <v>224</v>
      </c>
      <c r="E14" s="453" t="s">
        <v>1</v>
      </c>
      <c r="F14" s="453">
        <v>43</v>
      </c>
      <c r="G14" s="453">
        <v>19</v>
      </c>
      <c r="H14" s="453">
        <v>1</v>
      </c>
      <c r="I14" s="453">
        <v>0</v>
      </c>
      <c r="J14" s="453">
        <v>6</v>
      </c>
      <c r="K14" s="453">
        <v>5</v>
      </c>
      <c r="L14" s="453">
        <v>0</v>
      </c>
      <c r="M14" s="453">
        <v>1</v>
      </c>
      <c r="N14" s="453">
        <v>1</v>
      </c>
      <c r="O14" s="453">
        <v>0</v>
      </c>
      <c r="P14" s="453">
        <v>0</v>
      </c>
      <c r="Q14" s="453">
        <v>0</v>
      </c>
      <c r="R14" s="453">
        <v>3</v>
      </c>
      <c r="S14" s="463">
        <v>33580</v>
      </c>
      <c r="T14" s="491" t="s">
        <v>897</v>
      </c>
      <c r="U14" s="463" t="s">
        <v>364</v>
      </c>
      <c r="V14" s="463" t="s">
        <v>270</v>
      </c>
      <c r="W14" s="463" t="s">
        <v>942</v>
      </c>
      <c r="X14" s="463" t="s">
        <v>943</v>
      </c>
      <c r="Y14" s="364">
        <v>1</v>
      </c>
      <c r="Z14" s="364">
        <v>1</v>
      </c>
      <c r="AA14" s="364">
        <v>0</v>
      </c>
      <c r="AB14" s="454">
        <v>0</v>
      </c>
      <c r="AC14" s="364">
        <v>0</v>
      </c>
      <c r="AD14" s="364">
        <v>0</v>
      </c>
      <c r="AE14" s="364">
        <v>0</v>
      </c>
      <c r="AF14" s="454">
        <v>0</v>
      </c>
      <c r="AG14" s="364">
        <v>0</v>
      </c>
      <c r="AH14" s="364">
        <v>0</v>
      </c>
      <c r="AI14" s="364">
        <v>0</v>
      </c>
      <c r="AJ14" s="454">
        <v>0</v>
      </c>
      <c r="AK14" s="364">
        <v>1</v>
      </c>
      <c r="AL14" s="364">
        <v>1</v>
      </c>
      <c r="AM14" s="364">
        <v>0</v>
      </c>
      <c r="AN14" s="454">
        <v>0</v>
      </c>
    </row>
    <row r="15" spans="1:46" ht="14.95" customHeight="1" thickBot="1" x14ac:dyDescent="0.35">
      <c r="A15" s="489" t="s">
        <v>952</v>
      </c>
      <c r="B15" s="490" t="s">
        <v>233</v>
      </c>
      <c r="C15" s="490" t="s">
        <v>37</v>
      </c>
      <c r="D15" s="566" t="s">
        <v>229</v>
      </c>
      <c r="E15" s="453" t="s">
        <v>3</v>
      </c>
      <c r="F15" s="453">
        <v>17</v>
      </c>
      <c r="G15" s="453">
        <v>29</v>
      </c>
      <c r="H15" s="453" t="s">
        <v>106</v>
      </c>
      <c r="I15" s="453" t="s">
        <v>106</v>
      </c>
      <c r="J15" s="453">
        <v>2</v>
      </c>
      <c r="K15" s="453">
        <v>2</v>
      </c>
      <c r="L15" s="453">
        <v>0</v>
      </c>
      <c r="M15" s="453">
        <v>1</v>
      </c>
      <c r="N15" s="453">
        <v>0</v>
      </c>
      <c r="O15" s="453">
        <v>0</v>
      </c>
      <c r="P15" s="453" t="s">
        <v>106</v>
      </c>
      <c r="Q15" s="453" t="s">
        <v>106</v>
      </c>
      <c r="R15" s="453">
        <v>2</v>
      </c>
      <c r="S15" s="463">
        <v>62576</v>
      </c>
      <c r="T15" s="845" t="s">
        <v>466</v>
      </c>
      <c r="U15" s="463" t="s">
        <v>973</v>
      </c>
      <c r="V15" s="463" t="s">
        <v>413</v>
      </c>
      <c r="W15" s="463" t="s">
        <v>975</v>
      </c>
      <c r="X15" s="463" t="s">
        <v>420</v>
      </c>
      <c r="Y15" s="364">
        <v>1</v>
      </c>
      <c r="Z15" s="364">
        <v>0</v>
      </c>
      <c r="AA15" s="364">
        <v>0</v>
      </c>
      <c r="AB15" s="454">
        <v>1</v>
      </c>
      <c r="AC15" s="364">
        <v>0</v>
      </c>
      <c r="AD15" s="364">
        <v>0</v>
      </c>
      <c r="AE15" s="364">
        <v>0</v>
      </c>
      <c r="AF15" s="454">
        <v>0</v>
      </c>
      <c r="AG15" s="364">
        <v>0</v>
      </c>
      <c r="AH15" s="364">
        <v>0</v>
      </c>
      <c r="AI15" s="364">
        <v>0</v>
      </c>
      <c r="AJ15" s="454">
        <v>0</v>
      </c>
      <c r="AK15" s="364">
        <v>1</v>
      </c>
      <c r="AL15" s="364">
        <v>0</v>
      </c>
      <c r="AM15" s="364">
        <v>0</v>
      </c>
      <c r="AN15" s="454">
        <v>1</v>
      </c>
    </row>
    <row r="16" spans="1:46" ht="14.95" customHeight="1" thickBot="1" x14ac:dyDescent="0.3">
      <c r="A16" s="266"/>
      <c r="B16" s="267"/>
      <c r="C16" s="997" t="s">
        <v>108</v>
      </c>
      <c r="D16" s="998"/>
      <c r="E16" s="999"/>
      <c r="F16" s="265">
        <f>SUM(F3:F7)</f>
        <v>84</v>
      </c>
      <c r="G16" s="265">
        <f t="shared" ref="G16:R16" si="0">SUM(G3:G7)</f>
        <v>147</v>
      </c>
      <c r="H16" s="265">
        <f t="shared" si="0"/>
        <v>2</v>
      </c>
      <c r="I16" s="265">
        <f t="shared" si="0"/>
        <v>0</v>
      </c>
      <c r="J16" s="265">
        <f t="shared" si="0"/>
        <v>11</v>
      </c>
      <c r="K16" s="265">
        <f t="shared" si="0"/>
        <v>9</v>
      </c>
      <c r="L16" s="265">
        <f t="shared" si="0"/>
        <v>0</v>
      </c>
      <c r="M16" s="265">
        <f t="shared" si="0"/>
        <v>3</v>
      </c>
      <c r="N16" s="265">
        <f t="shared" si="0"/>
        <v>3</v>
      </c>
      <c r="O16" s="265">
        <f t="shared" si="0"/>
        <v>0</v>
      </c>
      <c r="P16" s="265">
        <f t="shared" si="0"/>
        <v>3</v>
      </c>
      <c r="Q16" s="265">
        <f t="shared" si="0"/>
        <v>0</v>
      </c>
      <c r="R16" s="265">
        <f t="shared" si="0"/>
        <v>19</v>
      </c>
      <c r="U16" s="329"/>
      <c r="V16" s="275"/>
      <c r="W16" s="262"/>
      <c r="X16" s="369" t="s">
        <v>108</v>
      </c>
      <c r="Y16" s="265">
        <f t="shared" ref="Y16:AN16" si="1">SUM(Y3:Y7)</f>
        <v>5</v>
      </c>
      <c r="Z16" s="265">
        <f t="shared" si="1"/>
        <v>1</v>
      </c>
      <c r="AA16" s="265">
        <f t="shared" si="1"/>
        <v>0</v>
      </c>
      <c r="AB16" s="265">
        <f t="shared" si="1"/>
        <v>4</v>
      </c>
      <c r="AC16" s="263">
        <f t="shared" si="1"/>
        <v>2</v>
      </c>
      <c r="AD16" s="263">
        <f t="shared" si="1"/>
        <v>0</v>
      </c>
      <c r="AE16" s="263">
        <f t="shared" si="1"/>
        <v>0</v>
      </c>
      <c r="AF16" s="263">
        <f t="shared" si="1"/>
        <v>2</v>
      </c>
      <c r="AG16" s="264">
        <f t="shared" si="1"/>
        <v>3</v>
      </c>
      <c r="AH16" s="264">
        <f t="shared" si="1"/>
        <v>1</v>
      </c>
      <c r="AI16" s="264">
        <f t="shared" si="1"/>
        <v>0</v>
      </c>
      <c r="AJ16" s="264">
        <f t="shared" si="1"/>
        <v>2</v>
      </c>
      <c r="AK16" s="265">
        <f t="shared" si="1"/>
        <v>0</v>
      </c>
      <c r="AL16" s="265">
        <f t="shared" si="1"/>
        <v>0</v>
      </c>
      <c r="AM16" s="265">
        <f t="shared" si="1"/>
        <v>0</v>
      </c>
      <c r="AN16" s="265">
        <f t="shared" si="1"/>
        <v>0</v>
      </c>
    </row>
    <row r="17" spans="1:40" ht="14.95" customHeight="1" thickBot="1" x14ac:dyDescent="0.3">
      <c r="A17" s="266"/>
      <c r="B17" s="267"/>
      <c r="C17" s="1171" t="s">
        <v>166</v>
      </c>
      <c r="D17" s="1172"/>
      <c r="E17" s="1173"/>
      <c r="F17" s="274">
        <f>SUM(F8:F14)</f>
        <v>196</v>
      </c>
      <c r="G17" s="274">
        <f>SUM(G8:G14)</f>
        <v>139</v>
      </c>
      <c r="H17" s="274" t="s">
        <v>106</v>
      </c>
      <c r="I17" s="274" t="s">
        <v>106</v>
      </c>
      <c r="J17" s="274">
        <f t="shared" ref="J17:O17" si="2">SUM(J8:J14)</f>
        <v>22</v>
      </c>
      <c r="K17" s="274">
        <f t="shared" si="2"/>
        <v>18</v>
      </c>
      <c r="L17" s="274">
        <f t="shared" si="2"/>
        <v>1</v>
      </c>
      <c r="M17" s="274">
        <f t="shared" si="2"/>
        <v>15</v>
      </c>
      <c r="N17" s="274">
        <f t="shared" si="2"/>
        <v>7</v>
      </c>
      <c r="O17" s="274">
        <f t="shared" si="2"/>
        <v>0</v>
      </c>
      <c r="P17" s="274" t="s">
        <v>106</v>
      </c>
      <c r="Q17" s="274" t="s">
        <v>106</v>
      </c>
      <c r="R17" s="274">
        <f>SUM(R8:R14)</f>
        <v>17</v>
      </c>
      <c r="S17" s="270"/>
      <c r="T17" s="270"/>
      <c r="U17" s="329" t="s">
        <v>976</v>
      </c>
      <c r="V17" s="473"/>
      <c r="W17" s="271"/>
      <c r="X17" s="367" t="s">
        <v>166</v>
      </c>
      <c r="Y17" s="274">
        <f t="shared" ref="Y17:AN17" si="3">SUM(Y8:Y14)</f>
        <v>7</v>
      </c>
      <c r="Z17" s="274">
        <f t="shared" si="3"/>
        <v>5</v>
      </c>
      <c r="AA17" s="274">
        <f t="shared" si="3"/>
        <v>0</v>
      </c>
      <c r="AB17" s="274">
        <f t="shared" si="3"/>
        <v>2</v>
      </c>
      <c r="AC17" s="272">
        <f t="shared" si="3"/>
        <v>3</v>
      </c>
      <c r="AD17" s="272">
        <f t="shared" si="3"/>
        <v>2</v>
      </c>
      <c r="AE17" s="272">
        <f t="shared" si="3"/>
        <v>0</v>
      </c>
      <c r="AF17" s="272">
        <f t="shared" si="3"/>
        <v>1</v>
      </c>
      <c r="AG17" s="273">
        <f t="shared" si="3"/>
        <v>1</v>
      </c>
      <c r="AH17" s="273">
        <f t="shared" si="3"/>
        <v>0</v>
      </c>
      <c r="AI17" s="273">
        <f t="shared" si="3"/>
        <v>0</v>
      </c>
      <c r="AJ17" s="273">
        <f t="shared" si="3"/>
        <v>1</v>
      </c>
      <c r="AK17" s="274">
        <f t="shared" si="3"/>
        <v>3</v>
      </c>
      <c r="AL17" s="274">
        <f t="shared" si="3"/>
        <v>3</v>
      </c>
      <c r="AM17" s="274">
        <f t="shared" si="3"/>
        <v>0</v>
      </c>
      <c r="AN17" s="274">
        <f t="shared" si="3"/>
        <v>0</v>
      </c>
    </row>
    <row r="18" spans="1:40" ht="14.95" customHeight="1" thickBot="1" x14ac:dyDescent="0.3">
      <c r="A18" s="266"/>
      <c r="B18" s="267"/>
      <c r="C18" s="940" t="s">
        <v>625</v>
      </c>
      <c r="D18" s="941"/>
      <c r="E18" s="942"/>
      <c r="F18" s="708">
        <f t="shared" ref="F18:R18" si="4">SUM(F11:F14)</f>
        <v>143</v>
      </c>
      <c r="G18" s="708">
        <f t="shared" si="4"/>
        <v>59</v>
      </c>
      <c r="H18" s="708">
        <f t="shared" si="4"/>
        <v>3</v>
      </c>
      <c r="I18" s="708">
        <f t="shared" si="4"/>
        <v>0</v>
      </c>
      <c r="J18" s="708">
        <f t="shared" si="4"/>
        <v>17</v>
      </c>
      <c r="K18" s="708">
        <f t="shared" si="4"/>
        <v>14</v>
      </c>
      <c r="L18" s="708">
        <f t="shared" si="4"/>
        <v>1</v>
      </c>
      <c r="M18" s="708">
        <f t="shared" si="4"/>
        <v>9</v>
      </c>
      <c r="N18" s="708">
        <f t="shared" si="4"/>
        <v>3</v>
      </c>
      <c r="O18" s="708">
        <f t="shared" si="4"/>
        <v>0</v>
      </c>
      <c r="P18" s="708">
        <f t="shared" si="4"/>
        <v>1</v>
      </c>
      <c r="Q18" s="708">
        <f t="shared" si="4"/>
        <v>1</v>
      </c>
      <c r="R18" s="708">
        <f t="shared" si="4"/>
        <v>8</v>
      </c>
      <c r="S18" s="709"/>
      <c r="T18" s="709"/>
      <c r="U18" s="709"/>
      <c r="V18" s="709"/>
      <c r="W18" s="710"/>
      <c r="X18" s="711" t="s">
        <v>625</v>
      </c>
      <c r="Y18" s="712">
        <f t="shared" ref="Y18:AN18" si="5">SUM(Y11:Y14)</f>
        <v>4</v>
      </c>
      <c r="Z18" s="708">
        <f t="shared" si="5"/>
        <v>4</v>
      </c>
      <c r="AA18" s="708">
        <f t="shared" si="5"/>
        <v>0</v>
      </c>
      <c r="AB18" s="708">
        <f t="shared" si="5"/>
        <v>0</v>
      </c>
      <c r="AC18" s="713">
        <f t="shared" si="5"/>
        <v>1</v>
      </c>
      <c r="AD18" s="713">
        <f t="shared" si="5"/>
        <v>1</v>
      </c>
      <c r="AE18" s="713">
        <f t="shared" si="5"/>
        <v>0</v>
      </c>
      <c r="AF18" s="713">
        <f t="shared" si="5"/>
        <v>0</v>
      </c>
      <c r="AG18" s="714">
        <f t="shared" si="5"/>
        <v>0</v>
      </c>
      <c r="AH18" s="714">
        <f t="shared" si="5"/>
        <v>0</v>
      </c>
      <c r="AI18" s="714">
        <f t="shared" si="5"/>
        <v>0</v>
      </c>
      <c r="AJ18" s="714">
        <f t="shared" si="5"/>
        <v>0</v>
      </c>
      <c r="AK18" s="708">
        <f t="shared" si="5"/>
        <v>3</v>
      </c>
      <c r="AL18" s="708">
        <f t="shared" si="5"/>
        <v>3</v>
      </c>
      <c r="AM18" s="708">
        <f t="shared" si="5"/>
        <v>0</v>
      </c>
      <c r="AN18" s="708">
        <f t="shared" si="5"/>
        <v>0</v>
      </c>
    </row>
    <row r="19" spans="1:40" ht="14.95" customHeight="1" thickBot="1" x14ac:dyDescent="0.3">
      <c r="A19" s="266"/>
      <c r="B19" s="267"/>
      <c r="C19" s="940" t="s">
        <v>626</v>
      </c>
      <c r="D19" s="943"/>
      <c r="E19" s="944"/>
      <c r="F19" s="708">
        <f t="shared" ref="F19:R19" si="6">SUM(F15:F15)</f>
        <v>17</v>
      </c>
      <c r="G19" s="708">
        <f t="shared" si="6"/>
        <v>29</v>
      </c>
      <c r="H19" s="708">
        <f t="shared" si="6"/>
        <v>0</v>
      </c>
      <c r="I19" s="708">
        <f t="shared" si="6"/>
        <v>0</v>
      </c>
      <c r="J19" s="708">
        <f t="shared" si="6"/>
        <v>2</v>
      </c>
      <c r="K19" s="708">
        <f t="shared" si="6"/>
        <v>2</v>
      </c>
      <c r="L19" s="708">
        <f t="shared" si="6"/>
        <v>0</v>
      </c>
      <c r="M19" s="708">
        <f t="shared" si="6"/>
        <v>1</v>
      </c>
      <c r="N19" s="708">
        <f t="shared" si="6"/>
        <v>0</v>
      </c>
      <c r="O19" s="708">
        <f t="shared" si="6"/>
        <v>0</v>
      </c>
      <c r="P19" s="708">
        <f t="shared" si="6"/>
        <v>0</v>
      </c>
      <c r="Q19" s="708">
        <f t="shared" si="6"/>
        <v>0</v>
      </c>
      <c r="R19" s="708">
        <f t="shared" si="6"/>
        <v>2</v>
      </c>
      <c r="S19" s="709"/>
      <c r="T19" s="709"/>
      <c r="U19" s="709"/>
      <c r="V19" s="709"/>
      <c r="W19" s="710"/>
      <c r="X19" s="711" t="s">
        <v>626</v>
      </c>
      <c r="Y19" s="712">
        <f t="shared" ref="Y19:AN19" si="7">SUM(Y15:Y15)</f>
        <v>1</v>
      </c>
      <c r="Z19" s="708">
        <f t="shared" si="7"/>
        <v>0</v>
      </c>
      <c r="AA19" s="708">
        <f t="shared" si="7"/>
        <v>0</v>
      </c>
      <c r="AB19" s="708">
        <f t="shared" si="7"/>
        <v>1</v>
      </c>
      <c r="AC19" s="713">
        <f t="shared" si="7"/>
        <v>0</v>
      </c>
      <c r="AD19" s="713">
        <f t="shared" si="7"/>
        <v>0</v>
      </c>
      <c r="AE19" s="713">
        <f t="shared" si="7"/>
        <v>0</v>
      </c>
      <c r="AF19" s="713">
        <f t="shared" si="7"/>
        <v>0</v>
      </c>
      <c r="AG19" s="714">
        <f t="shared" si="7"/>
        <v>0</v>
      </c>
      <c r="AH19" s="714">
        <f t="shared" si="7"/>
        <v>0</v>
      </c>
      <c r="AI19" s="714">
        <f t="shared" si="7"/>
        <v>0</v>
      </c>
      <c r="AJ19" s="714">
        <f t="shared" si="7"/>
        <v>0</v>
      </c>
      <c r="AK19" s="708">
        <f t="shared" si="7"/>
        <v>1</v>
      </c>
      <c r="AL19" s="708">
        <f t="shared" si="7"/>
        <v>0</v>
      </c>
      <c r="AM19" s="708">
        <f t="shared" si="7"/>
        <v>0</v>
      </c>
      <c r="AN19" s="708">
        <f t="shared" si="7"/>
        <v>1</v>
      </c>
    </row>
    <row r="20" spans="1:40" ht="14.95" customHeight="1" thickBot="1" x14ac:dyDescent="0.3">
      <c r="A20" s="266"/>
      <c r="B20" s="267"/>
      <c r="C20" s="940" t="s">
        <v>627</v>
      </c>
      <c r="D20" s="943"/>
      <c r="E20" s="944"/>
      <c r="F20" s="708">
        <f>SUM(F18+F19)</f>
        <v>160</v>
      </c>
      <c r="G20" s="708">
        <f t="shared" ref="G20:R20" si="8">SUM(G18+G19)</f>
        <v>88</v>
      </c>
      <c r="H20" s="708">
        <f t="shared" si="8"/>
        <v>3</v>
      </c>
      <c r="I20" s="708">
        <f t="shared" si="8"/>
        <v>0</v>
      </c>
      <c r="J20" s="708">
        <f t="shared" si="8"/>
        <v>19</v>
      </c>
      <c r="K20" s="708">
        <f t="shared" si="8"/>
        <v>16</v>
      </c>
      <c r="L20" s="708">
        <f t="shared" si="8"/>
        <v>1</v>
      </c>
      <c r="M20" s="708">
        <f t="shared" si="8"/>
        <v>10</v>
      </c>
      <c r="N20" s="708">
        <f t="shared" si="8"/>
        <v>3</v>
      </c>
      <c r="O20" s="708">
        <f t="shared" si="8"/>
        <v>0</v>
      </c>
      <c r="P20" s="708">
        <f t="shared" si="8"/>
        <v>1</v>
      </c>
      <c r="Q20" s="708">
        <f t="shared" si="8"/>
        <v>1</v>
      </c>
      <c r="R20" s="708">
        <f t="shared" si="8"/>
        <v>10</v>
      </c>
      <c r="S20" s="709"/>
      <c r="T20" s="709"/>
      <c r="U20" s="709"/>
      <c r="V20" s="709"/>
      <c r="W20" s="710"/>
      <c r="X20" s="711" t="s">
        <v>627</v>
      </c>
      <c r="Y20" s="712">
        <f t="shared" ref="Y20:AN20" si="9">SUM(Y18+Y19)</f>
        <v>5</v>
      </c>
      <c r="Z20" s="708">
        <f t="shared" si="9"/>
        <v>4</v>
      </c>
      <c r="AA20" s="708">
        <f t="shared" si="9"/>
        <v>0</v>
      </c>
      <c r="AB20" s="708">
        <f t="shared" si="9"/>
        <v>1</v>
      </c>
      <c r="AC20" s="713">
        <f t="shared" si="9"/>
        <v>1</v>
      </c>
      <c r="AD20" s="713">
        <f t="shared" si="9"/>
        <v>1</v>
      </c>
      <c r="AE20" s="713">
        <f t="shared" si="9"/>
        <v>0</v>
      </c>
      <c r="AF20" s="713">
        <f t="shared" si="9"/>
        <v>0</v>
      </c>
      <c r="AG20" s="714">
        <f t="shared" si="9"/>
        <v>0</v>
      </c>
      <c r="AH20" s="714">
        <f t="shared" si="9"/>
        <v>0</v>
      </c>
      <c r="AI20" s="714">
        <f t="shared" si="9"/>
        <v>0</v>
      </c>
      <c r="AJ20" s="714">
        <f t="shared" si="9"/>
        <v>0</v>
      </c>
      <c r="AK20" s="708">
        <f t="shared" si="9"/>
        <v>4</v>
      </c>
      <c r="AL20" s="708">
        <f t="shared" si="9"/>
        <v>3</v>
      </c>
      <c r="AM20" s="708">
        <f t="shared" si="9"/>
        <v>0</v>
      </c>
      <c r="AN20" s="708">
        <f t="shared" si="9"/>
        <v>1</v>
      </c>
    </row>
    <row r="21" spans="1:40" ht="14.95" customHeight="1" thickBot="1" x14ac:dyDescent="0.3">
      <c r="A21" s="266"/>
      <c r="B21" s="267"/>
      <c r="C21" s="946" t="s">
        <v>107</v>
      </c>
      <c r="D21" s="947"/>
      <c r="E21" s="948"/>
      <c r="F21" s="343">
        <f>SUM(F3:F15)</f>
        <v>297</v>
      </c>
      <c r="G21" s="343">
        <f t="shared" ref="G21:R21" si="10">SUM(G3:G15)</f>
        <v>315</v>
      </c>
      <c r="H21" s="343">
        <f t="shared" si="10"/>
        <v>5</v>
      </c>
      <c r="I21" s="343">
        <f t="shared" si="10"/>
        <v>0</v>
      </c>
      <c r="J21" s="343">
        <f t="shared" si="10"/>
        <v>35</v>
      </c>
      <c r="K21" s="343">
        <f t="shared" si="10"/>
        <v>29</v>
      </c>
      <c r="L21" s="343">
        <f t="shared" si="10"/>
        <v>1</v>
      </c>
      <c r="M21" s="343">
        <f t="shared" si="10"/>
        <v>19</v>
      </c>
      <c r="N21" s="343">
        <f t="shared" si="10"/>
        <v>10</v>
      </c>
      <c r="O21" s="343">
        <f t="shared" si="10"/>
        <v>0</v>
      </c>
      <c r="P21" s="343">
        <f t="shared" si="10"/>
        <v>4</v>
      </c>
      <c r="Q21" s="343">
        <f t="shared" si="10"/>
        <v>1</v>
      </c>
      <c r="R21" s="343">
        <f t="shared" si="10"/>
        <v>38</v>
      </c>
      <c r="S21" s="340"/>
      <c r="T21" s="340"/>
      <c r="U21" s="340"/>
      <c r="V21" s="340"/>
      <c r="W21" s="13"/>
      <c r="X21" s="364" t="s">
        <v>107</v>
      </c>
      <c r="Y21" s="343">
        <f t="shared" ref="Y21:AN21" si="11">SUM(Y3:Y15)</f>
        <v>13</v>
      </c>
      <c r="Z21" s="343">
        <f t="shared" si="11"/>
        <v>6</v>
      </c>
      <c r="AA21" s="343">
        <f t="shared" si="11"/>
        <v>0</v>
      </c>
      <c r="AB21" s="343">
        <f t="shared" si="11"/>
        <v>7</v>
      </c>
      <c r="AC21" s="341">
        <f t="shared" si="11"/>
        <v>5</v>
      </c>
      <c r="AD21" s="341">
        <f t="shared" si="11"/>
        <v>2</v>
      </c>
      <c r="AE21" s="341">
        <f t="shared" si="11"/>
        <v>0</v>
      </c>
      <c r="AF21" s="341">
        <f t="shared" si="11"/>
        <v>3</v>
      </c>
      <c r="AG21" s="342">
        <f t="shared" si="11"/>
        <v>4</v>
      </c>
      <c r="AH21" s="342">
        <f t="shared" si="11"/>
        <v>1</v>
      </c>
      <c r="AI21" s="342">
        <f t="shared" si="11"/>
        <v>0</v>
      </c>
      <c r="AJ21" s="342">
        <f t="shared" si="11"/>
        <v>3</v>
      </c>
      <c r="AK21" s="343">
        <f t="shared" si="11"/>
        <v>4</v>
      </c>
      <c r="AL21" s="343">
        <f t="shared" si="11"/>
        <v>3</v>
      </c>
      <c r="AM21" s="343">
        <f t="shared" si="11"/>
        <v>0</v>
      </c>
      <c r="AN21" s="343">
        <f t="shared" si="11"/>
        <v>1</v>
      </c>
    </row>
    <row r="22" spans="1:40" ht="14.95" customHeight="1" x14ac:dyDescent="0.25">
      <c r="A22" s="1170" t="s">
        <v>58</v>
      </c>
      <c r="B22" s="899"/>
      <c r="C22" s="899"/>
      <c r="D22" s="899"/>
      <c r="E22" s="899"/>
      <c r="F22" s="899"/>
      <c r="G22" s="899"/>
      <c r="H22" s="899"/>
      <c r="I22" s="899"/>
      <c r="J22" s="899"/>
      <c r="K22" s="899"/>
      <c r="L22" s="899"/>
      <c r="M22" s="899"/>
      <c r="N22" s="899"/>
      <c r="O22" s="899"/>
      <c r="P22" s="899"/>
      <c r="Q22" s="899"/>
      <c r="R22" s="899"/>
      <c r="S22" s="899"/>
      <c r="T22" s="899"/>
      <c r="U22" s="899"/>
      <c r="V22" s="899"/>
      <c r="W22" s="899"/>
      <c r="X22" s="899"/>
      <c r="Y22" s="899"/>
      <c r="Z22" s="899"/>
      <c r="AA22" s="899"/>
      <c r="AB22" s="899"/>
      <c r="AC22" s="899"/>
      <c r="AD22" s="899"/>
      <c r="AE22" s="899"/>
      <c r="AF22" s="899"/>
      <c r="AG22" s="899"/>
      <c r="AH22" s="899"/>
      <c r="AI22" s="899"/>
      <c r="AJ22" s="899"/>
      <c r="AK22" s="899"/>
      <c r="AL22" s="899"/>
      <c r="AM22" s="899"/>
      <c r="AN22" s="899"/>
    </row>
    <row r="23" spans="1:40" ht="14.95" customHeight="1" x14ac:dyDescent="0.25">
      <c r="A23" s="496" t="s">
        <v>249</v>
      </c>
      <c r="F23" s="14"/>
      <c r="G23" s="14"/>
      <c r="H23" s="13"/>
      <c r="I23" s="14"/>
      <c r="J23" s="14"/>
      <c r="K23" s="14"/>
      <c r="L23" s="14"/>
      <c r="M23" s="14"/>
      <c r="N23" s="14"/>
      <c r="O23" s="14"/>
      <c r="P23" s="14"/>
      <c r="Q23" s="14"/>
      <c r="R23" s="14"/>
    </row>
    <row r="24" spans="1:40" ht="14.95" customHeight="1" x14ac:dyDescent="0.25">
      <c r="A24" s="496" t="s">
        <v>180</v>
      </c>
      <c r="F24" s="14"/>
    </row>
    <row r="25" spans="1:40" ht="14.95" customHeight="1" x14ac:dyDescent="0.25">
      <c r="A25" s="496" t="s">
        <v>250</v>
      </c>
    </row>
    <row r="26" spans="1:40" ht="14.95" customHeight="1" x14ac:dyDescent="0.25">
      <c r="A26" s="496" t="s">
        <v>251</v>
      </c>
    </row>
    <row r="27" spans="1:40" ht="14.95" customHeight="1" x14ac:dyDescent="0.25">
      <c r="A27" s="496" t="s">
        <v>252</v>
      </c>
    </row>
    <row r="28" spans="1:40" ht="14.95" customHeight="1" x14ac:dyDescent="0.25">
      <c r="A28" s="496" t="s">
        <v>723</v>
      </c>
    </row>
    <row r="29" spans="1:40" ht="14.95" customHeight="1" x14ac:dyDescent="0.25">
      <c r="A29" s="496" t="s">
        <v>640</v>
      </c>
    </row>
    <row r="30" spans="1:40" ht="14.95" customHeight="1" x14ac:dyDescent="0.25">
      <c r="A30" s="496" t="s">
        <v>760</v>
      </c>
    </row>
    <row r="31" spans="1:40" ht="14.95" customHeight="1" x14ac:dyDescent="0.25">
      <c r="A31" s="575"/>
      <c r="B31" t="s">
        <v>44</v>
      </c>
    </row>
    <row r="32" spans="1:40" ht="14.95" customHeight="1" x14ac:dyDescent="0.25">
      <c r="A32" s="576"/>
      <c r="B32" t="s">
        <v>42</v>
      </c>
    </row>
    <row r="33" spans="1:2" ht="14.95" customHeight="1" x14ac:dyDescent="0.25">
      <c r="A33" s="577"/>
      <c r="B33" t="s">
        <v>43</v>
      </c>
    </row>
    <row r="34" spans="1:2" ht="14.95" customHeight="1" x14ac:dyDescent="0.25">
      <c r="A34" s="15" t="s">
        <v>28</v>
      </c>
    </row>
  </sheetData>
  <mergeCells count="17">
    <mergeCell ref="C20:E20"/>
    <mergeCell ref="A22:AN22"/>
    <mergeCell ref="Y1:AB1"/>
    <mergeCell ref="AC1:AF1"/>
    <mergeCell ref="AG1:AJ1"/>
    <mergeCell ref="AK1:AN1"/>
    <mergeCell ref="C16:E16"/>
    <mergeCell ref="C17:E17"/>
    <mergeCell ref="C21:E21"/>
    <mergeCell ref="P1:R1"/>
    <mergeCell ref="A1:C1"/>
    <mergeCell ref="E1:G1"/>
    <mergeCell ref="H1:I1"/>
    <mergeCell ref="J1:M1"/>
    <mergeCell ref="N1:O1"/>
    <mergeCell ref="C18:E18"/>
    <mergeCell ref="C19:E1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0645A-8E92-462E-948C-5473B779ECDE}">
  <dimension ref="A1:R59"/>
  <sheetViews>
    <sheetView workbookViewId="0">
      <selection activeCell="C14" sqref="C14"/>
    </sheetView>
  </sheetViews>
  <sheetFormatPr defaultRowHeight="14.3" x14ac:dyDescent="0.25"/>
  <cols>
    <col min="3" max="3" width="30.75" customWidth="1"/>
  </cols>
  <sheetData>
    <row r="1" spans="1:18" ht="14.95" thickBot="1" x14ac:dyDescent="0.3">
      <c r="H1" s="900" t="s">
        <v>58</v>
      </c>
      <c r="I1" s="902" t="s">
        <v>92</v>
      </c>
      <c r="J1" s="903"/>
      <c r="K1" s="902" t="s">
        <v>93</v>
      </c>
      <c r="L1" s="904"/>
      <c r="M1" s="904"/>
      <c r="N1" s="904"/>
      <c r="O1" s="903"/>
      <c r="P1" s="902" t="s">
        <v>95</v>
      </c>
      <c r="Q1" s="903"/>
    </row>
    <row r="2" spans="1:18" ht="17" thickBot="1" x14ac:dyDescent="0.3">
      <c r="A2" s="160"/>
      <c r="B2" s="905" t="s">
        <v>54</v>
      </c>
      <c r="C2" s="906"/>
      <c r="D2" s="907" t="s">
        <v>55</v>
      </c>
      <c r="E2" s="908"/>
      <c r="F2" s="177" t="s">
        <v>56</v>
      </c>
      <c r="H2" s="901"/>
      <c r="I2" s="220" t="s">
        <v>4</v>
      </c>
      <c r="J2" s="220" t="s">
        <v>5</v>
      </c>
      <c r="K2" s="221" t="s">
        <v>96</v>
      </c>
      <c r="L2" s="222" t="s">
        <v>97</v>
      </c>
      <c r="M2" s="222" t="s">
        <v>98</v>
      </c>
      <c r="N2" s="223" t="s">
        <v>99</v>
      </c>
      <c r="O2" s="224" t="s">
        <v>100</v>
      </c>
      <c r="P2" s="221" t="s">
        <v>4</v>
      </c>
      <c r="Q2" s="224" t="s">
        <v>5</v>
      </c>
    </row>
    <row r="3" spans="1:18" ht="14.95" customHeight="1" thickBot="1" x14ac:dyDescent="0.3">
      <c r="A3" s="212" t="s">
        <v>34</v>
      </c>
      <c r="B3" s="514">
        <f>frarwc2023overallyc</f>
        <v>1</v>
      </c>
      <c r="C3" s="548" t="s">
        <v>875</v>
      </c>
      <c r="D3" s="179">
        <f>frarwc2023overallrc</f>
        <v>0</v>
      </c>
      <c r="E3" s="822"/>
      <c r="F3" s="180">
        <f t="shared" ref="F3:F22" si="0">SUM(B3+D3*2)</f>
        <v>1</v>
      </c>
      <c r="H3" s="543" t="s">
        <v>37</v>
      </c>
      <c r="I3" s="226">
        <v>0</v>
      </c>
      <c r="J3" s="226">
        <v>0</v>
      </c>
      <c r="K3" s="226">
        <v>20</v>
      </c>
      <c r="L3" s="226">
        <v>0</v>
      </c>
      <c r="M3" s="226">
        <v>0</v>
      </c>
      <c r="N3" s="226">
        <v>0</v>
      </c>
      <c r="O3" s="227">
        <f t="shared" ref="O3:O22" si="1">SUM(K3:N3)</f>
        <v>20</v>
      </c>
      <c r="P3" s="812">
        <f>SUM(I3/O3)*10</f>
        <v>0</v>
      </c>
      <c r="Q3" s="581">
        <f>SUM(J3/O3)*10</f>
        <v>0</v>
      </c>
    </row>
    <row r="4" spans="1:18" ht="14.95" customHeight="1" thickBot="1" x14ac:dyDescent="0.3">
      <c r="A4" s="59" t="s">
        <v>39</v>
      </c>
      <c r="B4" s="514">
        <f>irerwc2023overallyc</f>
        <v>1</v>
      </c>
      <c r="C4" s="548" t="s">
        <v>882</v>
      </c>
      <c r="D4" s="541">
        <f>irerwc2023overallrc</f>
        <v>0</v>
      </c>
      <c r="E4" s="822"/>
      <c r="F4" s="180">
        <f t="shared" si="0"/>
        <v>1</v>
      </c>
      <c r="H4" s="544" t="s">
        <v>29</v>
      </c>
      <c r="I4" s="226">
        <v>0</v>
      </c>
      <c r="J4" s="226">
        <v>7</v>
      </c>
      <c r="K4" s="226">
        <v>4</v>
      </c>
      <c r="L4" s="226">
        <v>8</v>
      </c>
      <c r="M4" s="226">
        <v>0</v>
      </c>
      <c r="N4" s="226">
        <v>0</v>
      </c>
      <c r="O4" s="227">
        <f t="shared" si="1"/>
        <v>12</v>
      </c>
      <c r="P4" s="812">
        <f>SUM(I4/O4)*10</f>
        <v>0</v>
      </c>
      <c r="Q4" s="581">
        <f>SUM(J4/O4)*10</f>
        <v>5.8333333333333339</v>
      </c>
    </row>
    <row r="5" spans="1:18" ht="14.95" customHeight="1" thickBot="1" x14ac:dyDescent="0.3">
      <c r="A5" s="67" t="s">
        <v>170</v>
      </c>
      <c r="B5" s="532">
        <f>RSArwc2023overallyc</f>
        <v>3</v>
      </c>
      <c r="C5" s="539" t="s">
        <v>993</v>
      </c>
      <c r="D5" s="541">
        <f>RSArwc2023overallrc</f>
        <v>0</v>
      </c>
      <c r="E5" s="822"/>
      <c r="F5" s="180">
        <f t="shared" si="0"/>
        <v>3</v>
      </c>
      <c r="H5" s="750" t="s">
        <v>192</v>
      </c>
      <c r="I5" s="226">
        <v>0</v>
      </c>
      <c r="J5" s="226">
        <v>35</v>
      </c>
      <c r="K5" s="226">
        <v>47</v>
      </c>
      <c r="L5" s="226">
        <v>1</v>
      </c>
      <c r="M5" s="226">
        <v>0</v>
      </c>
      <c r="N5" s="226">
        <v>0</v>
      </c>
      <c r="O5" s="227">
        <f t="shared" si="1"/>
        <v>48</v>
      </c>
      <c r="P5" s="812">
        <f t="shared" ref="P5" si="2">SUM(I5/O5)*10</f>
        <v>0</v>
      </c>
      <c r="Q5" s="581">
        <f t="shared" ref="Q5" si="3">SUM(J5/O5)*10</f>
        <v>7.2916666666666661</v>
      </c>
    </row>
    <row r="6" spans="1:18" ht="14.95" customHeight="1" thickBot="1" x14ac:dyDescent="0.3">
      <c r="A6" s="111" t="s">
        <v>35</v>
      </c>
      <c r="B6" s="532">
        <f>scorwc2023overallyc</f>
        <v>1</v>
      </c>
      <c r="C6" s="539" t="s">
        <v>953</v>
      </c>
      <c r="D6" s="541">
        <f>scorwc2023overallrc</f>
        <v>0</v>
      </c>
      <c r="E6" s="822"/>
      <c r="F6" s="180">
        <f t="shared" si="0"/>
        <v>1</v>
      </c>
      <c r="H6" s="238" t="s">
        <v>30</v>
      </c>
      <c r="I6" s="226">
        <v>27</v>
      </c>
      <c r="J6" s="226">
        <v>7</v>
      </c>
      <c r="K6" s="226">
        <v>77</v>
      </c>
      <c r="L6" s="226">
        <v>0</v>
      </c>
      <c r="M6" s="226">
        <v>0</v>
      </c>
      <c r="N6" s="226">
        <v>0</v>
      </c>
      <c r="O6" s="227">
        <f t="shared" si="1"/>
        <v>77</v>
      </c>
      <c r="P6" s="812">
        <f t="shared" ref="P6:P14" si="4">SUM(I6/O6)*10</f>
        <v>3.5064935064935066</v>
      </c>
      <c r="Q6" s="581">
        <f t="shared" ref="Q6:Q14" si="5">SUM(J6/O6)*10</f>
        <v>0.90909090909090917</v>
      </c>
    </row>
    <row r="7" spans="1:18" ht="14.95" customHeight="1" thickBot="1" x14ac:dyDescent="0.3">
      <c r="A7" s="80" t="s">
        <v>37</v>
      </c>
      <c r="B7" s="514">
        <f>arg2023wcoverallyc</f>
        <v>2</v>
      </c>
      <c r="C7" s="540" t="s">
        <v>923</v>
      </c>
      <c r="D7" s="538">
        <f>arg2023wcoverallrc</f>
        <v>0</v>
      </c>
      <c r="E7" s="821"/>
      <c r="F7" s="177">
        <f t="shared" si="0"/>
        <v>2</v>
      </c>
      <c r="H7" s="545" t="s">
        <v>31</v>
      </c>
      <c r="I7" s="226">
        <v>21</v>
      </c>
      <c r="J7" s="226">
        <v>21</v>
      </c>
      <c r="K7" s="226">
        <v>41</v>
      </c>
      <c r="L7" s="226">
        <v>0</v>
      </c>
      <c r="M7" s="226">
        <v>0</v>
      </c>
      <c r="N7" s="226">
        <v>0</v>
      </c>
      <c r="O7" s="227">
        <f t="shared" si="1"/>
        <v>41</v>
      </c>
      <c r="P7" s="580">
        <f t="shared" si="4"/>
        <v>5.1219512195121952</v>
      </c>
      <c r="Q7" s="581">
        <f t="shared" si="5"/>
        <v>5.1219512195121952</v>
      </c>
    </row>
    <row r="8" spans="1:18" ht="14.95" customHeight="1" thickBot="1" x14ac:dyDescent="0.3">
      <c r="A8" s="534" t="s">
        <v>29</v>
      </c>
      <c r="B8" s="514">
        <f>aus2023wcoverallyc</f>
        <v>2</v>
      </c>
      <c r="C8" s="540" t="s">
        <v>933</v>
      </c>
      <c r="D8" s="538">
        <f>aus2023wcoverallrc</f>
        <v>0</v>
      </c>
      <c r="E8" s="821"/>
      <c r="F8" s="177">
        <f t="shared" si="0"/>
        <v>2</v>
      </c>
      <c r="H8" s="211" t="s">
        <v>34</v>
      </c>
      <c r="I8" s="226">
        <v>0</v>
      </c>
      <c r="J8" s="226">
        <v>0</v>
      </c>
      <c r="K8" s="226">
        <v>10</v>
      </c>
      <c r="L8" s="226">
        <v>0</v>
      </c>
      <c r="M8" s="226">
        <v>0</v>
      </c>
      <c r="N8" s="226">
        <v>0</v>
      </c>
      <c r="O8" s="227">
        <f t="shared" si="1"/>
        <v>10</v>
      </c>
      <c r="P8" s="812">
        <f t="shared" ref="P8" si="6">SUM(I8/O8)*10</f>
        <v>0</v>
      </c>
      <c r="Q8" s="581">
        <f t="shared" ref="Q8" si="7">SUM(J8/O8)*10</f>
        <v>0</v>
      </c>
      <c r="R8" t="s">
        <v>58</v>
      </c>
    </row>
    <row r="9" spans="1:18" ht="14.95" customHeight="1" thickBot="1" x14ac:dyDescent="0.3">
      <c r="A9" s="537" t="s">
        <v>38</v>
      </c>
      <c r="B9" s="514">
        <f>georwc2023overallyc</f>
        <v>2</v>
      </c>
      <c r="C9" s="540" t="s">
        <v>945</v>
      </c>
      <c r="D9" s="538">
        <f>georwc2023overallrc</f>
        <v>0</v>
      </c>
      <c r="E9" s="821"/>
      <c r="F9" s="177">
        <f t="shared" si="0"/>
        <v>2</v>
      </c>
      <c r="H9" s="546" t="s">
        <v>38</v>
      </c>
      <c r="I9" s="226">
        <v>5</v>
      </c>
      <c r="J9" s="226">
        <v>12</v>
      </c>
      <c r="K9" s="226">
        <v>20</v>
      </c>
      <c r="L9" s="226">
        <v>0</v>
      </c>
      <c r="M9" s="226">
        <v>0</v>
      </c>
      <c r="N9" s="226">
        <v>0</v>
      </c>
      <c r="O9" s="227">
        <f t="shared" si="1"/>
        <v>20</v>
      </c>
      <c r="P9" s="812">
        <f t="shared" si="4"/>
        <v>2.5</v>
      </c>
      <c r="Q9" s="581">
        <f t="shared" si="5"/>
        <v>6</v>
      </c>
    </row>
    <row r="10" spans="1:18" ht="14.95" customHeight="1" thickBot="1" x14ac:dyDescent="0.3">
      <c r="A10" s="381" t="s">
        <v>33</v>
      </c>
      <c r="B10" s="514">
        <f>itarwc2023overallyc</f>
        <v>2</v>
      </c>
      <c r="C10" s="540" t="s">
        <v>905</v>
      </c>
      <c r="D10" s="541">
        <f>itarwc2023overallrc</f>
        <v>0</v>
      </c>
      <c r="E10" s="822"/>
      <c r="F10" s="180">
        <f t="shared" si="0"/>
        <v>2</v>
      </c>
      <c r="H10" s="59" t="s">
        <v>39</v>
      </c>
      <c r="I10" s="226">
        <v>0</v>
      </c>
      <c r="J10" s="226">
        <v>10</v>
      </c>
      <c r="K10" s="226">
        <v>10</v>
      </c>
      <c r="L10" s="226">
        <v>0</v>
      </c>
      <c r="M10" s="226">
        <v>0</v>
      </c>
      <c r="N10" s="226">
        <v>0</v>
      </c>
      <c r="O10" s="227">
        <f t="shared" si="1"/>
        <v>10</v>
      </c>
      <c r="P10" s="812">
        <f t="shared" ref="P10" si="8">SUM(I10/O10)*10</f>
        <v>0</v>
      </c>
      <c r="Q10" s="581">
        <f t="shared" ref="Q10" si="9">SUM(J10/O10)*10</f>
        <v>10</v>
      </c>
      <c r="R10" t="s">
        <v>58</v>
      </c>
    </row>
    <row r="11" spans="1:18" ht="14.95" customHeight="1" thickBot="1" x14ac:dyDescent="0.3">
      <c r="A11" s="82" t="s">
        <v>105</v>
      </c>
      <c r="B11" s="532">
        <f>ururwc2023overallyc</f>
        <v>2</v>
      </c>
      <c r="C11" s="539" t="s">
        <v>938</v>
      </c>
      <c r="D11" s="541">
        <f>ururwc2023overallrc</f>
        <v>0</v>
      </c>
      <c r="E11" s="822"/>
      <c r="F11" s="180">
        <f t="shared" si="0"/>
        <v>2</v>
      </c>
      <c r="H11" s="381" t="s">
        <v>33</v>
      </c>
      <c r="I11" s="226">
        <v>0</v>
      </c>
      <c r="J11" s="226">
        <v>14</v>
      </c>
      <c r="K11" s="226">
        <v>4</v>
      </c>
      <c r="L11" s="226">
        <v>8</v>
      </c>
      <c r="M11" s="226">
        <v>0</v>
      </c>
      <c r="N11" s="226">
        <v>0</v>
      </c>
      <c r="O11" s="227">
        <f t="shared" si="1"/>
        <v>12</v>
      </c>
      <c r="P11" s="812">
        <f t="shared" ref="P11" si="10">SUM(I11/O11)*10</f>
        <v>0</v>
      </c>
      <c r="Q11" s="581">
        <f t="shared" ref="Q11" si="11">SUM(J11/O11)*10</f>
        <v>11.666666666666668</v>
      </c>
      <c r="R11" t="s">
        <v>58</v>
      </c>
    </row>
    <row r="12" spans="1:18" ht="14.95" customHeight="1" thickBot="1" x14ac:dyDescent="0.3">
      <c r="A12" s="242" t="s">
        <v>30</v>
      </c>
      <c r="B12" s="532">
        <f>englandrwc2023overallyc</f>
        <v>0</v>
      </c>
      <c r="C12" s="520"/>
      <c r="D12" s="178">
        <f>englandrwc2023overallrc</f>
        <v>1</v>
      </c>
      <c r="E12" s="823" t="s">
        <v>827</v>
      </c>
      <c r="F12" s="180">
        <f t="shared" si="0"/>
        <v>2</v>
      </c>
      <c r="H12" s="536" t="s">
        <v>36</v>
      </c>
      <c r="I12" s="226">
        <v>7</v>
      </c>
      <c r="J12" s="226">
        <v>15</v>
      </c>
      <c r="K12" s="226">
        <v>30</v>
      </c>
      <c r="L12" s="226">
        <v>0</v>
      </c>
      <c r="M12" s="226">
        <v>0</v>
      </c>
      <c r="N12" s="226">
        <v>0</v>
      </c>
      <c r="O12" s="227">
        <f t="shared" si="1"/>
        <v>30</v>
      </c>
      <c r="P12" s="812">
        <f t="shared" si="4"/>
        <v>2.3333333333333335</v>
      </c>
      <c r="Q12" s="581">
        <f t="shared" si="5"/>
        <v>5</v>
      </c>
    </row>
    <row r="13" spans="1:18" ht="14.95" customHeight="1" thickBot="1" x14ac:dyDescent="0.3">
      <c r="A13" s="536" t="s">
        <v>36</v>
      </c>
      <c r="B13" s="181">
        <f>jpnrwc2023overallyc</f>
        <v>3</v>
      </c>
      <c r="C13" s="184" t="s">
        <v>956</v>
      </c>
      <c r="D13" s="542">
        <f>jpnrwc2023overallrc</f>
        <v>0</v>
      </c>
      <c r="E13" s="549"/>
      <c r="F13" s="177">
        <f t="shared" si="0"/>
        <v>3</v>
      </c>
      <c r="H13" s="248" t="s">
        <v>121</v>
      </c>
      <c r="I13" s="226">
        <v>8</v>
      </c>
      <c r="J13" s="226">
        <v>80</v>
      </c>
      <c r="K13" s="226">
        <v>66</v>
      </c>
      <c r="L13" s="226">
        <v>9</v>
      </c>
      <c r="M13" s="226">
        <v>0</v>
      </c>
      <c r="N13" s="226">
        <v>0</v>
      </c>
      <c r="O13" s="227">
        <f t="shared" si="1"/>
        <v>75</v>
      </c>
      <c r="P13" s="812">
        <f t="shared" si="4"/>
        <v>1.0666666666666667</v>
      </c>
      <c r="Q13" s="581">
        <f t="shared" si="5"/>
        <v>10.666666666666666</v>
      </c>
    </row>
    <row r="14" spans="1:18" ht="14.95" customHeight="1" thickBot="1" x14ac:dyDescent="0.3">
      <c r="A14" s="9" t="s">
        <v>32</v>
      </c>
      <c r="B14" s="182">
        <f>walrwc2023overallyc</f>
        <v>3</v>
      </c>
      <c r="C14" s="520" t="s">
        <v>944</v>
      </c>
      <c r="D14" s="178">
        <f>walrwc2023overallrc</f>
        <v>0</v>
      </c>
      <c r="E14" s="823"/>
      <c r="F14" s="180">
        <f t="shared" si="0"/>
        <v>3</v>
      </c>
      <c r="H14" s="535" t="s">
        <v>117</v>
      </c>
      <c r="I14" s="226">
        <v>23</v>
      </c>
      <c r="J14" s="226">
        <v>19</v>
      </c>
      <c r="K14" s="226">
        <v>111</v>
      </c>
      <c r="L14" s="226">
        <v>0</v>
      </c>
      <c r="M14" s="226">
        <v>0</v>
      </c>
      <c r="N14" s="226">
        <v>0</v>
      </c>
      <c r="O14" s="227">
        <f t="shared" si="1"/>
        <v>111</v>
      </c>
      <c r="P14" s="812">
        <f t="shared" si="4"/>
        <v>2.0720720720720722</v>
      </c>
      <c r="Q14" s="581">
        <f t="shared" si="5"/>
        <v>1.7117117117117118</v>
      </c>
    </row>
    <row r="15" spans="1:18" ht="14.95" customHeight="1" thickBot="1" x14ac:dyDescent="0.3">
      <c r="A15" s="598" t="s">
        <v>124</v>
      </c>
      <c r="B15" s="181">
        <f>prtrwc2023overallyc</f>
        <v>2</v>
      </c>
      <c r="C15" s="184" t="s">
        <v>932</v>
      </c>
      <c r="D15" s="542">
        <f>prtrwc2023overallrc</f>
        <v>1</v>
      </c>
      <c r="E15" s="549" t="s">
        <v>879</v>
      </c>
      <c r="F15" s="177">
        <f t="shared" si="0"/>
        <v>4</v>
      </c>
      <c r="H15" s="598" t="s">
        <v>124</v>
      </c>
      <c r="I15" s="226">
        <v>3</v>
      </c>
      <c r="J15" s="226">
        <v>28</v>
      </c>
      <c r="K15" s="226">
        <v>26</v>
      </c>
      <c r="L15" s="226">
        <v>0</v>
      </c>
      <c r="M15" s="226">
        <v>0</v>
      </c>
      <c r="N15" s="226">
        <v>0</v>
      </c>
      <c r="O15" s="227">
        <f t="shared" si="1"/>
        <v>26</v>
      </c>
      <c r="P15" s="812">
        <f t="shared" ref="P15" si="12">SUM(I15/O15)*10</f>
        <v>1.153846153846154</v>
      </c>
      <c r="Q15" s="581">
        <f t="shared" ref="Q15" si="13">SUM(J15/O15)*10</f>
        <v>10.769230769230768</v>
      </c>
      <c r="R15" t="s">
        <v>58</v>
      </c>
    </row>
    <row r="16" spans="1:18" ht="14.95" customHeight="1" thickBot="1" x14ac:dyDescent="0.3">
      <c r="A16" s="6" t="s">
        <v>118</v>
      </c>
      <c r="B16" s="182">
        <f>tgarwc2023overallyc</f>
        <v>2</v>
      </c>
      <c r="C16" s="183" t="s">
        <v>959</v>
      </c>
      <c r="D16" s="178">
        <f>tgarwc2023overallrc</f>
        <v>1</v>
      </c>
      <c r="E16" s="823" t="s">
        <v>909</v>
      </c>
      <c r="F16" s="180">
        <f t="shared" si="0"/>
        <v>4</v>
      </c>
      <c r="H16" s="100" t="s">
        <v>122</v>
      </c>
      <c r="I16" s="226">
        <v>0</v>
      </c>
      <c r="J16" s="226">
        <v>47</v>
      </c>
      <c r="K16" s="226">
        <v>29</v>
      </c>
      <c r="L16" s="226">
        <v>9</v>
      </c>
      <c r="M16" s="226">
        <v>1</v>
      </c>
      <c r="N16" s="226">
        <v>0</v>
      </c>
      <c r="O16" s="227">
        <f t="shared" si="1"/>
        <v>39</v>
      </c>
      <c r="P16" s="812">
        <f t="shared" ref="P16:P22" si="14">SUM(I16/O16)*10</f>
        <v>0</v>
      </c>
      <c r="Q16" s="581">
        <f t="shared" ref="Q16:Q22" si="15">SUM(J16/O16)*10</f>
        <v>12.051282051282051</v>
      </c>
    </row>
    <row r="17" spans="1:18" ht="14.95" customHeight="1" thickBot="1" x14ac:dyDescent="0.3">
      <c r="A17" s="750" t="s">
        <v>192</v>
      </c>
      <c r="B17" s="181">
        <f>chl2023wcoverallyc</f>
        <v>5</v>
      </c>
      <c r="C17" s="184" t="s">
        <v>904</v>
      </c>
      <c r="D17" s="542">
        <f>chl2023wcoverallrc</f>
        <v>0</v>
      </c>
      <c r="E17" s="549"/>
      <c r="F17" s="177">
        <f t="shared" si="0"/>
        <v>5</v>
      </c>
      <c r="H17" s="376" t="s">
        <v>119</v>
      </c>
      <c r="I17" s="226">
        <v>25</v>
      </c>
      <c r="J17" s="226">
        <v>39</v>
      </c>
      <c r="K17" s="226">
        <v>83</v>
      </c>
      <c r="L17" s="226">
        <v>0</v>
      </c>
      <c r="M17" s="226">
        <v>0</v>
      </c>
      <c r="N17" s="226">
        <v>0</v>
      </c>
      <c r="O17" s="227">
        <f t="shared" ref="O17:O21" si="16">SUM(K17:N17)</f>
        <v>83</v>
      </c>
      <c r="P17" s="812">
        <f t="shared" ref="P17" si="17">SUM(I17/O17)*10</f>
        <v>3.0120481927710845</v>
      </c>
      <c r="Q17" s="581">
        <f t="shared" ref="Q17" si="18">SUM(J17/O17)*10</f>
        <v>4.6987951807228914</v>
      </c>
    </row>
    <row r="18" spans="1:18" ht="14.95" customHeight="1" thickBot="1" x14ac:dyDescent="0.3">
      <c r="A18" s="41" t="s">
        <v>31</v>
      </c>
      <c r="B18" s="181">
        <f>fijrwc2023overallyc</f>
        <v>5</v>
      </c>
      <c r="C18" s="184" t="s">
        <v>979</v>
      </c>
      <c r="D18" s="542">
        <f>fijrwc2023overallrc</f>
        <v>0</v>
      </c>
      <c r="E18" s="549"/>
      <c r="F18" s="177">
        <f t="shared" si="0"/>
        <v>5</v>
      </c>
      <c r="H18" s="111" t="s">
        <v>35</v>
      </c>
      <c r="I18" s="226">
        <v>0</v>
      </c>
      <c r="J18" s="226">
        <v>5</v>
      </c>
      <c r="K18" s="226">
        <v>10</v>
      </c>
      <c r="L18" s="226">
        <v>0</v>
      </c>
      <c r="M18" s="226">
        <v>0</v>
      </c>
      <c r="N18" s="226">
        <v>0</v>
      </c>
      <c r="O18" s="227">
        <f t="shared" si="16"/>
        <v>10</v>
      </c>
      <c r="P18" s="812">
        <f t="shared" ref="P18" si="19">SUM(I18/O18)*10</f>
        <v>0</v>
      </c>
      <c r="Q18" s="581">
        <f t="shared" ref="Q18" si="20">SUM(J18/O18)*10</f>
        <v>5</v>
      </c>
    </row>
    <row r="19" spans="1:18" ht="14.95" customHeight="1" thickBot="1" x14ac:dyDescent="0.3">
      <c r="A19" s="100" t="s">
        <v>122</v>
      </c>
      <c r="B19" s="182">
        <f>romrwc2023overallyc</f>
        <v>5</v>
      </c>
      <c r="C19" s="183" t="s">
        <v>960</v>
      </c>
      <c r="D19" s="178">
        <f>romrwc2023overallrc</f>
        <v>0</v>
      </c>
      <c r="E19" s="823"/>
      <c r="F19" s="180">
        <f t="shared" si="0"/>
        <v>5</v>
      </c>
      <c r="H19" s="67" t="s">
        <v>170</v>
      </c>
      <c r="I19" s="226">
        <v>0</v>
      </c>
      <c r="J19" s="226">
        <v>0</v>
      </c>
      <c r="K19" s="226">
        <v>27</v>
      </c>
      <c r="L19" s="226">
        <v>0</v>
      </c>
      <c r="M19" s="226">
        <v>0</v>
      </c>
      <c r="N19" s="226">
        <v>0</v>
      </c>
      <c r="O19" s="227">
        <f t="shared" si="16"/>
        <v>27</v>
      </c>
      <c r="P19" s="812">
        <f t="shared" ref="P19" si="21">SUM(I19/O19)*10</f>
        <v>0</v>
      </c>
      <c r="Q19" s="581">
        <f t="shared" ref="Q19" si="22">SUM(J19/O19)*10</f>
        <v>0</v>
      </c>
    </row>
    <row r="20" spans="1:18" ht="14.95" customHeight="1" thickBot="1" x14ac:dyDescent="0.3">
      <c r="A20" s="535" t="s">
        <v>117</v>
      </c>
      <c r="B20" s="181">
        <f>nzlrwc2023overallyc</f>
        <v>5</v>
      </c>
      <c r="C20" s="184" t="s">
        <v>991</v>
      </c>
      <c r="D20" s="542">
        <f>nzlrwc2023overallrc</f>
        <v>2</v>
      </c>
      <c r="E20" s="549" t="s">
        <v>992</v>
      </c>
      <c r="F20" s="177">
        <f t="shared" si="0"/>
        <v>9</v>
      </c>
      <c r="H20" s="6" t="s">
        <v>118</v>
      </c>
      <c r="I20" s="226">
        <v>7</v>
      </c>
      <c r="J20" s="226">
        <v>21</v>
      </c>
      <c r="K20" s="226">
        <v>26</v>
      </c>
      <c r="L20" s="226">
        <v>0</v>
      </c>
      <c r="M20" s="226">
        <v>0</v>
      </c>
      <c r="N20" s="226">
        <v>0</v>
      </c>
      <c r="O20" s="227">
        <f t="shared" si="16"/>
        <v>26</v>
      </c>
      <c r="P20" s="812">
        <f t="shared" ref="P20" si="23">SUM(I20/O20)*10</f>
        <v>2.6923076923076921</v>
      </c>
      <c r="Q20" s="581">
        <f t="shared" ref="Q20" si="24">SUM(J20/O20)*10</f>
        <v>8.0769230769230766</v>
      </c>
      <c r="R20" t="s">
        <v>58</v>
      </c>
    </row>
    <row r="21" spans="1:18" ht="14.95" customHeight="1" thickBot="1" x14ac:dyDescent="0.3">
      <c r="A21" s="376" t="s">
        <v>119</v>
      </c>
      <c r="B21" s="182">
        <f>samrwc2023overallyc</f>
        <v>5</v>
      </c>
      <c r="C21" s="183" t="s">
        <v>951</v>
      </c>
      <c r="D21" s="178">
        <f>samrwc2023overallrc</f>
        <v>1</v>
      </c>
      <c r="E21" s="823" t="s">
        <v>918</v>
      </c>
      <c r="F21" s="180">
        <f t="shared" si="0"/>
        <v>7</v>
      </c>
      <c r="H21" s="82" t="s">
        <v>105</v>
      </c>
      <c r="I21" s="226">
        <v>0</v>
      </c>
      <c r="J21" s="226">
        <v>14</v>
      </c>
      <c r="K21" s="226">
        <v>14</v>
      </c>
      <c r="L21" s="226">
        <v>0</v>
      </c>
      <c r="M21" s="226">
        <v>0</v>
      </c>
      <c r="N21" s="226">
        <v>0</v>
      </c>
      <c r="O21" s="227">
        <f t="shared" si="16"/>
        <v>14</v>
      </c>
      <c r="P21" s="812">
        <f t="shared" ref="P21" si="25">SUM(I21/O21)*10</f>
        <v>0</v>
      </c>
      <c r="Q21" s="581">
        <f t="shared" ref="Q21" si="26">SUM(J21/O21)*10</f>
        <v>10</v>
      </c>
      <c r="R21" t="s">
        <v>58</v>
      </c>
    </row>
    <row r="22" spans="1:18" ht="14.95" customHeight="1" thickBot="1" x14ac:dyDescent="0.3">
      <c r="A22" s="248" t="s">
        <v>121</v>
      </c>
      <c r="B22" s="181">
        <f>namrwc2023overallyc</f>
        <v>4</v>
      </c>
      <c r="C22" s="184" t="s">
        <v>915</v>
      </c>
      <c r="D22" s="542">
        <f>namrwc2023overallrc</f>
        <v>2</v>
      </c>
      <c r="E22" s="839" t="s">
        <v>916</v>
      </c>
      <c r="F22" s="177">
        <f t="shared" si="0"/>
        <v>8</v>
      </c>
      <c r="H22" s="9" t="s">
        <v>32</v>
      </c>
      <c r="I22" s="226">
        <v>12</v>
      </c>
      <c r="J22" s="226">
        <v>15</v>
      </c>
      <c r="K22" s="226">
        <v>29</v>
      </c>
      <c r="L22" s="226">
        <v>0</v>
      </c>
      <c r="M22" s="226">
        <v>0</v>
      </c>
      <c r="N22" s="226">
        <v>0</v>
      </c>
      <c r="O22" s="227">
        <f t="shared" si="1"/>
        <v>29</v>
      </c>
      <c r="P22" s="812">
        <f t="shared" si="14"/>
        <v>4.1379310344827589</v>
      </c>
      <c r="Q22" s="581">
        <f t="shared" si="15"/>
        <v>5.1724137931034484</v>
      </c>
    </row>
    <row r="23" spans="1:18" ht="14.95" thickBot="1" x14ac:dyDescent="0.3">
      <c r="A23" s="244" t="s">
        <v>57</v>
      </c>
      <c r="B23" s="181">
        <f>SUM(B3:B22)</f>
        <v>55</v>
      </c>
      <c r="C23" s="184"/>
      <c r="D23" s="185">
        <f>SUM(D3:D22)</f>
        <v>8</v>
      </c>
      <c r="E23" s="186"/>
      <c r="F23" s="177" t="s">
        <v>58</v>
      </c>
      <c r="H23" s="233" t="s">
        <v>57</v>
      </c>
      <c r="I23" s="228">
        <f t="shared" ref="I23:N23" si="27">SUM(I3:I22)</f>
        <v>138</v>
      </c>
      <c r="J23" s="228">
        <f t="shared" si="27"/>
        <v>389</v>
      </c>
      <c r="K23" s="228">
        <f t="shared" si="27"/>
        <v>684</v>
      </c>
      <c r="L23" s="228">
        <f t="shared" si="27"/>
        <v>35</v>
      </c>
      <c r="M23" s="228">
        <f t="shared" si="27"/>
        <v>1</v>
      </c>
      <c r="N23" s="228">
        <f t="shared" si="27"/>
        <v>0</v>
      </c>
      <c r="O23" s="228">
        <f>SUM(O3:O9)</f>
        <v>228</v>
      </c>
      <c r="P23" s="231">
        <f t="shared" ref="P23" si="28">SUM(I23/O23)*10</f>
        <v>6.0526315789473681</v>
      </c>
      <c r="Q23" s="232">
        <f t="shared" ref="Q23" si="29">SUM(J23/O23)*10</f>
        <v>17.061403508771932</v>
      </c>
    </row>
    <row r="24" spans="1:18" x14ac:dyDescent="0.25">
      <c r="B24" s="189" t="s">
        <v>995</v>
      </c>
      <c r="D24" s="187" t="s">
        <v>995</v>
      </c>
      <c r="E24" s="188"/>
    </row>
    <row r="25" spans="1:18" x14ac:dyDescent="0.25">
      <c r="A25" s="189" t="s">
        <v>59</v>
      </c>
      <c r="B25" s="189"/>
      <c r="H25" s="189" t="s">
        <v>186</v>
      </c>
    </row>
    <row r="26" spans="1:18" ht="14.95" thickBot="1" x14ac:dyDescent="0.3">
      <c r="A26" s="898" t="s">
        <v>990</v>
      </c>
      <c r="B26" s="898"/>
      <c r="C26" s="899"/>
      <c r="D26" s="899"/>
      <c r="I26" s="189"/>
    </row>
    <row r="27" spans="1:18" ht="14.95" thickBot="1" x14ac:dyDescent="0.3">
      <c r="A27" s="371" t="s">
        <v>28</v>
      </c>
      <c r="B27" s="15"/>
      <c r="E27" t="s">
        <v>58</v>
      </c>
      <c r="H27" s="900" t="s">
        <v>58</v>
      </c>
      <c r="I27" s="902" t="s">
        <v>92</v>
      </c>
      <c r="J27" s="903"/>
      <c r="K27" s="902" t="s">
        <v>58</v>
      </c>
      <c r="L27" s="904"/>
      <c r="M27" s="904"/>
      <c r="N27" s="904"/>
      <c r="O27" s="903"/>
      <c r="P27" s="902" t="s">
        <v>95</v>
      </c>
      <c r="Q27" s="903"/>
    </row>
    <row r="28" spans="1:18" ht="14.95" thickBot="1" x14ac:dyDescent="0.3">
      <c r="H28" s="901"/>
      <c r="I28" s="220" t="s">
        <v>4</v>
      </c>
      <c r="J28" s="220" t="s">
        <v>5</v>
      </c>
      <c r="K28" s="221" t="s">
        <v>102</v>
      </c>
      <c r="L28" s="222" t="s">
        <v>103</v>
      </c>
      <c r="M28" s="222" t="s">
        <v>199</v>
      </c>
      <c r="N28" s="223" t="s">
        <v>189</v>
      </c>
      <c r="O28" s="224" t="s">
        <v>100</v>
      </c>
      <c r="P28" s="221" t="s">
        <v>4</v>
      </c>
      <c r="Q28" s="224" t="s">
        <v>5</v>
      </c>
    </row>
    <row r="29" spans="1:18" ht="14.95" thickBot="1" x14ac:dyDescent="0.3">
      <c r="H29" s="543" t="s">
        <v>37</v>
      </c>
      <c r="I29" s="226">
        <v>19</v>
      </c>
      <c r="J29" s="226">
        <v>29</v>
      </c>
      <c r="K29" s="226">
        <v>92</v>
      </c>
      <c r="L29" s="226">
        <v>0</v>
      </c>
      <c r="M29" s="226">
        <v>0</v>
      </c>
      <c r="N29" s="226">
        <v>0</v>
      </c>
      <c r="O29" s="227">
        <f t="shared" ref="O29:O35" si="30">SUM(K29:N29)</f>
        <v>92</v>
      </c>
      <c r="P29" s="812">
        <f t="shared" ref="P29" si="31">SUM(I29/O29)*10</f>
        <v>2.0652173913043477</v>
      </c>
      <c r="Q29" s="581">
        <f t="shared" ref="Q29" si="32">SUM(J29/O29)*10</f>
        <v>3.1521739130434785</v>
      </c>
    </row>
    <row r="30" spans="1:18" ht="14.95" thickBot="1" x14ac:dyDescent="0.3">
      <c r="H30" s="544" t="s">
        <v>29</v>
      </c>
      <c r="I30" s="226">
        <v>21</v>
      </c>
      <c r="J30" s="226">
        <v>5</v>
      </c>
      <c r="K30" s="226">
        <v>20</v>
      </c>
      <c r="L30" s="226">
        <v>0</v>
      </c>
      <c r="M30" s="226">
        <v>0</v>
      </c>
      <c r="N30" s="226">
        <v>0</v>
      </c>
      <c r="O30" s="227">
        <f t="shared" si="30"/>
        <v>20</v>
      </c>
      <c r="P30" s="812">
        <f t="shared" ref="P30:P38" si="33">SUM(I30/O30)*10</f>
        <v>10.5</v>
      </c>
      <c r="Q30" s="581">
        <f t="shared" ref="Q30:Q38" si="34">SUM(J30/O30)*10</f>
        <v>2.5</v>
      </c>
    </row>
    <row r="31" spans="1:18" ht="14.95" thickBot="1" x14ac:dyDescent="0.3">
      <c r="H31" s="750" t="s">
        <v>192</v>
      </c>
      <c r="I31" s="226">
        <v>5</v>
      </c>
      <c r="J31" s="226">
        <v>7</v>
      </c>
      <c r="K31" s="226">
        <v>19</v>
      </c>
      <c r="L31" s="226">
        <v>0</v>
      </c>
      <c r="M31" s="226">
        <v>0</v>
      </c>
      <c r="N31" s="226">
        <v>0</v>
      </c>
      <c r="O31" s="227">
        <f t="shared" si="30"/>
        <v>19</v>
      </c>
      <c r="P31" s="812">
        <f t="shared" ref="P31" si="35">SUM(I31/O31)*10</f>
        <v>2.6315789473684208</v>
      </c>
      <c r="Q31" s="581">
        <f t="shared" ref="Q31" si="36">SUM(J31/O31)*10</f>
        <v>3.6842105263157894</v>
      </c>
    </row>
    <row r="32" spans="1:18" ht="14.95" thickBot="1" x14ac:dyDescent="0.3">
      <c r="H32" s="238" t="s">
        <v>30</v>
      </c>
      <c r="I32" s="226">
        <v>28</v>
      </c>
      <c r="J32" s="226">
        <v>7</v>
      </c>
      <c r="K32" s="226">
        <v>30</v>
      </c>
      <c r="L32" s="226">
        <v>0</v>
      </c>
      <c r="M32" s="226">
        <v>0</v>
      </c>
      <c r="N32" s="226">
        <v>0</v>
      </c>
      <c r="O32" s="227">
        <f t="shared" si="30"/>
        <v>30</v>
      </c>
      <c r="P32" s="580">
        <f t="shared" ref="P32" si="37">SUM(I32/O32)*10</f>
        <v>9.3333333333333339</v>
      </c>
      <c r="Q32" s="581">
        <f t="shared" ref="Q32" si="38">SUM(J32/O32)*10</f>
        <v>2.3333333333333335</v>
      </c>
      <c r="R32" t="s">
        <v>58</v>
      </c>
    </row>
    <row r="33" spans="8:18" ht="14.95" thickBot="1" x14ac:dyDescent="0.3">
      <c r="H33" s="545" t="s">
        <v>31</v>
      </c>
      <c r="I33" s="226">
        <v>5</v>
      </c>
      <c r="J33" s="226">
        <v>0</v>
      </c>
      <c r="K33" s="226">
        <v>4</v>
      </c>
      <c r="L33" s="226">
        <v>0</v>
      </c>
      <c r="M33" s="226">
        <v>0</v>
      </c>
      <c r="N33" s="226">
        <v>0</v>
      </c>
      <c r="O33" s="227">
        <f t="shared" si="30"/>
        <v>4</v>
      </c>
      <c r="P33" s="580">
        <f t="shared" si="33"/>
        <v>12.5</v>
      </c>
      <c r="Q33" s="581">
        <f t="shared" si="34"/>
        <v>0</v>
      </c>
    </row>
    <row r="34" spans="8:18" ht="14.95" thickBot="1" x14ac:dyDescent="0.3">
      <c r="H34" s="211" t="s">
        <v>34</v>
      </c>
      <c r="I34" s="226">
        <v>45</v>
      </c>
      <c r="J34" s="226">
        <v>0</v>
      </c>
      <c r="K34" s="226">
        <v>55</v>
      </c>
      <c r="L34" s="226">
        <v>1</v>
      </c>
      <c r="M34" s="226">
        <v>0</v>
      </c>
      <c r="N34" s="226">
        <v>0</v>
      </c>
      <c r="O34" s="227">
        <f t="shared" si="30"/>
        <v>56</v>
      </c>
      <c r="P34" s="812">
        <f t="shared" si="33"/>
        <v>8.0357142857142865</v>
      </c>
      <c r="Q34" s="581">
        <f t="shared" si="34"/>
        <v>0</v>
      </c>
    </row>
    <row r="35" spans="8:18" ht="14.95" thickBot="1" x14ac:dyDescent="0.3">
      <c r="H35" s="546" t="s">
        <v>38</v>
      </c>
      <c r="I35" s="226">
        <v>0</v>
      </c>
      <c r="J35" s="226">
        <v>10</v>
      </c>
      <c r="K35" s="226">
        <v>21</v>
      </c>
      <c r="L35" s="226">
        <v>0</v>
      </c>
      <c r="M35" s="226">
        <v>0</v>
      </c>
      <c r="N35" s="226">
        <v>0</v>
      </c>
      <c r="O35" s="227">
        <f t="shared" si="30"/>
        <v>21</v>
      </c>
      <c r="P35" s="580">
        <f t="shared" ref="P35" si="39">SUM(I35/O35)*10</f>
        <v>0</v>
      </c>
      <c r="Q35" s="581">
        <f t="shared" ref="Q35" si="40">SUM(J35/O35)*10</f>
        <v>4.7619047619047619</v>
      </c>
      <c r="R35" t="s">
        <v>58</v>
      </c>
    </row>
    <row r="36" spans="8:18" ht="14.95" thickBot="1" x14ac:dyDescent="0.3">
      <c r="H36" s="59" t="s">
        <v>39</v>
      </c>
      <c r="I36" s="226">
        <v>26</v>
      </c>
      <c r="J36" s="226">
        <v>3</v>
      </c>
      <c r="K36" s="226">
        <v>40</v>
      </c>
      <c r="L36" s="226">
        <v>0</v>
      </c>
      <c r="M36" s="226">
        <v>0</v>
      </c>
      <c r="N36" s="226">
        <v>0</v>
      </c>
      <c r="O36" s="227">
        <f t="shared" ref="O36:O41" si="41">SUM(K36:N36)</f>
        <v>40</v>
      </c>
      <c r="P36" s="812">
        <f t="shared" si="33"/>
        <v>6.5</v>
      </c>
      <c r="Q36" s="581">
        <f t="shared" si="34"/>
        <v>0.75</v>
      </c>
    </row>
    <row r="37" spans="8:18" ht="14.95" thickBot="1" x14ac:dyDescent="0.3">
      <c r="H37" s="381" t="s">
        <v>33</v>
      </c>
      <c r="I37" s="226">
        <v>14</v>
      </c>
      <c r="J37" s="226">
        <v>5</v>
      </c>
      <c r="K37" s="226">
        <v>10</v>
      </c>
      <c r="L37" s="226">
        <v>0</v>
      </c>
      <c r="M37" s="226">
        <v>0</v>
      </c>
      <c r="N37" s="226">
        <v>0</v>
      </c>
      <c r="O37" s="227">
        <f t="shared" si="41"/>
        <v>10</v>
      </c>
      <c r="P37" s="812">
        <f t="shared" si="33"/>
        <v>14</v>
      </c>
      <c r="Q37" s="581">
        <f t="shared" si="34"/>
        <v>5</v>
      </c>
    </row>
    <row r="38" spans="8:18" ht="14.95" thickBot="1" x14ac:dyDescent="0.3">
      <c r="H38" s="536" t="s">
        <v>36</v>
      </c>
      <c r="I38" s="226">
        <v>32</v>
      </c>
      <c r="J38" s="226">
        <v>14</v>
      </c>
      <c r="K38" s="226">
        <v>56</v>
      </c>
      <c r="L38" s="226">
        <v>0</v>
      </c>
      <c r="M38" s="226">
        <v>0</v>
      </c>
      <c r="N38" s="226">
        <v>0</v>
      </c>
      <c r="O38" s="227">
        <f t="shared" si="41"/>
        <v>56</v>
      </c>
      <c r="P38" s="812">
        <f t="shared" si="33"/>
        <v>5.7142857142857135</v>
      </c>
      <c r="Q38" s="581">
        <f t="shared" si="34"/>
        <v>2.5</v>
      </c>
    </row>
    <row r="39" spans="8:18" ht="14.95" thickBot="1" x14ac:dyDescent="0.3">
      <c r="H39" s="248" t="s">
        <v>121</v>
      </c>
      <c r="I39" s="226">
        <v>0</v>
      </c>
      <c r="J39" s="226">
        <v>7</v>
      </c>
      <c r="K39" s="226">
        <v>8</v>
      </c>
      <c r="L39" s="226">
        <v>0</v>
      </c>
      <c r="M39" s="226">
        <v>0</v>
      </c>
      <c r="N39" s="226">
        <v>0</v>
      </c>
      <c r="O39" s="227">
        <f t="shared" si="41"/>
        <v>8</v>
      </c>
      <c r="P39" s="580">
        <f t="shared" ref="P39" si="42">SUM(I39/O39)*10</f>
        <v>0</v>
      </c>
      <c r="Q39" s="581">
        <f t="shared" ref="Q39" si="43">SUM(J39/O39)*10</f>
        <v>8.75</v>
      </c>
      <c r="R39" t="s">
        <v>58</v>
      </c>
    </row>
    <row r="40" spans="8:18" ht="14.95" thickBot="1" x14ac:dyDescent="0.3">
      <c r="H40" s="535" t="s">
        <v>117</v>
      </c>
      <c r="I40" s="226">
        <v>0</v>
      </c>
      <c r="J40" s="226">
        <v>0</v>
      </c>
      <c r="K40" s="226">
        <v>0</v>
      </c>
      <c r="L40" s="226">
        <v>0</v>
      </c>
      <c r="M40" s="226">
        <v>0</v>
      </c>
      <c r="N40" s="226">
        <v>0</v>
      </c>
      <c r="O40" s="227">
        <f t="shared" si="41"/>
        <v>0</v>
      </c>
      <c r="P40" s="521" t="s">
        <v>258</v>
      </c>
      <c r="Q40" s="609" t="s">
        <v>258</v>
      </c>
      <c r="R40" t="s">
        <v>994</v>
      </c>
    </row>
    <row r="41" spans="8:18" ht="14.95" thickBot="1" x14ac:dyDescent="0.3">
      <c r="H41" s="598" t="s">
        <v>124</v>
      </c>
      <c r="I41" s="226">
        <v>17</v>
      </c>
      <c r="J41" s="226">
        <v>0</v>
      </c>
      <c r="K41" s="226">
        <v>24</v>
      </c>
      <c r="L41" s="226">
        <v>8</v>
      </c>
      <c r="M41" s="226">
        <v>0</v>
      </c>
      <c r="N41" s="226">
        <v>0</v>
      </c>
      <c r="O41" s="227">
        <f t="shared" si="41"/>
        <v>32</v>
      </c>
      <c r="P41" s="580">
        <f t="shared" ref="P41" si="44">SUM(I41/O41)*10</f>
        <v>5.3125</v>
      </c>
      <c r="Q41" s="581">
        <f t="shared" ref="Q41" si="45">SUM(J41/O41)*10</f>
        <v>0</v>
      </c>
      <c r="R41" t="s">
        <v>58</v>
      </c>
    </row>
    <row r="42" spans="8:18" ht="14.95" thickBot="1" x14ac:dyDescent="0.3">
      <c r="H42" s="100" t="s">
        <v>122</v>
      </c>
      <c r="I42" s="226">
        <v>7</v>
      </c>
      <c r="J42" s="226">
        <v>0</v>
      </c>
      <c r="K42" s="226">
        <v>10</v>
      </c>
      <c r="L42" s="226">
        <v>0</v>
      </c>
      <c r="M42" s="226">
        <v>0</v>
      </c>
      <c r="N42" s="226">
        <v>0</v>
      </c>
      <c r="O42" s="227">
        <f t="shared" ref="O42:O43" si="46">SUM(K42:N42)</f>
        <v>10</v>
      </c>
      <c r="P42" s="580">
        <f t="shared" ref="P42" si="47">SUM(I42/O42)*10</f>
        <v>7</v>
      </c>
      <c r="Q42" s="581">
        <f t="shared" ref="Q42" si="48">SUM(J42/O42)*10</f>
        <v>0</v>
      </c>
      <c r="R42" t="s">
        <v>58</v>
      </c>
    </row>
    <row r="43" spans="8:18" ht="14.95" thickBot="1" x14ac:dyDescent="0.3">
      <c r="H43" s="376" t="s">
        <v>119</v>
      </c>
      <c r="I43" s="226">
        <v>7</v>
      </c>
      <c r="J43" s="226">
        <v>0</v>
      </c>
      <c r="K43" s="226">
        <v>13</v>
      </c>
      <c r="L43" s="226">
        <v>0</v>
      </c>
      <c r="M43" s="226">
        <v>1</v>
      </c>
      <c r="N43" s="226">
        <v>0</v>
      </c>
      <c r="O43" s="227">
        <f t="shared" si="46"/>
        <v>14</v>
      </c>
      <c r="P43" s="580">
        <f t="shared" ref="P43" si="49">SUM(I43/O43)*10</f>
        <v>5</v>
      </c>
      <c r="Q43" s="581">
        <f t="shared" ref="Q43" si="50">SUM(J43/O43)*10</f>
        <v>0</v>
      </c>
      <c r="R43" t="s">
        <v>58</v>
      </c>
    </row>
    <row r="44" spans="8:18" ht="14.95" thickBot="1" x14ac:dyDescent="0.3">
      <c r="H44" s="111" t="s">
        <v>35</v>
      </c>
      <c r="I44" s="226">
        <v>42</v>
      </c>
      <c r="J44" s="226">
        <v>7</v>
      </c>
      <c r="K44" s="226">
        <v>25</v>
      </c>
      <c r="L44" s="226">
        <v>9</v>
      </c>
      <c r="M44" s="226">
        <v>0</v>
      </c>
      <c r="N44" s="226">
        <v>1</v>
      </c>
      <c r="O44" s="227">
        <f t="shared" ref="O44:O48" si="51">SUM(K44:N44)</f>
        <v>35</v>
      </c>
      <c r="P44" s="580">
        <f t="shared" ref="P44" si="52">SUM(I44/O44)*10</f>
        <v>12</v>
      </c>
      <c r="Q44" s="581">
        <f t="shared" ref="Q44" si="53">SUM(J44/O44)*10</f>
        <v>2</v>
      </c>
      <c r="R44" t="s">
        <v>58</v>
      </c>
    </row>
    <row r="45" spans="8:18" ht="14.95" thickBot="1" x14ac:dyDescent="0.3">
      <c r="H45" s="67" t="s">
        <v>170</v>
      </c>
      <c r="I45" s="226">
        <v>6</v>
      </c>
      <c r="J45" s="226">
        <v>5</v>
      </c>
      <c r="K45" s="226">
        <v>46</v>
      </c>
      <c r="L45" s="226">
        <v>0</v>
      </c>
      <c r="M45" s="226">
        <v>0</v>
      </c>
      <c r="N45" s="226">
        <v>0</v>
      </c>
      <c r="O45" s="227">
        <f t="shared" si="51"/>
        <v>46</v>
      </c>
      <c r="P45" s="580">
        <f t="shared" ref="P45" si="54">SUM(I45/O45)*10</f>
        <v>1.3043478260869565</v>
      </c>
      <c r="Q45" s="581">
        <f t="shared" ref="Q45" si="55">SUM(J45/O45)*10</f>
        <v>1.0869565217391304</v>
      </c>
    </row>
    <row r="46" spans="8:18" ht="14.95" thickBot="1" x14ac:dyDescent="0.3">
      <c r="H46" s="6" t="s">
        <v>118</v>
      </c>
      <c r="I46" s="226">
        <v>15</v>
      </c>
      <c r="J46" s="226">
        <v>0</v>
      </c>
      <c r="K46" s="226">
        <v>20</v>
      </c>
      <c r="L46" s="226">
        <v>0</v>
      </c>
      <c r="M46" s="226">
        <v>0</v>
      </c>
      <c r="N46" s="226">
        <v>0</v>
      </c>
      <c r="O46" s="227">
        <f t="shared" si="51"/>
        <v>20</v>
      </c>
      <c r="P46" s="580">
        <f t="shared" ref="P46" si="56">SUM(I46/O46)*10</f>
        <v>7.5</v>
      </c>
      <c r="Q46" s="581">
        <f t="shared" ref="Q46" si="57">SUM(J46/O46)*10</f>
        <v>0</v>
      </c>
      <c r="R46" t="s">
        <v>58</v>
      </c>
    </row>
    <row r="47" spans="8:18" ht="14.95" thickBot="1" x14ac:dyDescent="0.3">
      <c r="H47" s="82" t="s">
        <v>105</v>
      </c>
      <c r="I47" s="226">
        <v>38</v>
      </c>
      <c r="J47" s="226">
        <v>3</v>
      </c>
      <c r="K47" s="226">
        <v>31</v>
      </c>
      <c r="L47" s="226">
        <v>16</v>
      </c>
      <c r="M47" s="226">
        <v>4</v>
      </c>
      <c r="N47" s="226">
        <v>0</v>
      </c>
      <c r="O47" s="227">
        <f t="shared" si="51"/>
        <v>51</v>
      </c>
      <c r="P47" s="580">
        <f t="shared" ref="P47" si="58">SUM(I47/O47)*10</f>
        <v>7.4509803921568629</v>
      </c>
      <c r="Q47" s="581">
        <f t="shared" ref="Q47" si="59">SUM(J47/O47)*10</f>
        <v>0.58823529411764708</v>
      </c>
    </row>
    <row r="48" spans="8:18" ht="14.95" thickBot="1" x14ac:dyDescent="0.3">
      <c r="H48" s="9" t="s">
        <v>32</v>
      </c>
      <c r="I48" s="226">
        <v>14</v>
      </c>
      <c r="J48" s="226">
        <v>0</v>
      </c>
      <c r="K48" s="226">
        <v>10</v>
      </c>
      <c r="L48" s="226">
        <v>0</v>
      </c>
      <c r="M48" s="226">
        <v>0</v>
      </c>
      <c r="N48" s="226">
        <v>0</v>
      </c>
      <c r="O48" s="227">
        <f t="shared" si="51"/>
        <v>10</v>
      </c>
      <c r="P48" s="812">
        <f t="shared" ref="P48" si="60">SUM(I48/O48)*10</f>
        <v>14</v>
      </c>
      <c r="Q48" s="813">
        <f t="shared" ref="Q48" si="61">SUM(J48/O48)*10</f>
        <v>0</v>
      </c>
    </row>
    <row r="49" spans="1:17" ht="14.95" thickBot="1" x14ac:dyDescent="0.3">
      <c r="H49" s="233" t="s">
        <v>57</v>
      </c>
      <c r="I49" s="228">
        <f>SUM(I29:I48)</f>
        <v>341</v>
      </c>
      <c r="J49" s="229">
        <f t="shared" ref="J49:O49" si="62">SUM(J29:J48)</f>
        <v>102</v>
      </c>
      <c r="K49" s="228">
        <f t="shared" si="62"/>
        <v>534</v>
      </c>
      <c r="L49" s="230">
        <f t="shared" si="62"/>
        <v>34</v>
      </c>
      <c r="M49" s="230">
        <f t="shared" si="62"/>
        <v>5</v>
      </c>
      <c r="N49" s="230">
        <f t="shared" si="62"/>
        <v>1</v>
      </c>
      <c r="O49" s="229">
        <f t="shared" si="62"/>
        <v>574</v>
      </c>
      <c r="P49" s="231">
        <f t="shared" ref="P49" si="63">SUM(I49/O49)*10</f>
        <v>5.9407665505226479</v>
      </c>
      <c r="Q49" s="232">
        <f t="shared" ref="Q49" si="64">SUM(J49/O49)*10</f>
        <v>1.7770034843205575</v>
      </c>
    </row>
    <row r="50" spans="1:17" x14ac:dyDescent="0.25">
      <c r="H50" t="s">
        <v>58</v>
      </c>
    </row>
    <row r="51" spans="1:17" x14ac:dyDescent="0.25">
      <c r="H51" s="189" t="s">
        <v>828</v>
      </c>
      <c r="I51" s="189"/>
      <c r="J51" s="189"/>
      <c r="K51" s="189"/>
    </row>
    <row r="52" spans="1:17" x14ac:dyDescent="0.25">
      <c r="H52" s="395">
        <v>21</v>
      </c>
      <c r="I52" t="s">
        <v>931</v>
      </c>
    </row>
    <row r="53" spans="1:17" x14ac:dyDescent="0.25">
      <c r="H53" s="395">
        <v>14</v>
      </c>
      <c r="I53" s="189" t="s">
        <v>928</v>
      </c>
      <c r="J53" s="189"/>
      <c r="K53" s="189"/>
      <c r="L53" s="189"/>
      <c r="M53" s="189"/>
    </row>
    <row r="54" spans="1:17" x14ac:dyDescent="0.25">
      <c r="H54" s="395">
        <v>10</v>
      </c>
      <c r="I54" s="189" t="s">
        <v>917</v>
      </c>
      <c r="J54" s="189"/>
      <c r="K54" s="189"/>
      <c r="L54" s="189"/>
    </row>
    <row r="55" spans="1:17" x14ac:dyDescent="0.25">
      <c r="H55" s="189" t="s">
        <v>185</v>
      </c>
      <c r="J55" s="189"/>
      <c r="K55" s="189"/>
      <c r="L55" s="189"/>
    </row>
    <row r="56" spans="1:17" x14ac:dyDescent="0.25">
      <c r="J56" s="189"/>
      <c r="K56" s="189"/>
      <c r="L56" s="189"/>
    </row>
    <row r="59" spans="1:17" x14ac:dyDescent="0.25">
      <c r="A59" s="371" t="s">
        <v>28</v>
      </c>
    </row>
  </sheetData>
  <sortState xmlns:xlrd2="http://schemas.microsoft.com/office/spreadsheetml/2017/richdata2" ref="A3:F22">
    <sortCondition ref="F3:F22"/>
    <sortCondition ref="D3:D22"/>
    <sortCondition ref="B3:B22"/>
    <sortCondition ref="A3:A22"/>
  </sortState>
  <mergeCells count="11">
    <mergeCell ref="P1:Q1"/>
    <mergeCell ref="B2:C2"/>
    <mergeCell ref="D2:E2"/>
    <mergeCell ref="H1:H2"/>
    <mergeCell ref="I1:J1"/>
    <mergeCell ref="K1:O1"/>
    <mergeCell ref="A26:D26"/>
    <mergeCell ref="H27:H28"/>
    <mergeCell ref="I27:J27"/>
    <mergeCell ref="K27:O27"/>
    <mergeCell ref="P27:Q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5C9D7-4434-4F87-BFED-042EC707E1FB}">
  <dimension ref="A1:H25"/>
  <sheetViews>
    <sheetView workbookViewId="0">
      <selection activeCell="P16" sqref="P16"/>
    </sheetView>
  </sheetViews>
  <sheetFormatPr defaultRowHeight="14.3" x14ac:dyDescent="0.25"/>
  <cols>
    <col min="1" max="1" width="18.5" customWidth="1"/>
    <col min="2" max="2" width="3.625" customWidth="1"/>
    <col min="3" max="3" width="18.5" customWidth="1"/>
    <col min="4" max="4" width="3.625" customWidth="1"/>
    <col min="5" max="5" width="18.5" customWidth="1"/>
    <col min="6" max="6" width="3.625" customWidth="1"/>
    <col min="7" max="7" width="18.5" bestFit="1" customWidth="1"/>
    <col min="8" max="8" width="3.625" customWidth="1"/>
  </cols>
  <sheetData>
    <row r="1" spans="1:8" ht="14.95" thickBot="1" x14ac:dyDescent="0.3"/>
    <row r="2" spans="1:8" ht="14.95" customHeight="1" thickBot="1" x14ac:dyDescent="0.3">
      <c r="A2" s="733" t="s">
        <v>129</v>
      </c>
      <c r="B2" s="734"/>
      <c r="C2" s="735" t="s">
        <v>635</v>
      </c>
      <c r="D2" s="735"/>
      <c r="E2" s="736" t="s">
        <v>636</v>
      </c>
      <c r="F2" s="736"/>
      <c r="G2" s="737" t="s">
        <v>637</v>
      </c>
      <c r="H2" s="737"/>
    </row>
    <row r="3" spans="1:8" ht="14.95" customHeight="1" thickBot="1" x14ac:dyDescent="0.3">
      <c r="A3" s="738" t="s">
        <v>126</v>
      </c>
      <c r="B3" s="622">
        <f>nzlrwc2023overalltriesscored</f>
        <v>49</v>
      </c>
      <c r="C3" s="746" t="s">
        <v>126</v>
      </c>
      <c r="D3" s="740">
        <f>nzlrwc2023poolstb</f>
        <v>3</v>
      </c>
      <c r="E3" s="741" t="s">
        <v>126</v>
      </c>
      <c r="F3" s="742">
        <f>nzlrwc2023overalltriesconc</f>
        <v>7</v>
      </c>
      <c r="G3" s="743" t="s">
        <v>37</v>
      </c>
      <c r="H3" s="744">
        <f>arg2023wcpooltbconc</f>
        <v>0</v>
      </c>
    </row>
    <row r="4" spans="1:8" ht="14.95" customHeight="1" thickBot="1" x14ac:dyDescent="0.3">
      <c r="A4" s="738" t="s">
        <v>39</v>
      </c>
      <c r="B4" s="622">
        <f>irerwc2023overalltriesscored</f>
        <v>30</v>
      </c>
      <c r="C4" s="739" t="s">
        <v>32</v>
      </c>
      <c r="D4" s="740">
        <f>walrwc2023poolstb</f>
        <v>3</v>
      </c>
      <c r="E4" s="741" t="s">
        <v>119</v>
      </c>
      <c r="F4" s="742">
        <f>samrwc2023overalltriesconc</f>
        <v>7</v>
      </c>
      <c r="G4" s="743" t="s">
        <v>30</v>
      </c>
      <c r="H4" s="744">
        <f>englandrwc2023poolstbcon</f>
        <v>0</v>
      </c>
    </row>
    <row r="5" spans="1:8" ht="14.95" customHeight="1" thickBot="1" x14ac:dyDescent="0.3">
      <c r="A5" s="738" t="s">
        <v>34</v>
      </c>
      <c r="B5" s="622">
        <f>frarwc2023overalltriesscored</f>
        <v>30</v>
      </c>
      <c r="C5" s="739" t="s">
        <v>39</v>
      </c>
      <c r="D5" s="740">
        <f>irerwc2023poolstb</f>
        <v>3</v>
      </c>
      <c r="E5" s="741" t="s">
        <v>125</v>
      </c>
      <c r="F5" s="742">
        <f>RSArwc2023overalltriesconc</f>
        <v>8</v>
      </c>
      <c r="G5" s="743" t="s">
        <v>34</v>
      </c>
      <c r="H5" s="744">
        <f>frarwc2023poolstbcon</f>
        <v>0</v>
      </c>
    </row>
    <row r="6" spans="1:8" ht="14.95" customHeight="1" thickBot="1" x14ac:dyDescent="0.3">
      <c r="A6" s="738" t="s">
        <v>125</v>
      </c>
      <c r="B6" s="622">
        <f>RSArwc2023overalltriesscored</f>
        <v>27</v>
      </c>
      <c r="C6" s="739" t="s">
        <v>33</v>
      </c>
      <c r="D6" s="740">
        <f>itarwc2023poolstb</f>
        <v>2</v>
      </c>
      <c r="E6" s="741" t="s">
        <v>39</v>
      </c>
      <c r="F6" s="742">
        <f>irerwc2023overalltriesconc</f>
        <v>8</v>
      </c>
      <c r="G6" s="743" t="s">
        <v>39</v>
      </c>
      <c r="H6" s="744">
        <f>irerwc2023poolstbcon</f>
        <v>0</v>
      </c>
    </row>
    <row r="7" spans="1:8" ht="14.95" customHeight="1" thickBot="1" x14ac:dyDescent="0.3">
      <c r="A7" s="738" t="s">
        <v>35</v>
      </c>
      <c r="B7" s="622">
        <f>scorwc2023overalltriesscored</f>
        <v>21</v>
      </c>
      <c r="C7" s="739" t="s">
        <v>30</v>
      </c>
      <c r="D7" s="740">
        <f>englandrwc2023poolstb</f>
        <v>2</v>
      </c>
      <c r="E7" s="741" t="s">
        <v>29</v>
      </c>
      <c r="F7" s="742">
        <f>aus2023wcoveralltriesconc</f>
        <v>8</v>
      </c>
      <c r="G7" s="743" t="s">
        <v>126</v>
      </c>
      <c r="H7" s="744">
        <f>nzlrwc2023poolstbcon</f>
        <v>0</v>
      </c>
    </row>
    <row r="8" spans="1:8" ht="14.95" customHeight="1" thickBot="1" x14ac:dyDescent="0.3">
      <c r="A8" s="738" t="s">
        <v>30</v>
      </c>
      <c r="B8" s="622">
        <f>englandrwc2023overalltriesscored</f>
        <v>21</v>
      </c>
      <c r="C8" s="739" t="s">
        <v>29</v>
      </c>
      <c r="D8" s="740">
        <f>aus2023wcpoolstb</f>
        <v>2</v>
      </c>
      <c r="E8" s="741" t="s">
        <v>30</v>
      </c>
      <c r="F8" s="742">
        <f>englandrwc2023overalltriesconc</f>
        <v>9</v>
      </c>
      <c r="G8" s="743" t="s">
        <v>119</v>
      </c>
      <c r="H8" s="744">
        <f>samrwc2023poolstbcon</f>
        <v>0</v>
      </c>
    </row>
    <row r="9" spans="1:8" ht="14.95" customHeight="1" thickBot="1" x14ac:dyDescent="0.3">
      <c r="A9" s="738" t="s">
        <v>32</v>
      </c>
      <c r="B9" s="622">
        <f>walrwc2023overalltriesscored</f>
        <v>19</v>
      </c>
      <c r="C9" s="739" t="s">
        <v>125</v>
      </c>
      <c r="D9" s="740">
        <f>RSArwc2023poolstb</f>
        <v>2</v>
      </c>
      <c r="E9" s="741" t="s">
        <v>34</v>
      </c>
      <c r="F9" s="742">
        <f>frarwc2023overalltriesconc</f>
        <v>9</v>
      </c>
      <c r="G9" s="743" t="s">
        <v>125</v>
      </c>
      <c r="H9" s="744">
        <f>RSArwc2023poolstbcon</f>
        <v>0</v>
      </c>
    </row>
    <row r="10" spans="1:8" ht="14.95" customHeight="1" thickBot="1" x14ac:dyDescent="0.3">
      <c r="A10" s="738" t="s">
        <v>37</v>
      </c>
      <c r="B10" s="622">
        <f>arg2023wcoveralltriescored</f>
        <v>19</v>
      </c>
      <c r="C10" s="739" t="s">
        <v>35</v>
      </c>
      <c r="D10" s="740">
        <f>scorwc2023poolstb</f>
        <v>2</v>
      </c>
      <c r="E10" s="741" t="s">
        <v>32</v>
      </c>
      <c r="F10" s="742">
        <f>walrwc2023overalltriesconc</f>
        <v>10</v>
      </c>
      <c r="G10" s="743" t="s">
        <v>29</v>
      </c>
      <c r="H10" s="744">
        <f>aus2023wcpoolstbconc</f>
        <v>0</v>
      </c>
    </row>
    <row r="11" spans="1:8" ht="14.95" customHeight="1" thickBot="1" x14ac:dyDescent="0.3">
      <c r="A11" s="738" t="s">
        <v>33</v>
      </c>
      <c r="B11" s="622">
        <f>itarwc2023overalltriesscored</f>
        <v>15</v>
      </c>
      <c r="C11" s="739" t="s">
        <v>34</v>
      </c>
      <c r="D11" s="740">
        <f>frarwc2023poolstb</f>
        <v>2</v>
      </c>
      <c r="E11" s="741" t="s">
        <v>35</v>
      </c>
      <c r="F11" s="742">
        <f>scorwc2023overalltriesconc</f>
        <v>10</v>
      </c>
      <c r="G11" s="743" t="s">
        <v>35</v>
      </c>
      <c r="H11" s="744">
        <f>scorwc2023poolstbcon</f>
        <v>1</v>
      </c>
    </row>
    <row r="12" spans="1:8" ht="14.95" customHeight="1" thickBot="1" x14ac:dyDescent="0.3">
      <c r="A12" s="738" t="s">
        <v>118</v>
      </c>
      <c r="B12" s="622">
        <f>tgarwc2023overalltriesscored</f>
        <v>13</v>
      </c>
      <c r="C12" s="739" t="s">
        <v>37</v>
      </c>
      <c r="D12" s="740">
        <f>arg2023wcpooltb</f>
        <v>2</v>
      </c>
      <c r="E12" s="741" t="s">
        <v>31</v>
      </c>
      <c r="F12" s="742">
        <f>fijrwc2023overalltriesconc</f>
        <v>11</v>
      </c>
      <c r="G12" s="743" t="s">
        <v>31</v>
      </c>
      <c r="H12" s="744">
        <f>fijrwc2023poolstbconc</f>
        <v>1</v>
      </c>
    </row>
    <row r="13" spans="1:8" ht="14.95" customHeight="1" thickBot="1" x14ac:dyDescent="0.3">
      <c r="A13" s="738" t="s">
        <v>36</v>
      </c>
      <c r="B13" s="622">
        <f>jpnrwc2023overalltriesscored</f>
        <v>12</v>
      </c>
      <c r="C13" s="739" t="s">
        <v>31</v>
      </c>
      <c r="D13" s="740">
        <f>fijrwc2023poolstb</f>
        <v>1</v>
      </c>
      <c r="E13" s="741" t="s">
        <v>124</v>
      </c>
      <c r="F13" s="742">
        <f>prtrwc2023overalltriesconc</f>
        <v>13</v>
      </c>
      <c r="G13" s="743" t="s">
        <v>32</v>
      </c>
      <c r="H13" s="744">
        <f>walrwc2023poolstbcon</f>
        <v>1</v>
      </c>
    </row>
    <row r="14" spans="1:8" ht="14.95" customHeight="1" thickBot="1" x14ac:dyDescent="0.3">
      <c r="A14" s="738" t="s">
        <v>31</v>
      </c>
      <c r="B14" s="622">
        <f>fijrwc2023overalltriesscored</f>
        <v>12</v>
      </c>
      <c r="C14" s="739" t="s">
        <v>36</v>
      </c>
      <c r="D14" s="740">
        <f>jpnrwc2023poolstb</f>
        <v>1</v>
      </c>
      <c r="E14" s="741" t="s">
        <v>38</v>
      </c>
      <c r="F14" s="742">
        <f>georwc2023overalltriesconc</f>
        <v>14</v>
      </c>
      <c r="G14" s="743" t="s">
        <v>33</v>
      </c>
      <c r="H14" s="744">
        <f>itarwc2023poolstbcon</f>
        <v>2</v>
      </c>
    </row>
    <row r="15" spans="1:8" ht="14.95" customHeight="1" thickBot="1" x14ac:dyDescent="0.3">
      <c r="A15" s="738" t="s">
        <v>29</v>
      </c>
      <c r="B15" s="622">
        <f>aus2023wcoveralltriesscored</f>
        <v>11</v>
      </c>
      <c r="C15" s="739" t="s">
        <v>119</v>
      </c>
      <c r="D15" s="740">
        <f>samrwc2023poolstb</f>
        <v>1</v>
      </c>
      <c r="E15" s="741" t="s">
        <v>36</v>
      </c>
      <c r="F15" s="742">
        <f>jpnrwc2023overalltriesconc</f>
        <v>14</v>
      </c>
      <c r="G15" s="743" t="s">
        <v>38</v>
      </c>
      <c r="H15" s="744">
        <f>georwc2023poolstbcon</f>
        <v>2</v>
      </c>
    </row>
    <row r="16" spans="1:8" ht="14.95" customHeight="1" thickBot="1" x14ac:dyDescent="0.3">
      <c r="A16" s="738" t="s">
        <v>119</v>
      </c>
      <c r="B16" s="622">
        <f>samrwc2023overalltriesscored</f>
        <v>11</v>
      </c>
      <c r="C16" s="739" t="s">
        <v>105</v>
      </c>
      <c r="D16" s="740">
        <f>ururwc2023poolstb</f>
        <v>1</v>
      </c>
      <c r="E16" s="741" t="s">
        <v>37</v>
      </c>
      <c r="F16" s="742">
        <f>arg2023wcoveralltriesconc</f>
        <v>16</v>
      </c>
      <c r="G16" s="743" t="s">
        <v>36</v>
      </c>
      <c r="H16" s="744">
        <f>jpnrwc2023poolstbcon</f>
        <v>2</v>
      </c>
    </row>
    <row r="17" spans="1:8" ht="14.95" customHeight="1" thickBot="1" x14ac:dyDescent="0.3">
      <c r="A17" s="738" t="s">
        <v>105</v>
      </c>
      <c r="B17" s="622">
        <f>ururwc2023overalltriesscored</f>
        <v>9</v>
      </c>
      <c r="C17" s="739" t="s">
        <v>118</v>
      </c>
      <c r="D17" s="740">
        <f>tgarwc2023poolstb</f>
        <v>1</v>
      </c>
      <c r="E17" s="741" t="s">
        <v>105</v>
      </c>
      <c r="F17" s="742">
        <f>ururwc2023overalltriessconc</f>
        <v>21</v>
      </c>
      <c r="G17" s="743" t="s">
        <v>105</v>
      </c>
      <c r="H17" s="744">
        <f>ururwc2023poolstbcon</f>
        <v>2</v>
      </c>
    </row>
    <row r="18" spans="1:8" ht="14.95" customHeight="1" thickBot="1" x14ac:dyDescent="0.3">
      <c r="A18" s="738" t="s">
        <v>124</v>
      </c>
      <c r="B18" s="622">
        <f>prtrwc2023overalltriesscored</f>
        <v>8</v>
      </c>
      <c r="C18" s="739" t="s">
        <v>192</v>
      </c>
      <c r="D18" s="740">
        <f>chl2023wcpoolstb</f>
        <v>0</v>
      </c>
      <c r="E18" s="741" t="s">
        <v>33</v>
      </c>
      <c r="F18" s="742">
        <f>itarwc2023overalltriesconc</f>
        <v>25</v>
      </c>
      <c r="G18" s="743" t="s">
        <v>124</v>
      </c>
      <c r="H18" s="744">
        <f>prtrwc2023poolstbcon</f>
        <v>2</v>
      </c>
    </row>
    <row r="19" spans="1:8" ht="14.95" customHeight="1" thickBot="1" x14ac:dyDescent="0.3">
      <c r="A19" s="738" t="s">
        <v>38</v>
      </c>
      <c r="B19" s="622">
        <f>georwc2023overalltriesscored</f>
        <v>7</v>
      </c>
      <c r="C19" s="739" t="s">
        <v>38</v>
      </c>
      <c r="D19" s="740">
        <f>georwc2023poolstb</f>
        <v>0</v>
      </c>
      <c r="E19" s="741" t="s">
        <v>118</v>
      </c>
      <c r="F19" s="742">
        <f>tgarwc2023overalltriesconc</f>
        <v>25</v>
      </c>
      <c r="G19" s="743" t="s">
        <v>118</v>
      </c>
      <c r="H19" s="744">
        <f>tgarwc2023poolstbcon</f>
        <v>3</v>
      </c>
    </row>
    <row r="20" spans="1:8" ht="14.95" customHeight="1" thickBot="1" x14ac:dyDescent="0.3">
      <c r="A20" s="738" t="s">
        <v>192</v>
      </c>
      <c r="B20" s="622">
        <f>chl2023wcoveralltriesscored</f>
        <v>4</v>
      </c>
      <c r="C20" s="739" t="s">
        <v>121</v>
      </c>
      <c r="D20" s="740">
        <f>namrwc2023poolstb</f>
        <v>0</v>
      </c>
      <c r="E20" s="741" t="s">
        <v>192</v>
      </c>
      <c r="F20" s="742">
        <f>chl2023wcoveralltriesconc</f>
        <v>30</v>
      </c>
      <c r="G20" s="743" t="s">
        <v>122</v>
      </c>
      <c r="H20" s="744">
        <f>romrwc2023poolstbcon</f>
        <v>4</v>
      </c>
    </row>
    <row r="21" spans="1:8" ht="14.95" customHeight="1" thickBot="1" x14ac:dyDescent="0.3">
      <c r="A21" s="738" t="s">
        <v>122</v>
      </c>
      <c r="B21" s="622">
        <f>romrwc2023overalltriesscored</f>
        <v>4</v>
      </c>
      <c r="C21" s="739" t="s">
        <v>124</v>
      </c>
      <c r="D21" s="740">
        <f>prtrwc2023poolstb</f>
        <v>0</v>
      </c>
      <c r="E21" s="741" t="s">
        <v>121</v>
      </c>
      <c r="F21" s="742">
        <f>namrwc2023overalltriesconc</f>
        <v>37</v>
      </c>
      <c r="G21" s="743" t="s">
        <v>192</v>
      </c>
      <c r="H21" s="744">
        <f>chl2023wcpoolstbcon</f>
        <v>4</v>
      </c>
    </row>
    <row r="22" spans="1:8" ht="14.95" customHeight="1" thickBot="1" x14ac:dyDescent="0.3">
      <c r="A22" s="738" t="s">
        <v>121</v>
      </c>
      <c r="B22" s="622">
        <f>namrwc2023overalltrioesscored</f>
        <v>3</v>
      </c>
      <c r="C22" s="739" t="s">
        <v>122</v>
      </c>
      <c r="D22" s="740">
        <f>romrwc2023poolstb</f>
        <v>0</v>
      </c>
      <c r="E22" s="741" t="s">
        <v>122</v>
      </c>
      <c r="F22" s="742">
        <f>romrwc2023overalltriesconc</f>
        <v>43</v>
      </c>
      <c r="G22" s="743" t="s">
        <v>121</v>
      </c>
      <c r="H22" s="744">
        <f>namrwc2023poolstbcon</f>
        <v>4</v>
      </c>
    </row>
    <row r="23" spans="1:8" x14ac:dyDescent="0.25">
      <c r="A23" s="745" t="s">
        <v>58</v>
      </c>
      <c r="B23">
        <f>SUM(B3:B22)</f>
        <v>325</v>
      </c>
      <c r="D23">
        <f t="shared" ref="D23:H23" si="0">SUM(D3:D22)</f>
        <v>28</v>
      </c>
      <c r="F23">
        <f t="shared" si="0"/>
        <v>325</v>
      </c>
      <c r="H23">
        <f t="shared" si="0"/>
        <v>28</v>
      </c>
    </row>
    <row r="24" spans="1:8" x14ac:dyDescent="0.25">
      <c r="A24" s="898" t="s">
        <v>990</v>
      </c>
      <c r="B24" s="898"/>
      <c r="C24" s="898"/>
    </row>
    <row r="25" spans="1:8" x14ac:dyDescent="0.25">
      <c r="A25" s="496" t="s">
        <v>28</v>
      </c>
    </row>
  </sheetData>
  <sortState xmlns:xlrd2="http://schemas.microsoft.com/office/spreadsheetml/2017/richdata2" ref="E3:F22">
    <sortCondition ref="F3:F22"/>
  </sortState>
  <mergeCells count="1">
    <mergeCell ref="A24:C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5"/>
  <sheetViews>
    <sheetView workbookViewId="0">
      <selection sqref="A1:P7"/>
    </sheetView>
  </sheetViews>
  <sheetFormatPr defaultRowHeight="14.3" x14ac:dyDescent="0.25"/>
  <cols>
    <col min="1" max="2" width="4.625" customWidth="1"/>
    <col min="4" max="7" width="4.625" customWidth="1"/>
    <col min="8" max="10" width="6.625" customWidth="1"/>
    <col min="11" max="16" width="4.625" customWidth="1"/>
  </cols>
  <sheetData>
    <row r="1" spans="1:17" ht="14.95" thickBot="1" x14ac:dyDescent="0.3">
      <c r="A1" s="239" t="s">
        <v>47</v>
      </c>
      <c r="B1" s="240" t="s">
        <v>48</v>
      </c>
      <c r="C1" s="164"/>
      <c r="D1" s="164" t="s">
        <v>0</v>
      </c>
      <c r="E1" s="165" t="s">
        <v>1</v>
      </c>
      <c r="F1" s="164" t="s">
        <v>2</v>
      </c>
      <c r="G1" s="164" t="s">
        <v>3</v>
      </c>
      <c r="H1" s="164" t="s">
        <v>4</v>
      </c>
      <c r="I1" s="164" t="s">
        <v>5</v>
      </c>
      <c r="J1" s="165" t="s">
        <v>49</v>
      </c>
      <c r="K1" s="164" t="s">
        <v>21</v>
      </c>
      <c r="L1" s="164" t="s">
        <v>22</v>
      </c>
      <c r="M1" s="164" t="s">
        <v>64</v>
      </c>
      <c r="N1" s="164" t="s">
        <v>52</v>
      </c>
      <c r="O1" s="164" t="s">
        <v>53</v>
      </c>
      <c r="P1" s="165" t="s">
        <v>50</v>
      </c>
    </row>
    <row r="2" spans="1:17" ht="14.95" thickBot="1" x14ac:dyDescent="0.3">
      <c r="A2" s="241">
        <v>1</v>
      </c>
      <c r="B2" s="298" t="s">
        <v>51</v>
      </c>
      <c r="C2" s="175" t="s">
        <v>39</v>
      </c>
      <c r="D2" s="169">
        <f>Irelandplayed</f>
        <v>5</v>
      </c>
      <c r="E2" s="168">
        <f>Irelandwon</f>
        <v>5</v>
      </c>
      <c r="F2" s="169">
        <f>Irelanddrawn</f>
        <v>0</v>
      </c>
      <c r="G2" s="169">
        <f>Irelandlost</f>
        <v>0</v>
      </c>
      <c r="H2" s="169">
        <f>Irelandptsscored</f>
        <v>151</v>
      </c>
      <c r="I2" s="169">
        <f>Irelandptsagainst</f>
        <v>72</v>
      </c>
      <c r="J2" s="168">
        <f t="shared" ref="J2:J7" si="0">SUM(H2-I2)</f>
        <v>79</v>
      </c>
      <c r="K2" s="169">
        <f>Irelandtrybonus</f>
        <v>4</v>
      </c>
      <c r="L2" s="169">
        <f>Irelandlosingbonus</f>
        <v>0</v>
      </c>
      <c r="M2" s="169">
        <v>3</v>
      </c>
      <c r="N2" s="169">
        <f>Irelandtriesscored</f>
        <v>20</v>
      </c>
      <c r="O2" s="169">
        <f>Irelandtriesagainst</f>
        <v>6</v>
      </c>
      <c r="P2" s="168">
        <f t="shared" ref="P2:P7" si="1">SUM(E2*4)+(F2*2)+K2+L2+M2</f>
        <v>27</v>
      </c>
    </row>
    <row r="3" spans="1:17" ht="14.95" thickBot="1" x14ac:dyDescent="0.3">
      <c r="A3" s="241">
        <v>2</v>
      </c>
      <c r="B3" s="298" t="s">
        <v>51</v>
      </c>
      <c r="C3" s="236" t="s">
        <v>34</v>
      </c>
      <c r="D3" s="169">
        <f>Franceplayed</f>
        <v>5</v>
      </c>
      <c r="E3" s="168">
        <f>Francewon</f>
        <v>4</v>
      </c>
      <c r="F3" s="169">
        <f>Francedrawn</f>
        <v>0</v>
      </c>
      <c r="G3" s="169">
        <f>Francelost</f>
        <v>1</v>
      </c>
      <c r="H3" s="169">
        <f>Franceptsscored</f>
        <v>174</v>
      </c>
      <c r="I3" s="169">
        <f>Franceptsagainst</f>
        <v>115</v>
      </c>
      <c r="J3" s="168">
        <f t="shared" si="0"/>
        <v>59</v>
      </c>
      <c r="K3" s="169">
        <f>Francetrybonus</f>
        <v>4</v>
      </c>
      <c r="L3" s="169">
        <f>Francelosingbonus</f>
        <v>0</v>
      </c>
      <c r="M3" s="169">
        <v>0</v>
      </c>
      <c r="N3" s="169">
        <f>Francetriesscored</f>
        <v>21</v>
      </c>
      <c r="O3" s="169">
        <f>Francetriesagainst</f>
        <v>14</v>
      </c>
      <c r="P3" s="168">
        <f t="shared" si="1"/>
        <v>20</v>
      </c>
    </row>
    <row r="4" spans="1:17" ht="14.95" thickBot="1" x14ac:dyDescent="0.3">
      <c r="A4" s="241">
        <v>3</v>
      </c>
      <c r="B4" s="298" t="s">
        <v>51</v>
      </c>
      <c r="C4" s="174" t="s">
        <v>35</v>
      </c>
      <c r="D4" s="169">
        <f>Scotlandplayed</f>
        <v>5</v>
      </c>
      <c r="E4" s="168">
        <f>Scotlandwon</f>
        <v>3</v>
      </c>
      <c r="F4" s="169">
        <f>Scotlanddrawn</f>
        <v>0</v>
      </c>
      <c r="G4" s="169">
        <f>Scotlandlost</f>
        <v>2</v>
      </c>
      <c r="H4" s="169">
        <f>Scotlandptsscored</f>
        <v>118</v>
      </c>
      <c r="I4" s="169">
        <f>Scotlandptsagainst</f>
        <v>98</v>
      </c>
      <c r="J4" s="168">
        <f t="shared" si="0"/>
        <v>20</v>
      </c>
      <c r="K4" s="169">
        <f>Scotlandtrybonus</f>
        <v>3</v>
      </c>
      <c r="L4" s="169">
        <f>Scotlandlosingbonus</f>
        <v>0</v>
      </c>
      <c r="M4" s="169">
        <v>0</v>
      </c>
      <c r="N4" s="169">
        <f>Scotlandtriesscored</f>
        <v>17</v>
      </c>
      <c r="O4" s="169">
        <f>Scotlandtriesagainst</f>
        <v>12</v>
      </c>
      <c r="P4" s="168">
        <f t="shared" si="1"/>
        <v>15</v>
      </c>
    </row>
    <row r="5" spans="1:17" ht="14.95" thickBot="1" x14ac:dyDescent="0.3">
      <c r="A5" s="372">
        <v>4</v>
      </c>
      <c r="B5" s="298" t="s">
        <v>51</v>
      </c>
      <c r="C5" s="237" t="s">
        <v>30</v>
      </c>
      <c r="D5" s="166">
        <f>Englandplayed</f>
        <v>5</v>
      </c>
      <c r="E5" s="167">
        <f>Englandwon</f>
        <v>2</v>
      </c>
      <c r="F5" s="166">
        <f>Englanddrawn</f>
        <v>0</v>
      </c>
      <c r="G5" s="166">
        <f>Englandlost</f>
        <v>3</v>
      </c>
      <c r="H5" s="166">
        <f>Englandptsscored</f>
        <v>100</v>
      </c>
      <c r="I5" s="166">
        <f>Englandptsagainst</f>
        <v>135</v>
      </c>
      <c r="J5" s="168">
        <f t="shared" si="0"/>
        <v>-35</v>
      </c>
      <c r="K5" s="169">
        <f>Englandtrybonus</f>
        <v>1</v>
      </c>
      <c r="L5" s="169">
        <f>Englandlosingbonus</f>
        <v>1</v>
      </c>
      <c r="M5" s="169">
        <v>0</v>
      </c>
      <c r="N5" s="166">
        <f>Englandtriesscored</f>
        <v>13</v>
      </c>
      <c r="O5" s="166">
        <f>Englandtriesagainst</f>
        <v>18</v>
      </c>
      <c r="P5" s="168">
        <f t="shared" si="1"/>
        <v>10</v>
      </c>
    </row>
    <row r="6" spans="1:17" ht="14.95" thickBot="1" x14ac:dyDescent="0.3">
      <c r="A6" s="241">
        <v>5</v>
      </c>
      <c r="B6" s="298" t="s">
        <v>51</v>
      </c>
      <c r="C6" s="173" t="s">
        <v>32</v>
      </c>
      <c r="D6" s="169">
        <f>Walesplayed</f>
        <v>5</v>
      </c>
      <c r="E6" s="168">
        <f>Waleswon</f>
        <v>1</v>
      </c>
      <c r="F6" s="169">
        <f>Walesdrawn</f>
        <v>0</v>
      </c>
      <c r="G6" s="169">
        <f>Waleslost</f>
        <v>4</v>
      </c>
      <c r="H6" s="169">
        <f>Walesptsscored</f>
        <v>84</v>
      </c>
      <c r="I6" s="169">
        <f>Walesptsagainst</f>
        <v>147</v>
      </c>
      <c r="J6" s="168">
        <f t="shared" si="0"/>
        <v>-63</v>
      </c>
      <c r="K6" s="169">
        <f>Walestrybonus</f>
        <v>2</v>
      </c>
      <c r="L6" s="169">
        <f>Waleslosingbonus</f>
        <v>0</v>
      </c>
      <c r="M6" s="169">
        <v>0</v>
      </c>
      <c r="N6" s="169">
        <f>Walestriesscored</f>
        <v>11</v>
      </c>
      <c r="O6" s="169">
        <f>Walestriesagainst</f>
        <v>19</v>
      </c>
      <c r="P6" s="168">
        <f t="shared" si="1"/>
        <v>6</v>
      </c>
    </row>
    <row r="7" spans="1:17" ht="14.95" thickBot="1" x14ac:dyDescent="0.3">
      <c r="A7" s="241">
        <v>6</v>
      </c>
      <c r="B7" s="298" t="s">
        <v>51</v>
      </c>
      <c r="C7" s="234" t="s">
        <v>33</v>
      </c>
      <c r="D7" s="169">
        <f>Italyplayed</f>
        <v>5</v>
      </c>
      <c r="E7" s="168">
        <f>Italywon</f>
        <v>0</v>
      </c>
      <c r="F7" s="169">
        <f>Italydrawn</f>
        <v>0</v>
      </c>
      <c r="G7" s="169">
        <f>Italylost</f>
        <v>5</v>
      </c>
      <c r="H7" s="169">
        <f>Italyptsscored</f>
        <v>89</v>
      </c>
      <c r="I7" s="169">
        <f>Italyptsagainst</f>
        <v>149</v>
      </c>
      <c r="J7" s="168">
        <f t="shared" si="0"/>
        <v>-60</v>
      </c>
      <c r="K7" s="169">
        <f>Italytrybonus</f>
        <v>0</v>
      </c>
      <c r="L7" s="169">
        <f>Italylosingbonus</f>
        <v>1</v>
      </c>
      <c r="M7" s="169">
        <v>0</v>
      </c>
      <c r="N7" s="169">
        <f>Italytriesscored</f>
        <v>9</v>
      </c>
      <c r="O7" s="169">
        <f>Italytriesagainst</f>
        <v>22</v>
      </c>
      <c r="P7" s="168">
        <f t="shared" si="1"/>
        <v>1</v>
      </c>
    </row>
    <row r="8" spans="1:17" x14ac:dyDescent="0.25">
      <c r="A8" s="170"/>
      <c r="B8" s="171"/>
      <c r="C8" s="176"/>
      <c r="D8" s="172"/>
      <c r="E8" s="172"/>
      <c r="F8" s="172"/>
      <c r="G8" s="172"/>
      <c r="H8" s="172">
        <f>SUM(H2:H7)</f>
        <v>716</v>
      </c>
      <c r="I8" s="172">
        <f>SUM(I2:I7)</f>
        <v>716</v>
      </c>
      <c r="J8" s="172"/>
      <c r="K8" s="172"/>
      <c r="L8" s="172"/>
      <c r="M8" s="172"/>
      <c r="N8" s="172">
        <f t="shared" ref="N8:O8" si="2">SUM(N2:N7)</f>
        <v>91</v>
      </c>
      <c r="O8" s="172">
        <f t="shared" si="2"/>
        <v>91</v>
      </c>
      <c r="P8" s="172"/>
      <c r="Q8" s="172" t="s">
        <v>58</v>
      </c>
    </row>
    <row r="9" spans="1:17" x14ac:dyDescent="0.25">
      <c r="A9" t="s">
        <v>65</v>
      </c>
    </row>
    <row r="10" spans="1:17" ht="15.8" customHeight="1" x14ac:dyDescent="0.25">
      <c r="A10" s="189" t="s">
        <v>173</v>
      </c>
    </row>
    <row r="11" spans="1:17" ht="15.8" customHeight="1" x14ac:dyDescent="0.25">
      <c r="A11" t="s">
        <v>174</v>
      </c>
    </row>
    <row r="12" spans="1:17" ht="15.8" customHeight="1" x14ac:dyDescent="0.25">
      <c r="A12" t="s">
        <v>129</v>
      </c>
    </row>
    <row r="13" spans="1:17" ht="15.8" customHeight="1" x14ac:dyDescent="0.25">
      <c r="A13" t="s">
        <v>175</v>
      </c>
    </row>
    <row r="14" spans="1:17" ht="15.8" customHeight="1" x14ac:dyDescent="0.25"/>
    <row r="15" spans="1:17" ht="15.8" customHeight="1" x14ac:dyDescent="0.25">
      <c r="A15" s="189" t="s">
        <v>438</v>
      </c>
    </row>
    <row r="16" spans="1:17" ht="15.8" customHeight="1" thickBot="1" x14ac:dyDescent="0.3"/>
    <row r="17" spans="1:16" ht="15.8" customHeight="1" thickBot="1" x14ac:dyDescent="0.3">
      <c r="A17" s="239" t="s">
        <v>47</v>
      </c>
      <c r="B17" s="240" t="s">
        <v>48</v>
      </c>
      <c r="C17" s="240"/>
      <c r="D17" s="240" t="s">
        <v>0</v>
      </c>
      <c r="E17" s="582" t="s">
        <v>1</v>
      </c>
      <c r="F17" s="240" t="s">
        <v>2</v>
      </c>
      <c r="G17" s="240" t="s">
        <v>3</v>
      </c>
      <c r="H17" s="240" t="s">
        <v>4</v>
      </c>
      <c r="I17" s="240" t="s">
        <v>5</v>
      </c>
      <c r="J17" s="582" t="s">
        <v>49</v>
      </c>
      <c r="K17" s="240" t="s">
        <v>21</v>
      </c>
      <c r="L17" s="240" t="s">
        <v>22</v>
      </c>
      <c r="M17" s="240" t="s">
        <v>64</v>
      </c>
      <c r="N17" s="240" t="s">
        <v>52</v>
      </c>
      <c r="O17" s="240" t="s">
        <v>53</v>
      </c>
      <c r="P17" s="582" t="s">
        <v>50</v>
      </c>
    </row>
    <row r="18" spans="1:16" ht="15.8" customHeight="1" thickBot="1" x14ac:dyDescent="0.3">
      <c r="A18" s="583">
        <v>1</v>
      </c>
      <c r="B18" s="298" t="s">
        <v>51</v>
      </c>
      <c r="C18" s="584" t="s">
        <v>39</v>
      </c>
      <c r="D18" s="585">
        <v>4</v>
      </c>
      <c r="E18" s="586">
        <v>4</v>
      </c>
      <c r="F18" s="585">
        <v>0</v>
      </c>
      <c r="G18" s="585">
        <v>0</v>
      </c>
      <c r="H18" s="585">
        <v>122</v>
      </c>
      <c r="I18" s="585">
        <v>56</v>
      </c>
      <c r="J18" s="586">
        <v>66</v>
      </c>
      <c r="K18" s="585">
        <v>3</v>
      </c>
      <c r="L18" s="585">
        <v>0</v>
      </c>
      <c r="M18" s="585">
        <v>0</v>
      </c>
      <c r="N18" s="585">
        <v>16</v>
      </c>
      <c r="O18" s="585">
        <v>5</v>
      </c>
      <c r="P18" s="586">
        <v>19</v>
      </c>
    </row>
    <row r="19" spans="1:16" ht="15.8" customHeight="1" thickBot="1" x14ac:dyDescent="0.3">
      <c r="A19" s="583">
        <v>2</v>
      </c>
      <c r="B19" s="298" t="s">
        <v>368</v>
      </c>
      <c r="C19" s="236" t="s">
        <v>34</v>
      </c>
      <c r="D19" s="585">
        <v>4</v>
      </c>
      <c r="E19" s="586">
        <v>3</v>
      </c>
      <c r="F19" s="585">
        <v>0</v>
      </c>
      <c r="G19" s="585">
        <v>1</v>
      </c>
      <c r="H19" s="585">
        <v>133</v>
      </c>
      <c r="I19" s="585">
        <v>87</v>
      </c>
      <c r="J19" s="586">
        <v>46</v>
      </c>
      <c r="K19" s="585">
        <v>3</v>
      </c>
      <c r="L19" s="585">
        <v>0</v>
      </c>
      <c r="M19" s="585">
        <v>0</v>
      </c>
      <c r="N19" s="585">
        <v>16</v>
      </c>
      <c r="O19" s="585">
        <v>10</v>
      </c>
      <c r="P19" s="586">
        <v>15</v>
      </c>
    </row>
    <row r="20" spans="1:16" ht="15.8" customHeight="1" thickBot="1" x14ac:dyDescent="0.3">
      <c r="A20" s="583">
        <v>3</v>
      </c>
      <c r="B20" s="610" t="s">
        <v>367</v>
      </c>
      <c r="C20" s="587" t="s">
        <v>35</v>
      </c>
      <c r="D20" s="585">
        <v>4</v>
      </c>
      <c r="E20" s="586">
        <v>2</v>
      </c>
      <c r="F20" s="585">
        <v>0</v>
      </c>
      <c r="G20" s="585">
        <v>2</v>
      </c>
      <c r="H20" s="585">
        <v>92</v>
      </c>
      <c r="I20" s="585">
        <v>84</v>
      </c>
      <c r="J20" s="586">
        <v>8</v>
      </c>
      <c r="K20" s="585">
        <v>2</v>
      </c>
      <c r="L20" s="585">
        <v>0</v>
      </c>
      <c r="M20" s="585">
        <v>0</v>
      </c>
      <c r="N20" s="585">
        <v>13</v>
      </c>
      <c r="O20" s="585">
        <v>11</v>
      </c>
      <c r="P20" s="586">
        <v>10</v>
      </c>
    </row>
    <row r="21" spans="1:16" ht="15.8" customHeight="1" thickBot="1" x14ac:dyDescent="0.3">
      <c r="A21" s="583">
        <v>4</v>
      </c>
      <c r="B21" s="610" t="s">
        <v>367</v>
      </c>
      <c r="C21" s="588" t="s">
        <v>30</v>
      </c>
      <c r="D21" s="585">
        <v>4</v>
      </c>
      <c r="E21" s="586">
        <v>2</v>
      </c>
      <c r="F21" s="585">
        <v>0</v>
      </c>
      <c r="G21" s="585">
        <v>2</v>
      </c>
      <c r="H21" s="585">
        <v>84</v>
      </c>
      <c r="I21" s="585">
        <v>106</v>
      </c>
      <c r="J21" s="586">
        <v>-22</v>
      </c>
      <c r="K21" s="585">
        <v>1</v>
      </c>
      <c r="L21" s="585">
        <v>1</v>
      </c>
      <c r="M21" s="585">
        <v>0</v>
      </c>
      <c r="N21" s="585">
        <v>12</v>
      </c>
      <c r="O21" s="585">
        <v>14</v>
      </c>
      <c r="P21" s="586">
        <v>10</v>
      </c>
    </row>
    <row r="22" spans="1:16" ht="15.8" customHeight="1" thickBot="1" x14ac:dyDescent="0.3">
      <c r="A22" s="583">
        <v>5</v>
      </c>
      <c r="B22" s="298" t="s">
        <v>439</v>
      </c>
      <c r="C22" s="589" t="s">
        <v>32</v>
      </c>
      <c r="D22" s="585">
        <v>4</v>
      </c>
      <c r="E22" s="586">
        <v>1</v>
      </c>
      <c r="F22" s="585">
        <v>0</v>
      </c>
      <c r="G22" s="585">
        <v>3</v>
      </c>
      <c r="H22" s="585">
        <v>56</v>
      </c>
      <c r="I22" s="585">
        <v>106</v>
      </c>
      <c r="J22" s="586">
        <v>-50</v>
      </c>
      <c r="K22" s="585">
        <v>1</v>
      </c>
      <c r="L22" s="585">
        <v>0</v>
      </c>
      <c r="M22" s="585">
        <v>0</v>
      </c>
      <c r="N22" s="585">
        <v>7</v>
      </c>
      <c r="O22" s="585">
        <v>14</v>
      </c>
      <c r="P22" s="586">
        <v>5</v>
      </c>
    </row>
    <row r="23" spans="1:16" ht="15.8" customHeight="1" thickBot="1" x14ac:dyDescent="0.3">
      <c r="A23" s="583">
        <v>6</v>
      </c>
      <c r="B23" s="610" t="s">
        <v>367</v>
      </c>
      <c r="C23" s="234" t="s">
        <v>33</v>
      </c>
      <c r="D23" s="585">
        <v>4</v>
      </c>
      <c r="E23" s="586">
        <v>0</v>
      </c>
      <c r="F23" s="585">
        <v>0</v>
      </c>
      <c r="G23" s="585">
        <v>4</v>
      </c>
      <c r="H23" s="585">
        <v>75</v>
      </c>
      <c r="I23" s="585">
        <v>123</v>
      </c>
      <c r="J23" s="586">
        <v>-48</v>
      </c>
      <c r="K23" s="585">
        <v>0</v>
      </c>
      <c r="L23" s="585">
        <v>1</v>
      </c>
      <c r="M23" s="585">
        <v>0</v>
      </c>
      <c r="N23" s="585">
        <v>8</v>
      </c>
      <c r="O23" s="585">
        <v>18</v>
      </c>
      <c r="P23" s="586">
        <v>1</v>
      </c>
    </row>
    <row r="24" spans="1:16" ht="15.8" customHeight="1" x14ac:dyDescent="0.25"/>
    <row r="25" spans="1:16" ht="15.8" customHeight="1" x14ac:dyDescent="0.25">
      <c r="A25" s="189" t="s">
        <v>424</v>
      </c>
    </row>
    <row r="26" spans="1:16" ht="15.8" customHeight="1" thickBot="1" x14ac:dyDescent="0.3"/>
    <row r="27" spans="1:16" ht="15.8" customHeight="1" thickBot="1" x14ac:dyDescent="0.3">
      <c r="A27" s="239" t="s">
        <v>47</v>
      </c>
      <c r="B27" s="240" t="s">
        <v>48</v>
      </c>
      <c r="C27" s="240"/>
      <c r="D27" s="240" t="s">
        <v>0</v>
      </c>
      <c r="E27" s="582" t="s">
        <v>1</v>
      </c>
      <c r="F27" s="240" t="s">
        <v>2</v>
      </c>
      <c r="G27" s="240" t="s">
        <v>3</v>
      </c>
      <c r="H27" s="240" t="s">
        <v>4</v>
      </c>
      <c r="I27" s="240" t="s">
        <v>5</v>
      </c>
      <c r="J27" s="582" t="s">
        <v>49</v>
      </c>
      <c r="K27" s="240" t="s">
        <v>21</v>
      </c>
      <c r="L27" s="240" t="s">
        <v>22</v>
      </c>
      <c r="M27" s="240" t="s">
        <v>64</v>
      </c>
      <c r="N27" s="240" t="s">
        <v>52</v>
      </c>
      <c r="O27" s="240" t="s">
        <v>53</v>
      </c>
      <c r="P27" s="582" t="s">
        <v>50</v>
      </c>
    </row>
    <row r="28" spans="1:16" ht="15.8" customHeight="1" thickBot="1" x14ac:dyDescent="0.3">
      <c r="A28" s="583">
        <v>1</v>
      </c>
      <c r="B28" s="298" t="s">
        <v>51</v>
      </c>
      <c r="C28" s="584" t="s">
        <v>39</v>
      </c>
      <c r="D28" s="585">
        <v>3</v>
      </c>
      <c r="E28" s="586">
        <v>3</v>
      </c>
      <c r="F28" s="585">
        <v>0</v>
      </c>
      <c r="G28" s="585">
        <v>0</v>
      </c>
      <c r="H28" s="585">
        <v>100</v>
      </c>
      <c r="I28" s="585">
        <v>49</v>
      </c>
      <c r="J28" s="586">
        <v>51</v>
      </c>
      <c r="K28" s="585">
        <v>2</v>
      </c>
      <c r="L28" s="585">
        <v>0</v>
      </c>
      <c r="M28" s="585">
        <v>0</v>
      </c>
      <c r="N28" s="585">
        <v>13</v>
      </c>
      <c r="O28" s="585">
        <v>4</v>
      </c>
      <c r="P28" s="586">
        <v>14</v>
      </c>
    </row>
    <row r="29" spans="1:16" ht="15.8" customHeight="1" thickBot="1" x14ac:dyDescent="0.3">
      <c r="A29" s="583">
        <v>2</v>
      </c>
      <c r="B29" s="298" t="s">
        <v>51</v>
      </c>
      <c r="C29" s="587" t="s">
        <v>35</v>
      </c>
      <c r="D29" s="585">
        <v>3</v>
      </c>
      <c r="E29" s="586">
        <v>2</v>
      </c>
      <c r="F29" s="585">
        <v>0</v>
      </c>
      <c r="G29" s="585">
        <v>1</v>
      </c>
      <c r="H29" s="585">
        <v>85</v>
      </c>
      <c r="I29" s="585">
        <v>62</v>
      </c>
      <c r="J29" s="586">
        <v>23</v>
      </c>
      <c r="K29" s="585">
        <v>2</v>
      </c>
      <c r="L29" s="585">
        <v>0</v>
      </c>
      <c r="M29" s="585">
        <v>0</v>
      </c>
      <c r="N29" s="585">
        <v>12</v>
      </c>
      <c r="O29" s="585">
        <v>8</v>
      </c>
      <c r="P29" s="586">
        <v>10</v>
      </c>
    </row>
    <row r="30" spans="1:16" ht="15.8" customHeight="1" thickBot="1" x14ac:dyDescent="0.3">
      <c r="A30" s="583">
        <v>3</v>
      </c>
      <c r="B30" s="298" t="s">
        <v>51</v>
      </c>
      <c r="C30" s="588" t="s">
        <v>30</v>
      </c>
      <c r="D30" s="585">
        <v>3</v>
      </c>
      <c r="E30" s="586">
        <v>2</v>
      </c>
      <c r="F30" s="585">
        <v>0</v>
      </c>
      <c r="G30" s="585">
        <v>1</v>
      </c>
      <c r="H30" s="585">
        <v>74</v>
      </c>
      <c r="I30" s="585">
        <v>53</v>
      </c>
      <c r="J30" s="586">
        <v>21</v>
      </c>
      <c r="K30" s="585">
        <v>1</v>
      </c>
      <c r="L30" s="585">
        <v>1</v>
      </c>
      <c r="M30" s="585">
        <v>0</v>
      </c>
      <c r="N30" s="585">
        <v>11</v>
      </c>
      <c r="O30" s="585">
        <v>7</v>
      </c>
      <c r="P30" s="586">
        <v>10</v>
      </c>
    </row>
    <row r="31" spans="1:16" ht="15.8" customHeight="1" thickBot="1" x14ac:dyDescent="0.3">
      <c r="A31" s="583">
        <v>4</v>
      </c>
      <c r="B31" s="298" t="s">
        <v>51</v>
      </c>
      <c r="C31" s="236" t="s">
        <v>34</v>
      </c>
      <c r="D31" s="585">
        <v>3</v>
      </c>
      <c r="E31" s="586">
        <v>2</v>
      </c>
      <c r="F31" s="585">
        <v>0</v>
      </c>
      <c r="G31" s="585">
        <v>1</v>
      </c>
      <c r="H31" s="585">
        <v>80</v>
      </c>
      <c r="I31" s="585">
        <v>77</v>
      </c>
      <c r="J31" s="586">
        <v>3</v>
      </c>
      <c r="K31" s="585">
        <v>2</v>
      </c>
      <c r="L31" s="585">
        <v>0</v>
      </c>
      <c r="M31" s="585">
        <v>0</v>
      </c>
      <c r="N31" s="585">
        <v>9</v>
      </c>
      <c r="O31" s="585">
        <v>9</v>
      </c>
      <c r="P31" s="586">
        <v>10</v>
      </c>
    </row>
    <row r="32" spans="1:16" ht="15.8" customHeight="1" thickBot="1" x14ac:dyDescent="0.3">
      <c r="A32" s="583">
        <v>5</v>
      </c>
      <c r="B32" s="298" t="s">
        <v>51</v>
      </c>
      <c r="C32" s="234" t="s">
        <v>33</v>
      </c>
      <c r="D32" s="585">
        <v>3</v>
      </c>
      <c r="E32" s="586">
        <v>0</v>
      </c>
      <c r="F32" s="585">
        <v>0</v>
      </c>
      <c r="G32" s="585">
        <v>3</v>
      </c>
      <c r="H32" s="585">
        <v>58</v>
      </c>
      <c r="I32" s="585">
        <v>94</v>
      </c>
      <c r="J32" s="586">
        <v>-36</v>
      </c>
      <c r="K32" s="585">
        <v>0</v>
      </c>
      <c r="L32" s="585">
        <v>1</v>
      </c>
      <c r="M32" s="585">
        <v>0</v>
      </c>
      <c r="N32" s="585">
        <v>6</v>
      </c>
      <c r="O32" s="585">
        <v>14</v>
      </c>
      <c r="P32" s="586">
        <v>1</v>
      </c>
    </row>
    <row r="33" spans="1:16" ht="15.8" customHeight="1" thickBot="1" x14ac:dyDescent="0.3">
      <c r="A33" s="583">
        <v>6</v>
      </c>
      <c r="B33" s="298" t="s">
        <v>51</v>
      </c>
      <c r="C33" s="589" t="s">
        <v>32</v>
      </c>
      <c r="D33" s="585">
        <v>3</v>
      </c>
      <c r="E33" s="586">
        <v>0</v>
      </c>
      <c r="F33" s="585">
        <v>0</v>
      </c>
      <c r="G33" s="585">
        <v>3</v>
      </c>
      <c r="H33" s="585">
        <v>27</v>
      </c>
      <c r="I33" s="585">
        <v>89</v>
      </c>
      <c r="J33" s="586">
        <v>-62</v>
      </c>
      <c r="K33" s="585">
        <v>0</v>
      </c>
      <c r="L33" s="585">
        <v>0</v>
      </c>
      <c r="M33" s="585">
        <v>0</v>
      </c>
      <c r="N33" s="585">
        <v>3</v>
      </c>
      <c r="O33" s="585">
        <v>12</v>
      </c>
      <c r="P33" s="586">
        <v>0</v>
      </c>
    </row>
    <row r="34" spans="1:16" ht="15.8" customHeight="1" x14ac:dyDescent="0.25"/>
    <row r="35" spans="1:16" ht="15.8" customHeight="1" x14ac:dyDescent="0.25">
      <c r="A35" s="189" t="s">
        <v>369</v>
      </c>
    </row>
    <row r="36" spans="1:16" ht="15.8" customHeight="1" thickBot="1" x14ac:dyDescent="0.3"/>
    <row r="37" spans="1:16" ht="15.8" customHeight="1" thickBot="1" x14ac:dyDescent="0.3">
      <c r="A37" s="239" t="s">
        <v>47</v>
      </c>
      <c r="B37" s="240" t="s">
        <v>48</v>
      </c>
      <c r="C37" s="240"/>
      <c r="D37" s="240" t="s">
        <v>0</v>
      </c>
      <c r="E37" s="582" t="s">
        <v>1</v>
      </c>
      <c r="F37" s="240" t="s">
        <v>2</v>
      </c>
      <c r="G37" s="240" t="s">
        <v>3</v>
      </c>
      <c r="H37" s="240" t="s">
        <v>4</v>
      </c>
      <c r="I37" s="240" t="s">
        <v>5</v>
      </c>
      <c r="J37" s="582" t="s">
        <v>49</v>
      </c>
      <c r="K37" s="240" t="s">
        <v>21</v>
      </c>
      <c r="L37" s="240" t="s">
        <v>22</v>
      </c>
      <c r="M37" s="240" t="s">
        <v>64</v>
      </c>
      <c r="N37" s="240" t="s">
        <v>52</v>
      </c>
      <c r="O37" s="240" t="s">
        <v>53</v>
      </c>
      <c r="P37" s="582" t="s">
        <v>50</v>
      </c>
    </row>
    <row r="38" spans="1:16" ht="15.8" customHeight="1" thickBot="1" x14ac:dyDescent="0.3">
      <c r="A38" s="583">
        <v>1</v>
      </c>
      <c r="B38" s="298" t="s">
        <v>51</v>
      </c>
      <c r="C38" s="584" t="s">
        <v>39</v>
      </c>
      <c r="D38" s="585">
        <v>2</v>
      </c>
      <c r="E38" s="586">
        <v>2</v>
      </c>
      <c r="F38" s="585">
        <v>0</v>
      </c>
      <c r="G38" s="585">
        <v>0</v>
      </c>
      <c r="H38" s="585">
        <v>66</v>
      </c>
      <c r="I38" s="585">
        <v>29</v>
      </c>
      <c r="J38" s="586">
        <v>37</v>
      </c>
      <c r="K38" s="585">
        <v>2</v>
      </c>
      <c r="L38" s="585">
        <v>0</v>
      </c>
      <c r="M38" s="585">
        <v>0</v>
      </c>
      <c r="N38" s="585">
        <v>8</v>
      </c>
      <c r="O38" s="585">
        <v>2</v>
      </c>
      <c r="P38" s="586">
        <v>10</v>
      </c>
    </row>
    <row r="39" spans="1:16" ht="15.8" customHeight="1" thickBot="1" x14ac:dyDescent="0.3">
      <c r="A39" s="583">
        <v>2</v>
      </c>
      <c r="B39" s="298" t="s">
        <v>51</v>
      </c>
      <c r="C39" s="587" t="s">
        <v>35</v>
      </c>
      <c r="D39" s="585">
        <v>2</v>
      </c>
      <c r="E39" s="586">
        <v>2</v>
      </c>
      <c r="F39" s="585">
        <v>0</v>
      </c>
      <c r="G39" s="585">
        <v>0</v>
      </c>
      <c r="H39" s="585">
        <v>64</v>
      </c>
      <c r="I39" s="585">
        <v>30</v>
      </c>
      <c r="J39" s="586">
        <v>34</v>
      </c>
      <c r="K39" s="585">
        <v>2</v>
      </c>
      <c r="L39" s="585">
        <v>0</v>
      </c>
      <c r="M39" s="585">
        <v>0</v>
      </c>
      <c r="N39" s="585">
        <v>9</v>
      </c>
      <c r="O39" s="585">
        <v>4</v>
      </c>
      <c r="P39" s="586">
        <v>10</v>
      </c>
    </row>
    <row r="40" spans="1:16" ht="15.8" customHeight="1" thickBot="1" x14ac:dyDescent="0.3">
      <c r="A40" s="583">
        <v>3</v>
      </c>
      <c r="B40" s="610" t="s">
        <v>368</v>
      </c>
      <c r="C40" s="588" t="s">
        <v>30</v>
      </c>
      <c r="D40" s="585">
        <v>2</v>
      </c>
      <c r="E40" s="586">
        <v>1</v>
      </c>
      <c r="F40" s="585">
        <v>0</v>
      </c>
      <c r="G40" s="585">
        <v>1</v>
      </c>
      <c r="H40" s="585">
        <v>54</v>
      </c>
      <c r="I40" s="585">
        <v>43</v>
      </c>
      <c r="J40" s="586">
        <v>11</v>
      </c>
      <c r="K40" s="585">
        <v>1</v>
      </c>
      <c r="L40" s="585">
        <v>1</v>
      </c>
      <c r="M40" s="585">
        <v>0</v>
      </c>
      <c r="N40" s="585">
        <v>8</v>
      </c>
      <c r="O40" s="585">
        <v>6</v>
      </c>
      <c r="P40" s="586">
        <v>6</v>
      </c>
    </row>
    <row r="41" spans="1:16" ht="15.8" customHeight="1" thickBot="1" x14ac:dyDescent="0.3">
      <c r="A41" s="583">
        <v>4</v>
      </c>
      <c r="B41" s="610" t="s">
        <v>367</v>
      </c>
      <c r="C41" s="236" t="s">
        <v>34</v>
      </c>
      <c r="D41" s="585">
        <v>2</v>
      </c>
      <c r="E41" s="586">
        <v>1</v>
      </c>
      <c r="F41" s="585">
        <v>0</v>
      </c>
      <c r="G41" s="585">
        <v>1</v>
      </c>
      <c r="H41" s="585">
        <v>48</v>
      </c>
      <c r="I41" s="585">
        <v>56</v>
      </c>
      <c r="J41" s="586">
        <v>-8</v>
      </c>
      <c r="K41" s="585">
        <v>1</v>
      </c>
      <c r="L41" s="585">
        <v>0</v>
      </c>
      <c r="M41" s="585">
        <v>0</v>
      </c>
      <c r="N41" s="585">
        <v>5</v>
      </c>
      <c r="O41" s="585">
        <v>6</v>
      </c>
      <c r="P41" s="586">
        <v>5</v>
      </c>
    </row>
    <row r="42" spans="1:16" ht="15.8" customHeight="1" thickBot="1" x14ac:dyDescent="0.3">
      <c r="A42" s="583">
        <v>5</v>
      </c>
      <c r="B42" s="610" t="s">
        <v>367</v>
      </c>
      <c r="C42" s="234" t="s">
        <v>33</v>
      </c>
      <c r="D42" s="585">
        <v>2</v>
      </c>
      <c r="E42" s="586">
        <v>0</v>
      </c>
      <c r="F42" s="585">
        <v>0</v>
      </c>
      <c r="G42" s="585">
        <v>2</v>
      </c>
      <c r="H42" s="585">
        <v>38</v>
      </c>
      <c r="I42" s="585">
        <v>60</v>
      </c>
      <c r="J42" s="586">
        <v>-22</v>
      </c>
      <c r="K42" s="585">
        <v>0</v>
      </c>
      <c r="L42" s="585">
        <v>1</v>
      </c>
      <c r="M42" s="585">
        <v>0</v>
      </c>
      <c r="N42" s="585">
        <v>4</v>
      </c>
      <c r="O42" s="585">
        <v>9</v>
      </c>
      <c r="P42" s="586">
        <v>1</v>
      </c>
    </row>
    <row r="43" spans="1:16" ht="15.8" customHeight="1" thickBot="1" x14ac:dyDescent="0.3">
      <c r="A43" s="583">
        <v>6</v>
      </c>
      <c r="B43" s="298" t="s">
        <v>51</v>
      </c>
      <c r="C43" s="589" t="s">
        <v>32</v>
      </c>
      <c r="D43" s="585">
        <v>2</v>
      </c>
      <c r="E43" s="586">
        <v>0</v>
      </c>
      <c r="F43" s="585">
        <v>0</v>
      </c>
      <c r="G43" s="585">
        <v>2</v>
      </c>
      <c r="H43" s="585">
        <v>17</v>
      </c>
      <c r="I43" s="585">
        <v>69</v>
      </c>
      <c r="J43" s="586">
        <v>-52</v>
      </c>
      <c r="K43" s="585">
        <v>0</v>
      </c>
      <c r="L43" s="585">
        <v>0</v>
      </c>
      <c r="M43" s="585">
        <v>0</v>
      </c>
      <c r="N43" s="585">
        <v>2</v>
      </c>
      <c r="O43" s="585">
        <v>9</v>
      </c>
      <c r="P43" s="586">
        <v>0</v>
      </c>
    </row>
    <row r="44" spans="1:16" ht="15.8" customHeight="1" x14ac:dyDescent="0.25"/>
    <row r="45" spans="1:16" ht="15.8" customHeight="1" x14ac:dyDescent="0.25">
      <c r="A45" s="189" t="s">
        <v>200</v>
      </c>
    </row>
    <row r="46" spans="1:16" ht="15.8" customHeight="1" thickBot="1" x14ac:dyDescent="0.3"/>
    <row r="47" spans="1:16" ht="14.95" thickBot="1" x14ac:dyDescent="0.3">
      <c r="A47" s="239" t="s">
        <v>47</v>
      </c>
      <c r="B47" s="240" t="s">
        <v>48</v>
      </c>
      <c r="C47" s="240"/>
      <c r="D47" s="240" t="s">
        <v>0</v>
      </c>
      <c r="E47" s="582" t="s">
        <v>1</v>
      </c>
      <c r="F47" s="240" t="s">
        <v>2</v>
      </c>
      <c r="G47" s="240" t="s">
        <v>3</v>
      </c>
      <c r="H47" s="240" t="s">
        <v>4</v>
      </c>
      <c r="I47" s="240" t="s">
        <v>5</v>
      </c>
      <c r="J47" s="582" t="s">
        <v>49</v>
      </c>
      <c r="K47" s="240" t="s">
        <v>21</v>
      </c>
      <c r="L47" s="240" t="s">
        <v>22</v>
      </c>
      <c r="M47" s="240" t="s">
        <v>64</v>
      </c>
      <c r="N47" s="240" t="s">
        <v>52</v>
      </c>
      <c r="O47" s="240" t="s">
        <v>53</v>
      </c>
      <c r="P47" s="582" t="s">
        <v>50</v>
      </c>
    </row>
    <row r="48" spans="1:16" ht="14.95" thickBot="1" x14ac:dyDescent="0.3">
      <c r="A48" s="583">
        <v>1</v>
      </c>
      <c r="B48" s="298" t="s">
        <v>51</v>
      </c>
      <c r="C48" s="584" t="s">
        <v>39</v>
      </c>
      <c r="D48" s="585">
        <v>1</v>
      </c>
      <c r="E48" s="586">
        <v>1</v>
      </c>
      <c r="F48" s="585">
        <v>0</v>
      </c>
      <c r="G48" s="585">
        <v>0</v>
      </c>
      <c r="H48" s="585">
        <v>34</v>
      </c>
      <c r="I48" s="585">
        <v>10</v>
      </c>
      <c r="J48" s="586">
        <v>24</v>
      </c>
      <c r="K48" s="585">
        <v>1</v>
      </c>
      <c r="L48" s="585">
        <v>0</v>
      </c>
      <c r="M48" s="585">
        <v>0</v>
      </c>
      <c r="N48" s="585">
        <v>4</v>
      </c>
      <c r="O48" s="585">
        <v>1</v>
      </c>
      <c r="P48" s="586">
        <v>5</v>
      </c>
    </row>
    <row r="49" spans="1:16" ht="14.95" thickBot="1" x14ac:dyDescent="0.3">
      <c r="A49" s="583">
        <v>2</v>
      </c>
      <c r="B49" s="298" t="s">
        <v>51</v>
      </c>
      <c r="C49" s="587" t="s">
        <v>35</v>
      </c>
      <c r="D49" s="585">
        <v>1</v>
      </c>
      <c r="E49" s="586">
        <v>1</v>
      </c>
      <c r="F49" s="585">
        <v>0</v>
      </c>
      <c r="G49" s="585">
        <v>0</v>
      </c>
      <c r="H49" s="585">
        <v>29</v>
      </c>
      <c r="I49" s="585">
        <v>23</v>
      </c>
      <c r="J49" s="586">
        <v>6</v>
      </c>
      <c r="K49" s="585">
        <v>1</v>
      </c>
      <c r="L49" s="585">
        <v>0</v>
      </c>
      <c r="M49" s="585">
        <v>0</v>
      </c>
      <c r="N49" s="585">
        <v>4</v>
      </c>
      <c r="O49" s="585">
        <v>3</v>
      </c>
      <c r="P49" s="586">
        <v>5</v>
      </c>
    </row>
    <row r="50" spans="1:16" ht="14.95" thickBot="1" x14ac:dyDescent="0.3">
      <c r="A50" s="583">
        <v>3</v>
      </c>
      <c r="B50" s="298" t="s">
        <v>51</v>
      </c>
      <c r="C50" s="236" t="s">
        <v>34</v>
      </c>
      <c r="D50" s="585">
        <v>1</v>
      </c>
      <c r="E50" s="586">
        <v>1</v>
      </c>
      <c r="F50" s="585">
        <v>0</v>
      </c>
      <c r="G50" s="585">
        <v>0</v>
      </c>
      <c r="H50" s="585">
        <v>29</v>
      </c>
      <c r="I50" s="585">
        <v>24</v>
      </c>
      <c r="J50" s="586">
        <v>5</v>
      </c>
      <c r="K50" s="585">
        <v>1</v>
      </c>
      <c r="L50" s="585">
        <v>0</v>
      </c>
      <c r="M50" s="585">
        <v>0</v>
      </c>
      <c r="N50" s="585">
        <v>4</v>
      </c>
      <c r="O50" s="585">
        <v>2</v>
      </c>
      <c r="P50" s="586">
        <v>5</v>
      </c>
    </row>
    <row r="51" spans="1:16" ht="14.95" thickBot="1" x14ac:dyDescent="0.3">
      <c r="A51" s="583">
        <v>4</v>
      </c>
      <c r="B51" s="298" t="s">
        <v>51</v>
      </c>
      <c r="C51" s="234" t="s">
        <v>33</v>
      </c>
      <c r="D51" s="585">
        <v>1</v>
      </c>
      <c r="E51" s="586">
        <v>0</v>
      </c>
      <c r="F51" s="585">
        <v>0</v>
      </c>
      <c r="G51" s="585">
        <v>1</v>
      </c>
      <c r="H51" s="585">
        <v>24</v>
      </c>
      <c r="I51" s="585">
        <v>29</v>
      </c>
      <c r="J51" s="586">
        <v>-5</v>
      </c>
      <c r="K51" s="585">
        <v>0</v>
      </c>
      <c r="L51" s="585">
        <v>1</v>
      </c>
      <c r="M51" s="585">
        <v>0</v>
      </c>
      <c r="N51" s="585">
        <v>2</v>
      </c>
      <c r="O51" s="585">
        <v>4</v>
      </c>
      <c r="P51" s="586">
        <v>1</v>
      </c>
    </row>
    <row r="52" spans="1:16" ht="14.95" thickBot="1" x14ac:dyDescent="0.3">
      <c r="A52" s="583">
        <v>5</v>
      </c>
      <c r="B52" s="298" t="s">
        <v>51</v>
      </c>
      <c r="C52" s="588" t="s">
        <v>30</v>
      </c>
      <c r="D52" s="585">
        <v>1</v>
      </c>
      <c r="E52" s="586">
        <v>0</v>
      </c>
      <c r="F52" s="585">
        <v>0</v>
      </c>
      <c r="G52" s="585">
        <v>1</v>
      </c>
      <c r="H52" s="585">
        <v>23</v>
      </c>
      <c r="I52" s="585">
        <v>29</v>
      </c>
      <c r="J52" s="586">
        <v>-6</v>
      </c>
      <c r="K52" s="585">
        <v>0</v>
      </c>
      <c r="L52" s="585">
        <v>1</v>
      </c>
      <c r="M52" s="585">
        <v>0</v>
      </c>
      <c r="N52" s="585">
        <v>3</v>
      </c>
      <c r="O52" s="585">
        <v>4</v>
      </c>
      <c r="P52" s="586">
        <v>1</v>
      </c>
    </row>
    <row r="53" spans="1:16" ht="14.95" thickBot="1" x14ac:dyDescent="0.3">
      <c r="A53" s="583">
        <v>6</v>
      </c>
      <c r="B53" s="298" t="s">
        <v>51</v>
      </c>
      <c r="C53" s="589" t="s">
        <v>32</v>
      </c>
      <c r="D53" s="585">
        <v>1</v>
      </c>
      <c r="E53" s="586">
        <v>0</v>
      </c>
      <c r="F53" s="585">
        <v>0</v>
      </c>
      <c r="G53" s="585">
        <v>1</v>
      </c>
      <c r="H53" s="585">
        <v>10</v>
      </c>
      <c r="I53" s="585">
        <v>34</v>
      </c>
      <c r="J53" s="586">
        <v>-24</v>
      </c>
      <c r="K53" s="585">
        <v>0</v>
      </c>
      <c r="L53" s="585">
        <v>0</v>
      </c>
      <c r="M53" s="585">
        <v>0</v>
      </c>
      <c r="N53" s="585">
        <v>1</v>
      </c>
      <c r="O53" s="585">
        <v>4</v>
      </c>
      <c r="P53" s="586">
        <v>0</v>
      </c>
    </row>
    <row r="55" spans="1:16" x14ac:dyDescent="0.25">
      <c r="A55" s="371" t="s">
        <v>28</v>
      </c>
    </row>
  </sheetData>
  <sortState xmlns:xlrd2="http://schemas.microsoft.com/office/spreadsheetml/2017/richdata2" ref="A2:P7">
    <sortCondition descending="1" ref="P2:P7"/>
    <sortCondition descending="1" ref="J2:J7"/>
    <sortCondition descending="1" ref="N2:N7"/>
    <sortCondition ref="C2:C7"/>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6"/>
  <sheetViews>
    <sheetView topLeftCell="A41" workbookViewId="0">
      <selection activeCell="Q32" sqref="Q32"/>
    </sheetView>
  </sheetViews>
  <sheetFormatPr defaultRowHeight="14.3" x14ac:dyDescent="0.25"/>
  <cols>
    <col min="1" max="1" width="10.625" bestFit="1" customWidth="1"/>
    <col min="2" max="2" width="6" customWidth="1"/>
    <col min="7" max="7" width="2.625" customWidth="1"/>
    <col min="8" max="10" width="3.625" customWidth="1"/>
  </cols>
  <sheetData>
    <row r="1" spans="1:14" x14ac:dyDescent="0.25">
      <c r="A1" s="551"/>
      <c r="B1" s="509" t="s">
        <v>120</v>
      </c>
      <c r="C1" s="551"/>
      <c r="D1" s="551"/>
      <c r="E1" s="551"/>
      <c r="F1" s="912">
        <v>2023</v>
      </c>
      <c r="G1" s="911"/>
      <c r="H1" s="551"/>
      <c r="I1" s="551"/>
      <c r="J1" s="551"/>
      <c r="K1" s="551"/>
      <c r="L1" s="551"/>
      <c r="M1" s="551"/>
      <c r="N1" s="551"/>
    </row>
    <row r="2" spans="1:14" x14ac:dyDescent="0.25">
      <c r="A2" s="508">
        <v>44961</v>
      </c>
      <c r="B2" s="509">
        <v>14.15</v>
      </c>
      <c r="C2" s="909" t="s">
        <v>32</v>
      </c>
      <c r="D2" s="913"/>
      <c r="E2" s="913"/>
      <c r="F2" s="509">
        <v>10</v>
      </c>
      <c r="G2" s="510" t="s">
        <v>168</v>
      </c>
      <c r="H2" s="513">
        <v>34</v>
      </c>
      <c r="I2" s="910" t="s">
        <v>39</v>
      </c>
      <c r="J2" s="911"/>
      <c r="K2" s="911"/>
      <c r="L2" s="909" t="s">
        <v>69</v>
      </c>
      <c r="M2" s="909"/>
      <c r="N2" s="909"/>
    </row>
    <row r="3" spans="1:14" x14ac:dyDescent="0.25">
      <c r="A3" s="508">
        <v>44961</v>
      </c>
      <c r="B3" s="509">
        <v>16.45</v>
      </c>
      <c r="C3" s="912" t="s">
        <v>30</v>
      </c>
      <c r="D3" s="912"/>
      <c r="E3" s="912"/>
      <c r="F3" s="509">
        <v>23</v>
      </c>
      <c r="G3" s="510" t="s">
        <v>168</v>
      </c>
      <c r="H3" s="513">
        <v>29</v>
      </c>
      <c r="I3" s="509" t="s">
        <v>35</v>
      </c>
      <c r="J3" s="509"/>
      <c r="K3" s="509"/>
      <c r="L3" s="912" t="s">
        <v>67</v>
      </c>
      <c r="M3" s="912"/>
      <c r="N3" s="912"/>
    </row>
    <row r="4" spans="1:14" x14ac:dyDescent="0.25">
      <c r="A4" s="508">
        <v>44962</v>
      </c>
      <c r="B4" s="512">
        <v>0.625</v>
      </c>
      <c r="C4" s="912" t="s">
        <v>33</v>
      </c>
      <c r="D4" s="912"/>
      <c r="E4" s="912"/>
      <c r="F4" s="509">
        <v>24</v>
      </c>
      <c r="G4" s="510" t="s">
        <v>168</v>
      </c>
      <c r="H4" s="513">
        <v>29</v>
      </c>
      <c r="I4" s="914" t="s">
        <v>34</v>
      </c>
      <c r="J4" s="914"/>
      <c r="K4" s="914"/>
      <c r="L4" s="912" t="s">
        <v>68</v>
      </c>
      <c r="M4" s="912"/>
      <c r="N4" s="912"/>
    </row>
    <row r="5" spans="1:14" x14ac:dyDescent="0.25">
      <c r="A5" s="508">
        <v>44968</v>
      </c>
      <c r="B5" s="512">
        <v>0.59375</v>
      </c>
      <c r="C5" s="909" t="s">
        <v>39</v>
      </c>
      <c r="D5" s="913"/>
      <c r="E5" s="913"/>
      <c r="F5" s="509">
        <v>32</v>
      </c>
      <c r="G5" s="510" t="s">
        <v>168</v>
      </c>
      <c r="H5" s="513">
        <v>19</v>
      </c>
      <c r="I5" s="509" t="s">
        <v>34</v>
      </c>
      <c r="J5" s="509"/>
      <c r="K5" s="509"/>
      <c r="L5" s="912" t="s">
        <v>72</v>
      </c>
      <c r="M5" s="912"/>
      <c r="N5" s="912"/>
    </row>
    <row r="6" spans="1:14" x14ac:dyDescent="0.25">
      <c r="A6" s="508">
        <v>44968</v>
      </c>
      <c r="B6" s="512">
        <v>0.69791666666666663</v>
      </c>
      <c r="C6" s="912" t="s">
        <v>35</v>
      </c>
      <c r="D6" s="912"/>
      <c r="E6" s="912"/>
      <c r="F6" s="509">
        <v>35</v>
      </c>
      <c r="G6" s="510" t="s">
        <v>168</v>
      </c>
      <c r="H6" s="513">
        <v>7</v>
      </c>
      <c r="I6" s="509" t="s">
        <v>32</v>
      </c>
      <c r="J6" s="509"/>
      <c r="K6" s="509"/>
      <c r="L6" s="912" t="s">
        <v>66</v>
      </c>
      <c r="M6" s="912"/>
      <c r="N6" s="912"/>
    </row>
    <row r="7" spans="1:14" x14ac:dyDescent="0.25">
      <c r="A7" s="508">
        <v>44969</v>
      </c>
      <c r="B7" s="512">
        <v>0.625</v>
      </c>
      <c r="C7" s="909" t="s">
        <v>30</v>
      </c>
      <c r="D7" s="913"/>
      <c r="E7" s="913"/>
      <c r="F7" s="509">
        <v>31</v>
      </c>
      <c r="G7" s="510" t="s">
        <v>168</v>
      </c>
      <c r="H7" s="513">
        <v>14</v>
      </c>
      <c r="I7" s="509" t="s">
        <v>33</v>
      </c>
      <c r="J7" s="509"/>
      <c r="K7" s="509"/>
      <c r="L7" s="912" t="s">
        <v>67</v>
      </c>
      <c r="M7" s="912"/>
      <c r="N7" s="912"/>
    </row>
    <row r="8" spans="1:14" x14ac:dyDescent="0.25">
      <c r="A8" s="508">
        <v>44982</v>
      </c>
      <c r="B8" s="512">
        <v>0.59375</v>
      </c>
      <c r="C8" s="912" t="s">
        <v>33</v>
      </c>
      <c r="D8" s="912"/>
      <c r="E8" s="912"/>
      <c r="F8" s="509">
        <v>20</v>
      </c>
      <c r="G8" s="510" t="s">
        <v>168</v>
      </c>
      <c r="H8" s="513">
        <v>34</v>
      </c>
      <c r="I8" s="509" t="s">
        <v>39</v>
      </c>
      <c r="J8" s="509"/>
      <c r="K8" s="509"/>
      <c r="L8" s="912" t="s">
        <v>68</v>
      </c>
      <c r="M8" s="912"/>
      <c r="N8" s="912"/>
    </row>
    <row r="9" spans="1:14" x14ac:dyDescent="0.25">
      <c r="A9" s="508">
        <v>44982</v>
      </c>
      <c r="B9" s="512">
        <v>0.69791666666666663</v>
      </c>
      <c r="C9" s="909" t="s">
        <v>32</v>
      </c>
      <c r="D9" s="913"/>
      <c r="E9" s="913"/>
      <c r="F9" s="509">
        <v>10</v>
      </c>
      <c r="G9" s="510" t="s">
        <v>168</v>
      </c>
      <c r="H9" s="513">
        <v>20</v>
      </c>
      <c r="I9" s="509" t="s">
        <v>30</v>
      </c>
      <c r="J9" s="509"/>
      <c r="K9" s="509"/>
      <c r="L9" s="909" t="s">
        <v>69</v>
      </c>
      <c r="M9" s="913"/>
      <c r="N9" s="913"/>
    </row>
    <row r="10" spans="1:14" x14ac:dyDescent="0.25">
      <c r="A10" s="508">
        <v>44983</v>
      </c>
      <c r="B10" s="512">
        <v>0.625</v>
      </c>
      <c r="C10" s="909" t="s">
        <v>34</v>
      </c>
      <c r="D10" s="913"/>
      <c r="E10" s="913"/>
      <c r="F10" s="509">
        <v>32</v>
      </c>
      <c r="G10" s="510" t="s">
        <v>168</v>
      </c>
      <c r="H10" s="513">
        <v>21</v>
      </c>
      <c r="I10" s="509" t="s">
        <v>35</v>
      </c>
      <c r="J10" s="509"/>
      <c r="K10" s="509"/>
      <c r="L10" s="909" t="s">
        <v>70</v>
      </c>
      <c r="M10" s="909"/>
      <c r="N10" s="909"/>
    </row>
    <row r="11" spans="1:14" x14ac:dyDescent="0.25">
      <c r="A11" s="508">
        <v>44996</v>
      </c>
      <c r="B11" s="512">
        <v>0.59375</v>
      </c>
      <c r="C11" s="909" t="s">
        <v>33</v>
      </c>
      <c r="D11" s="913"/>
      <c r="E11" s="913"/>
      <c r="F11" s="509">
        <v>17</v>
      </c>
      <c r="G11" s="510" t="s">
        <v>168</v>
      </c>
      <c r="H11" s="513">
        <v>29</v>
      </c>
      <c r="I11" s="509" t="s">
        <v>32</v>
      </c>
      <c r="J11" s="509"/>
      <c r="K11" s="509"/>
      <c r="L11" s="912" t="s">
        <v>68</v>
      </c>
      <c r="M11" s="912"/>
      <c r="N11" s="912"/>
    </row>
    <row r="12" spans="1:14" x14ac:dyDescent="0.25">
      <c r="A12" s="508">
        <v>44996</v>
      </c>
      <c r="B12" s="512">
        <v>0.69791666666666663</v>
      </c>
      <c r="C12" s="909" t="s">
        <v>30</v>
      </c>
      <c r="D12" s="913"/>
      <c r="E12" s="913"/>
      <c r="F12" s="509">
        <v>10</v>
      </c>
      <c r="G12" s="510" t="s">
        <v>168</v>
      </c>
      <c r="H12" s="513">
        <v>53</v>
      </c>
      <c r="I12" s="509" t="s">
        <v>34</v>
      </c>
      <c r="J12" s="509"/>
      <c r="K12" s="509"/>
      <c r="L12" s="912" t="s">
        <v>67</v>
      </c>
      <c r="M12" s="912"/>
      <c r="N12" s="912"/>
    </row>
    <row r="13" spans="1:14" x14ac:dyDescent="0.25">
      <c r="A13" s="508">
        <v>44997</v>
      </c>
      <c r="B13" s="512">
        <v>0.625</v>
      </c>
      <c r="C13" s="909" t="s">
        <v>35</v>
      </c>
      <c r="D13" s="913"/>
      <c r="E13" s="913"/>
      <c r="F13" s="509">
        <v>7</v>
      </c>
      <c r="G13" s="510" t="s">
        <v>168</v>
      </c>
      <c r="H13" s="513">
        <v>22</v>
      </c>
      <c r="I13" s="509" t="s">
        <v>39</v>
      </c>
      <c r="J13" s="509"/>
      <c r="K13" s="509"/>
      <c r="L13" s="909" t="s">
        <v>66</v>
      </c>
      <c r="M13" s="913"/>
      <c r="N13" s="913"/>
    </row>
    <row r="14" spans="1:14" x14ac:dyDescent="0.25">
      <c r="A14" s="508">
        <v>45003</v>
      </c>
      <c r="B14" s="512">
        <v>0.52083333333333337</v>
      </c>
      <c r="C14" s="909" t="s">
        <v>35</v>
      </c>
      <c r="D14" s="913"/>
      <c r="E14" s="913"/>
      <c r="F14" s="509">
        <v>26</v>
      </c>
      <c r="G14" s="510" t="s">
        <v>168</v>
      </c>
      <c r="H14" s="513">
        <v>14</v>
      </c>
      <c r="I14" s="509" t="s">
        <v>33</v>
      </c>
      <c r="J14" s="509"/>
      <c r="K14" s="509"/>
      <c r="L14" s="912" t="s">
        <v>66</v>
      </c>
      <c r="M14" s="912"/>
      <c r="N14" s="912"/>
    </row>
    <row r="15" spans="1:14" x14ac:dyDescent="0.25">
      <c r="A15" s="508">
        <v>45003</v>
      </c>
      <c r="B15" s="512">
        <v>0.61458333333333337</v>
      </c>
      <c r="C15" s="909" t="s">
        <v>34</v>
      </c>
      <c r="D15" s="913"/>
      <c r="E15" s="913"/>
      <c r="F15" s="509">
        <v>41</v>
      </c>
      <c r="G15" s="510" t="s">
        <v>168</v>
      </c>
      <c r="H15" s="513">
        <v>28</v>
      </c>
      <c r="I15" s="509" t="s">
        <v>32</v>
      </c>
      <c r="J15" s="509"/>
      <c r="K15" s="509"/>
      <c r="L15" s="909" t="s">
        <v>70</v>
      </c>
      <c r="M15" s="909"/>
      <c r="N15" s="909"/>
    </row>
    <row r="16" spans="1:14" x14ac:dyDescent="0.25">
      <c r="A16" s="508">
        <v>45003</v>
      </c>
      <c r="B16" s="512">
        <v>0.70833333333333337</v>
      </c>
      <c r="C16" s="912" t="s">
        <v>39</v>
      </c>
      <c r="D16" s="912"/>
      <c r="E16" s="912"/>
      <c r="F16" s="509">
        <v>29</v>
      </c>
      <c r="G16" s="510" t="s">
        <v>168</v>
      </c>
      <c r="H16" s="513">
        <v>16</v>
      </c>
      <c r="I16" s="509" t="s">
        <v>30</v>
      </c>
      <c r="J16" s="509"/>
      <c r="K16" s="509"/>
      <c r="L16" s="912" t="s">
        <v>72</v>
      </c>
      <c r="M16" s="912"/>
      <c r="N16" s="912"/>
    </row>
    <row r="18" spans="1:14" x14ac:dyDescent="0.25">
      <c r="A18" s="551"/>
      <c r="B18" s="509" t="s">
        <v>120</v>
      </c>
      <c r="C18" s="551"/>
      <c r="D18" s="551"/>
      <c r="E18" s="551"/>
      <c r="F18" s="912">
        <v>2022</v>
      </c>
      <c r="G18" s="911"/>
      <c r="H18" s="551"/>
      <c r="I18" s="551"/>
      <c r="J18" s="551"/>
      <c r="K18" s="551"/>
      <c r="L18" s="551"/>
      <c r="M18" s="551"/>
      <c r="N18" s="551"/>
    </row>
    <row r="19" spans="1:14" x14ac:dyDescent="0.25">
      <c r="A19" s="508">
        <v>44597</v>
      </c>
      <c r="B19" s="509">
        <v>14.15</v>
      </c>
      <c r="C19" s="909" t="s">
        <v>39</v>
      </c>
      <c r="D19" s="913"/>
      <c r="E19" s="913"/>
      <c r="F19" s="509">
        <v>29</v>
      </c>
      <c r="G19" s="510" t="s">
        <v>168</v>
      </c>
      <c r="H19" s="513">
        <v>7</v>
      </c>
      <c r="I19" s="910" t="s">
        <v>32</v>
      </c>
      <c r="J19" s="911"/>
      <c r="K19" s="911"/>
      <c r="L19" s="909" t="s">
        <v>72</v>
      </c>
      <c r="M19" s="909"/>
      <c r="N19" s="909"/>
    </row>
    <row r="20" spans="1:14" x14ac:dyDescent="0.25">
      <c r="A20" s="508">
        <v>44597</v>
      </c>
      <c r="B20" s="509">
        <v>16.45</v>
      </c>
      <c r="C20" s="912" t="s">
        <v>35</v>
      </c>
      <c r="D20" s="912"/>
      <c r="E20" s="912"/>
      <c r="F20" s="509">
        <v>20</v>
      </c>
      <c r="G20" s="510" t="s">
        <v>168</v>
      </c>
      <c r="H20" s="513">
        <v>17</v>
      </c>
      <c r="I20" s="509" t="s">
        <v>30</v>
      </c>
      <c r="J20" s="509"/>
      <c r="K20" s="509"/>
      <c r="L20" s="912" t="s">
        <v>66</v>
      </c>
      <c r="M20" s="912"/>
      <c r="N20" s="912"/>
    </row>
    <row r="21" spans="1:14" x14ac:dyDescent="0.25">
      <c r="A21" s="508">
        <v>44598</v>
      </c>
      <c r="B21" s="512">
        <v>0.625</v>
      </c>
      <c r="C21" s="912" t="s">
        <v>34</v>
      </c>
      <c r="D21" s="912"/>
      <c r="E21" s="912"/>
      <c r="F21" s="509">
        <v>37</v>
      </c>
      <c r="G21" s="510" t="s">
        <v>168</v>
      </c>
      <c r="H21" s="513">
        <v>10</v>
      </c>
      <c r="I21" s="914" t="s">
        <v>33</v>
      </c>
      <c r="J21" s="914"/>
      <c r="K21" s="914"/>
      <c r="L21" s="912" t="s">
        <v>70</v>
      </c>
      <c r="M21" s="912"/>
      <c r="N21" s="912"/>
    </row>
    <row r="22" spans="1:14" x14ac:dyDescent="0.25">
      <c r="A22" s="508">
        <v>44604</v>
      </c>
      <c r="B22" s="512">
        <v>0.59375</v>
      </c>
      <c r="C22" s="909" t="s">
        <v>32</v>
      </c>
      <c r="D22" s="913"/>
      <c r="E22" s="913"/>
      <c r="F22" s="509">
        <v>20</v>
      </c>
      <c r="G22" s="510" t="s">
        <v>168</v>
      </c>
      <c r="H22" s="513">
        <v>17</v>
      </c>
      <c r="I22" s="509" t="s">
        <v>35</v>
      </c>
      <c r="J22" s="509"/>
      <c r="K22" s="509"/>
      <c r="L22" s="912" t="s">
        <v>69</v>
      </c>
      <c r="M22" s="912"/>
      <c r="N22" s="912"/>
    </row>
    <row r="23" spans="1:14" x14ac:dyDescent="0.25">
      <c r="A23" s="508">
        <v>44604</v>
      </c>
      <c r="B23" s="512">
        <v>0.69791666666666663</v>
      </c>
      <c r="C23" s="912" t="s">
        <v>34</v>
      </c>
      <c r="D23" s="912"/>
      <c r="E23" s="912"/>
      <c r="F23" s="509">
        <v>30</v>
      </c>
      <c r="G23" s="510" t="s">
        <v>168</v>
      </c>
      <c r="H23" s="513">
        <v>24</v>
      </c>
      <c r="I23" s="509" t="s">
        <v>39</v>
      </c>
      <c r="J23" s="509"/>
      <c r="K23" s="509"/>
      <c r="L23" s="912" t="s">
        <v>70</v>
      </c>
      <c r="M23" s="912"/>
      <c r="N23" s="912"/>
    </row>
    <row r="24" spans="1:14" x14ac:dyDescent="0.25">
      <c r="A24" s="508">
        <v>44605</v>
      </c>
      <c r="B24" s="512">
        <v>0.625</v>
      </c>
      <c r="C24" s="909" t="s">
        <v>33</v>
      </c>
      <c r="D24" s="913"/>
      <c r="E24" s="913"/>
      <c r="F24" s="509">
        <v>0</v>
      </c>
      <c r="G24" s="510" t="s">
        <v>168</v>
      </c>
      <c r="H24" s="513">
        <v>33</v>
      </c>
      <c r="I24" s="509" t="s">
        <v>30</v>
      </c>
      <c r="J24" s="509"/>
      <c r="K24" s="509"/>
      <c r="L24" s="912" t="s">
        <v>68</v>
      </c>
      <c r="M24" s="912"/>
      <c r="N24" s="912"/>
    </row>
    <row r="25" spans="1:14" x14ac:dyDescent="0.25">
      <c r="A25" s="508">
        <v>44618</v>
      </c>
      <c r="B25" s="512">
        <v>0.59375</v>
      </c>
      <c r="C25" s="912" t="s">
        <v>35</v>
      </c>
      <c r="D25" s="912"/>
      <c r="E25" s="912"/>
      <c r="F25" s="509">
        <v>17</v>
      </c>
      <c r="G25" s="510" t="s">
        <v>168</v>
      </c>
      <c r="H25" s="513">
        <v>36</v>
      </c>
      <c r="I25" s="509" t="s">
        <v>34</v>
      </c>
      <c r="J25" s="509"/>
      <c r="K25" s="509"/>
      <c r="L25" s="912" t="s">
        <v>66</v>
      </c>
      <c r="M25" s="912"/>
      <c r="N25" s="912"/>
    </row>
    <row r="26" spans="1:14" x14ac:dyDescent="0.25">
      <c r="A26" s="508">
        <v>44618</v>
      </c>
      <c r="B26" s="512">
        <v>0.69791666666666663</v>
      </c>
      <c r="C26" s="909" t="s">
        <v>30</v>
      </c>
      <c r="D26" s="913"/>
      <c r="E26" s="913"/>
      <c r="F26" s="509">
        <v>23</v>
      </c>
      <c r="G26" s="510" t="s">
        <v>168</v>
      </c>
      <c r="H26" s="513">
        <v>19</v>
      </c>
      <c r="I26" s="509" t="s">
        <v>32</v>
      </c>
      <c r="J26" s="509"/>
      <c r="K26" s="509"/>
      <c r="L26" s="909" t="s">
        <v>67</v>
      </c>
      <c r="M26" s="913"/>
      <c r="N26" s="913"/>
    </row>
    <row r="27" spans="1:14" x14ac:dyDescent="0.25">
      <c r="A27" s="508">
        <v>44619</v>
      </c>
      <c r="B27" s="512">
        <v>0.625</v>
      </c>
      <c r="C27" s="909" t="s">
        <v>39</v>
      </c>
      <c r="D27" s="913"/>
      <c r="E27" s="913"/>
      <c r="F27" s="509">
        <v>57</v>
      </c>
      <c r="G27" s="510" t="s">
        <v>168</v>
      </c>
      <c r="H27" s="513">
        <v>6</v>
      </c>
      <c r="I27" s="509" t="s">
        <v>33</v>
      </c>
      <c r="J27" s="509"/>
      <c r="K27" s="509"/>
      <c r="L27" s="909" t="s">
        <v>72</v>
      </c>
      <c r="M27" s="909"/>
      <c r="N27" s="909"/>
    </row>
    <row r="28" spans="1:14" x14ac:dyDescent="0.25">
      <c r="A28" s="508">
        <v>44631</v>
      </c>
      <c r="B28" s="512">
        <v>0.83333333333333337</v>
      </c>
      <c r="C28" s="909" t="s">
        <v>32</v>
      </c>
      <c r="D28" s="913"/>
      <c r="E28" s="913"/>
      <c r="F28" s="509">
        <v>9</v>
      </c>
      <c r="G28" s="510" t="s">
        <v>168</v>
      </c>
      <c r="H28" s="513">
        <v>13</v>
      </c>
      <c r="I28" s="509" t="s">
        <v>34</v>
      </c>
      <c r="J28" s="509"/>
      <c r="K28" s="509"/>
      <c r="L28" s="912" t="s">
        <v>69</v>
      </c>
      <c r="M28" s="912"/>
      <c r="N28" s="912"/>
    </row>
    <row r="29" spans="1:14" x14ac:dyDescent="0.25">
      <c r="A29" s="508">
        <v>44632</v>
      </c>
      <c r="B29" s="512">
        <v>0.59375</v>
      </c>
      <c r="C29" s="909" t="s">
        <v>33</v>
      </c>
      <c r="D29" s="913"/>
      <c r="E29" s="913"/>
      <c r="F29" s="509">
        <v>22</v>
      </c>
      <c r="G29" s="510" t="s">
        <v>168</v>
      </c>
      <c r="H29" s="513">
        <v>33</v>
      </c>
      <c r="I29" s="509" t="s">
        <v>35</v>
      </c>
      <c r="J29" s="509"/>
      <c r="K29" s="509"/>
      <c r="L29" s="912" t="s">
        <v>68</v>
      </c>
      <c r="M29" s="912"/>
      <c r="N29" s="912"/>
    </row>
    <row r="30" spans="1:14" x14ac:dyDescent="0.25">
      <c r="A30" s="508">
        <v>44632</v>
      </c>
      <c r="B30" s="512">
        <v>0.69791666666666663</v>
      </c>
      <c r="C30" s="909" t="s">
        <v>30</v>
      </c>
      <c r="D30" s="913"/>
      <c r="E30" s="913"/>
      <c r="F30" s="509">
        <v>15</v>
      </c>
      <c r="G30" s="510" t="s">
        <v>168</v>
      </c>
      <c r="H30" s="513">
        <v>32</v>
      </c>
      <c r="I30" s="509" t="s">
        <v>39</v>
      </c>
      <c r="J30" s="509"/>
      <c r="K30" s="509"/>
      <c r="L30" s="909" t="s">
        <v>67</v>
      </c>
      <c r="M30" s="913"/>
      <c r="N30" s="913"/>
    </row>
    <row r="31" spans="1:14" x14ac:dyDescent="0.25">
      <c r="A31" s="508">
        <v>44639</v>
      </c>
      <c r="B31" s="512">
        <v>0.59375</v>
      </c>
      <c r="C31" s="909" t="s">
        <v>32</v>
      </c>
      <c r="D31" s="913"/>
      <c r="E31" s="913"/>
      <c r="F31" s="509">
        <v>21</v>
      </c>
      <c r="G31" s="510" t="s">
        <v>168</v>
      </c>
      <c r="H31" s="513">
        <v>22</v>
      </c>
      <c r="I31" s="509" t="s">
        <v>33</v>
      </c>
      <c r="J31" s="509"/>
      <c r="K31" s="509"/>
      <c r="L31" s="912" t="s">
        <v>69</v>
      </c>
      <c r="M31" s="912"/>
      <c r="N31" s="912"/>
    </row>
    <row r="32" spans="1:14" x14ac:dyDescent="0.25">
      <c r="A32" s="508">
        <v>44639</v>
      </c>
      <c r="B32" s="512">
        <v>0.69791666666666663</v>
      </c>
      <c r="C32" s="909" t="s">
        <v>39</v>
      </c>
      <c r="D32" s="913"/>
      <c r="E32" s="913"/>
      <c r="F32" s="509">
        <v>26</v>
      </c>
      <c r="G32" s="510" t="s">
        <v>168</v>
      </c>
      <c r="H32" s="513">
        <v>5</v>
      </c>
      <c r="I32" s="509" t="s">
        <v>35</v>
      </c>
      <c r="J32" s="509"/>
      <c r="K32" s="509"/>
      <c r="L32" s="909" t="s">
        <v>72</v>
      </c>
      <c r="M32" s="909"/>
      <c r="N32" s="909"/>
    </row>
    <row r="33" spans="1:14" x14ac:dyDescent="0.25">
      <c r="A33" s="508">
        <v>44639</v>
      </c>
      <c r="B33" s="512">
        <v>0.83333333333333337</v>
      </c>
      <c r="C33" s="912" t="s">
        <v>34</v>
      </c>
      <c r="D33" s="912"/>
      <c r="E33" s="912"/>
      <c r="F33" s="509">
        <v>25</v>
      </c>
      <c r="G33" s="510" t="s">
        <v>168</v>
      </c>
      <c r="H33" s="513">
        <v>13</v>
      </c>
      <c r="I33" s="509" t="s">
        <v>30</v>
      </c>
      <c r="J33" s="509"/>
      <c r="K33" s="509"/>
      <c r="L33" s="912" t="s">
        <v>70</v>
      </c>
      <c r="M33" s="912"/>
      <c r="N33" s="912"/>
    </row>
    <row r="35" spans="1:14" x14ac:dyDescent="0.25">
      <c r="A35" s="551"/>
      <c r="B35" s="509" t="s">
        <v>120</v>
      </c>
      <c r="C35" s="551"/>
      <c r="D35" s="551"/>
      <c r="E35" s="551"/>
      <c r="F35" s="912">
        <v>2021</v>
      </c>
      <c r="G35" s="911"/>
      <c r="H35" s="551"/>
      <c r="I35" s="551"/>
      <c r="J35" s="551"/>
      <c r="K35" s="551"/>
      <c r="L35" s="551"/>
      <c r="M35" s="551"/>
      <c r="N35" s="551"/>
    </row>
    <row r="36" spans="1:14" x14ac:dyDescent="0.25">
      <c r="A36" s="206">
        <v>44233</v>
      </c>
      <c r="B36" s="209">
        <v>14.15</v>
      </c>
      <c r="C36" s="912" t="s">
        <v>33</v>
      </c>
      <c r="D36" s="912"/>
      <c r="E36" s="912"/>
      <c r="F36" s="208">
        <v>10</v>
      </c>
      <c r="G36" s="207" t="s">
        <v>168</v>
      </c>
      <c r="H36" s="217">
        <v>50</v>
      </c>
      <c r="I36" s="914" t="s">
        <v>34</v>
      </c>
      <c r="J36" s="914"/>
      <c r="K36" s="914"/>
      <c r="L36" s="912" t="s">
        <v>68</v>
      </c>
      <c r="M36" s="912"/>
      <c r="N36" s="912"/>
    </row>
    <row r="37" spans="1:14" x14ac:dyDescent="0.25">
      <c r="A37" s="206">
        <v>44233</v>
      </c>
      <c r="B37" s="209">
        <v>16.45</v>
      </c>
      <c r="C37" s="912" t="s">
        <v>30</v>
      </c>
      <c r="D37" s="912"/>
      <c r="E37" s="912"/>
      <c r="F37" s="518">
        <v>6</v>
      </c>
      <c r="G37" s="207" t="s">
        <v>168</v>
      </c>
      <c r="H37" s="217">
        <v>11</v>
      </c>
      <c r="I37" s="914" t="s">
        <v>35</v>
      </c>
      <c r="J37" s="914"/>
      <c r="K37" s="914"/>
      <c r="L37" s="912" t="s">
        <v>67</v>
      </c>
      <c r="M37" s="912"/>
      <c r="N37" s="912"/>
    </row>
    <row r="38" spans="1:14" x14ac:dyDescent="0.25">
      <c r="A38" s="206">
        <v>44234</v>
      </c>
      <c r="B38" s="209">
        <v>15</v>
      </c>
      <c r="C38" s="912" t="s">
        <v>32</v>
      </c>
      <c r="D38" s="912"/>
      <c r="E38" s="912"/>
      <c r="F38" s="208">
        <v>21</v>
      </c>
      <c r="G38" s="207" t="s">
        <v>168</v>
      </c>
      <c r="H38" s="217">
        <v>16</v>
      </c>
      <c r="I38" s="914" t="s">
        <v>39</v>
      </c>
      <c r="J38" s="914"/>
      <c r="K38" s="914"/>
      <c r="L38" s="912" t="s">
        <v>69</v>
      </c>
      <c r="M38" s="912"/>
      <c r="N38" s="912"/>
    </row>
    <row r="39" spans="1:14" x14ac:dyDescent="0.25">
      <c r="A39" s="206">
        <v>44240</v>
      </c>
      <c r="B39" s="207">
        <v>14.15</v>
      </c>
      <c r="C39" s="912" t="s">
        <v>30</v>
      </c>
      <c r="D39" s="912"/>
      <c r="E39" s="912"/>
      <c r="F39" s="208">
        <v>41</v>
      </c>
      <c r="G39" s="207" t="s">
        <v>168</v>
      </c>
      <c r="H39" s="217">
        <v>18</v>
      </c>
      <c r="I39" s="914" t="s">
        <v>33</v>
      </c>
      <c r="J39" s="914"/>
      <c r="K39" s="914"/>
      <c r="L39" s="912" t="s">
        <v>67</v>
      </c>
      <c r="M39" s="912"/>
      <c r="N39" s="912"/>
    </row>
    <row r="40" spans="1:14" x14ac:dyDescent="0.25">
      <c r="A40" s="206">
        <v>44240</v>
      </c>
      <c r="B40" s="209">
        <v>16.45</v>
      </c>
      <c r="C40" s="912" t="s">
        <v>35</v>
      </c>
      <c r="D40" s="912"/>
      <c r="E40" s="912"/>
      <c r="F40" s="208">
        <v>24</v>
      </c>
      <c r="G40" s="207" t="s">
        <v>168</v>
      </c>
      <c r="H40" s="217">
        <v>25</v>
      </c>
      <c r="I40" s="914" t="s">
        <v>32</v>
      </c>
      <c r="J40" s="914"/>
      <c r="K40" s="914"/>
      <c r="L40" s="912" t="s">
        <v>66</v>
      </c>
      <c r="M40" s="912"/>
      <c r="N40" s="912"/>
    </row>
    <row r="41" spans="1:14" x14ac:dyDescent="0.25">
      <c r="A41" s="206">
        <v>44241</v>
      </c>
      <c r="B41" s="209">
        <v>15</v>
      </c>
      <c r="C41" s="912" t="s">
        <v>39</v>
      </c>
      <c r="D41" s="912"/>
      <c r="E41" s="912"/>
      <c r="F41" s="208">
        <v>13</v>
      </c>
      <c r="G41" s="207" t="s">
        <v>168</v>
      </c>
      <c r="H41" s="217">
        <v>15</v>
      </c>
      <c r="I41" s="914" t="s">
        <v>34</v>
      </c>
      <c r="J41" s="914"/>
      <c r="K41" s="914"/>
      <c r="L41" s="912" t="s">
        <v>72</v>
      </c>
      <c r="M41" s="912"/>
      <c r="N41" s="912"/>
    </row>
    <row r="42" spans="1:14" x14ac:dyDescent="0.25">
      <c r="A42" s="206">
        <v>44254</v>
      </c>
      <c r="B42" s="207">
        <v>14.15</v>
      </c>
      <c r="C42" s="912" t="s">
        <v>33</v>
      </c>
      <c r="D42" s="912"/>
      <c r="E42" s="912"/>
      <c r="F42" s="208">
        <v>10</v>
      </c>
      <c r="G42" s="207" t="s">
        <v>168</v>
      </c>
      <c r="H42" s="217">
        <v>48</v>
      </c>
      <c r="I42" s="914" t="s">
        <v>39</v>
      </c>
      <c r="J42" s="914"/>
      <c r="K42" s="914"/>
      <c r="L42" s="912" t="s">
        <v>68</v>
      </c>
      <c r="M42" s="912"/>
      <c r="N42" s="912"/>
    </row>
    <row r="43" spans="1:14" x14ac:dyDescent="0.25">
      <c r="A43" s="206">
        <v>44254</v>
      </c>
      <c r="B43" s="209">
        <v>16.45</v>
      </c>
      <c r="C43" s="912" t="s">
        <v>32</v>
      </c>
      <c r="D43" s="912"/>
      <c r="E43" s="912"/>
      <c r="F43" s="208">
        <v>40</v>
      </c>
      <c r="G43" s="207" t="s">
        <v>168</v>
      </c>
      <c r="H43" s="217">
        <v>24</v>
      </c>
      <c r="I43" s="914" t="s">
        <v>30</v>
      </c>
      <c r="J43" s="914"/>
      <c r="K43" s="914"/>
      <c r="L43" s="912" t="s">
        <v>69</v>
      </c>
      <c r="M43" s="912"/>
      <c r="N43" s="912"/>
    </row>
    <row r="44" spans="1:14" x14ac:dyDescent="0.25">
      <c r="A44" s="206">
        <v>44255</v>
      </c>
      <c r="B44" s="209" t="s">
        <v>58</v>
      </c>
      <c r="C44" s="912" t="s">
        <v>34</v>
      </c>
      <c r="D44" s="912"/>
      <c r="E44" s="912"/>
      <c r="F44" s="208" t="s">
        <v>14</v>
      </c>
      <c r="G44" s="207" t="s">
        <v>168</v>
      </c>
      <c r="H44" s="217" t="s">
        <v>14</v>
      </c>
      <c r="I44" s="914" t="s">
        <v>35</v>
      </c>
      <c r="J44" s="914"/>
      <c r="K44" s="914"/>
      <c r="L44" s="912" t="s">
        <v>58</v>
      </c>
      <c r="M44" s="912"/>
      <c r="N44" s="912"/>
    </row>
    <row r="45" spans="1:14" x14ac:dyDescent="0.25">
      <c r="A45" s="206">
        <v>44268</v>
      </c>
      <c r="B45" s="209">
        <v>14.15</v>
      </c>
      <c r="C45" s="912" t="s">
        <v>33</v>
      </c>
      <c r="D45" s="912"/>
      <c r="E45" s="912"/>
      <c r="F45" s="208">
        <v>7</v>
      </c>
      <c r="G45" s="207" t="s">
        <v>168</v>
      </c>
      <c r="H45" s="217">
        <v>48</v>
      </c>
      <c r="I45" s="914" t="s">
        <v>32</v>
      </c>
      <c r="J45" s="914"/>
      <c r="K45" s="914"/>
      <c r="L45" s="912" t="s">
        <v>68</v>
      </c>
      <c r="M45" s="912"/>
      <c r="N45" s="912"/>
    </row>
    <row r="46" spans="1:14" x14ac:dyDescent="0.25">
      <c r="A46" s="206">
        <v>44268</v>
      </c>
      <c r="B46" s="209">
        <v>16.45</v>
      </c>
      <c r="C46" s="912" t="s">
        <v>30</v>
      </c>
      <c r="D46" s="912"/>
      <c r="E46" s="912"/>
      <c r="F46" s="208">
        <v>23</v>
      </c>
      <c r="G46" s="207" t="s">
        <v>168</v>
      </c>
      <c r="H46" s="217">
        <v>20</v>
      </c>
      <c r="I46" s="914" t="s">
        <v>34</v>
      </c>
      <c r="J46" s="914"/>
      <c r="K46" s="914"/>
      <c r="L46" s="912" t="s">
        <v>67</v>
      </c>
      <c r="M46" s="912"/>
      <c r="N46" s="912"/>
    </row>
    <row r="47" spans="1:14" x14ac:dyDescent="0.25">
      <c r="A47" s="206">
        <v>44269</v>
      </c>
      <c r="B47" s="209">
        <v>15</v>
      </c>
      <c r="C47" s="208"/>
      <c r="D47" s="208"/>
      <c r="E47" s="208" t="s">
        <v>35</v>
      </c>
      <c r="F47" s="208">
        <v>24</v>
      </c>
      <c r="G47" s="207" t="s">
        <v>168</v>
      </c>
      <c r="H47" s="217">
        <v>27</v>
      </c>
      <c r="I47" s="205" t="s">
        <v>39</v>
      </c>
      <c r="J47" s="205"/>
      <c r="K47" s="205"/>
      <c r="L47" s="208"/>
      <c r="M47" s="205"/>
      <c r="N47" s="208" t="s">
        <v>66</v>
      </c>
    </row>
    <row r="48" spans="1:14" x14ac:dyDescent="0.25">
      <c r="A48" s="206">
        <v>44275</v>
      </c>
      <c r="B48" s="207">
        <v>14.15</v>
      </c>
      <c r="C48" s="912" t="s">
        <v>35</v>
      </c>
      <c r="D48" s="912"/>
      <c r="E48" s="912"/>
      <c r="F48" s="208">
        <v>52</v>
      </c>
      <c r="G48" s="207" t="s">
        <v>168</v>
      </c>
      <c r="H48" s="217">
        <v>10</v>
      </c>
      <c r="I48" s="914" t="s">
        <v>33</v>
      </c>
      <c r="J48" s="914"/>
      <c r="K48" s="914"/>
      <c r="L48" s="912" t="s">
        <v>66</v>
      </c>
      <c r="M48" s="912"/>
      <c r="N48" s="912"/>
    </row>
    <row r="49" spans="1:14" x14ac:dyDescent="0.25">
      <c r="A49" s="206">
        <v>44275</v>
      </c>
      <c r="B49" s="209">
        <v>16.45</v>
      </c>
      <c r="C49" s="912" t="s">
        <v>39</v>
      </c>
      <c r="D49" s="912"/>
      <c r="E49" s="912"/>
      <c r="F49" s="208">
        <v>32</v>
      </c>
      <c r="G49" s="207" t="s">
        <v>168</v>
      </c>
      <c r="H49" s="217">
        <v>18</v>
      </c>
      <c r="I49" s="914" t="s">
        <v>30</v>
      </c>
      <c r="J49" s="914"/>
      <c r="K49" s="914"/>
      <c r="L49" s="912" t="s">
        <v>72</v>
      </c>
      <c r="M49" s="912"/>
      <c r="N49" s="912"/>
    </row>
    <row r="50" spans="1:14" x14ac:dyDescent="0.25">
      <c r="A50" s="206">
        <v>44275</v>
      </c>
      <c r="B50" s="209">
        <v>20</v>
      </c>
      <c r="C50" s="912" t="s">
        <v>34</v>
      </c>
      <c r="D50" s="912"/>
      <c r="E50" s="912"/>
      <c r="F50" s="208">
        <v>32</v>
      </c>
      <c r="G50" s="207" t="s">
        <v>168</v>
      </c>
      <c r="H50" s="217">
        <v>30</v>
      </c>
      <c r="I50" s="914" t="s">
        <v>32</v>
      </c>
      <c r="J50" s="914"/>
      <c r="K50" s="914"/>
      <c r="L50" s="912" t="s">
        <v>70</v>
      </c>
      <c r="M50" s="912"/>
      <c r="N50" s="912"/>
    </row>
    <row r="51" spans="1:14" x14ac:dyDescent="0.25">
      <c r="A51" s="206">
        <v>44281</v>
      </c>
      <c r="B51" s="209">
        <v>20</v>
      </c>
      <c r="C51" s="208"/>
      <c r="D51" s="208"/>
      <c r="E51" s="208" t="s">
        <v>34</v>
      </c>
      <c r="F51" s="208">
        <v>23</v>
      </c>
      <c r="G51" s="207" t="s">
        <v>168</v>
      </c>
      <c r="H51" s="217">
        <v>27</v>
      </c>
      <c r="I51" s="205" t="s">
        <v>35</v>
      </c>
      <c r="J51" s="205"/>
      <c r="K51" s="205"/>
      <c r="L51" s="912" t="s">
        <v>70</v>
      </c>
      <c r="M51" s="912"/>
      <c r="N51" s="912"/>
    </row>
    <row r="53" spans="1:14" x14ac:dyDescent="0.25">
      <c r="A53" s="551"/>
      <c r="B53" s="509" t="s">
        <v>120</v>
      </c>
      <c r="C53" s="551"/>
      <c r="D53" s="551"/>
      <c r="E53" s="551"/>
      <c r="F53" s="912">
        <v>2020</v>
      </c>
      <c r="G53" s="911"/>
      <c r="H53" s="551"/>
      <c r="I53" s="551"/>
      <c r="J53" s="551"/>
      <c r="K53" s="551"/>
      <c r="L53" s="551"/>
      <c r="M53" s="551"/>
      <c r="N53" s="551"/>
    </row>
    <row r="54" spans="1:14" x14ac:dyDescent="0.25">
      <c r="A54" s="206">
        <v>43862</v>
      </c>
      <c r="B54" s="209">
        <v>14.15</v>
      </c>
      <c r="C54" s="912" t="s">
        <v>32</v>
      </c>
      <c r="D54" s="912"/>
      <c r="E54" s="912"/>
      <c r="F54" s="208">
        <v>42</v>
      </c>
      <c r="G54" s="207" t="s">
        <v>168</v>
      </c>
      <c r="H54" s="217">
        <v>0</v>
      </c>
      <c r="I54" s="914" t="s">
        <v>33</v>
      </c>
      <c r="J54" s="914"/>
      <c r="K54" s="914"/>
      <c r="L54" s="912" t="s">
        <v>69</v>
      </c>
      <c r="M54" s="912"/>
      <c r="N54" s="912"/>
    </row>
    <row r="55" spans="1:14" x14ac:dyDescent="0.25">
      <c r="A55" s="206">
        <v>43862</v>
      </c>
      <c r="B55" s="209">
        <v>16.45</v>
      </c>
      <c r="C55" s="912" t="s">
        <v>39</v>
      </c>
      <c r="D55" s="912"/>
      <c r="E55" s="912"/>
      <c r="F55" s="208">
        <v>19</v>
      </c>
      <c r="G55" s="207" t="s">
        <v>168</v>
      </c>
      <c r="H55" s="217">
        <v>12</v>
      </c>
      <c r="I55" s="914" t="s">
        <v>35</v>
      </c>
      <c r="J55" s="914"/>
      <c r="K55" s="914"/>
      <c r="L55" s="912" t="s">
        <v>72</v>
      </c>
      <c r="M55" s="912"/>
      <c r="N55" s="912"/>
    </row>
    <row r="56" spans="1:14" x14ac:dyDescent="0.25">
      <c r="A56" s="206">
        <v>43863</v>
      </c>
      <c r="B56" s="209">
        <v>15</v>
      </c>
      <c r="C56" s="912" t="s">
        <v>34</v>
      </c>
      <c r="D56" s="912"/>
      <c r="E56" s="912"/>
      <c r="F56" s="208">
        <v>24</v>
      </c>
      <c r="G56" s="207" t="s">
        <v>168</v>
      </c>
      <c r="H56" s="217">
        <v>17</v>
      </c>
      <c r="I56" s="914" t="s">
        <v>30</v>
      </c>
      <c r="J56" s="914"/>
      <c r="K56" s="914"/>
      <c r="L56" s="912" t="s">
        <v>70</v>
      </c>
      <c r="M56" s="912"/>
      <c r="N56" s="912"/>
    </row>
    <row r="57" spans="1:14" x14ac:dyDescent="0.25">
      <c r="A57" s="206">
        <v>43869</v>
      </c>
      <c r="B57" s="207">
        <v>14.15</v>
      </c>
      <c r="C57" s="912" t="s">
        <v>39</v>
      </c>
      <c r="D57" s="912"/>
      <c r="E57" s="912"/>
      <c r="F57" s="208">
        <v>24</v>
      </c>
      <c r="G57" s="207" t="s">
        <v>168</v>
      </c>
      <c r="H57" s="217">
        <v>14</v>
      </c>
      <c r="I57" s="914" t="s">
        <v>32</v>
      </c>
      <c r="J57" s="914"/>
      <c r="K57" s="914"/>
      <c r="L57" s="912" t="s">
        <v>72</v>
      </c>
      <c r="M57" s="912"/>
      <c r="N57" s="912"/>
    </row>
    <row r="58" spans="1:14" x14ac:dyDescent="0.25">
      <c r="A58" s="206">
        <v>43869</v>
      </c>
      <c r="B58" s="209">
        <v>16.45</v>
      </c>
      <c r="C58" s="912" t="s">
        <v>35</v>
      </c>
      <c r="D58" s="912"/>
      <c r="E58" s="912"/>
      <c r="F58" s="208">
        <v>6</v>
      </c>
      <c r="G58" s="207" t="s">
        <v>168</v>
      </c>
      <c r="H58" s="217">
        <v>13</v>
      </c>
      <c r="I58" s="914" t="s">
        <v>30</v>
      </c>
      <c r="J58" s="914"/>
      <c r="K58" s="914"/>
      <c r="L58" s="912" t="s">
        <v>66</v>
      </c>
      <c r="M58" s="912"/>
      <c r="N58" s="912"/>
    </row>
    <row r="59" spans="1:14" x14ac:dyDescent="0.25">
      <c r="A59" s="206">
        <v>43870</v>
      </c>
      <c r="B59" s="209">
        <v>15</v>
      </c>
      <c r="C59" s="912" t="s">
        <v>34</v>
      </c>
      <c r="D59" s="912"/>
      <c r="E59" s="912"/>
      <c r="F59" s="208">
        <v>35</v>
      </c>
      <c r="G59" s="207" t="s">
        <v>168</v>
      </c>
      <c r="H59" s="217">
        <v>22</v>
      </c>
      <c r="I59" s="914" t="s">
        <v>33</v>
      </c>
      <c r="J59" s="914"/>
      <c r="K59" s="914"/>
      <c r="L59" s="912" t="s">
        <v>70</v>
      </c>
      <c r="M59" s="912"/>
      <c r="N59" s="912"/>
    </row>
    <row r="60" spans="1:14" x14ac:dyDescent="0.25">
      <c r="A60" s="206">
        <v>43883</v>
      </c>
      <c r="B60" s="207">
        <v>14.15</v>
      </c>
      <c r="C60" s="912" t="s">
        <v>33</v>
      </c>
      <c r="D60" s="912"/>
      <c r="E60" s="912"/>
      <c r="F60" s="208">
        <v>0</v>
      </c>
      <c r="G60" s="207" t="s">
        <v>168</v>
      </c>
      <c r="H60" s="217">
        <v>17</v>
      </c>
      <c r="I60" s="914" t="s">
        <v>35</v>
      </c>
      <c r="J60" s="914"/>
      <c r="K60" s="914"/>
      <c r="L60" s="912" t="s">
        <v>68</v>
      </c>
      <c r="M60" s="912"/>
      <c r="N60" s="912"/>
    </row>
    <row r="61" spans="1:14" x14ac:dyDescent="0.25">
      <c r="A61" s="206">
        <v>43883</v>
      </c>
      <c r="B61" s="209">
        <v>16.45</v>
      </c>
      <c r="C61" s="912" t="s">
        <v>32</v>
      </c>
      <c r="D61" s="912"/>
      <c r="E61" s="912"/>
      <c r="F61" s="208">
        <v>23</v>
      </c>
      <c r="G61" s="207" t="s">
        <v>168</v>
      </c>
      <c r="H61" s="217">
        <v>27</v>
      </c>
      <c r="I61" s="914" t="s">
        <v>34</v>
      </c>
      <c r="J61" s="914"/>
      <c r="K61" s="914"/>
      <c r="L61" s="912" t="s">
        <v>69</v>
      </c>
      <c r="M61" s="912"/>
      <c r="N61" s="912"/>
    </row>
    <row r="62" spans="1:14" x14ac:dyDescent="0.25">
      <c r="A62" s="206">
        <v>43884</v>
      </c>
      <c r="B62" s="209">
        <v>15</v>
      </c>
      <c r="C62" s="912" t="s">
        <v>30</v>
      </c>
      <c r="D62" s="912"/>
      <c r="E62" s="912"/>
      <c r="F62" s="208">
        <v>24</v>
      </c>
      <c r="G62" s="207" t="s">
        <v>168</v>
      </c>
      <c r="H62" s="217">
        <v>12</v>
      </c>
      <c r="I62" s="914" t="s">
        <v>39</v>
      </c>
      <c r="J62" s="914"/>
      <c r="K62" s="914"/>
      <c r="L62" s="912" t="s">
        <v>67</v>
      </c>
      <c r="M62" s="912"/>
      <c r="N62" s="912"/>
    </row>
    <row r="63" spans="1:14" x14ac:dyDescent="0.25">
      <c r="A63" s="206">
        <v>43897</v>
      </c>
      <c r="B63" s="209">
        <v>16.45</v>
      </c>
      <c r="C63" s="912" t="s">
        <v>30</v>
      </c>
      <c r="D63" s="912"/>
      <c r="E63" s="912"/>
      <c r="F63" s="208">
        <v>33</v>
      </c>
      <c r="G63" s="207" t="s">
        <v>168</v>
      </c>
      <c r="H63" s="217">
        <v>30</v>
      </c>
      <c r="I63" s="914" t="s">
        <v>32</v>
      </c>
      <c r="J63" s="914"/>
      <c r="K63" s="914"/>
      <c r="L63" s="912" t="s">
        <v>67</v>
      </c>
      <c r="M63" s="912"/>
      <c r="N63" s="912"/>
    </row>
    <row r="64" spans="1:14" x14ac:dyDescent="0.25">
      <c r="A64" s="206">
        <v>43898</v>
      </c>
      <c r="B64" s="209">
        <v>15</v>
      </c>
      <c r="C64" s="912" t="s">
        <v>35</v>
      </c>
      <c r="D64" s="912"/>
      <c r="E64" s="912"/>
      <c r="F64" s="208">
        <v>26</v>
      </c>
      <c r="G64" s="207" t="s">
        <v>168</v>
      </c>
      <c r="H64" s="217">
        <v>17</v>
      </c>
      <c r="I64" s="914" t="s">
        <v>34</v>
      </c>
      <c r="J64" s="914"/>
      <c r="K64" s="914"/>
      <c r="L64" s="912" t="s">
        <v>66</v>
      </c>
      <c r="M64" s="912"/>
      <c r="N64" s="912"/>
    </row>
    <row r="65" spans="1:14" x14ac:dyDescent="0.25">
      <c r="A65" s="206">
        <v>44128</v>
      </c>
      <c r="B65" s="209">
        <v>15.3</v>
      </c>
      <c r="C65" s="208"/>
      <c r="D65" s="208"/>
      <c r="E65" s="208" t="s">
        <v>39</v>
      </c>
      <c r="F65" s="208">
        <v>50</v>
      </c>
      <c r="G65" s="207" t="s">
        <v>168</v>
      </c>
      <c r="H65" s="217">
        <v>17</v>
      </c>
      <c r="I65" s="205" t="s">
        <v>33</v>
      </c>
      <c r="J65" s="205"/>
      <c r="K65" s="205"/>
      <c r="L65" s="208"/>
      <c r="M65" s="205"/>
      <c r="N65" s="208" t="s">
        <v>72</v>
      </c>
    </row>
    <row r="66" spans="1:14" x14ac:dyDescent="0.25">
      <c r="A66" s="206">
        <v>44135</v>
      </c>
      <c r="B66" s="207">
        <v>14.15</v>
      </c>
      <c r="C66" s="912" t="s">
        <v>32</v>
      </c>
      <c r="D66" s="912"/>
      <c r="E66" s="912"/>
      <c r="F66" s="208">
        <v>10</v>
      </c>
      <c r="G66" s="207" t="s">
        <v>168</v>
      </c>
      <c r="H66" s="217">
        <v>14</v>
      </c>
      <c r="I66" s="914" t="s">
        <v>35</v>
      </c>
      <c r="J66" s="914"/>
      <c r="K66" s="914"/>
      <c r="L66" s="912" t="s">
        <v>167</v>
      </c>
      <c r="M66" s="912"/>
      <c r="N66" s="912"/>
    </row>
    <row r="67" spans="1:14" x14ac:dyDescent="0.25">
      <c r="A67" s="206">
        <v>44135</v>
      </c>
      <c r="B67" s="209">
        <v>16.45</v>
      </c>
      <c r="C67" s="912" t="s">
        <v>33</v>
      </c>
      <c r="D67" s="912"/>
      <c r="E67" s="912"/>
      <c r="F67" s="208">
        <v>5</v>
      </c>
      <c r="G67" s="207" t="s">
        <v>168</v>
      </c>
      <c r="H67" s="217">
        <v>34</v>
      </c>
      <c r="I67" s="914" t="s">
        <v>30</v>
      </c>
      <c r="J67" s="914"/>
      <c r="K67" s="914"/>
      <c r="L67" s="912" t="s">
        <v>68</v>
      </c>
      <c r="M67" s="912"/>
      <c r="N67" s="912"/>
    </row>
    <row r="68" spans="1:14" x14ac:dyDescent="0.25">
      <c r="A68" s="206">
        <v>44135</v>
      </c>
      <c r="B68" s="209">
        <v>20.100000000000001</v>
      </c>
      <c r="C68" s="912" t="s">
        <v>34</v>
      </c>
      <c r="D68" s="912"/>
      <c r="E68" s="912"/>
      <c r="F68" s="208">
        <v>35</v>
      </c>
      <c r="G68" s="207" t="s">
        <v>168</v>
      </c>
      <c r="H68" s="217">
        <v>27</v>
      </c>
      <c r="I68" s="914" t="s">
        <v>39</v>
      </c>
      <c r="J68" s="914"/>
      <c r="K68" s="914"/>
      <c r="L68" s="912" t="s">
        <v>70</v>
      </c>
      <c r="M68" s="912"/>
      <c r="N68" s="912"/>
    </row>
    <row r="69" spans="1:14" x14ac:dyDescent="0.25">
      <c r="A69" s="353"/>
      <c r="B69" s="354"/>
      <c r="C69" s="216"/>
      <c r="D69" s="216"/>
      <c r="E69" s="216"/>
      <c r="F69" s="216"/>
      <c r="G69" s="216"/>
      <c r="H69" s="245"/>
      <c r="I69" s="215"/>
      <c r="J69" s="215"/>
      <c r="K69" s="215"/>
      <c r="L69" s="216"/>
      <c r="M69" s="216"/>
      <c r="N69" s="216"/>
    </row>
    <row r="70" spans="1:14" x14ac:dyDescent="0.25">
      <c r="A70" s="551"/>
      <c r="B70" s="509" t="s">
        <v>120</v>
      </c>
      <c r="C70" s="551"/>
      <c r="D70" s="551"/>
      <c r="E70" s="551"/>
      <c r="F70" s="912">
        <v>2019</v>
      </c>
      <c r="G70" s="911"/>
      <c r="H70" s="551"/>
      <c r="I70" s="551"/>
      <c r="J70" s="551"/>
      <c r="K70" s="551"/>
      <c r="L70" s="551"/>
      <c r="M70" s="551"/>
      <c r="N70" s="551"/>
    </row>
    <row r="71" spans="1:14" x14ac:dyDescent="0.25">
      <c r="A71" s="206">
        <v>43497</v>
      </c>
      <c r="B71" s="209">
        <v>20</v>
      </c>
      <c r="C71" s="912" t="s">
        <v>34</v>
      </c>
      <c r="D71" s="912"/>
      <c r="E71" s="912"/>
      <c r="F71" s="208">
        <v>19</v>
      </c>
      <c r="G71" s="207" t="s">
        <v>168</v>
      </c>
      <c r="H71" s="217">
        <v>24</v>
      </c>
      <c r="I71" s="914" t="s">
        <v>32</v>
      </c>
      <c r="J71" s="914"/>
      <c r="K71" s="914"/>
      <c r="L71" s="912" t="s">
        <v>70</v>
      </c>
      <c r="M71" s="912"/>
      <c r="N71" s="912"/>
    </row>
    <row r="72" spans="1:14" x14ac:dyDescent="0.25">
      <c r="A72" s="206">
        <v>43498</v>
      </c>
      <c r="B72" s="209">
        <v>14.15</v>
      </c>
      <c r="C72" s="912" t="s">
        <v>35</v>
      </c>
      <c r="D72" s="912"/>
      <c r="E72" s="912"/>
      <c r="F72" s="208">
        <v>33</v>
      </c>
      <c r="G72" s="207" t="s">
        <v>168</v>
      </c>
      <c r="H72" s="217">
        <v>20</v>
      </c>
      <c r="I72" s="914" t="s">
        <v>33</v>
      </c>
      <c r="J72" s="914"/>
      <c r="K72" s="914"/>
      <c r="L72" s="912" t="s">
        <v>71</v>
      </c>
      <c r="M72" s="912"/>
      <c r="N72" s="912"/>
    </row>
    <row r="73" spans="1:14" x14ac:dyDescent="0.25">
      <c r="A73" s="206">
        <v>43498</v>
      </c>
      <c r="B73" s="209">
        <v>16.149999999999999</v>
      </c>
      <c r="C73" s="912" t="s">
        <v>39</v>
      </c>
      <c r="D73" s="912"/>
      <c r="E73" s="912"/>
      <c r="F73" s="208">
        <v>20</v>
      </c>
      <c r="G73" s="207" t="s">
        <v>168</v>
      </c>
      <c r="H73" s="217">
        <v>32</v>
      </c>
      <c r="I73" s="914" t="s">
        <v>30</v>
      </c>
      <c r="J73" s="914"/>
      <c r="K73" s="914"/>
      <c r="L73" s="912" t="s">
        <v>72</v>
      </c>
      <c r="M73" s="912"/>
      <c r="N73" s="912"/>
    </row>
    <row r="74" spans="1:14" x14ac:dyDescent="0.25">
      <c r="A74" s="206">
        <v>43505</v>
      </c>
      <c r="B74" s="207">
        <v>14.15</v>
      </c>
      <c r="C74" s="912" t="s">
        <v>35</v>
      </c>
      <c r="D74" s="912"/>
      <c r="E74" s="912"/>
      <c r="F74" s="208">
        <v>22</v>
      </c>
      <c r="G74" s="207" t="s">
        <v>168</v>
      </c>
      <c r="H74" s="217">
        <v>13</v>
      </c>
      <c r="I74" s="914" t="s">
        <v>39</v>
      </c>
      <c r="J74" s="914"/>
      <c r="K74" s="914"/>
      <c r="L74" s="912" t="s">
        <v>71</v>
      </c>
      <c r="M74" s="912"/>
      <c r="N74" s="912"/>
    </row>
    <row r="75" spans="1:14" x14ac:dyDescent="0.25">
      <c r="A75" s="206">
        <v>43505</v>
      </c>
      <c r="B75" s="209">
        <v>16.45</v>
      </c>
      <c r="C75" s="912" t="s">
        <v>33</v>
      </c>
      <c r="D75" s="912"/>
      <c r="E75" s="912"/>
      <c r="F75" s="208">
        <v>15</v>
      </c>
      <c r="G75" s="207" t="s">
        <v>168</v>
      </c>
      <c r="H75" s="217">
        <v>26</v>
      </c>
      <c r="I75" s="914" t="s">
        <v>32</v>
      </c>
      <c r="J75" s="914"/>
      <c r="K75" s="914"/>
      <c r="L75" s="912" t="s">
        <v>68</v>
      </c>
      <c r="M75" s="912"/>
      <c r="N75" s="912"/>
    </row>
    <row r="76" spans="1:14" x14ac:dyDescent="0.25">
      <c r="A76" s="206">
        <v>43506</v>
      </c>
      <c r="B76" s="209">
        <v>15</v>
      </c>
      <c r="C76" s="912" t="s">
        <v>30</v>
      </c>
      <c r="D76" s="912"/>
      <c r="E76" s="912"/>
      <c r="F76" s="208">
        <v>44</v>
      </c>
      <c r="G76" s="207" t="s">
        <v>168</v>
      </c>
      <c r="H76" s="217">
        <v>8</v>
      </c>
      <c r="I76" s="914" t="s">
        <v>34</v>
      </c>
      <c r="J76" s="914"/>
      <c r="K76" s="914"/>
      <c r="L76" s="912" t="s">
        <v>67</v>
      </c>
      <c r="M76" s="912"/>
      <c r="N76" s="912"/>
    </row>
    <row r="77" spans="1:14" x14ac:dyDescent="0.25">
      <c r="A77" s="206">
        <v>43519</v>
      </c>
      <c r="B77" s="207">
        <v>14.15</v>
      </c>
      <c r="C77" s="912" t="s">
        <v>34</v>
      </c>
      <c r="D77" s="912"/>
      <c r="E77" s="912"/>
      <c r="F77" s="208">
        <v>27</v>
      </c>
      <c r="G77" s="207" t="s">
        <v>168</v>
      </c>
      <c r="H77" s="217">
        <v>10</v>
      </c>
      <c r="I77" s="914" t="s">
        <v>35</v>
      </c>
      <c r="J77" s="914"/>
      <c r="K77" s="914"/>
      <c r="L77" s="912" t="s">
        <v>70</v>
      </c>
      <c r="M77" s="912"/>
      <c r="N77" s="912"/>
    </row>
    <row r="78" spans="1:14" x14ac:dyDescent="0.25">
      <c r="A78" s="206">
        <v>43519</v>
      </c>
      <c r="B78" s="209">
        <v>16.45</v>
      </c>
      <c r="C78" s="912" t="s">
        <v>32</v>
      </c>
      <c r="D78" s="912"/>
      <c r="E78" s="912"/>
      <c r="F78" s="208">
        <v>21</v>
      </c>
      <c r="G78" s="207" t="s">
        <v>168</v>
      </c>
      <c r="H78" s="217">
        <v>13</v>
      </c>
      <c r="I78" s="914" t="s">
        <v>30</v>
      </c>
      <c r="J78" s="914"/>
      <c r="K78" s="914"/>
      <c r="L78" s="912" t="s">
        <v>69</v>
      </c>
      <c r="M78" s="912"/>
      <c r="N78" s="912"/>
    </row>
    <row r="79" spans="1:14" x14ac:dyDescent="0.25">
      <c r="A79" s="206">
        <v>43520</v>
      </c>
      <c r="B79" s="209">
        <v>15</v>
      </c>
      <c r="C79" s="912" t="s">
        <v>33</v>
      </c>
      <c r="D79" s="912"/>
      <c r="E79" s="912"/>
      <c r="F79" s="208">
        <v>26</v>
      </c>
      <c r="G79" s="207" t="s">
        <v>168</v>
      </c>
      <c r="H79" s="217">
        <v>16</v>
      </c>
      <c r="I79" s="914" t="s">
        <v>39</v>
      </c>
      <c r="J79" s="914"/>
      <c r="K79" s="914"/>
      <c r="L79" s="912" t="s">
        <v>68</v>
      </c>
      <c r="M79" s="912"/>
      <c r="N79" s="912"/>
    </row>
    <row r="80" spans="1:14" x14ac:dyDescent="0.25">
      <c r="A80" s="206">
        <v>43533</v>
      </c>
      <c r="B80" s="207">
        <v>14.15</v>
      </c>
      <c r="C80" s="912" t="s">
        <v>35</v>
      </c>
      <c r="D80" s="912"/>
      <c r="E80" s="912"/>
      <c r="F80" s="208">
        <v>11</v>
      </c>
      <c r="G80" s="207" t="s">
        <v>168</v>
      </c>
      <c r="H80" s="217">
        <v>18</v>
      </c>
      <c r="I80" s="914" t="s">
        <v>32</v>
      </c>
      <c r="J80" s="914"/>
      <c r="K80" s="914"/>
      <c r="L80" s="912" t="s">
        <v>71</v>
      </c>
      <c r="M80" s="912"/>
      <c r="N80" s="912"/>
    </row>
    <row r="81" spans="1:14" x14ac:dyDescent="0.25">
      <c r="A81" s="206">
        <v>43533</v>
      </c>
      <c r="B81" s="209">
        <v>16.45</v>
      </c>
      <c r="C81" s="912" t="s">
        <v>30</v>
      </c>
      <c r="D81" s="912"/>
      <c r="E81" s="912"/>
      <c r="F81" s="208">
        <v>57</v>
      </c>
      <c r="G81" s="207" t="s">
        <v>168</v>
      </c>
      <c r="H81" s="217">
        <v>14</v>
      </c>
      <c r="I81" s="914" t="s">
        <v>33</v>
      </c>
      <c r="J81" s="914"/>
      <c r="K81" s="914"/>
      <c r="L81" s="912" t="s">
        <v>67</v>
      </c>
      <c r="M81" s="912"/>
      <c r="N81" s="912"/>
    </row>
    <row r="82" spans="1:14" x14ac:dyDescent="0.25">
      <c r="A82" s="206">
        <v>43534</v>
      </c>
      <c r="B82" s="209">
        <v>15</v>
      </c>
      <c r="C82" s="912" t="s">
        <v>39</v>
      </c>
      <c r="D82" s="912"/>
      <c r="E82" s="912"/>
      <c r="F82" s="208">
        <v>26</v>
      </c>
      <c r="G82" s="207" t="s">
        <v>168</v>
      </c>
      <c r="H82" s="217">
        <v>14</v>
      </c>
      <c r="I82" s="914" t="s">
        <v>34</v>
      </c>
      <c r="J82" s="914"/>
      <c r="K82" s="914"/>
      <c r="L82" s="912" t="s">
        <v>72</v>
      </c>
      <c r="M82" s="912"/>
      <c r="N82" s="912"/>
    </row>
    <row r="83" spans="1:14" x14ac:dyDescent="0.25">
      <c r="A83" s="206">
        <v>43540</v>
      </c>
      <c r="B83" s="209">
        <v>12.3</v>
      </c>
      <c r="C83" s="912" t="s">
        <v>33</v>
      </c>
      <c r="D83" s="912"/>
      <c r="E83" s="912"/>
      <c r="F83" s="208">
        <v>14</v>
      </c>
      <c r="G83" s="207" t="s">
        <v>168</v>
      </c>
      <c r="H83" s="217">
        <v>25</v>
      </c>
      <c r="I83" s="914" t="s">
        <v>34</v>
      </c>
      <c r="J83" s="914"/>
      <c r="K83" s="914"/>
      <c r="L83" s="912" t="s">
        <v>68</v>
      </c>
      <c r="M83" s="912"/>
      <c r="N83" s="912"/>
    </row>
    <row r="84" spans="1:14" x14ac:dyDescent="0.25">
      <c r="A84" s="206">
        <v>43540</v>
      </c>
      <c r="B84" s="209">
        <v>14.45</v>
      </c>
      <c r="C84" s="912" t="s">
        <v>32</v>
      </c>
      <c r="D84" s="912"/>
      <c r="E84" s="912"/>
      <c r="F84" s="208">
        <v>25</v>
      </c>
      <c r="G84" s="207" t="s">
        <v>168</v>
      </c>
      <c r="H84" s="217">
        <v>7</v>
      </c>
      <c r="I84" s="914" t="s">
        <v>39</v>
      </c>
      <c r="J84" s="914"/>
      <c r="K84" s="914"/>
      <c r="L84" s="912" t="s">
        <v>69</v>
      </c>
      <c r="M84" s="912"/>
      <c r="N84" s="912"/>
    </row>
    <row r="85" spans="1:14" x14ac:dyDescent="0.25">
      <c r="A85" s="206">
        <v>43540</v>
      </c>
      <c r="B85" s="209">
        <v>17</v>
      </c>
      <c r="C85" s="912" t="s">
        <v>30</v>
      </c>
      <c r="D85" s="912"/>
      <c r="E85" s="912"/>
      <c r="F85" s="208">
        <v>38</v>
      </c>
      <c r="G85" s="207" t="s">
        <v>168</v>
      </c>
      <c r="H85" s="217">
        <v>38</v>
      </c>
      <c r="I85" s="914" t="s">
        <v>35</v>
      </c>
      <c r="J85" s="914"/>
      <c r="K85" s="914"/>
      <c r="L85" s="912" t="s">
        <v>67</v>
      </c>
      <c r="M85" s="912"/>
      <c r="N85" s="912"/>
    </row>
    <row r="87" spans="1:14" x14ac:dyDescent="0.25">
      <c r="A87" s="551"/>
      <c r="B87" s="509" t="s">
        <v>120</v>
      </c>
      <c r="C87" s="551"/>
      <c r="D87" s="551"/>
      <c r="E87" s="551"/>
      <c r="F87" s="912">
        <v>2018</v>
      </c>
      <c r="G87" s="911"/>
      <c r="H87" s="551"/>
      <c r="I87" s="551"/>
      <c r="J87" s="551"/>
      <c r="K87" s="551"/>
      <c r="L87" s="551"/>
      <c r="M87" s="551"/>
      <c r="N87" s="551"/>
    </row>
    <row r="88" spans="1:14" x14ac:dyDescent="0.25">
      <c r="A88" s="206">
        <v>43134</v>
      </c>
      <c r="B88" s="207">
        <v>14.15</v>
      </c>
      <c r="C88" s="912" t="s">
        <v>32</v>
      </c>
      <c r="D88" s="912"/>
      <c r="E88" s="912"/>
      <c r="F88" s="208">
        <v>34</v>
      </c>
      <c r="G88" s="207" t="s">
        <v>168</v>
      </c>
      <c r="H88" s="217">
        <v>7</v>
      </c>
      <c r="I88" s="914" t="s">
        <v>35</v>
      </c>
      <c r="J88" s="914"/>
      <c r="K88" s="914"/>
      <c r="L88" s="912" t="s">
        <v>69</v>
      </c>
      <c r="M88" s="912"/>
      <c r="N88" s="912"/>
    </row>
    <row r="89" spans="1:14" x14ac:dyDescent="0.25">
      <c r="A89" s="206">
        <v>43134</v>
      </c>
      <c r="B89" s="209">
        <v>16.45</v>
      </c>
      <c r="C89" s="912" t="s">
        <v>34</v>
      </c>
      <c r="D89" s="912"/>
      <c r="E89" s="912"/>
      <c r="F89" s="208">
        <v>13</v>
      </c>
      <c r="G89" s="207" t="s">
        <v>168</v>
      </c>
      <c r="H89" s="217">
        <v>15</v>
      </c>
      <c r="I89" s="914" t="s">
        <v>39</v>
      </c>
      <c r="J89" s="914"/>
      <c r="K89" s="914"/>
      <c r="L89" s="912" t="s">
        <v>70</v>
      </c>
      <c r="M89" s="912"/>
      <c r="N89" s="912"/>
    </row>
    <row r="90" spans="1:14" x14ac:dyDescent="0.25">
      <c r="A90" s="206">
        <v>43135</v>
      </c>
      <c r="B90" s="209">
        <v>15</v>
      </c>
      <c r="C90" s="912" t="s">
        <v>33</v>
      </c>
      <c r="D90" s="912"/>
      <c r="E90" s="912"/>
      <c r="F90" s="208">
        <v>15</v>
      </c>
      <c r="G90" s="207" t="s">
        <v>168</v>
      </c>
      <c r="H90" s="217">
        <v>46</v>
      </c>
      <c r="I90" s="914" t="s">
        <v>30</v>
      </c>
      <c r="J90" s="914"/>
      <c r="K90" s="914"/>
      <c r="L90" s="912" t="s">
        <v>68</v>
      </c>
      <c r="M90" s="912"/>
      <c r="N90" s="912"/>
    </row>
    <row r="91" spans="1:14" x14ac:dyDescent="0.25">
      <c r="A91" s="206">
        <v>43141</v>
      </c>
      <c r="B91" s="207">
        <v>14.15</v>
      </c>
      <c r="C91" s="912" t="s">
        <v>39</v>
      </c>
      <c r="D91" s="912"/>
      <c r="E91" s="912"/>
      <c r="F91" s="208">
        <v>56</v>
      </c>
      <c r="G91" s="207" t="s">
        <v>168</v>
      </c>
      <c r="H91" s="217">
        <v>19</v>
      </c>
      <c r="I91" s="914" t="s">
        <v>33</v>
      </c>
      <c r="J91" s="914"/>
      <c r="K91" s="914"/>
      <c r="L91" s="912" t="s">
        <v>72</v>
      </c>
      <c r="M91" s="912"/>
      <c r="N91" s="912"/>
    </row>
    <row r="92" spans="1:14" x14ac:dyDescent="0.25">
      <c r="A92" s="206">
        <v>43141</v>
      </c>
      <c r="B92" s="209">
        <v>16.45</v>
      </c>
      <c r="C92" s="912" t="s">
        <v>30</v>
      </c>
      <c r="D92" s="912"/>
      <c r="E92" s="912"/>
      <c r="F92" s="208">
        <v>12</v>
      </c>
      <c r="G92" s="207" t="s">
        <v>168</v>
      </c>
      <c r="H92" s="217">
        <v>6</v>
      </c>
      <c r="I92" s="914" t="s">
        <v>32</v>
      </c>
      <c r="J92" s="914"/>
      <c r="K92" s="914"/>
      <c r="L92" s="912" t="s">
        <v>67</v>
      </c>
      <c r="M92" s="912"/>
      <c r="N92" s="912"/>
    </row>
    <row r="93" spans="1:14" x14ac:dyDescent="0.25">
      <c r="A93" s="206">
        <v>43142</v>
      </c>
      <c r="B93" s="209">
        <v>15</v>
      </c>
      <c r="C93" s="912" t="s">
        <v>35</v>
      </c>
      <c r="D93" s="912"/>
      <c r="E93" s="912"/>
      <c r="F93" s="208">
        <v>32</v>
      </c>
      <c r="G93" s="207" t="s">
        <v>168</v>
      </c>
      <c r="H93" s="217">
        <v>26</v>
      </c>
      <c r="I93" s="914" t="s">
        <v>34</v>
      </c>
      <c r="J93" s="914"/>
      <c r="K93" s="914"/>
      <c r="L93" s="912" t="s">
        <v>71</v>
      </c>
      <c r="M93" s="912"/>
      <c r="N93" s="912"/>
    </row>
    <row r="94" spans="1:14" x14ac:dyDescent="0.25">
      <c r="A94" s="206">
        <v>43154</v>
      </c>
      <c r="B94" s="209">
        <v>20</v>
      </c>
      <c r="C94" s="912" t="s">
        <v>34</v>
      </c>
      <c r="D94" s="912"/>
      <c r="E94" s="912"/>
      <c r="F94" s="208">
        <v>34</v>
      </c>
      <c r="G94" s="207" t="s">
        <v>168</v>
      </c>
      <c r="H94" s="217">
        <v>17</v>
      </c>
      <c r="I94" s="914" t="s">
        <v>33</v>
      </c>
      <c r="J94" s="914"/>
      <c r="K94" s="914"/>
      <c r="L94" s="912" t="s">
        <v>110</v>
      </c>
      <c r="M94" s="912"/>
      <c r="N94" s="912"/>
    </row>
    <row r="95" spans="1:14" x14ac:dyDescent="0.25">
      <c r="A95" s="206">
        <v>43155</v>
      </c>
      <c r="B95" s="209">
        <v>14.15</v>
      </c>
      <c r="C95" s="912" t="s">
        <v>39</v>
      </c>
      <c r="D95" s="912"/>
      <c r="E95" s="912"/>
      <c r="F95" s="208">
        <v>37</v>
      </c>
      <c r="G95" s="207" t="s">
        <v>168</v>
      </c>
      <c r="H95" s="217">
        <v>27</v>
      </c>
      <c r="I95" s="914" t="s">
        <v>32</v>
      </c>
      <c r="J95" s="914"/>
      <c r="K95" s="914"/>
      <c r="L95" s="912" t="s">
        <v>72</v>
      </c>
      <c r="M95" s="912"/>
      <c r="N95" s="912"/>
    </row>
    <row r="96" spans="1:14" x14ac:dyDescent="0.25">
      <c r="A96" s="206">
        <v>43155</v>
      </c>
      <c r="B96" s="209">
        <v>16.45</v>
      </c>
      <c r="C96" s="912" t="s">
        <v>35</v>
      </c>
      <c r="D96" s="912"/>
      <c r="E96" s="912"/>
      <c r="F96" s="208">
        <v>25</v>
      </c>
      <c r="G96" s="207" t="s">
        <v>168</v>
      </c>
      <c r="H96" s="217">
        <v>13</v>
      </c>
      <c r="I96" s="914" t="s">
        <v>30</v>
      </c>
      <c r="J96" s="914"/>
      <c r="K96" s="914"/>
      <c r="L96" s="912" t="s">
        <v>71</v>
      </c>
      <c r="M96" s="912"/>
      <c r="N96" s="912"/>
    </row>
    <row r="97" spans="1:14" x14ac:dyDescent="0.25">
      <c r="A97" s="206">
        <v>43169</v>
      </c>
      <c r="B97" s="207">
        <v>14.15</v>
      </c>
      <c r="C97" s="912" t="s">
        <v>39</v>
      </c>
      <c r="D97" s="912"/>
      <c r="E97" s="912"/>
      <c r="F97" s="208">
        <v>28</v>
      </c>
      <c r="G97" s="207" t="s">
        <v>168</v>
      </c>
      <c r="H97" s="217">
        <v>8</v>
      </c>
      <c r="I97" s="914" t="s">
        <v>35</v>
      </c>
      <c r="J97" s="914"/>
      <c r="K97" s="914"/>
      <c r="L97" s="912" t="s">
        <v>72</v>
      </c>
      <c r="M97" s="912"/>
      <c r="N97" s="912"/>
    </row>
    <row r="98" spans="1:14" x14ac:dyDescent="0.25">
      <c r="A98" s="206">
        <v>43169</v>
      </c>
      <c r="B98" s="209">
        <v>16.45</v>
      </c>
      <c r="C98" s="912" t="s">
        <v>34</v>
      </c>
      <c r="D98" s="912"/>
      <c r="E98" s="912"/>
      <c r="F98" s="208">
        <v>22</v>
      </c>
      <c r="G98" s="207" t="s">
        <v>168</v>
      </c>
      <c r="H98" s="217">
        <v>16</v>
      </c>
      <c r="I98" s="914" t="s">
        <v>30</v>
      </c>
      <c r="J98" s="914"/>
      <c r="K98" s="914"/>
      <c r="L98" s="912" t="s">
        <v>70</v>
      </c>
      <c r="M98" s="912"/>
      <c r="N98" s="912"/>
    </row>
    <row r="99" spans="1:14" x14ac:dyDescent="0.25">
      <c r="A99" s="206">
        <v>43170</v>
      </c>
      <c r="B99" s="209">
        <v>15</v>
      </c>
      <c r="C99" s="912" t="s">
        <v>32</v>
      </c>
      <c r="D99" s="912"/>
      <c r="E99" s="912"/>
      <c r="F99" s="208">
        <v>38</v>
      </c>
      <c r="G99" s="207" t="s">
        <v>168</v>
      </c>
      <c r="H99" s="217">
        <v>14</v>
      </c>
      <c r="I99" s="914" t="s">
        <v>33</v>
      </c>
      <c r="J99" s="914"/>
      <c r="K99" s="914"/>
      <c r="L99" s="912" t="s">
        <v>69</v>
      </c>
      <c r="M99" s="912"/>
      <c r="N99" s="912"/>
    </row>
    <row r="100" spans="1:14" x14ac:dyDescent="0.25">
      <c r="A100" s="206">
        <v>43176</v>
      </c>
      <c r="B100" s="209">
        <v>12.3</v>
      </c>
      <c r="C100" s="912" t="s">
        <v>33</v>
      </c>
      <c r="D100" s="912"/>
      <c r="E100" s="912"/>
      <c r="F100" s="208">
        <v>27</v>
      </c>
      <c r="G100" s="207" t="s">
        <v>168</v>
      </c>
      <c r="H100" s="217">
        <v>29</v>
      </c>
      <c r="I100" s="914" t="s">
        <v>35</v>
      </c>
      <c r="J100" s="914"/>
      <c r="K100" s="914"/>
      <c r="L100" s="912" t="s">
        <v>68</v>
      </c>
      <c r="M100" s="912"/>
      <c r="N100" s="912"/>
    </row>
    <row r="101" spans="1:14" x14ac:dyDescent="0.25">
      <c r="A101" s="206">
        <v>43176</v>
      </c>
      <c r="B101" s="209">
        <v>14.45</v>
      </c>
      <c r="C101" s="912" t="s">
        <v>30</v>
      </c>
      <c r="D101" s="912"/>
      <c r="E101" s="912"/>
      <c r="F101" s="208">
        <v>15</v>
      </c>
      <c r="G101" s="207" t="s">
        <v>168</v>
      </c>
      <c r="H101" s="217">
        <v>24</v>
      </c>
      <c r="I101" s="914" t="s">
        <v>39</v>
      </c>
      <c r="J101" s="914"/>
      <c r="K101" s="914"/>
      <c r="L101" s="912" t="s">
        <v>67</v>
      </c>
      <c r="M101" s="912"/>
      <c r="N101" s="912"/>
    </row>
    <row r="102" spans="1:14" x14ac:dyDescent="0.25">
      <c r="A102" s="206">
        <v>43176</v>
      </c>
      <c r="B102" s="209">
        <v>17</v>
      </c>
      <c r="C102" s="912" t="s">
        <v>32</v>
      </c>
      <c r="D102" s="912"/>
      <c r="E102" s="912"/>
      <c r="F102" s="208">
        <v>14</v>
      </c>
      <c r="G102" s="207" t="s">
        <v>168</v>
      </c>
      <c r="H102" s="217">
        <v>13</v>
      </c>
      <c r="I102" s="914" t="s">
        <v>34</v>
      </c>
      <c r="J102" s="914"/>
      <c r="K102" s="914"/>
      <c r="L102" s="912" t="s">
        <v>69</v>
      </c>
      <c r="M102" s="912"/>
      <c r="N102" s="912"/>
    </row>
    <row r="103" spans="1:14" x14ac:dyDescent="0.25">
      <c r="A103" s="204"/>
      <c r="B103" s="207" t="s">
        <v>58</v>
      </c>
      <c r="C103" s="205"/>
      <c r="D103" s="208"/>
      <c r="E103" s="205"/>
      <c r="F103" s="208"/>
      <c r="G103" s="205"/>
      <c r="H103" s="217"/>
      <c r="I103" s="205"/>
      <c r="J103" s="205"/>
      <c r="K103" s="205"/>
      <c r="L103" s="205"/>
      <c r="M103" s="205"/>
      <c r="N103" s="205"/>
    </row>
    <row r="104" spans="1:14" x14ac:dyDescent="0.25">
      <c r="F104" s="283"/>
    </row>
    <row r="105" spans="1:14" x14ac:dyDescent="0.25">
      <c r="A105" s="551"/>
      <c r="B105" s="509" t="s">
        <v>120</v>
      </c>
      <c r="C105" s="551"/>
      <c r="D105" s="551"/>
      <c r="E105" s="551"/>
      <c r="F105" s="912">
        <v>2017</v>
      </c>
      <c r="G105" s="911"/>
      <c r="H105" s="551"/>
      <c r="I105" s="551"/>
      <c r="J105" s="551"/>
      <c r="K105" s="551"/>
      <c r="L105" s="551"/>
      <c r="M105" s="551"/>
      <c r="N105" s="551"/>
    </row>
    <row r="106" spans="1:14" x14ac:dyDescent="0.25">
      <c r="A106" s="206">
        <v>42770</v>
      </c>
      <c r="B106" s="207">
        <v>14.25</v>
      </c>
      <c r="C106" s="912" t="s">
        <v>35</v>
      </c>
      <c r="D106" s="912"/>
      <c r="E106" s="912"/>
      <c r="F106" s="208">
        <v>22</v>
      </c>
      <c r="G106" s="207" t="s">
        <v>168</v>
      </c>
      <c r="H106" s="217">
        <v>27</v>
      </c>
      <c r="I106" s="914" t="s">
        <v>39</v>
      </c>
      <c r="J106" s="914"/>
      <c r="K106" s="914"/>
      <c r="L106" s="912" t="s">
        <v>66</v>
      </c>
      <c r="M106" s="912"/>
      <c r="N106" s="912"/>
    </row>
    <row r="107" spans="1:14" x14ac:dyDescent="0.25">
      <c r="A107" s="206">
        <v>42770</v>
      </c>
      <c r="B107" s="209">
        <v>16.5</v>
      </c>
      <c r="C107" s="912" t="s">
        <v>30</v>
      </c>
      <c r="D107" s="912"/>
      <c r="E107" s="912"/>
      <c r="F107" s="208">
        <v>19</v>
      </c>
      <c r="G107" s="207" t="s">
        <v>168</v>
      </c>
      <c r="H107" s="217">
        <v>16</v>
      </c>
      <c r="I107" s="914" t="s">
        <v>34</v>
      </c>
      <c r="J107" s="914"/>
      <c r="K107" s="914"/>
      <c r="L107" s="912" t="s">
        <v>67</v>
      </c>
      <c r="M107" s="912"/>
      <c r="N107" s="912"/>
    </row>
    <row r="108" spans="1:14" x14ac:dyDescent="0.25">
      <c r="A108" s="206">
        <v>42771</v>
      </c>
      <c r="B108" s="209">
        <v>14</v>
      </c>
      <c r="C108" s="912" t="s">
        <v>33</v>
      </c>
      <c r="D108" s="912"/>
      <c r="E108" s="912"/>
      <c r="F108" s="208">
        <v>7</v>
      </c>
      <c r="G108" s="207" t="s">
        <v>168</v>
      </c>
      <c r="H108" s="217">
        <v>33</v>
      </c>
      <c r="I108" s="914" t="s">
        <v>32</v>
      </c>
      <c r="J108" s="914"/>
      <c r="K108" s="914"/>
      <c r="L108" s="912" t="s">
        <v>68</v>
      </c>
      <c r="M108" s="912"/>
      <c r="N108" s="912"/>
    </row>
    <row r="109" spans="1:14" x14ac:dyDescent="0.25">
      <c r="A109" s="206">
        <v>42777</v>
      </c>
      <c r="B109" s="209">
        <v>14.25</v>
      </c>
      <c r="C109" s="912" t="s">
        <v>33</v>
      </c>
      <c r="D109" s="912"/>
      <c r="E109" s="912"/>
      <c r="F109" s="208">
        <v>10</v>
      </c>
      <c r="G109" s="207" t="s">
        <v>168</v>
      </c>
      <c r="H109" s="217">
        <v>63</v>
      </c>
      <c r="I109" s="914" t="s">
        <v>39</v>
      </c>
      <c r="J109" s="914"/>
      <c r="K109" s="914"/>
      <c r="L109" s="912" t="s">
        <v>68</v>
      </c>
      <c r="M109" s="912"/>
      <c r="N109" s="912"/>
    </row>
    <row r="110" spans="1:14" x14ac:dyDescent="0.25">
      <c r="A110" s="206">
        <v>42777</v>
      </c>
      <c r="B110" s="209">
        <v>16.5</v>
      </c>
      <c r="C110" s="912" t="s">
        <v>32</v>
      </c>
      <c r="D110" s="912"/>
      <c r="E110" s="912"/>
      <c r="F110" s="208">
        <v>16</v>
      </c>
      <c r="G110" s="207" t="s">
        <v>168</v>
      </c>
      <c r="H110" s="217">
        <v>21</v>
      </c>
      <c r="I110" s="914" t="s">
        <v>30</v>
      </c>
      <c r="J110" s="914"/>
      <c r="K110" s="914"/>
      <c r="L110" s="912" t="s">
        <v>69</v>
      </c>
      <c r="M110" s="912"/>
      <c r="N110" s="912"/>
    </row>
    <row r="111" spans="1:14" x14ac:dyDescent="0.25">
      <c r="A111" s="206">
        <v>42778</v>
      </c>
      <c r="B111" s="209">
        <v>15</v>
      </c>
      <c r="C111" s="912" t="s">
        <v>34</v>
      </c>
      <c r="D111" s="912"/>
      <c r="E111" s="912"/>
      <c r="F111" s="208">
        <v>22</v>
      </c>
      <c r="G111" s="207" t="s">
        <v>168</v>
      </c>
      <c r="H111" s="217">
        <v>16</v>
      </c>
      <c r="I111" s="914" t="s">
        <v>35</v>
      </c>
      <c r="J111" s="914"/>
      <c r="K111" s="914"/>
      <c r="L111" s="912" t="s">
        <v>70</v>
      </c>
      <c r="M111" s="912"/>
      <c r="N111" s="912"/>
    </row>
    <row r="112" spans="1:14" x14ac:dyDescent="0.25">
      <c r="A112" s="206">
        <v>42791</v>
      </c>
      <c r="B112" s="209">
        <v>14.25</v>
      </c>
      <c r="C112" s="912" t="s">
        <v>35</v>
      </c>
      <c r="D112" s="912"/>
      <c r="E112" s="912"/>
      <c r="F112" s="208">
        <v>29</v>
      </c>
      <c r="G112" s="207" t="s">
        <v>168</v>
      </c>
      <c r="H112" s="217">
        <v>13</v>
      </c>
      <c r="I112" s="914" t="s">
        <v>32</v>
      </c>
      <c r="J112" s="914"/>
      <c r="K112" s="914"/>
      <c r="L112" s="912" t="s">
        <v>71</v>
      </c>
      <c r="M112" s="912"/>
      <c r="N112" s="912"/>
    </row>
    <row r="113" spans="1:14" x14ac:dyDescent="0.25">
      <c r="A113" s="206">
        <v>42791</v>
      </c>
      <c r="B113" s="209">
        <v>16.5</v>
      </c>
      <c r="C113" s="912" t="s">
        <v>39</v>
      </c>
      <c r="D113" s="912"/>
      <c r="E113" s="912"/>
      <c r="F113" s="208">
        <v>19</v>
      </c>
      <c r="G113" s="207" t="s">
        <v>168</v>
      </c>
      <c r="H113" s="217">
        <v>9</v>
      </c>
      <c r="I113" s="914" t="s">
        <v>34</v>
      </c>
      <c r="J113" s="914"/>
      <c r="K113" s="914"/>
      <c r="L113" s="912" t="s">
        <v>72</v>
      </c>
      <c r="M113" s="912"/>
      <c r="N113" s="912"/>
    </row>
    <row r="114" spans="1:14" x14ac:dyDescent="0.25">
      <c r="A114" s="206">
        <v>42792</v>
      </c>
      <c r="B114" s="209">
        <v>15</v>
      </c>
      <c r="C114" s="912" t="s">
        <v>30</v>
      </c>
      <c r="D114" s="912"/>
      <c r="E114" s="912"/>
      <c r="F114" s="208">
        <v>36</v>
      </c>
      <c r="G114" s="207" t="s">
        <v>168</v>
      </c>
      <c r="H114" s="217">
        <v>15</v>
      </c>
      <c r="I114" s="914" t="s">
        <v>33</v>
      </c>
      <c r="J114" s="914"/>
      <c r="K114" s="914"/>
      <c r="L114" s="912" t="s">
        <v>67</v>
      </c>
      <c r="M114" s="912"/>
      <c r="N114" s="912"/>
    </row>
    <row r="115" spans="1:14" x14ac:dyDescent="0.25">
      <c r="A115" s="206">
        <v>42804</v>
      </c>
      <c r="B115" s="209">
        <v>20</v>
      </c>
      <c r="C115" s="912" t="s">
        <v>32</v>
      </c>
      <c r="D115" s="912"/>
      <c r="E115" s="912"/>
      <c r="F115" s="208">
        <v>22</v>
      </c>
      <c r="G115" s="207" t="s">
        <v>168</v>
      </c>
      <c r="H115" s="217">
        <v>9</v>
      </c>
      <c r="I115" s="914" t="s">
        <v>39</v>
      </c>
      <c r="J115" s="914"/>
      <c r="K115" s="914"/>
      <c r="L115" s="912" t="s">
        <v>69</v>
      </c>
      <c r="M115" s="912"/>
      <c r="N115" s="912"/>
    </row>
    <row r="116" spans="1:14" x14ac:dyDescent="0.25">
      <c r="A116" s="206">
        <v>42805</v>
      </c>
      <c r="B116" s="209">
        <v>13.3</v>
      </c>
      <c r="C116" s="912" t="s">
        <v>33</v>
      </c>
      <c r="D116" s="912"/>
      <c r="E116" s="912"/>
      <c r="F116" s="208">
        <v>18</v>
      </c>
      <c r="G116" s="207" t="s">
        <v>168</v>
      </c>
      <c r="H116" s="217">
        <v>40</v>
      </c>
      <c r="I116" s="914" t="s">
        <v>34</v>
      </c>
      <c r="J116" s="914"/>
      <c r="K116" s="914"/>
      <c r="L116" s="912" t="s">
        <v>68</v>
      </c>
      <c r="M116" s="912"/>
      <c r="N116" s="912"/>
    </row>
    <row r="117" spans="1:14" x14ac:dyDescent="0.25">
      <c r="A117" s="206">
        <v>42805</v>
      </c>
      <c r="B117" s="209">
        <v>16</v>
      </c>
      <c r="C117" s="912" t="s">
        <v>30</v>
      </c>
      <c r="D117" s="912"/>
      <c r="E117" s="912"/>
      <c r="F117" s="208">
        <v>61</v>
      </c>
      <c r="G117" s="207" t="s">
        <v>168</v>
      </c>
      <c r="H117" s="217">
        <v>21</v>
      </c>
      <c r="I117" s="914" t="s">
        <v>35</v>
      </c>
      <c r="J117" s="914"/>
      <c r="K117" s="914"/>
      <c r="L117" s="912" t="s">
        <v>67</v>
      </c>
      <c r="M117" s="912"/>
      <c r="N117" s="912"/>
    </row>
    <row r="118" spans="1:14" x14ac:dyDescent="0.25">
      <c r="A118" s="206">
        <v>42812</v>
      </c>
      <c r="B118" s="209">
        <v>12.3</v>
      </c>
      <c r="C118" s="912" t="s">
        <v>35</v>
      </c>
      <c r="D118" s="912"/>
      <c r="E118" s="912"/>
      <c r="F118" s="208">
        <v>29</v>
      </c>
      <c r="G118" s="207" t="s">
        <v>168</v>
      </c>
      <c r="H118" s="217">
        <v>0</v>
      </c>
      <c r="I118" s="914" t="s">
        <v>33</v>
      </c>
      <c r="J118" s="914"/>
      <c r="K118" s="914"/>
      <c r="L118" s="912" t="s">
        <v>66</v>
      </c>
      <c r="M118" s="912"/>
      <c r="N118" s="912"/>
    </row>
    <row r="119" spans="1:14" x14ac:dyDescent="0.25">
      <c r="A119" s="206">
        <v>42812</v>
      </c>
      <c r="B119" s="209">
        <v>14.45</v>
      </c>
      <c r="C119" s="912" t="s">
        <v>34</v>
      </c>
      <c r="D119" s="912"/>
      <c r="E119" s="912"/>
      <c r="F119" s="208">
        <v>20</v>
      </c>
      <c r="G119" s="207" t="s">
        <v>168</v>
      </c>
      <c r="H119" s="217">
        <v>18</v>
      </c>
      <c r="I119" s="914" t="s">
        <v>32</v>
      </c>
      <c r="J119" s="914"/>
      <c r="K119" s="914"/>
      <c r="L119" s="912" t="s">
        <v>70</v>
      </c>
      <c r="M119" s="912"/>
      <c r="N119" s="912"/>
    </row>
    <row r="120" spans="1:14" x14ac:dyDescent="0.25">
      <c r="A120" s="206">
        <v>42812</v>
      </c>
      <c r="B120" s="209">
        <v>17</v>
      </c>
      <c r="C120" s="912" t="s">
        <v>39</v>
      </c>
      <c r="D120" s="912"/>
      <c r="E120" s="912"/>
      <c r="F120" s="208">
        <v>13</v>
      </c>
      <c r="G120" s="207" t="s">
        <v>168</v>
      </c>
      <c r="H120" s="217">
        <v>9</v>
      </c>
      <c r="I120" s="914" t="s">
        <v>30</v>
      </c>
      <c r="J120" s="914"/>
      <c r="K120" s="914"/>
      <c r="L120" s="912" t="s">
        <v>72</v>
      </c>
      <c r="M120" s="912"/>
      <c r="N120" s="912"/>
    </row>
    <row r="121" spans="1:14" x14ac:dyDescent="0.25">
      <c r="A121" s="204"/>
      <c r="B121" s="207" t="s">
        <v>58</v>
      </c>
      <c r="C121" s="205"/>
      <c r="D121" s="208"/>
      <c r="E121" s="205"/>
      <c r="F121" s="208"/>
      <c r="G121" s="284"/>
      <c r="H121" s="217"/>
      <c r="I121" s="205"/>
      <c r="J121" s="205"/>
      <c r="K121" s="205"/>
      <c r="L121" s="205"/>
      <c r="M121" s="205"/>
      <c r="N121" s="205"/>
    </row>
    <row r="122" spans="1:14" x14ac:dyDescent="0.25">
      <c r="F122" s="283"/>
      <c r="G122" s="285"/>
      <c r="H122" s="218"/>
    </row>
    <row r="123" spans="1:14" x14ac:dyDescent="0.25">
      <c r="A123" s="551"/>
      <c r="B123" s="509" t="s">
        <v>120</v>
      </c>
      <c r="C123" s="551"/>
      <c r="D123" s="551"/>
      <c r="E123" s="551"/>
      <c r="F123" s="912">
        <v>2016</v>
      </c>
      <c r="G123" s="911"/>
      <c r="H123" s="551"/>
      <c r="I123" s="551"/>
      <c r="J123" s="551"/>
      <c r="K123" s="551"/>
      <c r="L123" s="551"/>
      <c r="M123" s="551"/>
      <c r="N123" s="551"/>
    </row>
    <row r="124" spans="1:14" x14ac:dyDescent="0.25">
      <c r="A124" s="206">
        <v>42406</v>
      </c>
      <c r="B124" s="209">
        <v>14.25</v>
      </c>
      <c r="C124" s="912" t="s">
        <v>34</v>
      </c>
      <c r="D124" s="912"/>
      <c r="E124" s="912"/>
      <c r="F124" s="208">
        <v>23</v>
      </c>
      <c r="G124" s="207" t="s">
        <v>168</v>
      </c>
      <c r="H124" s="217">
        <v>21</v>
      </c>
      <c r="I124" s="914" t="s">
        <v>33</v>
      </c>
      <c r="J124" s="914"/>
      <c r="K124" s="914"/>
      <c r="L124" s="912" t="s">
        <v>70</v>
      </c>
      <c r="M124" s="912"/>
      <c r="N124" s="912"/>
    </row>
    <row r="125" spans="1:14" x14ac:dyDescent="0.25">
      <c r="A125" s="206">
        <v>42406</v>
      </c>
      <c r="B125" s="209">
        <v>16.5</v>
      </c>
      <c r="C125" s="912" t="s">
        <v>35</v>
      </c>
      <c r="D125" s="912"/>
      <c r="E125" s="912"/>
      <c r="F125" s="208">
        <v>9</v>
      </c>
      <c r="G125" s="207" t="s">
        <v>168</v>
      </c>
      <c r="H125" s="217">
        <v>15</v>
      </c>
      <c r="I125" s="914" t="s">
        <v>30</v>
      </c>
      <c r="J125" s="914"/>
      <c r="K125" s="914"/>
      <c r="L125" s="912" t="s">
        <v>66</v>
      </c>
      <c r="M125" s="912"/>
      <c r="N125" s="912"/>
    </row>
    <row r="126" spans="1:14" x14ac:dyDescent="0.25">
      <c r="A126" s="206">
        <v>42407</v>
      </c>
      <c r="B126" s="209">
        <v>15</v>
      </c>
      <c r="C126" s="912" t="s">
        <v>39</v>
      </c>
      <c r="D126" s="912"/>
      <c r="E126" s="912"/>
      <c r="F126" s="208">
        <v>16</v>
      </c>
      <c r="G126" s="207" t="s">
        <v>168</v>
      </c>
      <c r="H126" s="217">
        <v>16</v>
      </c>
      <c r="I126" s="914" t="s">
        <v>32</v>
      </c>
      <c r="J126" s="914"/>
      <c r="K126" s="914"/>
      <c r="L126" s="912" t="s">
        <v>72</v>
      </c>
      <c r="M126" s="912"/>
      <c r="N126" s="912"/>
    </row>
    <row r="127" spans="1:14" x14ac:dyDescent="0.25">
      <c r="A127" s="206">
        <v>42413</v>
      </c>
      <c r="B127" s="209">
        <v>14.25</v>
      </c>
      <c r="C127" s="912" t="s">
        <v>34</v>
      </c>
      <c r="D127" s="912"/>
      <c r="E127" s="912"/>
      <c r="F127" s="208" t="s">
        <v>73</v>
      </c>
      <c r="G127" s="207" t="s">
        <v>168</v>
      </c>
      <c r="H127" s="217" t="s">
        <v>74</v>
      </c>
      <c r="I127" s="914" t="s">
        <v>39</v>
      </c>
      <c r="J127" s="914"/>
      <c r="K127" s="914"/>
      <c r="L127" s="912" t="s">
        <v>70</v>
      </c>
      <c r="M127" s="912"/>
      <c r="N127" s="912"/>
    </row>
    <row r="128" spans="1:14" x14ac:dyDescent="0.25">
      <c r="A128" s="206">
        <v>42413</v>
      </c>
      <c r="B128" s="209">
        <v>16.5</v>
      </c>
      <c r="C128" s="912" t="s">
        <v>32</v>
      </c>
      <c r="D128" s="912"/>
      <c r="E128" s="912"/>
      <c r="F128" s="208" t="s">
        <v>75</v>
      </c>
      <c r="G128" s="207" t="s">
        <v>168</v>
      </c>
      <c r="H128" s="217" t="s">
        <v>76</v>
      </c>
      <c r="I128" s="914" t="s">
        <v>35</v>
      </c>
      <c r="J128" s="914"/>
      <c r="K128" s="914"/>
      <c r="L128" s="912" t="s">
        <v>69</v>
      </c>
      <c r="M128" s="912"/>
      <c r="N128" s="912"/>
    </row>
    <row r="129" spans="1:19" x14ac:dyDescent="0.25">
      <c r="A129" s="206">
        <v>42414</v>
      </c>
      <c r="B129" s="209">
        <v>14</v>
      </c>
      <c r="C129" s="912" t="s">
        <v>33</v>
      </c>
      <c r="D129" s="912"/>
      <c r="E129" s="912"/>
      <c r="F129" s="208" t="s">
        <v>74</v>
      </c>
      <c r="G129" s="207" t="s">
        <v>168</v>
      </c>
      <c r="H129" s="217" t="s">
        <v>77</v>
      </c>
      <c r="I129" s="914" t="s">
        <v>30</v>
      </c>
      <c r="J129" s="914"/>
      <c r="K129" s="914"/>
      <c r="L129" s="912" t="s">
        <v>68</v>
      </c>
      <c r="M129" s="912"/>
      <c r="N129" s="912"/>
    </row>
    <row r="130" spans="1:19" x14ac:dyDescent="0.25">
      <c r="A130" s="206">
        <v>42426</v>
      </c>
      <c r="B130" s="209">
        <v>20.05</v>
      </c>
      <c r="C130" s="912" t="s">
        <v>32</v>
      </c>
      <c r="D130" s="912"/>
      <c r="E130" s="912"/>
      <c r="F130" s="208" t="s">
        <v>78</v>
      </c>
      <c r="G130" s="207" t="s">
        <v>168</v>
      </c>
      <c r="H130" s="217" t="s">
        <v>79</v>
      </c>
      <c r="I130" s="914" t="s">
        <v>34</v>
      </c>
      <c r="J130" s="914"/>
      <c r="K130" s="914"/>
      <c r="L130" s="912" t="s">
        <v>69</v>
      </c>
      <c r="M130" s="912"/>
      <c r="N130" s="912"/>
    </row>
    <row r="131" spans="1:19" x14ac:dyDescent="0.25">
      <c r="A131" s="206">
        <v>42427</v>
      </c>
      <c r="B131" s="209">
        <v>14.25</v>
      </c>
      <c r="C131" s="912" t="s">
        <v>33</v>
      </c>
      <c r="D131" s="912"/>
      <c r="E131" s="912"/>
      <c r="F131" s="208" t="s">
        <v>80</v>
      </c>
      <c r="G131" s="207" t="s">
        <v>168</v>
      </c>
      <c r="H131" s="217" t="s">
        <v>81</v>
      </c>
      <c r="I131" s="914" t="s">
        <v>35</v>
      </c>
      <c r="J131" s="914"/>
      <c r="K131" s="914"/>
      <c r="L131" s="912" t="s">
        <v>68</v>
      </c>
      <c r="M131" s="912"/>
      <c r="N131" s="912"/>
    </row>
    <row r="132" spans="1:19" x14ac:dyDescent="0.25">
      <c r="A132" s="206">
        <v>42427</v>
      </c>
      <c r="B132" s="209">
        <v>16.5</v>
      </c>
      <c r="C132" s="912" t="s">
        <v>30</v>
      </c>
      <c r="D132" s="912"/>
      <c r="E132" s="912"/>
      <c r="F132" s="208" t="s">
        <v>82</v>
      </c>
      <c r="G132" s="207" t="s">
        <v>168</v>
      </c>
      <c r="H132" s="217" t="s">
        <v>79</v>
      </c>
      <c r="I132" s="914" t="s">
        <v>39</v>
      </c>
      <c r="J132" s="914"/>
      <c r="K132" s="914"/>
      <c r="L132" s="912" t="s">
        <v>67</v>
      </c>
      <c r="M132" s="912"/>
      <c r="N132" s="912"/>
    </row>
    <row r="133" spans="1:19" x14ac:dyDescent="0.25">
      <c r="A133" s="206">
        <v>42441</v>
      </c>
      <c r="B133" s="209">
        <v>13.3</v>
      </c>
      <c r="C133" s="912" t="s">
        <v>39</v>
      </c>
      <c r="D133" s="912"/>
      <c r="E133" s="912"/>
      <c r="F133" s="208" t="s">
        <v>83</v>
      </c>
      <c r="G133" s="207" t="s">
        <v>168</v>
      </c>
      <c r="H133" s="217" t="s">
        <v>84</v>
      </c>
      <c r="I133" s="914" t="s">
        <v>33</v>
      </c>
      <c r="J133" s="914"/>
      <c r="K133" s="914"/>
      <c r="L133" s="912" t="s">
        <v>72</v>
      </c>
      <c r="M133" s="912"/>
      <c r="N133" s="912"/>
    </row>
    <row r="134" spans="1:19" x14ac:dyDescent="0.25">
      <c r="A134" s="206">
        <v>42441</v>
      </c>
      <c r="B134" s="209">
        <v>16</v>
      </c>
      <c r="C134" s="912" t="s">
        <v>30</v>
      </c>
      <c r="D134" s="912"/>
      <c r="E134" s="912"/>
      <c r="F134" s="208" t="s">
        <v>85</v>
      </c>
      <c r="G134" s="207" t="s">
        <v>168</v>
      </c>
      <c r="H134" s="217" t="s">
        <v>82</v>
      </c>
      <c r="I134" s="914" t="s">
        <v>32</v>
      </c>
      <c r="J134" s="914"/>
      <c r="K134" s="914"/>
      <c r="L134" s="912" t="s">
        <v>67</v>
      </c>
      <c r="M134" s="912"/>
      <c r="N134" s="912"/>
    </row>
    <row r="135" spans="1:19" x14ac:dyDescent="0.25">
      <c r="A135" s="206">
        <v>42442</v>
      </c>
      <c r="B135" s="209">
        <v>15</v>
      </c>
      <c r="C135" s="912" t="s">
        <v>35</v>
      </c>
      <c r="D135" s="912"/>
      <c r="E135" s="912"/>
      <c r="F135" s="208" t="s">
        <v>86</v>
      </c>
      <c r="G135" s="207" t="s">
        <v>168</v>
      </c>
      <c r="H135" s="217" t="s">
        <v>87</v>
      </c>
      <c r="I135" s="914" t="s">
        <v>34</v>
      </c>
      <c r="J135" s="914"/>
      <c r="K135" s="914"/>
      <c r="L135" s="912" t="s">
        <v>66</v>
      </c>
      <c r="M135" s="912"/>
      <c r="N135" s="912"/>
    </row>
    <row r="136" spans="1:19" x14ac:dyDescent="0.25">
      <c r="A136" s="206">
        <v>42448</v>
      </c>
      <c r="B136" s="209">
        <v>14.3</v>
      </c>
      <c r="C136" s="912" t="s">
        <v>32</v>
      </c>
      <c r="D136" s="912"/>
      <c r="E136" s="912"/>
      <c r="F136" s="208" t="s">
        <v>88</v>
      </c>
      <c r="G136" s="207" t="s">
        <v>168</v>
      </c>
      <c r="H136" s="217" t="s">
        <v>89</v>
      </c>
      <c r="I136" s="914" t="s">
        <v>33</v>
      </c>
      <c r="J136" s="914"/>
      <c r="K136" s="914"/>
      <c r="L136" s="912" t="s">
        <v>69</v>
      </c>
      <c r="M136" s="912"/>
      <c r="N136" s="912"/>
    </row>
    <row r="137" spans="1:19" x14ac:dyDescent="0.25">
      <c r="A137" s="206">
        <v>42448</v>
      </c>
      <c r="B137" s="209">
        <v>17</v>
      </c>
      <c r="C137" s="912" t="s">
        <v>39</v>
      </c>
      <c r="D137" s="912"/>
      <c r="E137" s="912"/>
      <c r="F137" s="208" t="s">
        <v>90</v>
      </c>
      <c r="G137" s="207" t="s">
        <v>168</v>
      </c>
      <c r="H137" s="217" t="s">
        <v>85</v>
      </c>
      <c r="I137" s="914" t="s">
        <v>35</v>
      </c>
      <c r="J137" s="914"/>
      <c r="K137" s="914"/>
      <c r="L137" s="912" t="s">
        <v>72</v>
      </c>
      <c r="M137" s="912"/>
      <c r="N137" s="912"/>
    </row>
    <row r="138" spans="1:19" x14ac:dyDescent="0.25">
      <c r="A138" s="206">
        <v>42448</v>
      </c>
      <c r="B138" s="209">
        <v>20</v>
      </c>
      <c r="C138" s="912" t="s">
        <v>34</v>
      </c>
      <c r="D138" s="912"/>
      <c r="E138" s="912"/>
      <c r="F138" s="208" t="s">
        <v>82</v>
      </c>
      <c r="G138" s="207" t="s">
        <v>168</v>
      </c>
      <c r="H138" s="217">
        <v>31</v>
      </c>
      <c r="I138" s="914" t="s">
        <v>30</v>
      </c>
      <c r="J138" s="914"/>
      <c r="K138" s="914"/>
      <c r="L138" s="912" t="s">
        <v>70</v>
      </c>
      <c r="M138" s="912"/>
      <c r="N138" s="912"/>
    </row>
    <row r="139" spans="1:19" x14ac:dyDescent="0.25">
      <c r="A139" s="213"/>
      <c r="B139" s="214" t="s">
        <v>58</v>
      </c>
      <c r="C139" s="215"/>
      <c r="D139" s="216"/>
      <c r="E139" s="215"/>
      <c r="F139" s="216"/>
      <c r="G139" s="286"/>
      <c r="H139" s="215"/>
      <c r="I139" s="215"/>
      <c r="J139" s="215"/>
      <c r="K139" s="215"/>
      <c r="L139" s="215"/>
      <c r="M139" s="215"/>
      <c r="N139" s="215"/>
      <c r="O139" s="210"/>
      <c r="P139" s="916"/>
      <c r="Q139" s="916"/>
      <c r="R139" s="210"/>
      <c r="S139" s="210"/>
    </row>
    <row r="140" spans="1:19" x14ac:dyDescent="0.25">
      <c r="A140" s="551"/>
      <c r="B140" s="509" t="s">
        <v>120</v>
      </c>
      <c r="C140" s="551"/>
      <c r="D140" s="551"/>
      <c r="E140" s="551"/>
      <c r="F140" s="912">
        <v>2015</v>
      </c>
      <c r="G140" s="911"/>
      <c r="H140" s="551"/>
      <c r="I140" s="551"/>
      <c r="J140" s="551"/>
      <c r="K140" s="551"/>
      <c r="L140" s="551"/>
      <c r="M140" s="551"/>
      <c r="N140" s="551"/>
      <c r="O140" s="210"/>
      <c r="P140" s="210"/>
      <c r="Q140" s="210"/>
      <c r="R140" s="210"/>
      <c r="S140" s="210"/>
    </row>
    <row r="141" spans="1:19" x14ac:dyDescent="0.25">
      <c r="A141" s="206">
        <v>42041</v>
      </c>
      <c r="B141" s="209">
        <v>20.05</v>
      </c>
      <c r="C141" s="912"/>
      <c r="D141" s="912"/>
      <c r="E141" s="207" t="s">
        <v>32</v>
      </c>
      <c r="F141" s="208">
        <v>16</v>
      </c>
      <c r="G141" s="207" t="s">
        <v>168</v>
      </c>
      <c r="H141" s="217">
        <v>21</v>
      </c>
      <c r="I141" s="914" t="s">
        <v>30</v>
      </c>
      <c r="J141" s="914"/>
      <c r="K141" s="914"/>
      <c r="L141" s="914"/>
      <c r="M141" s="217" t="s">
        <v>91</v>
      </c>
      <c r="N141" s="217"/>
      <c r="O141" s="245"/>
      <c r="P141" s="915"/>
      <c r="Q141" s="915"/>
      <c r="R141" s="915"/>
    </row>
    <row r="142" spans="1:19" x14ac:dyDescent="0.25">
      <c r="A142" s="206">
        <v>42042</v>
      </c>
      <c r="B142" s="209">
        <v>14.3</v>
      </c>
      <c r="C142" s="912"/>
      <c r="D142" s="912"/>
      <c r="E142" s="207" t="s">
        <v>33</v>
      </c>
      <c r="F142" s="208">
        <v>3</v>
      </c>
      <c r="G142" s="207" t="s">
        <v>168</v>
      </c>
      <c r="H142" s="217">
        <v>26</v>
      </c>
      <c r="I142" s="914" t="s">
        <v>39</v>
      </c>
      <c r="J142" s="914"/>
      <c r="K142" s="914"/>
      <c r="L142" s="914"/>
      <c r="M142" s="217" t="s">
        <v>68</v>
      </c>
      <c r="N142" s="217"/>
      <c r="O142" s="245"/>
      <c r="P142" s="915"/>
      <c r="Q142" s="915"/>
      <c r="R142" s="915"/>
    </row>
    <row r="143" spans="1:19" x14ac:dyDescent="0.25">
      <c r="A143" s="206">
        <v>42042</v>
      </c>
      <c r="B143" s="209">
        <v>17</v>
      </c>
      <c r="C143" s="912"/>
      <c r="D143" s="912"/>
      <c r="E143" s="207" t="s">
        <v>34</v>
      </c>
      <c r="F143" s="208">
        <v>15</v>
      </c>
      <c r="G143" s="207" t="s">
        <v>168</v>
      </c>
      <c r="H143" s="217">
        <v>8</v>
      </c>
      <c r="I143" s="914" t="s">
        <v>35</v>
      </c>
      <c r="J143" s="914"/>
      <c r="K143" s="914"/>
      <c r="L143" s="914"/>
      <c r="M143" s="217" t="s">
        <v>70</v>
      </c>
      <c r="N143" s="217"/>
      <c r="O143" s="245"/>
      <c r="P143" s="915"/>
      <c r="Q143" s="915"/>
      <c r="R143" s="915"/>
    </row>
    <row r="144" spans="1:19" x14ac:dyDescent="0.25">
      <c r="A144" s="206">
        <v>42049</v>
      </c>
      <c r="B144" s="209">
        <v>14.3</v>
      </c>
      <c r="C144" s="912"/>
      <c r="D144" s="912"/>
      <c r="E144" s="207" t="s">
        <v>30</v>
      </c>
      <c r="F144" s="208">
        <v>47</v>
      </c>
      <c r="G144" s="207" t="s">
        <v>168</v>
      </c>
      <c r="H144" s="217">
        <v>17</v>
      </c>
      <c r="I144" s="914" t="s">
        <v>33</v>
      </c>
      <c r="J144" s="914"/>
      <c r="K144" s="914"/>
      <c r="L144" s="914"/>
      <c r="M144" s="217" t="s">
        <v>67</v>
      </c>
      <c r="N144" s="217"/>
      <c r="O144" s="245"/>
      <c r="P144" s="915"/>
      <c r="Q144" s="915"/>
      <c r="R144" s="915"/>
    </row>
    <row r="145" spans="1:18" x14ac:dyDescent="0.25">
      <c r="A145" s="206">
        <v>42049</v>
      </c>
      <c r="B145" s="209">
        <v>17</v>
      </c>
      <c r="C145" s="912"/>
      <c r="D145" s="912"/>
      <c r="E145" s="207" t="s">
        <v>39</v>
      </c>
      <c r="F145" s="208">
        <v>18</v>
      </c>
      <c r="G145" s="207" t="s">
        <v>168</v>
      </c>
      <c r="H145" s="217">
        <v>11</v>
      </c>
      <c r="I145" s="914" t="s">
        <v>34</v>
      </c>
      <c r="J145" s="914"/>
      <c r="K145" s="914"/>
      <c r="L145" s="914"/>
      <c r="M145" s="217" t="s">
        <v>72</v>
      </c>
      <c r="N145" s="217"/>
      <c r="O145" s="245"/>
      <c r="P145" s="915"/>
      <c r="Q145" s="915"/>
      <c r="R145" s="915"/>
    </row>
    <row r="146" spans="1:18" x14ac:dyDescent="0.25">
      <c r="A146" s="206">
        <v>42050</v>
      </c>
      <c r="B146" s="209">
        <v>15</v>
      </c>
      <c r="C146" s="912"/>
      <c r="D146" s="912"/>
      <c r="E146" s="207" t="s">
        <v>35</v>
      </c>
      <c r="F146" s="208">
        <v>23</v>
      </c>
      <c r="G146" s="207" t="s">
        <v>168</v>
      </c>
      <c r="H146" s="217">
        <v>26</v>
      </c>
      <c r="I146" s="914" t="s">
        <v>32</v>
      </c>
      <c r="J146" s="914"/>
      <c r="K146" s="914"/>
      <c r="L146" s="914"/>
      <c r="M146" s="217" t="s">
        <v>66</v>
      </c>
      <c r="N146" s="217"/>
      <c r="O146" s="245"/>
      <c r="P146" s="915"/>
      <c r="Q146" s="915"/>
      <c r="R146" s="915"/>
    </row>
    <row r="147" spans="1:18" x14ac:dyDescent="0.25">
      <c r="A147" s="206">
        <v>42063</v>
      </c>
      <c r="B147" s="209">
        <v>14.3</v>
      </c>
      <c r="C147" s="912"/>
      <c r="D147" s="912"/>
      <c r="E147" s="207" t="s">
        <v>35</v>
      </c>
      <c r="F147" s="208">
        <v>19</v>
      </c>
      <c r="G147" s="207" t="s">
        <v>168</v>
      </c>
      <c r="H147" s="217">
        <v>22</v>
      </c>
      <c r="I147" s="914" t="s">
        <v>33</v>
      </c>
      <c r="J147" s="914"/>
      <c r="K147" s="914"/>
      <c r="L147" s="914"/>
      <c r="M147" s="217" t="s">
        <v>66</v>
      </c>
      <c r="N147" s="217"/>
      <c r="O147" s="245"/>
      <c r="P147" s="915"/>
      <c r="Q147" s="915"/>
      <c r="R147" s="915"/>
    </row>
    <row r="148" spans="1:18" x14ac:dyDescent="0.25">
      <c r="A148" s="206">
        <v>42063</v>
      </c>
      <c r="B148" s="209">
        <v>17</v>
      </c>
      <c r="C148" s="912"/>
      <c r="D148" s="912"/>
      <c r="E148" s="207" t="s">
        <v>34</v>
      </c>
      <c r="F148" s="208">
        <v>13</v>
      </c>
      <c r="G148" s="207" t="s">
        <v>168</v>
      </c>
      <c r="H148" s="217">
        <v>20</v>
      </c>
      <c r="I148" s="914" t="s">
        <v>32</v>
      </c>
      <c r="J148" s="914"/>
      <c r="K148" s="914"/>
      <c r="L148" s="914"/>
      <c r="M148" s="217" t="s">
        <v>70</v>
      </c>
      <c r="N148" s="217"/>
      <c r="O148" s="245"/>
      <c r="P148" s="915"/>
      <c r="Q148" s="915"/>
      <c r="R148" s="915"/>
    </row>
    <row r="149" spans="1:18" x14ac:dyDescent="0.25">
      <c r="A149" s="206">
        <v>42064</v>
      </c>
      <c r="B149" s="209">
        <v>15</v>
      </c>
      <c r="C149" s="912"/>
      <c r="D149" s="912"/>
      <c r="E149" s="207" t="s">
        <v>39</v>
      </c>
      <c r="F149" s="208">
        <v>19</v>
      </c>
      <c r="G149" s="207" t="s">
        <v>168</v>
      </c>
      <c r="H149" s="217">
        <v>9</v>
      </c>
      <c r="I149" s="914" t="s">
        <v>30</v>
      </c>
      <c r="J149" s="914"/>
      <c r="K149" s="914"/>
      <c r="L149" s="914"/>
      <c r="M149" s="217" t="s">
        <v>72</v>
      </c>
      <c r="N149" s="217"/>
      <c r="O149" s="245"/>
      <c r="P149" s="915"/>
      <c r="Q149" s="915"/>
      <c r="R149" s="915"/>
    </row>
    <row r="150" spans="1:18" x14ac:dyDescent="0.25">
      <c r="A150" s="206">
        <v>42077</v>
      </c>
      <c r="B150" s="209">
        <v>14.3</v>
      </c>
      <c r="C150" s="912"/>
      <c r="D150" s="912"/>
      <c r="E150" s="207" t="s">
        <v>32</v>
      </c>
      <c r="F150" s="208">
        <v>23</v>
      </c>
      <c r="G150" s="207" t="s">
        <v>168</v>
      </c>
      <c r="H150" s="217">
        <v>16</v>
      </c>
      <c r="I150" s="914" t="s">
        <v>39</v>
      </c>
      <c r="J150" s="914"/>
      <c r="K150" s="914"/>
      <c r="L150" s="914"/>
      <c r="M150" s="217" t="s">
        <v>91</v>
      </c>
      <c r="N150" s="217"/>
      <c r="O150" s="245"/>
      <c r="P150" s="915"/>
      <c r="Q150" s="915"/>
      <c r="R150" s="915"/>
    </row>
    <row r="151" spans="1:18" x14ac:dyDescent="0.25">
      <c r="A151" s="206">
        <v>42077</v>
      </c>
      <c r="B151" s="209">
        <v>17</v>
      </c>
      <c r="C151" s="912"/>
      <c r="D151" s="912"/>
      <c r="E151" s="207" t="s">
        <v>30</v>
      </c>
      <c r="F151" s="208">
        <v>25</v>
      </c>
      <c r="G151" s="207" t="s">
        <v>168</v>
      </c>
      <c r="H151" s="217">
        <v>13</v>
      </c>
      <c r="I151" s="914" t="s">
        <v>35</v>
      </c>
      <c r="J151" s="914"/>
      <c r="K151" s="914"/>
      <c r="L151" s="914"/>
      <c r="M151" s="217" t="s">
        <v>67</v>
      </c>
      <c r="N151" s="217"/>
      <c r="O151" s="245"/>
      <c r="P151" s="915"/>
      <c r="Q151" s="915"/>
      <c r="R151" s="915"/>
    </row>
    <row r="152" spans="1:18" x14ac:dyDescent="0.25">
      <c r="A152" s="206">
        <v>42078</v>
      </c>
      <c r="B152" s="209">
        <v>15</v>
      </c>
      <c r="C152" s="912"/>
      <c r="D152" s="912"/>
      <c r="E152" s="207" t="s">
        <v>33</v>
      </c>
      <c r="F152" s="208">
        <v>0</v>
      </c>
      <c r="G152" s="207" t="s">
        <v>168</v>
      </c>
      <c r="H152" s="217">
        <v>29</v>
      </c>
      <c r="I152" s="914" t="s">
        <v>34</v>
      </c>
      <c r="J152" s="914"/>
      <c r="K152" s="914"/>
      <c r="L152" s="914"/>
      <c r="M152" s="217" t="s">
        <v>68</v>
      </c>
      <c r="N152" s="217"/>
      <c r="O152" s="245"/>
      <c r="P152" s="915"/>
      <c r="Q152" s="915"/>
      <c r="R152" s="915"/>
    </row>
    <row r="153" spans="1:18" x14ac:dyDescent="0.25">
      <c r="A153" s="206">
        <v>42084</v>
      </c>
      <c r="B153" s="209">
        <v>12.3</v>
      </c>
      <c r="C153" s="912"/>
      <c r="D153" s="912"/>
      <c r="E153" s="207" t="s">
        <v>33</v>
      </c>
      <c r="F153" s="208">
        <v>20</v>
      </c>
      <c r="G153" s="207" t="s">
        <v>168</v>
      </c>
      <c r="H153" s="217">
        <v>61</v>
      </c>
      <c r="I153" s="914" t="s">
        <v>32</v>
      </c>
      <c r="J153" s="914"/>
      <c r="K153" s="914"/>
      <c r="L153" s="914"/>
      <c r="M153" s="217" t="s">
        <v>68</v>
      </c>
      <c r="N153" s="217"/>
      <c r="O153" s="245"/>
      <c r="P153" s="915"/>
      <c r="Q153" s="915"/>
      <c r="R153" s="915"/>
    </row>
    <row r="154" spans="1:18" x14ac:dyDescent="0.25">
      <c r="A154" s="206">
        <v>42084</v>
      </c>
      <c r="B154" s="209">
        <v>14.3</v>
      </c>
      <c r="C154" s="912"/>
      <c r="D154" s="912"/>
      <c r="E154" s="207" t="s">
        <v>35</v>
      </c>
      <c r="F154" s="208">
        <v>10</v>
      </c>
      <c r="G154" s="207" t="s">
        <v>168</v>
      </c>
      <c r="H154" s="217">
        <v>40</v>
      </c>
      <c r="I154" s="914" t="s">
        <v>39</v>
      </c>
      <c r="J154" s="914"/>
      <c r="K154" s="914"/>
      <c r="L154" s="914"/>
      <c r="M154" s="217" t="s">
        <v>66</v>
      </c>
      <c r="N154" s="217"/>
      <c r="O154" s="245"/>
      <c r="P154" s="915"/>
      <c r="Q154" s="915"/>
      <c r="R154" s="915"/>
    </row>
    <row r="155" spans="1:18" x14ac:dyDescent="0.25">
      <c r="A155" s="206">
        <v>42084</v>
      </c>
      <c r="B155" s="209">
        <v>17</v>
      </c>
      <c r="C155" s="912"/>
      <c r="D155" s="912"/>
      <c r="E155" s="207" t="s">
        <v>30</v>
      </c>
      <c r="F155" s="208">
        <v>55</v>
      </c>
      <c r="G155" s="207" t="s">
        <v>168</v>
      </c>
      <c r="H155" s="217">
        <v>35</v>
      </c>
      <c r="I155" s="914" t="s">
        <v>34</v>
      </c>
      <c r="J155" s="914"/>
      <c r="K155" s="914"/>
      <c r="L155" s="914"/>
      <c r="M155" s="217" t="s">
        <v>67</v>
      </c>
      <c r="N155" s="217"/>
      <c r="O155" s="245"/>
      <c r="P155" s="915"/>
      <c r="Q155" s="915"/>
      <c r="R155" s="915"/>
    </row>
    <row r="156" spans="1:18" x14ac:dyDescent="0.25">
      <c r="A156" s="371" t="s">
        <v>28</v>
      </c>
    </row>
  </sheetData>
  <mergeCells count="384">
    <mergeCell ref="F105:G105"/>
    <mergeCell ref="F123:G123"/>
    <mergeCell ref="F140:G140"/>
    <mergeCell ref="C16:E16"/>
    <mergeCell ref="L16:N16"/>
    <mergeCell ref="F1:G1"/>
    <mergeCell ref="F18:G18"/>
    <mergeCell ref="F35:G35"/>
    <mergeCell ref="F53:G53"/>
    <mergeCell ref="F70:G70"/>
    <mergeCell ref="F87:G87"/>
    <mergeCell ref="C11:E11"/>
    <mergeCell ref="L11:N11"/>
    <mergeCell ref="C12:E12"/>
    <mergeCell ref="L12:N12"/>
    <mergeCell ref="C13:E13"/>
    <mergeCell ref="L13:N13"/>
    <mergeCell ref="C14:E14"/>
    <mergeCell ref="L14:N14"/>
    <mergeCell ref="C15:E15"/>
    <mergeCell ref="L15:N15"/>
    <mergeCell ref="C6:E6"/>
    <mergeCell ref="L6:N6"/>
    <mergeCell ref="C7:E7"/>
    <mergeCell ref="L7:N7"/>
    <mergeCell ref="C8:E8"/>
    <mergeCell ref="L8:N8"/>
    <mergeCell ref="C9:E9"/>
    <mergeCell ref="L9:N9"/>
    <mergeCell ref="C10:E10"/>
    <mergeCell ref="L10:N10"/>
    <mergeCell ref="C2:E2"/>
    <mergeCell ref="I2:K2"/>
    <mergeCell ref="L2:N2"/>
    <mergeCell ref="C3:E3"/>
    <mergeCell ref="L3:N3"/>
    <mergeCell ref="C4:E4"/>
    <mergeCell ref="I4:K4"/>
    <mergeCell ref="L4:N4"/>
    <mergeCell ref="C5:E5"/>
    <mergeCell ref="L5:N5"/>
    <mergeCell ref="C33:E33"/>
    <mergeCell ref="L33:N33"/>
    <mergeCell ref="C26:E26"/>
    <mergeCell ref="C30:E30"/>
    <mergeCell ref="C29:E29"/>
    <mergeCell ref="C28:E28"/>
    <mergeCell ref="C27:E27"/>
    <mergeCell ref="C31:E31"/>
    <mergeCell ref="L31:N31"/>
    <mergeCell ref="C32:E32"/>
    <mergeCell ref="L32:N32"/>
    <mergeCell ref="L26:N26"/>
    <mergeCell ref="L27:N27"/>
    <mergeCell ref="C48:E48"/>
    <mergeCell ref="I48:K48"/>
    <mergeCell ref="L48:N48"/>
    <mergeCell ref="L28:N28"/>
    <mergeCell ref="L29:N29"/>
    <mergeCell ref="L30:N30"/>
    <mergeCell ref="C150:D150"/>
    <mergeCell ref="C151:D151"/>
    <mergeCell ref="C148:D148"/>
    <mergeCell ref="C149:D149"/>
    <mergeCell ref="C146:D146"/>
    <mergeCell ref="C147:D147"/>
    <mergeCell ref="C144:D144"/>
    <mergeCell ref="C145:D145"/>
    <mergeCell ref="L44:N44"/>
    <mergeCell ref="C39:E39"/>
    <mergeCell ref="I39:K39"/>
    <mergeCell ref="L39:N39"/>
    <mergeCell ref="C40:E40"/>
    <mergeCell ref="I40:K40"/>
    <mergeCell ref="L40:N40"/>
    <mergeCell ref="C41:E41"/>
    <mergeCell ref="I41:K41"/>
    <mergeCell ref="L41:N41"/>
    <mergeCell ref="C142:D142"/>
    <mergeCell ref="C143:D143"/>
    <mergeCell ref="C49:E49"/>
    <mergeCell ref="I49:K49"/>
    <mergeCell ref="L49:N49"/>
    <mergeCell ref="C50:E50"/>
    <mergeCell ref="I50:K50"/>
    <mergeCell ref="L50:N50"/>
    <mergeCell ref="C45:E45"/>
    <mergeCell ref="I45:K45"/>
    <mergeCell ref="L45:N45"/>
    <mergeCell ref="C46:E46"/>
    <mergeCell ref="I46:K46"/>
    <mergeCell ref="L46:N46"/>
    <mergeCell ref="C67:E67"/>
    <mergeCell ref="I67:K67"/>
    <mergeCell ref="L67:N67"/>
    <mergeCell ref="C68:E68"/>
    <mergeCell ref="I68:K68"/>
    <mergeCell ref="L68:N68"/>
    <mergeCell ref="C63:E63"/>
    <mergeCell ref="I63:K63"/>
    <mergeCell ref="L63:N63"/>
    <mergeCell ref="C64:E64"/>
    <mergeCell ref="C42:E42"/>
    <mergeCell ref="I42:K42"/>
    <mergeCell ref="L42:N42"/>
    <mergeCell ref="C43:E43"/>
    <mergeCell ref="I43:K43"/>
    <mergeCell ref="L43:N43"/>
    <mergeCell ref="C44:E44"/>
    <mergeCell ref="I44:K44"/>
    <mergeCell ref="C36:E36"/>
    <mergeCell ref="I36:K36"/>
    <mergeCell ref="L36:N36"/>
    <mergeCell ref="C37:E37"/>
    <mergeCell ref="I37:K37"/>
    <mergeCell ref="L37:N37"/>
    <mergeCell ref="C38:E38"/>
    <mergeCell ref="I38:K38"/>
    <mergeCell ref="L38:N38"/>
    <mergeCell ref="I64:K64"/>
    <mergeCell ref="L64:N64"/>
    <mergeCell ref="C66:E66"/>
    <mergeCell ref="I66:K66"/>
    <mergeCell ref="L66:N66"/>
    <mergeCell ref="C60:E60"/>
    <mergeCell ref="I60:K60"/>
    <mergeCell ref="L60:N60"/>
    <mergeCell ref="C61:E61"/>
    <mergeCell ref="I61:K61"/>
    <mergeCell ref="L61:N61"/>
    <mergeCell ref="C62:E62"/>
    <mergeCell ref="I62:K62"/>
    <mergeCell ref="L62:N62"/>
    <mergeCell ref="I56:K56"/>
    <mergeCell ref="L56:N56"/>
    <mergeCell ref="C57:E57"/>
    <mergeCell ref="I57:K57"/>
    <mergeCell ref="L57:N57"/>
    <mergeCell ref="C58:E58"/>
    <mergeCell ref="I58:K58"/>
    <mergeCell ref="L58:N58"/>
    <mergeCell ref="C59:E59"/>
    <mergeCell ref="I59:K59"/>
    <mergeCell ref="L59:N59"/>
    <mergeCell ref="C100:E100"/>
    <mergeCell ref="I100:K100"/>
    <mergeCell ref="L100:N100"/>
    <mergeCell ref="C101:E101"/>
    <mergeCell ref="I101:K101"/>
    <mergeCell ref="L101:N101"/>
    <mergeCell ref="C102:E102"/>
    <mergeCell ref="I102:K102"/>
    <mergeCell ref="L102:N102"/>
    <mergeCell ref="C97:E97"/>
    <mergeCell ref="I97:K97"/>
    <mergeCell ref="L97:N97"/>
    <mergeCell ref="C98:E98"/>
    <mergeCell ref="I98:K98"/>
    <mergeCell ref="L98:N98"/>
    <mergeCell ref="C99:E99"/>
    <mergeCell ref="I99:K99"/>
    <mergeCell ref="L99:N99"/>
    <mergeCell ref="C94:E94"/>
    <mergeCell ref="I94:K94"/>
    <mergeCell ref="L94:N94"/>
    <mergeCell ref="C95:E95"/>
    <mergeCell ref="I95:K95"/>
    <mergeCell ref="L95:N95"/>
    <mergeCell ref="C96:E96"/>
    <mergeCell ref="I96:K96"/>
    <mergeCell ref="L96:N96"/>
    <mergeCell ref="C91:E91"/>
    <mergeCell ref="I91:K91"/>
    <mergeCell ref="L91:N91"/>
    <mergeCell ref="C92:E92"/>
    <mergeCell ref="I92:K92"/>
    <mergeCell ref="L92:N92"/>
    <mergeCell ref="C93:E93"/>
    <mergeCell ref="I93:K93"/>
    <mergeCell ref="L93:N93"/>
    <mergeCell ref="C88:E88"/>
    <mergeCell ref="I88:K88"/>
    <mergeCell ref="L88:N88"/>
    <mergeCell ref="C89:E89"/>
    <mergeCell ref="I89:K89"/>
    <mergeCell ref="L89:N89"/>
    <mergeCell ref="C90:E90"/>
    <mergeCell ref="I90:K90"/>
    <mergeCell ref="L90:N90"/>
    <mergeCell ref="C120:E120"/>
    <mergeCell ref="I120:K120"/>
    <mergeCell ref="L120:N120"/>
    <mergeCell ref="C118:E118"/>
    <mergeCell ref="I118:K118"/>
    <mergeCell ref="L118:N118"/>
    <mergeCell ref="C119:E119"/>
    <mergeCell ref="I119:K119"/>
    <mergeCell ref="L119:N119"/>
    <mergeCell ref="C115:E115"/>
    <mergeCell ref="I115:K115"/>
    <mergeCell ref="L115:N115"/>
    <mergeCell ref="C116:E116"/>
    <mergeCell ref="I116:K116"/>
    <mergeCell ref="L116:N116"/>
    <mergeCell ref="C117:E117"/>
    <mergeCell ref="I117:K117"/>
    <mergeCell ref="L117:N117"/>
    <mergeCell ref="L111:N111"/>
    <mergeCell ref="C112:E112"/>
    <mergeCell ref="I112:K112"/>
    <mergeCell ref="L112:N112"/>
    <mergeCell ref="C113:E113"/>
    <mergeCell ref="I113:K113"/>
    <mergeCell ref="L113:N113"/>
    <mergeCell ref="C114:E114"/>
    <mergeCell ref="I114:K114"/>
    <mergeCell ref="L114:N114"/>
    <mergeCell ref="P139:Q139"/>
    <mergeCell ref="C141:D141"/>
    <mergeCell ref="I141:L141"/>
    <mergeCell ref="P141:R141"/>
    <mergeCell ref="C106:E106"/>
    <mergeCell ref="I106:K106"/>
    <mergeCell ref="L106:N106"/>
    <mergeCell ref="C107:E107"/>
    <mergeCell ref="I107:K107"/>
    <mergeCell ref="L107:N107"/>
    <mergeCell ref="C108:E108"/>
    <mergeCell ref="I108:K108"/>
    <mergeCell ref="L108:N108"/>
    <mergeCell ref="C109:E109"/>
    <mergeCell ref="I109:K109"/>
    <mergeCell ref="L109:N109"/>
    <mergeCell ref="C110:E110"/>
    <mergeCell ref="I110:K110"/>
    <mergeCell ref="L110:N110"/>
    <mergeCell ref="C111:E111"/>
    <mergeCell ref="I111:K111"/>
    <mergeCell ref="C130:E130"/>
    <mergeCell ref="C124:E124"/>
    <mergeCell ref="I124:K124"/>
    <mergeCell ref="P142:R142"/>
    <mergeCell ref="I143:L143"/>
    <mergeCell ref="P143:R143"/>
    <mergeCell ref="I142:L142"/>
    <mergeCell ref="P144:R144"/>
    <mergeCell ref="I145:L145"/>
    <mergeCell ref="P145:R145"/>
    <mergeCell ref="I144:L144"/>
    <mergeCell ref="P146:R146"/>
    <mergeCell ref="I147:L147"/>
    <mergeCell ref="P147:R147"/>
    <mergeCell ref="I146:L146"/>
    <mergeCell ref="P148:R148"/>
    <mergeCell ref="I149:L149"/>
    <mergeCell ref="P149:R149"/>
    <mergeCell ref="I148:L148"/>
    <mergeCell ref="P150:R150"/>
    <mergeCell ref="I151:L151"/>
    <mergeCell ref="P151:R151"/>
    <mergeCell ref="I150:L150"/>
    <mergeCell ref="P152:R152"/>
    <mergeCell ref="I153:L153"/>
    <mergeCell ref="P153:R153"/>
    <mergeCell ref="I152:L152"/>
    <mergeCell ref="P154:R154"/>
    <mergeCell ref="C155:D155"/>
    <mergeCell ref="I155:L155"/>
    <mergeCell ref="P155:R155"/>
    <mergeCell ref="C154:D154"/>
    <mergeCell ref="I154:L154"/>
    <mergeCell ref="C152:D152"/>
    <mergeCell ref="C153:D153"/>
    <mergeCell ref="L124:N124"/>
    <mergeCell ref="C125:E125"/>
    <mergeCell ref="I125:K125"/>
    <mergeCell ref="L125:N125"/>
    <mergeCell ref="C126:E126"/>
    <mergeCell ref="I126:K126"/>
    <mergeCell ref="L126:N126"/>
    <mergeCell ref="C127:E127"/>
    <mergeCell ref="I127:K127"/>
    <mergeCell ref="L127:N127"/>
    <mergeCell ref="C128:E128"/>
    <mergeCell ref="I128:K128"/>
    <mergeCell ref="L128:N128"/>
    <mergeCell ref="C129:E129"/>
    <mergeCell ref="I129:K129"/>
    <mergeCell ref="L129:N129"/>
    <mergeCell ref="I130:K130"/>
    <mergeCell ref="L130:N130"/>
    <mergeCell ref="C131:E131"/>
    <mergeCell ref="I131:K131"/>
    <mergeCell ref="L131:N131"/>
    <mergeCell ref="C132:E132"/>
    <mergeCell ref="I132:K132"/>
    <mergeCell ref="L132:N132"/>
    <mergeCell ref="C133:E133"/>
    <mergeCell ref="I133:K133"/>
    <mergeCell ref="L133:N133"/>
    <mergeCell ref="C134:E134"/>
    <mergeCell ref="I134:K134"/>
    <mergeCell ref="L134:N134"/>
    <mergeCell ref="C135:E135"/>
    <mergeCell ref="I135:K135"/>
    <mergeCell ref="L135:N135"/>
    <mergeCell ref="C136:E136"/>
    <mergeCell ref="I136:K136"/>
    <mergeCell ref="L136:N136"/>
    <mergeCell ref="C137:E137"/>
    <mergeCell ref="I137:K137"/>
    <mergeCell ref="L137:N137"/>
    <mergeCell ref="C138:E138"/>
    <mergeCell ref="I138:K138"/>
    <mergeCell ref="L138:N138"/>
    <mergeCell ref="L76:N76"/>
    <mergeCell ref="C71:E71"/>
    <mergeCell ref="I71:K71"/>
    <mergeCell ref="L71:N71"/>
    <mergeCell ref="C72:E72"/>
    <mergeCell ref="I72:K72"/>
    <mergeCell ref="L72:N72"/>
    <mergeCell ref="C73:E73"/>
    <mergeCell ref="I73:K73"/>
    <mergeCell ref="L73:N73"/>
    <mergeCell ref="C85:E85"/>
    <mergeCell ref="I85:K85"/>
    <mergeCell ref="L85:N85"/>
    <mergeCell ref="C80:E80"/>
    <mergeCell ref="I80:K80"/>
    <mergeCell ref="L80:N80"/>
    <mergeCell ref="C81:E81"/>
    <mergeCell ref="I81:K81"/>
    <mergeCell ref="L81:N81"/>
    <mergeCell ref="C82:E82"/>
    <mergeCell ref="I82:K82"/>
    <mergeCell ref="L82:N82"/>
    <mergeCell ref="L51:N51"/>
    <mergeCell ref="C83:E83"/>
    <mergeCell ref="I83:K83"/>
    <mergeCell ref="L83:N83"/>
    <mergeCell ref="C84:E84"/>
    <mergeCell ref="I84:K84"/>
    <mergeCell ref="L84:N84"/>
    <mergeCell ref="C77:E77"/>
    <mergeCell ref="I77:K77"/>
    <mergeCell ref="L77:N77"/>
    <mergeCell ref="C78:E78"/>
    <mergeCell ref="I78:K78"/>
    <mergeCell ref="L78:N78"/>
    <mergeCell ref="C79:E79"/>
    <mergeCell ref="I79:K79"/>
    <mergeCell ref="L79:N79"/>
    <mergeCell ref="C74:E74"/>
    <mergeCell ref="I74:K74"/>
    <mergeCell ref="L74:N74"/>
    <mergeCell ref="C75:E75"/>
    <mergeCell ref="I75:K75"/>
    <mergeCell ref="L75:N75"/>
    <mergeCell ref="C76:E76"/>
    <mergeCell ref="L19:N19"/>
    <mergeCell ref="I19:K19"/>
    <mergeCell ref="L20:N20"/>
    <mergeCell ref="C19:E19"/>
    <mergeCell ref="C20:E20"/>
    <mergeCell ref="C21:E21"/>
    <mergeCell ref="I21:K21"/>
    <mergeCell ref="L21:N21"/>
    <mergeCell ref="I76:K76"/>
    <mergeCell ref="C25:E25"/>
    <mergeCell ref="L25:N25"/>
    <mergeCell ref="L22:N22"/>
    <mergeCell ref="C23:E23"/>
    <mergeCell ref="C22:E22"/>
    <mergeCell ref="L23:N23"/>
    <mergeCell ref="C24:E24"/>
    <mergeCell ref="L24:N24"/>
    <mergeCell ref="C54:E54"/>
    <mergeCell ref="I54:K54"/>
    <mergeCell ref="L54:N54"/>
    <mergeCell ref="C55:E55"/>
    <mergeCell ref="I55:K55"/>
    <mergeCell ref="L55:N55"/>
    <mergeCell ref="C56:E56"/>
  </mergeCells>
  <pageMargins left="0.7" right="0.7" top="0.75" bottom="0.75" header="0.3" footer="0.3"/>
  <pageSetup paperSize="9"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1"/>
  <sheetViews>
    <sheetView workbookViewId="0">
      <selection activeCell="A2" sqref="A2:F9"/>
    </sheetView>
  </sheetViews>
  <sheetFormatPr defaultRowHeight="14.3" x14ac:dyDescent="0.25"/>
  <cols>
    <col min="1" max="1" width="8.875" bestFit="1" customWidth="1"/>
    <col min="3" max="3" width="28.875" bestFit="1" customWidth="1"/>
    <col min="4" max="4" width="7.625" customWidth="1"/>
    <col min="5" max="5" width="10.375" bestFit="1" customWidth="1"/>
  </cols>
  <sheetData>
    <row r="1" spans="1:18" ht="14.95" thickBot="1" x14ac:dyDescent="0.3"/>
    <row r="2" spans="1:18" ht="14.95" customHeight="1" thickBot="1" x14ac:dyDescent="0.3">
      <c r="A2" s="160"/>
      <c r="B2" s="905" t="s">
        <v>54</v>
      </c>
      <c r="C2" s="906"/>
      <c r="D2" s="907" t="s">
        <v>55</v>
      </c>
      <c r="E2" s="908"/>
      <c r="F2" s="177" t="s">
        <v>56</v>
      </c>
      <c r="H2" s="900" t="s">
        <v>58</v>
      </c>
      <c r="I2" s="902" t="s">
        <v>92</v>
      </c>
      <c r="J2" s="903"/>
      <c r="K2" s="902" t="s">
        <v>93</v>
      </c>
      <c r="L2" s="904"/>
      <c r="M2" s="904"/>
      <c r="N2" s="904"/>
      <c r="O2" s="903"/>
      <c r="P2" s="219" t="s">
        <v>94</v>
      </c>
      <c r="Q2" s="902" t="s">
        <v>95</v>
      </c>
      <c r="R2" s="903"/>
    </row>
    <row r="3" spans="1:18" ht="14.95" customHeight="1" thickBot="1" x14ac:dyDescent="0.3">
      <c r="A3" s="59" t="s">
        <v>39</v>
      </c>
      <c r="B3" s="514">
        <v>0</v>
      </c>
      <c r="C3" s="394"/>
      <c r="D3" s="178">
        <f>Irelandred</f>
        <v>0</v>
      </c>
      <c r="E3" s="179"/>
      <c r="F3" s="180">
        <f t="shared" ref="F3:F8" si="0">SUM(B3+D3*2)</f>
        <v>0</v>
      </c>
      <c r="H3" s="901"/>
      <c r="I3" s="220" t="s">
        <v>4</v>
      </c>
      <c r="J3" s="220" t="s">
        <v>5</v>
      </c>
      <c r="K3" s="221" t="s">
        <v>96</v>
      </c>
      <c r="L3" s="222" t="s">
        <v>97</v>
      </c>
      <c r="M3" s="222" t="s">
        <v>98</v>
      </c>
      <c r="N3" s="223" t="s">
        <v>99</v>
      </c>
      <c r="O3" s="224" t="s">
        <v>100</v>
      </c>
      <c r="P3" s="225" t="s">
        <v>101</v>
      </c>
      <c r="Q3" s="221" t="s">
        <v>4</v>
      </c>
      <c r="R3" s="224" t="s">
        <v>5</v>
      </c>
    </row>
    <row r="4" spans="1:18" ht="14.95" customHeight="1" thickBot="1" x14ac:dyDescent="0.3">
      <c r="A4" s="242" t="s">
        <v>30</v>
      </c>
      <c r="B4" s="182">
        <v>1</v>
      </c>
      <c r="C4" s="183" t="s">
        <v>470</v>
      </c>
      <c r="D4" s="178">
        <v>0</v>
      </c>
      <c r="E4" s="179"/>
      <c r="F4" s="180">
        <f t="shared" si="0"/>
        <v>1</v>
      </c>
      <c r="H4" s="238" t="s">
        <v>30</v>
      </c>
      <c r="I4" s="226">
        <v>10</v>
      </c>
      <c r="J4" s="226">
        <v>19</v>
      </c>
      <c r="K4" s="226">
        <v>35</v>
      </c>
      <c r="L4" s="226">
        <v>7</v>
      </c>
      <c r="M4" s="226">
        <v>0</v>
      </c>
      <c r="N4" s="226">
        <v>0</v>
      </c>
      <c r="O4" s="227">
        <f t="shared" ref="O4:O9" si="1">SUM(K4:N4)</f>
        <v>42</v>
      </c>
      <c r="P4" s="226">
        <v>0</v>
      </c>
      <c r="Q4" s="393">
        <f t="shared" ref="Q4" si="2">SUM(I4/O4)*10</f>
        <v>2.3809523809523809</v>
      </c>
      <c r="R4" s="392">
        <f t="shared" ref="R4" si="3">SUM(J4/O4)*10</f>
        <v>4.5238095238095237</v>
      </c>
    </row>
    <row r="5" spans="1:18" ht="14.95" customHeight="1" thickBot="1" x14ac:dyDescent="0.3">
      <c r="A5" s="111" t="s">
        <v>35</v>
      </c>
      <c r="B5" s="182">
        <v>1</v>
      </c>
      <c r="C5" s="520" t="s">
        <v>343</v>
      </c>
      <c r="D5" s="178">
        <f>Scotlandred</f>
        <v>1</v>
      </c>
      <c r="E5" s="179" t="s">
        <v>422</v>
      </c>
      <c r="F5" s="180">
        <f t="shared" si="0"/>
        <v>3</v>
      </c>
      <c r="H5" s="211" t="s">
        <v>34</v>
      </c>
      <c r="I5" s="226">
        <v>23</v>
      </c>
      <c r="J5" s="226">
        <v>31</v>
      </c>
      <c r="K5" s="226">
        <v>88</v>
      </c>
      <c r="L5" s="226">
        <v>0</v>
      </c>
      <c r="M5" s="226">
        <v>0</v>
      </c>
      <c r="N5" s="226">
        <v>0</v>
      </c>
      <c r="O5" s="227">
        <f t="shared" si="1"/>
        <v>88</v>
      </c>
      <c r="P5" s="226">
        <v>0</v>
      </c>
      <c r="Q5" s="393">
        <f t="shared" ref="Q5" si="4">SUM(I5/O5)*10</f>
        <v>2.6136363636363633</v>
      </c>
      <c r="R5" s="392">
        <f t="shared" ref="R5" si="5">SUM(J5/O5)*10</f>
        <v>3.5227272727272729</v>
      </c>
    </row>
    <row r="6" spans="1:18" ht="14.95" customHeight="1" thickBot="1" x14ac:dyDescent="0.3">
      <c r="A6" s="9" t="s">
        <v>32</v>
      </c>
      <c r="B6" s="182">
        <v>3</v>
      </c>
      <c r="C6" s="183" t="s">
        <v>344</v>
      </c>
      <c r="D6" s="178">
        <f>Walesred</f>
        <v>0</v>
      </c>
      <c r="E6" s="179"/>
      <c r="F6" s="180">
        <f t="shared" si="0"/>
        <v>3</v>
      </c>
      <c r="H6" s="58" t="s">
        <v>39</v>
      </c>
      <c r="I6" s="226">
        <v>0</v>
      </c>
      <c r="J6" s="226">
        <v>0</v>
      </c>
      <c r="K6" s="226">
        <v>0</v>
      </c>
      <c r="L6" s="226">
        <v>0</v>
      </c>
      <c r="M6" s="226">
        <v>0</v>
      </c>
      <c r="N6" s="226">
        <v>0</v>
      </c>
      <c r="O6" s="227">
        <f t="shared" si="1"/>
        <v>0</v>
      </c>
      <c r="P6" s="226">
        <v>0</v>
      </c>
      <c r="Q6" s="580">
        <v>0</v>
      </c>
      <c r="R6" s="581">
        <v>0</v>
      </c>
    </row>
    <row r="7" spans="1:18" ht="14.95" customHeight="1" thickBot="1" x14ac:dyDescent="0.3">
      <c r="A7" s="212" t="s">
        <v>34</v>
      </c>
      <c r="B7" s="181">
        <v>2</v>
      </c>
      <c r="C7" s="297" t="s">
        <v>338</v>
      </c>
      <c r="D7" s="178">
        <v>1</v>
      </c>
      <c r="E7" s="179" t="s">
        <v>423</v>
      </c>
      <c r="F7" s="180">
        <f t="shared" si="0"/>
        <v>4</v>
      </c>
      <c r="H7" s="235" t="s">
        <v>33</v>
      </c>
      <c r="I7" s="226">
        <v>7</v>
      </c>
      <c r="J7" s="226">
        <v>26</v>
      </c>
      <c r="K7" s="226">
        <v>50</v>
      </c>
      <c r="L7" s="226">
        <v>0</v>
      </c>
      <c r="M7" s="226">
        <v>0</v>
      </c>
      <c r="N7" s="226">
        <v>0</v>
      </c>
      <c r="O7" s="227">
        <f t="shared" si="1"/>
        <v>50</v>
      </c>
      <c r="P7" s="226">
        <v>0</v>
      </c>
      <c r="Q7" s="393">
        <f t="shared" ref="Q7" si="6">SUM(I7/O7)*10</f>
        <v>1.4000000000000001</v>
      </c>
      <c r="R7" s="392">
        <f t="shared" ref="R7" si="7">SUM(J7/O7)*10</f>
        <v>5.2</v>
      </c>
    </row>
    <row r="8" spans="1:18" ht="14.95" customHeight="1" thickBot="1" x14ac:dyDescent="0.3">
      <c r="A8" s="243" t="s">
        <v>33</v>
      </c>
      <c r="B8" s="181">
        <v>4</v>
      </c>
      <c r="C8" s="184" t="s">
        <v>462</v>
      </c>
      <c r="D8" s="178">
        <v>0</v>
      </c>
      <c r="E8" s="179"/>
      <c r="F8" s="180">
        <f t="shared" si="0"/>
        <v>4</v>
      </c>
      <c r="H8" s="110" t="s">
        <v>35</v>
      </c>
      <c r="I8" s="226">
        <v>21</v>
      </c>
      <c r="J8" s="226">
        <v>32</v>
      </c>
      <c r="K8" s="226">
        <v>84</v>
      </c>
      <c r="L8" s="226">
        <v>0</v>
      </c>
      <c r="M8" s="226">
        <v>0</v>
      </c>
      <c r="N8" s="226">
        <v>0</v>
      </c>
      <c r="O8" s="227">
        <f t="shared" si="1"/>
        <v>84</v>
      </c>
      <c r="P8" s="226">
        <v>0</v>
      </c>
      <c r="Q8" s="393">
        <f t="shared" ref="Q8" si="8">SUM(I8/O8)*10</f>
        <v>2.5</v>
      </c>
      <c r="R8" s="392">
        <f t="shared" ref="R8" si="9">SUM(J8/O8)*10</f>
        <v>3.8095238095238093</v>
      </c>
    </row>
    <row r="9" spans="1:18" ht="14.95" customHeight="1" thickBot="1" x14ac:dyDescent="0.3">
      <c r="A9" s="244" t="s">
        <v>57</v>
      </c>
      <c r="B9" s="181">
        <f>SUM(B3:B8)</f>
        <v>11</v>
      </c>
      <c r="C9" s="184"/>
      <c r="D9" s="185">
        <f>SUM(D3:D8)</f>
        <v>2</v>
      </c>
      <c r="E9" s="186"/>
      <c r="F9" s="177" t="s">
        <v>58</v>
      </c>
      <c r="H9" s="8" t="s">
        <v>32</v>
      </c>
      <c r="I9" s="226">
        <v>0</v>
      </c>
      <c r="J9" s="226">
        <v>12</v>
      </c>
      <c r="K9" s="226">
        <v>21</v>
      </c>
      <c r="L9" s="226">
        <v>0</v>
      </c>
      <c r="M9" s="226">
        <v>0</v>
      </c>
      <c r="N9" s="226">
        <v>0</v>
      </c>
      <c r="O9" s="227">
        <f t="shared" si="1"/>
        <v>21</v>
      </c>
      <c r="P9" s="226">
        <v>0</v>
      </c>
      <c r="Q9" s="393">
        <f t="shared" ref="Q9" si="10">SUM(I9/O9)*10</f>
        <v>0</v>
      </c>
      <c r="R9" s="392">
        <f t="shared" ref="R9" si="11">SUM(J9/O9)*10</f>
        <v>5.7142857142857135</v>
      </c>
    </row>
    <row r="10" spans="1:18" ht="14.95" thickBot="1" x14ac:dyDescent="0.3">
      <c r="D10" s="187"/>
      <c r="E10" s="188"/>
      <c r="H10" s="233" t="s">
        <v>57</v>
      </c>
      <c r="I10" s="228">
        <f>SUM(I4:I9)</f>
        <v>61</v>
      </c>
      <c r="J10" s="228">
        <f>SUM(J4:J9)</f>
        <v>120</v>
      </c>
      <c r="K10" s="228">
        <f t="shared" ref="K10:P10" si="12">SUM(K4:K9)</f>
        <v>278</v>
      </c>
      <c r="L10" s="228">
        <f t="shared" si="12"/>
        <v>7</v>
      </c>
      <c r="M10" s="228">
        <f t="shared" si="12"/>
        <v>0</v>
      </c>
      <c r="N10" s="228">
        <f t="shared" si="12"/>
        <v>0</v>
      </c>
      <c r="O10" s="228">
        <f t="shared" si="12"/>
        <v>285</v>
      </c>
      <c r="P10" s="228">
        <f t="shared" si="12"/>
        <v>0</v>
      </c>
      <c r="Q10" s="231">
        <f t="shared" ref="Q10" si="13">SUM(I10/O10)*10</f>
        <v>2.1403508771929824</v>
      </c>
      <c r="R10" s="232">
        <f t="shared" ref="R10" si="14">SUM(J10/O10)*10</f>
        <v>4.2105263157894735</v>
      </c>
    </row>
    <row r="11" spans="1:18" x14ac:dyDescent="0.25">
      <c r="A11" s="189" t="s">
        <v>59</v>
      </c>
      <c r="B11" s="189"/>
    </row>
    <row r="12" spans="1:18" x14ac:dyDescent="0.25">
      <c r="A12" s="917" t="s">
        <v>469</v>
      </c>
      <c r="B12" s="917"/>
      <c r="C12" s="886"/>
      <c r="D12" s="886"/>
      <c r="H12" s="189" t="s">
        <v>186</v>
      </c>
    </row>
    <row r="13" spans="1:18" ht="14.95" thickBot="1" x14ac:dyDescent="0.3">
      <c r="A13" s="371"/>
      <c r="B13" s="15"/>
      <c r="E13" t="s">
        <v>58</v>
      </c>
      <c r="I13" s="189"/>
    </row>
    <row r="14" spans="1:18" ht="14.95" thickBot="1" x14ac:dyDescent="0.3">
      <c r="H14" s="900" t="s">
        <v>58</v>
      </c>
      <c r="I14" s="902" t="s">
        <v>92</v>
      </c>
      <c r="J14" s="903"/>
      <c r="K14" s="902" t="s">
        <v>58</v>
      </c>
      <c r="L14" s="904"/>
      <c r="M14" s="904"/>
      <c r="N14" s="904"/>
      <c r="O14" s="903"/>
      <c r="P14" s="902" t="s">
        <v>95</v>
      </c>
      <c r="Q14" s="903"/>
    </row>
    <row r="15" spans="1:18" ht="14.95" thickBot="1" x14ac:dyDescent="0.3">
      <c r="H15" s="901"/>
      <c r="I15" s="220" t="s">
        <v>4</v>
      </c>
      <c r="J15" s="220" t="s">
        <v>5</v>
      </c>
      <c r="K15" s="221" t="s">
        <v>102</v>
      </c>
      <c r="L15" s="222" t="s">
        <v>103</v>
      </c>
      <c r="M15" s="222" t="s">
        <v>189</v>
      </c>
      <c r="N15" s="223"/>
      <c r="O15" s="224" t="s">
        <v>100</v>
      </c>
      <c r="P15" s="221" t="s">
        <v>4</v>
      </c>
      <c r="Q15" s="224" t="s">
        <v>5</v>
      </c>
    </row>
    <row r="16" spans="1:18" ht="14.95" thickBot="1" x14ac:dyDescent="0.3">
      <c r="H16" s="238" t="s">
        <v>30</v>
      </c>
      <c r="I16" s="226">
        <v>12</v>
      </c>
      <c r="J16" s="226">
        <v>0</v>
      </c>
      <c r="K16" s="226">
        <v>20</v>
      </c>
      <c r="L16" s="226">
        <v>0</v>
      </c>
      <c r="M16" s="226">
        <v>0</v>
      </c>
      <c r="N16" s="226">
        <v>0</v>
      </c>
      <c r="O16" s="227">
        <f t="shared" ref="O16:O21" si="15">SUM(K16:N16)</f>
        <v>20</v>
      </c>
      <c r="P16" s="393">
        <f t="shared" ref="P16" si="16">SUM(I16/O16)*10</f>
        <v>6</v>
      </c>
      <c r="Q16" s="392">
        <f t="shared" ref="Q16" si="17">SUM(J16/O16)*10</f>
        <v>0</v>
      </c>
    </row>
    <row r="17" spans="1:17" ht="14.95" thickBot="1" x14ac:dyDescent="0.3">
      <c r="H17" s="211" t="s">
        <v>34</v>
      </c>
      <c r="I17" s="226">
        <v>5</v>
      </c>
      <c r="J17" s="226">
        <v>0</v>
      </c>
      <c r="K17" s="226">
        <v>5</v>
      </c>
      <c r="L17" s="226">
        <v>0</v>
      </c>
      <c r="M17" s="226">
        <v>0</v>
      </c>
      <c r="N17" s="226">
        <v>0</v>
      </c>
      <c r="O17" s="227">
        <f t="shared" si="15"/>
        <v>5</v>
      </c>
      <c r="P17" s="393">
        <f t="shared" ref="P17" si="18">SUM(I17/O17)*10</f>
        <v>10</v>
      </c>
      <c r="Q17" s="392">
        <f t="shared" ref="Q17" si="19">SUM(J17/O17)*10</f>
        <v>0</v>
      </c>
    </row>
    <row r="18" spans="1:17" ht="14.95" thickBot="1" x14ac:dyDescent="0.3">
      <c r="H18" s="58" t="s">
        <v>39</v>
      </c>
      <c r="I18" s="226">
        <v>33</v>
      </c>
      <c r="J18" s="226">
        <v>13</v>
      </c>
      <c r="K18" s="226">
        <v>55</v>
      </c>
      <c r="L18" s="226">
        <v>7</v>
      </c>
      <c r="M18" s="226">
        <v>0</v>
      </c>
      <c r="N18" s="226">
        <v>0</v>
      </c>
      <c r="O18" s="227">
        <f t="shared" si="15"/>
        <v>62</v>
      </c>
      <c r="P18" s="393">
        <f t="shared" ref="P18:P19" si="20">SUM(I18/O18)*10</f>
        <v>5.32258064516129</v>
      </c>
      <c r="Q18" s="392">
        <f t="shared" ref="Q18:Q19" si="21">SUM(J18/O18)*10</f>
        <v>2.096774193548387</v>
      </c>
    </row>
    <row r="19" spans="1:17" ht="14.95" thickBot="1" x14ac:dyDescent="0.3">
      <c r="H19" s="235" t="s">
        <v>33</v>
      </c>
      <c r="I19" s="226">
        <v>3</v>
      </c>
      <c r="J19" s="226">
        <v>0</v>
      </c>
      <c r="K19" s="226">
        <v>10</v>
      </c>
      <c r="L19" s="226">
        <v>0</v>
      </c>
      <c r="M19" s="226">
        <v>0</v>
      </c>
      <c r="N19" s="226">
        <v>0</v>
      </c>
      <c r="O19" s="227">
        <f t="shared" si="15"/>
        <v>10</v>
      </c>
      <c r="P19" s="521">
        <f t="shared" si="20"/>
        <v>3</v>
      </c>
      <c r="Q19" s="609">
        <f t="shared" si="21"/>
        <v>0</v>
      </c>
    </row>
    <row r="20" spans="1:17" ht="14.95" thickBot="1" x14ac:dyDescent="0.3">
      <c r="H20" s="110" t="s">
        <v>35</v>
      </c>
      <c r="I20" s="226">
        <v>12</v>
      </c>
      <c r="J20" s="226">
        <v>0</v>
      </c>
      <c r="K20" s="226">
        <v>21</v>
      </c>
      <c r="L20" s="226">
        <v>0</v>
      </c>
      <c r="M20" s="226">
        <v>0</v>
      </c>
      <c r="N20" s="226">
        <v>0</v>
      </c>
      <c r="O20" s="227">
        <f t="shared" si="15"/>
        <v>21</v>
      </c>
      <c r="P20" s="393">
        <f t="shared" ref="P20" si="22">SUM(I20/O20)*10</f>
        <v>5.7142857142857135</v>
      </c>
      <c r="Q20" s="392">
        <f t="shared" ref="Q20" si="23">SUM(J20/O20)*10</f>
        <v>0</v>
      </c>
    </row>
    <row r="21" spans="1:17" ht="14.95" thickBot="1" x14ac:dyDescent="0.3">
      <c r="H21" s="8" t="s">
        <v>32</v>
      </c>
      <c r="I21" s="226">
        <v>14</v>
      </c>
      <c r="J21" s="226">
        <v>7</v>
      </c>
      <c r="K21" s="226">
        <v>30</v>
      </c>
      <c r="L21" s="226">
        <v>0</v>
      </c>
      <c r="M21" s="226">
        <v>0</v>
      </c>
      <c r="N21" s="226">
        <v>0</v>
      </c>
      <c r="O21" s="227">
        <f t="shared" si="15"/>
        <v>30</v>
      </c>
      <c r="P21" s="393">
        <f t="shared" ref="P21" si="24">SUM(I21/O21)*10</f>
        <v>4.666666666666667</v>
      </c>
      <c r="Q21" s="392">
        <f t="shared" ref="Q21" si="25">SUM(J21/O21)*10</f>
        <v>2.3333333333333335</v>
      </c>
    </row>
    <row r="22" spans="1:17" ht="14.95" thickBot="1" x14ac:dyDescent="0.3">
      <c r="H22" s="233" t="s">
        <v>57</v>
      </c>
      <c r="I22" s="228">
        <f t="shared" ref="I22:O22" si="26">SUM(I16:I21)</f>
        <v>79</v>
      </c>
      <c r="J22" s="229">
        <f t="shared" si="26"/>
        <v>20</v>
      </c>
      <c r="K22" s="228">
        <f t="shared" si="26"/>
        <v>141</v>
      </c>
      <c r="L22" s="230">
        <f t="shared" si="26"/>
        <v>7</v>
      </c>
      <c r="M22" s="230">
        <f t="shared" si="26"/>
        <v>0</v>
      </c>
      <c r="N22" s="230">
        <f t="shared" si="26"/>
        <v>0</v>
      </c>
      <c r="O22" s="229">
        <f t="shared" si="26"/>
        <v>148</v>
      </c>
      <c r="P22" s="231">
        <f t="shared" ref="P22" si="27">SUM(I22/O22)*10</f>
        <v>5.3378378378378377</v>
      </c>
      <c r="Q22" s="232">
        <f t="shared" ref="Q22" si="28">SUM(J22/O22)*10</f>
        <v>1.3513513513513513</v>
      </c>
    </row>
    <row r="23" spans="1:17" x14ac:dyDescent="0.25">
      <c r="H23" t="s">
        <v>58</v>
      </c>
    </row>
    <row r="24" spans="1:17" x14ac:dyDescent="0.25">
      <c r="H24" s="189" t="s">
        <v>190</v>
      </c>
      <c r="I24" s="189"/>
      <c r="J24" s="189"/>
      <c r="K24" s="189"/>
    </row>
    <row r="25" spans="1:17" x14ac:dyDescent="0.25">
      <c r="H25" t="s">
        <v>471</v>
      </c>
      <c r="I25" s="189"/>
      <c r="J25" s="189"/>
      <c r="K25" s="189"/>
    </row>
    <row r="26" spans="1:17" x14ac:dyDescent="0.25">
      <c r="H26" t="s">
        <v>351</v>
      </c>
      <c r="I26" s="189"/>
      <c r="J26" s="189"/>
      <c r="K26" s="189"/>
    </row>
    <row r="27" spans="1:17" x14ac:dyDescent="0.25">
      <c r="J27" s="189"/>
      <c r="K27" s="189"/>
      <c r="L27" s="189"/>
    </row>
    <row r="28" spans="1:17" x14ac:dyDescent="0.25">
      <c r="H28" s="189" t="s">
        <v>185</v>
      </c>
      <c r="J28" s="189"/>
      <c r="K28" s="189"/>
      <c r="L28" s="189"/>
    </row>
    <row r="29" spans="1:17" x14ac:dyDescent="0.25">
      <c r="J29" s="189"/>
      <c r="K29" s="189"/>
      <c r="L29" s="189"/>
    </row>
    <row r="31" spans="1:17" x14ac:dyDescent="0.25">
      <c r="A31" s="371" t="s">
        <v>28</v>
      </c>
    </row>
  </sheetData>
  <sortState xmlns:xlrd2="http://schemas.microsoft.com/office/spreadsheetml/2017/richdata2" ref="A3:F8">
    <sortCondition ref="F3:F8"/>
    <sortCondition ref="A3:A8"/>
  </sortState>
  <mergeCells count="11">
    <mergeCell ref="D2:E2"/>
    <mergeCell ref="A12:D12"/>
    <mergeCell ref="H2:H3"/>
    <mergeCell ref="I2:J2"/>
    <mergeCell ref="K2:O2"/>
    <mergeCell ref="B2:C2"/>
    <mergeCell ref="Q2:R2"/>
    <mergeCell ref="H14:H15"/>
    <mergeCell ref="I14:J14"/>
    <mergeCell ref="K14:O14"/>
    <mergeCell ref="P14:Q14"/>
  </mergeCells>
  <pageMargins left="0.7" right="0.7" top="0.75" bottom="0.75" header="0.3" footer="0.3"/>
  <pageSetup paperSize="9"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CE76B-7833-4A7A-9A52-8577B3AFB414}">
  <dimension ref="A1:O30"/>
  <sheetViews>
    <sheetView workbookViewId="0">
      <selection activeCell="L11" sqref="L11"/>
    </sheetView>
  </sheetViews>
  <sheetFormatPr defaultRowHeight="14.3" x14ac:dyDescent="0.25"/>
  <cols>
    <col min="1" max="2" width="4.625" customWidth="1"/>
    <col min="3" max="3" width="9.625" customWidth="1"/>
    <col min="4" max="7" width="4.625" customWidth="1"/>
    <col min="8" max="10" width="6.625" customWidth="1"/>
    <col min="11" max="15" width="4.625" customWidth="1"/>
  </cols>
  <sheetData>
    <row r="1" spans="1:15" ht="14.95" thickBot="1" x14ac:dyDescent="0.3">
      <c r="A1" s="239" t="s">
        <v>47</v>
      </c>
      <c r="B1" s="240" t="s">
        <v>48</v>
      </c>
      <c r="C1" s="164"/>
      <c r="D1" s="164" t="s">
        <v>0</v>
      </c>
      <c r="E1" s="165" t="s">
        <v>1</v>
      </c>
      <c r="F1" s="164" t="s">
        <v>2</v>
      </c>
      <c r="G1" s="164" t="s">
        <v>3</v>
      </c>
      <c r="H1" s="164" t="s">
        <v>4</v>
      </c>
      <c r="I1" s="164" t="s">
        <v>5</v>
      </c>
      <c r="J1" s="165" t="s">
        <v>49</v>
      </c>
      <c r="K1" s="164" t="s">
        <v>21</v>
      </c>
      <c r="L1" s="164" t="s">
        <v>22</v>
      </c>
      <c r="M1" s="164" t="s">
        <v>52</v>
      </c>
      <c r="N1" s="164" t="s">
        <v>53</v>
      </c>
      <c r="O1" s="165" t="s">
        <v>50</v>
      </c>
    </row>
    <row r="2" spans="1:15" ht="14.95" customHeight="1" thickBot="1" x14ac:dyDescent="0.3">
      <c r="A2" s="241">
        <v>1</v>
      </c>
      <c r="B2" s="298" t="s">
        <v>51</v>
      </c>
      <c r="C2" s="424" t="s">
        <v>117</v>
      </c>
      <c r="D2" s="169">
        <f>nzltrcplayed</f>
        <v>3</v>
      </c>
      <c r="E2" s="168">
        <f>nzltrcwon</f>
        <v>3</v>
      </c>
      <c r="F2" s="169">
        <f>nzltrcdrawn</f>
        <v>0</v>
      </c>
      <c r="G2" s="169">
        <f>nzltrclost</f>
        <v>0</v>
      </c>
      <c r="H2" s="169">
        <f>nzltrcptsscored</f>
        <v>114</v>
      </c>
      <c r="I2" s="169">
        <f>nzltrcptsconc</f>
        <v>39</v>
      </c>
      <c r="J2" s="168">
        <f>SUM(H2-I2)</f>
        <v>75</v>
      </c>
      <c r="K2" s="169">
        <f>nzltrctb</f>
        <v>2</v>
      </c>
      <c r="L2" s="169">
        <f>nzltrclb</f>
        <v>0</v>
      </c>
      <c r="M2" s="169">
        <f>nzltrctriesscored</f>
        <v>17</v>
      </c>
      <c r="N2" s="169">
        <f>nzltrctriesconc</f>
        <v>6</v>
      </c>
      <c r="O2" s="168">
        <f>SUM(E2*4)+(F2*2)+K2+L2</f>
        <v>14</v>
      </c>
    </row>
    <row r="3" spans="1:15" ht="14.95" customHeight="1" thickBot="1" x14ac:dyDescent="0.3">
      <c r="A3" s="372">
        <v>2</v>
      </c>
      <c r="B3" s="298" t="s">
        <v>51</v>
      </c>
      <c r="C3" s="618" t="s">
        <v>170</v>
      </c>
      <c r="D3" s="166">
        <f>rsatrcplayed</f>
        <v>3</v>
      </c>
      <c r="E3" s="167">
        <f>rsatrcwon</f>
        <v>2</v>
      </c>
      <c r="F3" s="166">
        <f>rsatrcdrawn</f>
        <v>0</v>
      </c>
      <c r="G3" s="166">
        <f>rsatrclost</f>
        <v>1</v>
      </c>
      <c r="H3" s="166">
        <f>rsatrcptsscored</f>
        <v>85</v>
      </c>
      <c r="I3" s="166">
        <f>rsatrcptsconc</f>
        <v>68</v>
      </c>
      <c r="J3" s="168">
        <f>SUM(H3-I3)</f>
        <v>17</v>
      </c>
      <c r="K3" s="169">
        <f>rsatrctb</f>
        <v>1</v>
      </c>
      <c r="L3" s="169">
        <f>rsatrclb</f>
        <v>0</v>
      </c>
      <c r="M3" s="166">
        <f>rsatrctriesscored</f>
        <v>12</v>
      </c>
      <c r="N3" s="166">
        <f>rsatrctriesconc</f>
        <v>8</v>
      </c>
      <c r="O3" s="168">
        <f>SUM(E3*4)+(F3*2)+K3+L3</f>
        <v>9</v>
      </c>
    </row>
    <row r="4" spans="1:15" ht="14.95" customHeight="1" thickBot="1" x14ac:dyDescent="0.3">
      <c r="A4" s="241">
        <v>3</v>
      </c>
      <c r="B4" s="298" t="s">
        <v>51</v>
      </c>
      <c r="C4" s="616" t="s">
        <v>37</v>
      </c>
      <c r="D4" s="169">
        <f>argtrcplayed</f>
        <v>3</v>
      </c>
      <c r="E4" s="168">
        <f>argtrcwon</f>
        <v>1</v>
      </c>
      <c r="F4" s="169">
        <f>argtrcdrawn</f>
        <v>0</v>
      </c>
      <c r="G4" s="169">
        <f>argtrclost</f>
        <v>2</v>
      </c>
      <c r="H4" s="169">
        <f>argtrcptsscored</f>
        <v>67</v>
      </c>
      <c r="I4" s="169">
        <f>argtrcptsconc</f>
        <v>94</v>
      </c>
      <c r="J4" s="168">
        <f>SUM(H4-I4)</f>
        <v>-27</v>
      </c>
      <c r="K4" s="169">
        <f>argtrctb</f>
        <v>0</v>
      </c>
      <c r="L4" s="169">
        <f>argtrclb</f>
        <v>1</v>
      </c>
      <c r="M4" s="169">
        <f>argtrctriesscored</f>
        <v>8</v>
      </c>
      <c r="N4" s="169">
        <f>argtrctriesconc</f>
        <v>14</v>
      </c>
      <c r="O4" s="168">
        <f>SUM(E4*4)+(F4*2)+K4+L4</f>
        <v>5</v>
      </c>
    </row>
    <row r="5" spans="1:15" ht="14.95" customHeight="1" thickBot="1" x14ac:dyDescent="0.3">
      <c r="A5" s="241">
        <v>4</v>
      </c>
      <c r="B5" s="298" t="s">
        <v>51</v>
      </c>
      <c r="C5" s="617" t="s">
        <v>29</v>
      </c>
      <c r="D5" s="169">
        <f>austrcplayed</f>
        <v>3</v>
      </c>
      <c r="E5" s="168">
        <f>austrcwon</f>
        <v>0</v>
      </c>
      <c r="F5" s="169">
        <f>austrcdrawn</f>
        <v>0</v>
      </c>
      <c r="G5" s="169">
        <f>austrclost</f>
        <v>3</v>
      </c>
      <c r="H5" s="169">
        <f>austrcptsscored</f>
        <v>50</v>
      </c>
      <c r="I5" s="169">
        <f>austrcptsconc</f>
        <v>115</v>
      </c>
      <c r="J5" s="168">
        <f>SUM(H5-I5)</f>
        <v>-65</v>
      </c>
      <c r="K5" s="169">
        <f>austrctb</f>
        <v>0</v>
      </c>
      <c r="L5" s="169">
        <f>austrclb</f>
        <v>1</v>
      </c>
      <c r="M5" s="169">
        <f>austrctriesscored</f>
        <v>7</v>
      </c>
      <c r="N5" s="169">
        <f>austrctriesconc</f>
        <v>16</v>
      </c>
      <c r="O5" s="168">
        <f>SUM(E5*4)+(F5*2)+K5+L5</f>
        <v>1</v>
      </c>
    </row>
    <row r="6" spans="1:15" x14ac:dyDescent="0.25">
      <c r="A6" s="170"/>
      <c r="B6" s="171"/>
      <c r="C6" s="176"/>
      <c r="D6" s="172"/>
      <c r="E6" s="172"/>
      <c r="F6" s="172"/>
      <c r="G6" s="172"/>
      <c r="H6" s="172">
        <f>SUM(H2:H5)</f>
        <v>316</v>
      </c>
      <c r="I6" s="172">
        <f>SUM(I2:I5)</f>
        <v>316</v>
      </c>
      <c r="J6" s="172"/>
      <c r="K6" s="172"/>
      <c r="L6" s="172"/>
      <c r="M6" s="172">
        <f>SUM(M2:M5)</f>
        <v>44</v>
      </c>
      <c r="N6" s="172">
        <f>SUM(N2:N5)</f>
        <v>44</v>
      </c>
      <c r="O6" s="172"/>
    </row>
    <row r="7" spans="1:15" x14ac:dyDescent="0.25">
      <c r="A7" t="s">
        <v>576</v>
      </c>
    </row>
    <row r="8" spans="1:15" x14ac:dyDescent="0.25">
      <c r="A8" s="189" t="s">
        <v>173</v>
      </c>
    </row>
    <row r="9" spans="1:15" x14ac:dyDescent="0.25">
      <c r="A9" t="s">
        <v>573</v>
      </c>
    </row>
    <row r="10" spans="1:15" x14ac:dyDescent="0.25">
      <c r="A10" t="s">
        <v>575</v>
      </c>
    </row>
    <row r="11" spans="1:15" x14ac:dyDescent="0.25">
      <c r="A11" t="s">
        <v>174</v>
      </c>
    </row>
    <row r="12" spans="1:15" x14ac:dyDescent="0.25">
      <c r="A12" t="s">
        <v>574</v>
      </c>
    </row>
    <row r="13" spans="1:15" x14ac:dyDescent="0.25">
      <c r="A13" t="s">
        <v>129</v>
      </c>
    </row>
    <row r="14" spans="1:15" x14ac:dyDescent="0.25">
      <c r="A14" t="s">
        <v>175</v>
      </c>
    </row>
    <row r="16" spans="1:15" x14ac:dyDescent="0.25">
      <c r="A16" s="189" t="s">
        <v>579</v>
      </c>
    </row>
    <row r="17" spans="1:15" ht="14.95" thickBot="1" x14ac:dyDescent="0.3"/>
    <row r="18" spans="1:15" ht="14.95" thickBot="1" x14ac:dyDescent="0.3">
      <c r="A18" s="239" t="s">
        <v>47</v>
      </c>
      <c r="B18" s="240" t="s">
        <v>48</v>
      </c>
      <c r="C18" s="240"/>
      <c r="D18" s="240" t="s">
        <v>0</v>
      </c>
      <c r="E18" s="582" t="s">
        <v>1</v>
      </c>
      <c r="F18" s="240" t="s">
        <v>2</v>
      </c>
      <c r="G18" s="240" t="s">
        <v>3</v>
      </c>
      <c r="H18" s="240" t="s">
        <v>4</v>
      </c>
      <c r="I18" s="240" t="s">
        <v>5</v>
      </c>
      <c r="J18" s="582" t="s">
        <v>49</v>
      </c>
      <c r="K18" s="240" t="s">
        <v>21</v>
      </c>
      <c r="L18" s="240" t="s">
        <v>22</v>
      </c>
      <c r="M18" s="240" t="s">
        <v>52</v>
      </c>
      <c r="N18" s="240" t="s">
        <v>53</v>
      </c>
      <c r="O18" s="582" t="s">
        <v>50</v>
      </c>
    </row>
    <row r="19" spans="1:15" ht="14.95" thickBot="1" x14ac:dyDescent="0.3">
      <c r="A19" s="583">
        <v>1</v>
      </c>
      <c r="B19" s="298" t="s">
        <v>439</v>
      </c>
      <c r="C19" s="669" t="s">
        <v>117</v>
      </c>
      <c r="D19" s="585">
        <v>2</v>
      </c>
      <c r="E19" s="586">
        <v>2</v>
      </c>
      <c r="F19" s="585">
        <v>0</v>
      </c>
      <c r="G19" s="585">
        <v>0</v>
      </c>
      <c r="H19" s="585">
        <v>76</v>
      </c>
      <c r="I19" s="585">
        <v>32</v>
      </c>
      <c r="J19" s="586">
        <v>44</v>
      </c>
      <c r="K19" s="585">
        <v>1</v>
      </c>
      <c r="L19" s="585">
        <v>0</v>
      </c>
      <c r="M19" s="585">
        <v>11</v>
      </c>
      <c r="N19" s="585">
        <v>5</v>
      </c>
      <c r="O19" s="586">
        <v>9</v>
      </c>
    </row>
    <row r="20" spans="1:15" ht="14.95" thickBot="1" x14ac:dyDescent="0.3">
      <c r="A20" s="583">
        <v>2</v>
      </c>
      <c r="B20" s="298" t="s">
        <v>367</v>
      </c>
      <c r="C20" s="668" t="s">
        <v>170</v>
      </c>
      <c r="D20" s="585">
        <v>2</v>
      </c>
      <c r="E20" s="586">
        <v>1</v>
      </c>
      <c r="F20" s="585">
        <v>0</v>
      </c>
      <c r="G20" s="585">
        <v>1</v>
      </c>
      <c r="H20" s="585">
        <v>63</v>
      </c>
      <c r="I20" s="585">
        <v>47</v>
      </c>
      <c r="J20" s="586">
        <v>16</v>
      </c>
      <c r="K20" s="585">
        <v>1</v>
      </c>
      <c r="L20" s="585">
        <v>0</v>
      </c>
      <c r="M20" s="585">
        <v>9</v>
      </c>
      <c r="N20" s="585">
        <v>6</v>
      </c>
      <c r="O20" s="586">
        <v>5</v>
      </c>
    </row>
    <row r="21" spans="1:15" ht="14.95" thickBot="1" x14ac:dyDescent="0.3">
      <c r="A21" s="583">
        <v>3</v>
      </c>
      <c r="B21" s="298" t="s">
        <v>51</v>
      </c>
      <c r="C21" s="670" t="s">
        <v>37</v>
      </c>
      <c r="D21" s="585">
        <v>2</v>
      </c>
      <c r="E21" s="586">
        <v>1</v>
      </c>
      <c r="F21" s="585">
        <v>0</v>
      </c>
      <c r="G21" s="585">
        <v>1</v>
      </c>
      <c r="H21" s="585">
        <v>46</v>
      </c>
      <c r="I21" s="585">
        <v>72</v>
      </c>
      <c r="J21" s="586">
        <v>-26</v>
      </c>
      <c r="K21" s="585">
        <v>0</v>
      </c>
      <c r="L21" s="585">
        <v>0</v>
      </c>
      <c r="M21" s="585">
        <v>6</v>
      </c>
      <c r="N21" s="585">
        <v>11</v>
      </c>
      <c r="O21" s="586">
        <v>4</v>
      </c>
    </row>
    <row r="22" spans="1:15" ht="14.95" thickBot="1" x14ac:dyDescent="0.3">
      <c r="A22" s="583">
        <v>4</v>
      </c>
      <c r="B22" s="298" t="s">
        <v>51</v>
      </c>
      <c r="C22" s="617" t="s">
        <v>29</v>
      </c>
      <c r="D22" s="585">
        <v>2</v>
      </c>
      <c r="E22" s="586">
        <v>0</v>
      </c>
      <c r="F22" s="585">
        <v>0</v>
      </c>
      <c r="G22" s="585">
        <v>2</v>
      </c>
      <c r="H22" s="585">
        <v>43</v>
      </c>
      <c r="I22" s="585">
        <v>77</v>
      </c>
      <c r="J22" s="586">
        <v>-34</v>
      </c>
      <c r="K22" s="585">
        <v>0</v>
      </c>
      <c r="L22" s="585">
        <v>1</v>
      </c>
      <c r="M22" s="585">
        <v>6</v>
      </c>
      <c r="N22" s="585">
        <v>10</v>
      </c>
      <c r="O22" s="586">
        <v>1</v>
      </c>
    </row>
    <row r="24" spans="1:15" x14ac:dyDescent="0.25">
      <c r="A24" s="189" t="s">
        <v>531</v>
      </c>
    </row>
    <row r="25" spans="1:15" ht="14.95" thickBot="1" x14ac:dyDescent="0.3"/>
    <row r="26" spans="1:15" ht="14.95" thickBot="1" x14ac:dyDescent="0.3">
      <c r="A26" s="239" t="s">
        <v>47</v>
      </c>
      <c r="B26" s="240" t="s">
        <v>48</v>
      </c>
      <c r="C26" s="240"/>
      <c r="D26" s="240" t="s">
        <v>0</v>
      </c>
      <c r="E26" s="582" t="s">
        <v>1</v>
      </c>
      <c r="F26" s="240" t="s">
        <v>2</v>
      </c>
      <c r="G26" s="240" t="s">
        <v>3</v>
      </c>
      <c r="H26" s="240" t="s">
        <v>4</v>
      </c>
      <c r="I26" s="240" t="s">
        <v>5</v>
      </c>
      <c r="J26" s="582" t="s">
        <v>49</v>
      </c>
      <c r="K26" s="240" t="s">
        <v>21</v>
      </c>
      <c r="L26" s="240" t="s">
        <v>22</v>
      </c>
      <c r="M26" s="240" t="s">
        <v>52</v>
      </c>
      <c r="N26" s="240" t="s">
        <v>53</v>
      </c>
      <c r="O26" s="582" t="s">
        <v>50</v>
      </c>
    </row>
    <row r="27" spans="1:15" ht="14.95" thickBot="1" x14ac:dyDescent="0.3">
      <c r="A27" s="583">
        <v>1</v>
      </c>
      <c r="B27" s="298" t="s">
        <v>51</v>
      </c>
      <c r="C27" s="668" t="s">
        <v>170</v>
      </c>
      <c r="D27" s="585">
        <v>1</v>
      </c>
      <c r="E27" s="586">
        <v>1</v>
      </c>
      <c r="F27" s="585">
        <v>0</v>
      </c>
      <c r="G27" s="585">
        <v>0</v>
      </c>
      <c r="H27" s="585">
        <v>43</v>
      </c>
      <c r="I27" s="585">
        <v>12</v>
      </c>
      <c r="J27" s="586">
        <v>31</v>
      </c>
      <c r="K27" s="585">
        <v>1</v>
      </c>
      <c r="L27" s="585">
        <v>0</v>
      </c>
      <c r="M27" s="585">
        <v>6</v>
      </c>
      <c r="N27" s="585">
        <v>2</v>
      </c>
      <c r="O27" s="586">
        <v>5</v>
      </c>
    </row>
    <row r="28" spans="1:15" ht="14.95" thickBot="1" x14ac:dyDescent="0.3">
      <c r="A28" s="583">
        <v>2</v>
      </c>
      <c r="B28" s="298" t="s">
        <v>51</v>
      </c>
      <c r="C28" s="669" t="s">
        <v>117</v>
      </c>
      <c r="D28" s="585">
        <v>1</v>
      </c>
      <c r="E28" s="586">
        <v>1</v>
      </c>
      <c r="F28" s="585">
        <v>0</v>
      </c>
      <c r="G28" s="585">
        <v>0</v>
      </c>
      <c r="H28" s="585">
        <v>41</v>
      </c>
      <c r="I28" s="585">
        <v>12</v>
      </c>
      <c r="J28" s="586">
        <v>29</v>
      </c>
      <c r="K28" s="585">
        <v>1</v>
      </c>
      <c r="L28" s="585">
        <v>0</v>
      </c>
      <c r="M28" s="585">
        <v>7</v>
      </c>
      <c r="N28" s="585">
        <v>2</v>
      </c>
      <c r="O28" s="586">
        <v>5</v>
      </c>
    </row>
    <row r="29" spans="1:15" ht="14.95" thickBot="1" x14ac:dyDescent="0.3">
      <c r="A29" s="583">
        <v>3</v>
      </c>
      <c r="B29" s="298" t="s">
        <v>51</v>
      </c>
      <c r="C29" s="670" t="s">
        <v>37</v>
      </c>
      <c r="D29" s="585">
        <v>1</v>
      </c>
      <c r="E29" s="586">
        <v>0</v>
      </c>
      <c r="F29" s="585">
        <v>0</v>
      </c>
      <c r="G29" s="585">
        <v>1</v>
      </c>
      <c r="H29" s="585">
        <v>12</v>
      </c>
      <c r="I29" s="585">
        <v>41</v>
      </c>
      <c r="J29" s="586">
        <v>-29</v>
      </c>
      <c r="K29" s="585">
        <v>0</v>
      </c>
      <c r="L29" s="585">
        <v>0</v>
      </c>
      <c r="M29" s="585">
        <v>2</v>
      </c>
      <c r="N29" s="585">
        <v>7</v>
      </c>
      <c r="O29" s="586">
        <v>0</v>
      </c>
    </row>
    <row r="30" spans="1:15" ht="14.95" thickBot="1" x14ac:dyDescent="0.3">
      <c r="A30" s="583">
        <v>4</v>
      </c>
      <c r="B30" s="298" t="s">
        <v>51</v>
      </c>
      <c r="C30" s="617" t="s">
        <v>29</v>
      </c>
      <c r="D30" s="585">
        <v>1</v>
      </c>
      <c r="E30" s="586">
        <v>0</v>
      </c>
      <c r="F30" s="585">
        <v>0</v>
      </c>
      <c r="G30" s="585">
        <v>1</v>
      </c>
      <c r="H30" s="585">
        <v>12</v>
      </c>
      <c r="I30" s="585">
        <v>43</v>
      </c>
      <c r="J30" s="586">
        <v>-31</v>
      </c>
      <c r="K30" s="585">
        <v>0</v>
      </c>
      <c r="L30" s="585">
        <v>0</v>
      </c>
      <c r="M30" s="585">
        <v>2</v>
      </c>
      <c r="N30" s="585">
        <v>6</v>
      </c>
      <c r="O30" s="586">
        <v>0</v>
      </c>
    </row>
  </sheetData>
  <sortState xmlns:xlrd2="http://schemas.microsoft.com/office/spreadsheetml/2017/richdata2" ref="A2:O5">
    <sortCondition descending="1" ref="O2:O5"/>
    <sortCondition descending="1" ref="E2:E5"/>
  </sortState>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33</vt:i4>
      </vt:variant>
      <vt:variant>
        <vt:lpstr>Named Ranges</vt:lpstr>
      </vt:variant>
      <vt:variant>
        <vt:i4>1112</vt:i4>
      </vt:variant>
    </vt:vector>
  </HeadingPairs>
  <TitlesOfParts>
    <vt:vector size="1145" baseType="lpstr">
      <vt:lpstr>Sum</vt:lpstr>
      <vt:lpstr>Res</vt:lpstr>
      <vt:lpstr>WC Res &amp; Tabs</vt:lpstr>
      <vt:lpstr>WC Cds</vt:lpstr>
      <vt:lpstr>WC Sts</vt:lpstr>
      <vt:lpstr>6N Tab</vt:lpstr>
      <vt:lpstr>6N Res</vt:lpstr>
      <vt:lpstr>6N Cds</vt:lpstr>
      <vt:lpstr>TRC Tab</vt:lpstr>
      <vt:lpstr>TRC Res</vt:lpstr>
      <vt:lpstr>TRC Cds</vt:lpstr>
      <vt:lpstr>ARG</vt:lpstr>
      <vt:lpstr>AUS</vt:lpstr>
      <vt:lpstr>CAN</vt:lpstr>
      <vt:lpstr>CHI</vt:lpstr>
      <vt:lpstr>ENG</vt:lpstr>
      <vt:lpstr>FIJ</vt:lpstr>
      <vt:lpstr>FRA</vt:lpstr>
      <vt:lpstr>GEO</vt:lpstr>
      <vt:lpstr>IRE</vt:lpstr>
      <vt:lpstr>ITA</vt:lpstr>
      <vt:lpstr>JPN</vt:lpstr>
      <vt:lpstr>NAM</vt:lpstr>
      <vt:lpstr>NZL</vt:lpstr>
      <vt:lpstr>POR</vt:lpstr>
      <vt:lpstr>ROM</vt:lpstr>
      <vt:lpstr>SAM</vt:lpstr>
      <vt:lpstr>SCO</vt:lpstr>
      <vt:lpstr>RSA</vt:lpstr>
      <vt:lpstr>TGA</vt:lpstr>
      <vt:lpstr>USA</vt:lpstr>
      <vt:lpstr>URU</vt:lpstr>
      <vt:lpstr>WAL</vt:lpstr>
      <vt:lpstr>alltestshistlost</vt:lpstr>
      <vt:lpstr>alltestshistwon</vt:lpstr>
      <vt:lpstr>arg2019dg</vt:lpstr>
      <vt:lpstr>arg2019drawn</vt:lpstr>
      <vt:lpstr>arg2019lost</vt:lpstr>
      <vt:lpstr>arg2019played</vt:lpstr>
      <vt:lpstr>arg2019ptsconc</vt:lpstr>
      <vt:lpstr>arg2019ptsscored</vt:lpstr>
      <vt:lpstr>arg2019triesconc</vt:lpstr>
      <vt:lpstr>arg2019triesscored</vt:lpstr>
      <vt:lpstr>arg2019won</vt:lpstr>
      <vt:lpstr>arg2023wcoveralldg</vt:lpstr>
      <vt:lpstr>arg2023wcoveralldrawn</vt:lpstr>
      <vt:lpstr>arg2023wcoveralllost</vt:lpstr>
      <vt:lpstr>arg2023wcoverallplayed</vt:lpstr>
      <vt:lpstr>arg2023wcoverallptsconc</vt:lpstr>
      <vt:lpstr>arg2023wcoverallptsscored</vt:lpstr>
      <vt:lpstr>arg2023wcoverallrc</vt:lpstr>
      <vt:lpstr>arg2023wcoveralltriesconc</vt:lpstr>
      <vt:lpstr>arg2023wcoveralltriescored</vt:lpstr>
      <vt:lpstr>arg2023wcoverallwon</vt:lpstr>
      <vt:lpstr>arg2023wcoverallyc</vt:lpstr>
      <vt:lpstr>arg2023wcpooldrawn</vt:lpstr>
      <vt:lpstr>arg2023wcpoollb</vt:lpstr>
      <vt:lpstr>arg2023wcpoollost</vt:lpstr>
      <vt:lpstr>arg2023wcpoolplayed</vt:lpstr>
      <vt:lpstr>arg2023wcpoolptsconc</vt:lpstr>
      <vt:lpstr>arg2023wcpoolptsscored</vt:lpstr>
      <vt:lpstr>arg2023wcpooltb</vt:lpstr>
      <vt:lpstr>arg2023wcpooltbconc</vt:lpstr>
      <vt:lpstr>arg2023wcpooltriesconc</vt:lpstr>
      <vt:lpstr>arg2023wcpooltriesscored</vt:lpstr>
      <vt:lpstr>arg2023wcpoolwon</vt:lpstr>
      <vt:lpstr>Argentinaalltestsdrawn</vt:lpstr>
      <vt:lpstr>Argentinaalltestslost</vt:lpstr>
      <vt:lpstr>Argentinaalltestsplayed</vt:lpstr>
      <vt:lpstr>Argentinaalltestsptsagainst</vt:lpstr>
      <vt:lpstr>Argentinaalltestsptsscored</vt:lpstr>
      <vt:lpstr>Argentinaallteststriesscored</vt:lpstr>
      <vt:lpstr>Argentinaalltestswon</vt:lpstr>
      <vt:lpstr>ArgentinaWChistdrawn</vt:lpstr>
      <vt:lpstr>ArgentinaWChistlost</vt:lpstr>
      <vt:lpstr>ArgentinaWChistplayed</vt:lpstr>
      <vt:lpstr>ArgentinaWChistptsagainst</vt:lpstr>
      <vt:lpstr>ArgentinaWChistptsscored</vt:lpstr>
      <vt:lpstr>ArgentinaWChisttriesscored</vt:lpstr>
      <vt:lpstr>ArgentinaWChistwon</vt:lpstr>
      <vt:lpstr>argtrcdrawn</vt:lpstr>
      <vt:lpstr>argtrclb</vt:lpstr>
      <vt:lpstr>argtrclost</vt:lpstr>
      <vt:lpstr>argtrcplayed</vt:lpstr>
      <vt:lpstr>argtrcptsconc</vt:lpstr>
      <vt:lpstr>argtrcptsscored</vt:lpstr>
      <vt:lpstr>argtrctb</vt:lpstr>
      <vt:lpstr>argtrctriesconc</vt:lpstr>
      <vt:lpstr>argtrctriesscored</vt:lpstr>
      <vt:lpstr>argtrcwon</vt:lpstr>
      <vt:lpstr>aus2023wcoveralldg</vt:lpstr>
      <vt:lpstr>aus2023wcoveralldrawn</vt:lpstr>
      <vt:lpstr>aus2023wcoveralllost</vt:lpstr>
      <vt:lpstr>aus2023wcoverallplayed</vt:lpstr>
      <vt:lpstr>aus2023wcoverallptsconc</vt:lpstr>
      <vt:lpstr>aus2023wcoverallptsscored</vt:lpstr>
      <vt:lpstr>aus2023wcoverallrc</vt:lpstr>
      <vt:lpstr>aus2023wcoveralltriesconc</vt:lpstr>
      <vt:lpstr>aus2023wcoveralltriesscored</vt:lpstr>
      <vt:lpstr>aus2023wcoverallwon</vt:lpstr>
      <vt:lpstr>aus2023wcoverallyc</vt:lpstr>
      <vt:lpstr>aus2023wcpoolsdg</vt:lpstr>
      <vt:lpstr>aus2023wcpoolsdrawn</vt:lpstr>
      <vt:lpstr>aus2023wcpoolslb</vt:lpstr>
      <vt:lpstr>aus2023wcpoolslbconc</vt:lpstr>
      <vt:lpstr>aus2023wcpoolslbcorrect</vt:lpstr>
      <vt:lpstr>aus2023wcpoolslost</vt:lpstr>
      <vt:lpstr>aus2023wcpoolsplayed</vt:lpstr>
      <vt:lpstr>aus2023wcpoolsptsconc</vt:lpstr>
      <vt:lpstr>aus2023wcpoolsptsscored</vt:lpstr>
      <vt:lpstr>aus2023wcpoolstb</vt:lpstr>
      <vt:lpstr>aus2023wcpoolstbconc</vt:lpstr>
      <vt:lpstr>aus2023wcpoolstriesconc</vt:lpstr>
      <vt:lpstr>aus2023wcpoolstriesscored</vt:lpstr>
      <vt:lpstr>aus2023wcpoolstriesscoredcorrect</vt:lpstr>
      <vt:lpstr>aus2023wcpoolswon</vt:lpstr>
      <vt:lpstr>australiaalltests2019drawn</vt:lpstr>
      <vt:lpstr>australiaalltests2019lost</vt:lpstr>
      <vt:lpstr>australiaalltests2019played</vt:lpstr>
      <vt:lpstr>australiaalltests2019playedcorrect</vt:lpstr>
      <vt:lpstr>australiaalltests2019ptsagainst</vt:lpstr>
      <vt:lpstr>australiaalltests2019ptsscored</vt:lpstr>
      <vt:lpstr>australiaalltests2019triesconc</vt:lpstr>
      <vt:lpstr>australiaalltests2019triesscored</vt:lpstr>
      <vt:lpstr>australiaalltests2019won</vt:lpstr>
      <vt:lpstr>Australiaalltestshistdrawn</vt:lpstr>
      <vt:lpstr>Australiaalltestshistlost</vt:lpstr>
      <vt:lpstr>Australiaalltestshistplayed</vt:lpstr>
      <vt:lpstr>Australiaalltestshistptsagainst</vt:lpstr>
      <vt:lpstr>Australiaalltestshistptsscored</vt:lpstr>
      <vt:lpstr>Australiaalltestshisttriesscored</vt:lpstr>
      <vt:lpstr>Australiaalltestshistwon</vt:lpstr>
      <vt:lpstr>AustraliaWChistdrawn</vt:lpstr>
      <vt:lpstr>AustraliaWChistlost</vt:lpstr>
      <vt:lpstr>AustraliaWChistplayed</vt:lpstr>
      <vt:lpstr>AustraliaWChistptsagainst</vt:lpstr>
      <vt:lpstr>AustraliaWChistptsscored</vt:lpstr>
      <vt:lpstr>AustraliaWChisttriesscored</vt:lpstr>
      <vt:lpstr>AustraliaWChistwon</vt:lpstr>
      <vt:lpstr>austrcdrawn</vt:lpstr>
      <vt:lpstr>austrclb</vt:lpstr>
      <vt:lpstr>austrclost</vt:lpstr>
      <vt:lpstr>austrcplayed</vt:lpstr>
      <vt:lpstr>austrcptsconc</vt:lpstr>
      <vt:lpstr>austrcptsscored</vt:lpstr>
      <vt:lpstr>austrctb</vt:lpstr>
      <vt:lpstr>austrctriesconc</vt:lpstr>
      <vt:lpstr>austrctriesscored</vt:lpstr>
      <vt:lpstr>austrcwon</vt:lpstr>
      <vt:lpstr>can2019alltestsdrawn</vt:lpstr>
      <vt:lpstr>can2019alltestslost</vt:lpstr>
      <vt:lpstr>can2019alltestsplayed</vt:lpstr>
      <vt:lpstr>can2019alltestsptsagainst</vt:lpstr>
      <vt:lpstr>can2019alltestsptsscored</vt:lpstr>
      <vt:lpstr>can2019allteststriescon</vt:lpstr>
      <vt:lpstr>can2019allteststriesscored</vt:lpstr>
      <vt:lpstr>can2019alltestswon</vt:lpstr>
      <vt:lpstr>Canadaalltestshistdrawn</vt:lpstr>
      <vt:lpstr>Canadaalltestshistlost</vt:lpstr>
      <vt:lpstr>Canadaalltestshistplayed</vt:lpstr>
      <vt:lpstr>Canadaalltestshistptsagainst</vt:lpstr>
      <vt:lpstr>Canadaalltestshistptsscored</vt:lpstr>
      <vt:lpstr>Canadaalltestshisttriesscored</vt:lpstr>
      <vt:lpstr>Canadaalltestshistwon</vt:lpstr>
      <vt:lpstr>CanadaRWChistdrawn</vt:lpstr>
      <vt:lpstr>CanadaRWChistlost</vt:lpstr>
      <vt:lpstr>CanadaRWChistplayed</vt:lpstr>
      <vt:lpstr>CanadaRWChistptsagainst</vt:lpstr>
      <vt:lpstr>CanadaRWChistptsscored</vt:lpstr>
      <vt:lpstr>CanadaRWChisttriesscored</vt:lpstr>
      <vt:lpstr>CanadaRWChistwon</vt:lpstr>
      <vt:lpstr>Chilealltesthistdrawn</vt:lpstr>
      <vt:lpstr>Chilealltesthistlost</vt:lpstr>
      <vt:lpstr>Chilealltesthistplayed</vt:lpstr>
      <vt:lpstr>Chilealltesthistptsconc</vt:lpstr>
      <vt:lpstr>Chilealltesthistptsscored</vt:lpstr>
      <vt:lpstr>Chilealltesthistwon</vt:lpstr>
      <vt:lpstr>ChileRWChistdrawn</vt:lpstr>
      <vt:lpstr>ChileRWChistlost</vt:lpstr>
      <vt:lpstr>ChileRWChistplayed</vt:lpstr>
      <vt:lpstr>ChileRWChistptsconc</vt:lpstr>
      <vt:lpstr>ChileRWChistptsscored</vt:lpstr>
      <vt:lpstr>ChileRWChisttriesscored</vt:lpstr>
      <vt:lpstr>ChileRWChistwon</vt:lpstr>
      <vt:lpstr>chl2023wcoveralldg</vt:lpstr>
      <vt:lpstr>chl2023wcoveralldrawn</vt:lpstr>
      <vt:lpstr>chl2023wcoveralllost</vt:lpstr>
      <vt:lpstr>chl2023wcoverallplayed</vt:lpstr>
      <vt:lpstr>chl2023wcoverallptsconc</vt:lpstr>
      <vt:lpstr>chl2023wcoverallptsscored</vt:lpstr>
      <vt:lpstr>chl2023wcoverallrc</vt:lpstr>
      <vt:lpstr>chl2023wcoveralltriesconc</vt:lpstr>
      <vt:lpstr>chl2023wcoveralltriesscored</vt:lpstr>
      <vt:lpstr>chl2023wcoverallwon</vt:lpstr>
      <vt:lpstr>chl2023wcoverallyc</vt:lpstr>
      <vt:lpstr>chl2023wcpoolsdrawn</vt:lpstr>
      <vt:lpstr>chl2023wcpoolslb</vt:lpstr>
      <vt:lpstr>chl2023wcpoolslbcon</vt:lpstr>
      <vt:lpstr>chl2023wcpoolslost</vt:lpstr>
      <vt:lpstr>chl2023wcpoolsplayed</vt:lpstr>
      <vt:lpstr>chl2023wcpoolsptsconc</vt:lpstr>
      <vt:lpstr>chl2023wcpoolsptsscored</vt:lpstr>
      <vt:lpstr>chl2023wcpoolstb</vt:lpstr>
      <vt:lpstr>chl2023wcpoolstbcon</vt:lpstr>
      <vt:lpstr>chl2023wcpoolstriesconc</vt:lpstr>
      <vt:lpstr>chl2023wcpoolstriesscored</vt:lpstr>
      <vt:lpstr>chl2023wcpoolswon</vt:lpstr>
      <vt:lpstr>chlyrdg</vt:lpstr>
      <vt:lpstr>chlyrdrawn</vt:lpstr>
      <vt:lpstr>chlyrlost</vt:lpstr>
      <vt:lpstr>chlyrplayed</vt:lpstr>
      <vt:lpstr>chlyrptsconc</vt:lpstr>
      <vt:lpstr>chlyrptsscored</vt:lpstr>
      <vt:lpstr>chlyrtriesconc</vt:lpstr>
      <vt:lpstr>chlyrtriesscored</vt:lpstr>
      <vt:lpstr>chlyrwon</vt:lpstr>
      <vt:lpstr>drawn</vt:lpstr>
      <vt:lpstr>Eng2019alltestsdrawn</vt:lpstr>
      <vt:lpstr>Eng2019alltestslost</vt:lpstr>
      <vt:lpstr>Eng2019alltestsplayed</vt:lpstr>
      <vt:lpstr>Eng2019alltestsptsagainst</vt:lpstr>
      <vt:lpstr>Eng2019alltestsptsscored</vt:lpstr>
      <vt:lpstr>Eng2019allteststriescon</vt:lpstr>
      <vt:lpstr>Eng2019allteststriesscored</vt:lpstr>
      <vt:lpstr>Eng2019alltestswon</vt:lpstr>
      <vt:lpstr>eng6ntriesconc</vt:lpstr>
      <vt:lpstr>Englandalltestshistdrawn</vt:lpstr>
      <vt:lpstr>Englandalltestshistlost</vt:lpstr>
      <vt:lpstr>Englandalltestshistplayed</vt:lpstr>
      <vt:lpstr>Englandalltestshistptsagainst</vt:lpstr>
      <vt:lpstr>Englandalltestshistptsscored</vt:lpstr>
      <vt:lpstr>Englandalltestshisttriesscored</vt:lpstr>
      <vt:lpstr>Englandalltestshistwon</vt:lpstr>
      <vt:lpstr>EnglandChampionshipdrawn</vt:lpstr>
      <vt:lpstr>EnglandChampionshiplost</vt:lpstr>
      <vt:lpstr>EnglandChampionshipplayed</vt:lpstr>
      <vt:lpstr>EnglandChampionshipptsconceded</vt:lpstr>
      <vt:lpstr>EnglandChampionshipptsscored</vt:lpstr>
      <vt:lpstr>EnglandChampionshiptriesscored</vt:lpstr>
      <vt:lpstr>EnglandChampionshipwon</vt:lpstr>
      <vt:lpstr>Englanddrawn</vt:lpstr>
      <vt:lpstr>Englandlosingbonus</vt:lpstr>
      <vt:lpstr>Englandlost</vt:lpstr>
      <vt:lpstr>Englandplayed</vt:lpstr>
      <vt:lpstr>Englandptsagainst</vt:lpstr>
      <vt:lpstr>Englandptsscored</vt:lpstr>
      <vt:lpstr>Englandred</vt:lpstr>
      <vt:lpstr>englandrwc2023overalldg</vt:lpstr>
      <vt:lpstr>englandrwc2023overalldrawn</vt:lpstr>
      <vt:lpstr>englandrwc2023overalllost</vt:lpstr>
      <vt:lpstr>englandrwc2023overallplayed</vt:lpstr>
      <vt:lpstr>englandrwc2023overallptscon</vt:lpstr>
      <vt:lpstr>englandrwc2023overallptsscored</vt:lpstr>
      <vt:lpstr>englandrwc2023overallrc</vt:lpstr>
      <vt:lpstr>englandrwc2023overalltriesconc</vt:lpstr>
      <vt:lpstr>englandrwc2023overalltriesscored</vt:lpstr>
      <vt:lpstr>englandrwc2023overallwon</vt:lpstr>
      <vt:lpstr>englandrwc2023overallyc</vt:lpstr>
      <vt:lpstr>englandrwc2023poolsdrawn</vt:lpstr>
      <vt:lpstr>englandrwc2023poolslb</vt:lpstr>
      <vt:lpstr>englandrwc2023poolslbcon</vt:lpstr>
      <vt:lpstr>englandrwc2023poolslost</vt:lpstr>
      <vt:lpstr>englandrwc2023poolsplayed</vt:lpstr>
      <vt:lpstr>englandrwc2023poolsptsconc</vt:lpstr>
      <vt:lpstr>englandrwc2023poolsptsscored</vt:lpstr>
      <vt:lpstr>englandrwc2023poolstb</vt:lpstr>
      <vt:lpstr>englandrwc2023poolstbcon</vt:lpstr>
      <vt:lpstr>englandrwc2023poolstriescon</vt:lpstr>
      <vt:lpstr>englandrwc2023poolstriesscored</vt:lpstr>
      <vt:lpstr>englandrwc2023poolswon</vt:lpstr>
      <vt:lpstr>EnglandRWChistdrawn</vt:lpstr>
      <vt:lpstr>EnglandRWChistlost</vt:lpstr>
      <vt:lpstr>EnglandRWChistplayed</vt:lpstr>
      <vt:lpstr>EnglandRWChistptsagainst</vt:lpstr>
      <vt:lpstr>EnglandRWChistptsscored</vt:lpstr>
      <vt:lpstr>EnglandRWChisttriesscored</vt:lpstr>
      <vt:lpstr>EnglandRWChistwon</vt:lpstr>
      <vt:lpstr>Englandsixnationsdrawn</vt:lpstr>
      <vt:lpstr>Englandsixnationslost</vt:lpstr>
      <vt:lpstr>Englandsixnationsplayed</vt:lpstr>
      <vt:lpstr>Englandsixnationsptsconceded</vt:lpstr>
      <vt:lpstr>Englandsixnationsptsscored</vt:lpstr>
      <vt:lpstr>Englandsixnationstriesconceded</vt:lpstr>
      <vt:lpstr>Englandsixnationstriesscored</vt:lpstr>
      <vt:lpstr>Englandsixnationswon</vt:lpstr>
      <vt:lpstr>Englandtriesagainst</vt:lpstr>
      <vt:lpstr>Englandtriesscored</vt:lpstr>
      <vt:lpstr>Englandtrybonus</vt:lpstr>
      <vt:lpstr>Englandwon</vt:lpstr>
      <vt:lpstr>Englandyellow</vt:lpstr>
      <vt:lpstr>Fij2019alltestsdrawn</vt:lpstr>
      <vt:lpstr>Fij2019alltestslost</vt:lpstr>
      <vt:lpstr>Fij2019alltestsplayed</vt:lpstr>
      <vt:lpstr>Fij2019alltestsptsagainst</vt:lpstr>
      <vt:lpstr>Fij2019alltestsptsscored</vt:lpstr>
      <vt:lpstr>Fij2019allteststriescon</vt:lpstr>
      <vt:lpstr>Fij2019allteststriesscored</vt:lpstr>
      <vt:lpstr>Fij2019alltestswon</vt:lpstr>
      <vt:lpstr>Fijialltestshistdrawn</vt:lpstr>
      <vt:lpstr>Fijialltestshistlost</vt:lpstr>
      <vt:lpstr>Fijialltestshistplayed</vt:lpstr>
      <vt:lpstr>Fijialltestshistptsagainst</vt:lpstr>
      <vt:lpstr>Fijialltestshistptsscored</vt:lpstr>
      <vt:lpstr>Fijialltestshisttriesscored</vt:lpstr>
      <vt:lpstr>Fijialltestshistwon</vt:lpstr>
      <vt:lpstr>FijiRWChistdrawn</vt:lpstr>
      <vt:lpstr>FijiRWChistlost</vt:lpstr>
      <vt:lpstr>FijiRWChistplayed</vt:lpstr>
      <vt:lpstr>FijiRWChistptsagainst</vt:lpstr>
      <vt:lpstr>FijiRWChistptsscored</vt:lpstr>
      <vt:lpstr>FijiRWChisttriesscored</vt:lpstr>
      <vt:lpstr>FijiRWChistwon</vt:lpstr>
      <vt:lpstr>fijrwc2023overalldg</vt:lpstr>
      <vt:lpstr>fijrwc2023overalldrawn</vt:lpstr>
      <vt:lpstr>fijrwc2023overalllost</vt:lpstr>
      <vt:lpstr>fijrwc2023overallplayed</vt:lpstr>
      <vt:lpstr>fijrwc2023overallptsconc</vt:lpstr>
      <vt:lpstr>fijrwc2023overallptsscored</vt:lpstr>
      <vt:lpstr>fijrwc2023overallrc</vt:lpstr>
      <vt:lpstr>fijrwc2023overalltriesconc</vt:lpstr>
      <vt:lpstr>fijrwc2023overalltriesscored</vt:lpstr>
      <vt:lpstr>fijrwc2023overallwon</vt:lpstr>
      <vt:lpstr>fijrwc2023overallyc</vt:lpstr>
      <vt:lpstr>fijrwc2023poolsdrawn</vt:lpstr>
      <vt:lpstr>fijrwc2023poolslb</vt:lpstr>
      <vt:lpstr>fijrwc2023poolslbconc</vt:lpstr>
      <vt:lpstr>fijrwc2023poolslost</vt:lpstr>
      <vt:lpstr>fijrwc2023poolsplayed</vt:lpstr>
      <vt:lpstr>fijrwc2023poolsptsconc</vt:lpstr>
      <vt:lpstr>fijrwc2023poolsptsscored</vt:lpstr>
      <vt:lpstr>fijrwc2023poolstb</vt:lpstr>
      <vt:lpstr>fijrwc2023poolstbconc</vt:lpstr>
      <vt:lpstr>fijrwc2023poolstriesconc</vt:lpstr>
      <vt:lpstr>fijrwc2023poolstriesscored</vt:lpstr>
      <vt:lpstr>fijrwc2023poolswon</vt:lpstr>
      <vt:lpstr>Fra2019alltestsdrawn</vt:lpstr>
      <vt:lpstr>Fra2019alltestslost</vt:lpstr>
      <vt:lpstr>Fra2019alltestsplayed</vt:lpstr>
      <vt:lpstr>Fra2019alltestsptsagainst</vt:lpstr>
      <vt:lpstr>Fra2019alltestsptsscored</vt:lpstr>
      <vt:lpstr>Fra2019allteststriescon</vt:lpstr>
      <vt:lpstr>Fra2019allteststriesscored</vt:lpstr>
      <vt:lpstr>Fra2019alltestswon</vt:lpstr>
      <vt:lpstr>fra6ntriesconc</vt:lpstr>
      <vt:lpstr>Francealltestshistdrawn</vt:lpstr>
      <vt:lpstr>Francealltestshistlost</vt:lpstr>
      <vt:lpstr>Francealltestshistplayed</vt:lpstr>
      <vt:lpstr>Francealltestshistptscon</vt:lpstr>
      <vt:lpstr>Francealltestshistptsscored</vt:lpstr>
      <vt:lpstr>Francealltestshisttriesscored</vt:lpstr>
      <vt:lpstr>Francealltestshistwon</vt:lpstr>
      <vt:lpstr>Francedrawn</vt:lpstr>
      <vt:lpstr>Francelosingbonus</vt:lpstr>
      <vt:lpstr>Francelost</vt:lpstr>
      <vt:lpstr>Franceplayed</vt:lpstr>
      <vt:lpstr>Franceptsagainst</vt:lpstr>
      <vt:lpstr>Franceptsscored</vt:lpstr>
      <vt:lpstr>Francered</vt:lpstr>
      <vt:lpstr>FranceRWChistdrawn</vt:lpstr>
      <vt:lpstr>FranceRWChistlost</vt:lpstr>
      <vt:lpstr>FranceRWChistplayed</vt:lpstr>
      <vt:lpstr>FranceRWChistptsagainst</vt:lpstr>
      <vt:lpstr>FranceRWChistptsscored</vt:lpstr>
      <vt:lpstr>FranceRWChisttriesscored</vt:lpstr>
      <vt:lpstr>FranceRWChistwon</vt:lpstr>
      <vt:lpstr>Francetriesagainst</vt:lpstr>
      <vt:lpstr>Francetriesscored</vt:lpstr>
      <vt:lpstr>Francetrybonus</vt:lpstr>
      <vt:lpstr>Francewon</vt:lpstr>
      <vt:lpstr>FRanceyellow</vt:lpstr>
      <vt:lpstr>frarwc2023overalldg</vt:lpstr>
      <vt:lpstr>frarwc2023overalldrawn</vt:lpstr>
      <vt:lpstr>frarwc2023overalllost</vt:lpstr>
      <vt:lpstr>frarwc2023overallplayed</vt:lpstr>
      <vt:lpstr>frarwc2023overallptsconc</vt:lpstr>
      <vt:lpstr>frarwc2023overallptsscored</vt:lpstr>
      <vt:lpstr>frarwc2023overallrc</vt:lpstr>
      <vt:lpstr>frarwc2023overalltriesconc</vt:lpstr>
      <vt:lpstr>frarwc2023overalltriesscored</vt:lpstr>
      <vt:lpstr>frarwc2023overallwon</vt:lpstr>
      <vt:lpstr>frarwc2023overallyc</vt:lpstr>
      <vt:lpstr>frarwc2023poolsdrawn</vt:lpstr>
      <vt:lpstr>frarwc2023poolslb</vt:lpstr>
      <vt:lpstr>frarwc2023poolslbcon</vt:lpstr>
      <vt:lpstr>frarwc2023poolslost</vt:lpstr>
      <vt:lpstr>frarwc2023poolsplayed</vt:lpstr>
      <vt:lpstr>frarwc2023poolsptsconc</vt:lpstr>
      <vt:lpstr>frarwc2023poolsptsscored</vt:lpstr>
      <vt:lpstr>frarwc2023poolstb</vt:lpstr>
      <vt:lpstr>frarwc2023poolstbcon</vt:lpstr>
      <vt:lpstr>frarwc2023poolstriesconc</vt:lpstr>
      <vt:lpstr>frarwc2023poolstriesscored</vt:lpstr>
      <vt:lpstr>frarwc2023poolswon</vt:lpstr>
      <vt:lpstr>Geo2019alltestsdrawn</vt:lpstr>
      <vt:lpstr>Geo2019alltestslost</vt:lpstr>
      <vt:lpstr>Geo2019alltestsplayed</vt:lpstr>
      <vt:lpstr>Geo2019alltestsptsagainst</vt:lpstr>
      <vt:lpstr>Geo2019alltestsptsscored</vt:lpstr>
      <vt:lpstr>Geo2019allteststriesconceded</vt:lpstr>
      <vt:lpstr>Geo2019allteststriesscored</vt:lpstr>
      <vt:lpstr>Geo2019alltestswon</vt:lpstr>
      <vt:lpstr>Georgiaalltestshistdrawn</vt:lpstr>
      <vt:lpstr>Georgiaalltestshistlost</vt:lpstr>
      <vt:lpstr>Georgiaalltestshistplayed</vt:lpstr>
      <vt:lpstr>Georgiaalltestshistptsagainst</vt:lpstr>
      <vt:lpstr>Georgiaalltestshistptsscored</vt:lpstr>
      <vt:lpstr>Georgiaalltestshisttriesscored</vt:lpstr>
      <vt:lpstr>Georgiaalltestshistwon</vt:lpstr>
      <vt:lpstr>GeorgiaRWChistdrawn</vt:lpstr>
      <vt:lpstr>GeorgiaRWChistlost</vt:lpstr>
      <vt:lpstr>GeorgiaRWChistplayed</vt:lpstr>
      <vt:lpstr>GeorgiaRWChistptsagainst</vt:lpstr>
      <vt:lpstr>GeorgiaRWChistptsscored</vt:lpstr>
      <vt:lpstr>GeorgiaRWChisttriesscored</vt:lpstr>
      <vt:lpstr>GeorgiaRWChistwon</vt:lpstr>
      <vt:lpstr>georwc2023overalldg</vt:lpstr>
      <vt:lpstr>georwc2023overalldrawn</vt:lpstr>
      <vt:lpstr>georwc2023overalllost</vt:lpstr>
      <vt:lpstr>georwc2023overallplayed</vt:lpstr>
      <vt:lpstr>georwc2023overallptsconc</vt:lpstr>
      <vt:lpstr>georwc2023overallptsscored</vt:lpstr>
      <vt:lpstr>georwc2023overallrc</vt:lpstr>
      <vt:lpstr>georwc2023overalltriesconc</vt:lpstr>
      <vt:lpstr>georwc2023overalltriesscored</vt:lpstr>
      <vt:lpstr>georwc2023overallwon</vt:lpstr>
      <vt:lpstr>georwc2023overallyc</vt:lpstr>
      <vt:lpstr>georwc2023poolsdrawn</vt:lpstr>
      <vt:lpstr>georwc2023poolslb</vt:lpstr>
      <vt:lpstr>georwc2023poolslbcon</vt:lpstr>
      <vt:lpstr>georwc2023poolslost</vt:lpstr>
      <vt:lpstr>georwc2023poolsplayed</vt:lpstr>
      <vt:lpstr>georwc2023poolsptsconc</vt:lpstr>
      <vt:lpstr>georwc2023poolsptsscored</vt:lpstr>
      <vt:lpstr>georwc2023poolstb</vt:lpstr>
      <vt:lpstr>georwc2023poolstbcon</vt:lpstr>
      <vt:lpstr>georwc2023poolstriesconc</vt:lpstr>
      <vt:lpstr>georwc2023poolstriesscored</vt:lpstr>
      <vt:lpstr>georwc2023poolswon</vt:lpstr>
      <vt:lpstr>Ire2019alltestsdrawn</vt:lpstr>
      <vt:lpstr>Ire2019alltestslost</vt:lpstr>
      <vt:lpstr>Ire2019alltestsplayed</vt:lpstr>
      <vt:lpstr>Ire2019alltestsptscon</vt:lpstr>
      <vt:lpstr>Ire2019alltestsptsscored</vt:lpstr>
      <vt:lpstr>Ire2019allteststriescon</vt:lpstr>
      <vt:lpstr>Ire2019allteststriesscored</vt:lpstr>
      <vt:lpstr>Ire2019alltestswon</vt:lpstr>
      <vt:lpstr>ire6ntriesconc</vt:lpstr>
      <vt:lpstr>Irelandalltestshistdrawn</vt:lpstr>
      <vt:lpstr>Irelandalltestshistlost</vt:lpstr>
      <vt:lpstr>Irelandalltestshistplayed</vt:lpstr>
      <vt:lpstr>Irelandalltestshistptsagainst</vt:lpstr>
      <vt:lpstr>Irelandalltestshistptsscored</vt:lpstr>
      <vt:lpstr>Irelandalltestshisttriesscored</vt:lpstr>
      <vt:lpstr>Irelandalltestshistwon</vt:lpstr>
      <vt:lpstr>Irelanddrawn</vt:lpstr>
      <vt:lpstr>Irelandlosingbonus</vt:lpstr>
      <vt:lpstr>Irelandlost</vt:lpstr>
      <vt:lpstr>Irelandplayed</vt:lpstr>
      <vt:lpstr>Irelandptsagainst</vt:lpstr>
      <vt:lpstr>Irelandptsscored</vt:lpstr>
      <vt:lpstr>Irelandred</vt:lpstr>
      <vt:lpstr>IrelandRWChistdrawn</vt:lpstr>
      <vt:lpstr>IrelandRWChistlost</vt:lpstr>
      <vt:lpstr>IrelandRWChistplayed</vt:lpstr>
      <vt:lpstr>IrelandRWChistptsagainst</vt:lpstr>
      <vt:lpstr>IrelandRWChistptsscored</vt:lpstr>
      <vt:lpstr>IrelandRWChisttriesscored</vt:lpstr>
      <vt:lpstr>IrelandRWChistwon</vt:lpstr>
      <vt:lpstr>Irelandtriesagainst</vt:lpstr>
      <vt:lpstr>Irelandtriesscored</vt:lpstr>
      <vt:lpstr>Irelandtrybonus</vt:lpstr>
      <vt:lpstr>Irelandwon</vt:lpstr>
      <vt:lpstr>Irelandyellow</vt:lpstr>
      <vt:lpstr>irerwc2023overalldg</vt:lpstr>
      <vt:lpstr>irerwc2023overalldrawn</vt:lpstr>
      <vt:lpstr>irerwc2023overalllost</vt:lpstr>
      <vt:lpstr>irerwc2023overallplayed</vt:lpstr>
      <vt:lpstr>irerwc2023overallptsconc</vt:lpstr>
      <vt:lpstr>irerwc2023overallptsscored</vt:lpstr>
      <vt:lpstr>irerwc2023overallrc</vt:lpstr>
      <vt:lpstr>irerwc2023overalltriesconc</vt:lpstr>
      <vt:lpstr>irerwc2023overalltriesscored</vt:lpstr>
      <vt:lpstr>irerwc2023overallwon</vt:lpstr>
      <vt:lpstr>irerwc2023overallyc</vt:lpstr>
      <vt:lpstr>irerwc2023poolsdrawn</vt:lpstr>
      <vt:lpstr>irerwc2023poolslb</vt:lpstr>
      <vt:lpstr>irerwc2023poolslbcon</vt:lpstr>
      <vt:lpstr>irerwc2023poolslost</vt:lpstr>
      <vt:lpstr>irerwc2023poolsplayed</vt:lpstr>
      <vt:lpstr>irerwc2023poolsptsconc</vt:lpstr>
      <vt:lpstr>irerwc2023poolsptsscored</vt:lpstr>
      <vt:lpstr>irerwc2023poolstb</vt:lpstr>
      <vt:lpstr>irerwc2023poolstbcon</vt:lpstr>
      <vt:lpstr>irerwc2023poolstriesconc</vt:lpstr>
      <vt:lpstr>irerwc2023poolstriesscored</vt:lpstr>
      <vt:lpstr>irerwc2023poolswon</vt:lpstr>
      <vt:lpstr>ita2019alltestsdrawn</vt:lpstr>
      <vt:lpstr>ita2019alltestslost</vt:lpstr>
      <vt:lpstr>ita2019alltestsplayed</vt:lpstr>
      <vt:lpstr>ita2019alltestsptscon</vt:lpstr>
      <vt:lpstr>ita2019alltestsptsscored</vt:lpstr>
      <vt:lpstr>ita2019allteststriescon</vt:lpstr>
      <vt:lpstr>ita2019allteststriesscored</vt:lpstr>
      <vt:lpstr>ita2019alltestswon</vt:lpstr>
      <vt:lpstr>ita6ntriesconc</vt:lpstr>
      <vt:lpstr>Italyalltestshistdrawn</vt:lpstr>
      <vt:lpstr>Italyalltestshistlost</vt:lpstr>
      <vt:lpstr>Italyalltestshistplayed</vt:lpstr>
      <vt:lpstr>Italyalltestshistptsagainst</vt:lpstr>
      <vt:lpstr>Italyalltestshistptsscored</vt:lpstr>
      <vt:lpstr>Italyalltestshisttriesscored</vt:lpstr>
      <vt:lpstr>Italyalltestshistwon</vt:lpstr>
      <vt:lpstr>Italydrawn</vt:lpstr>
      <vt:lpstr>Italylosingbonus</vt:lpstr>
      <vt:lpstr>Italylost</vt:lpstr>
      <vt:lpstr>Italyplayed</vt:lpstr>
      <vt:lpstr>Italyptsagainst</vt:lpstr>
      <vt:lpstr>Italyptsscored</vt:lpstr>
      <vt:lpstr>Italyred</vt:lpstr>
      <vt:lpstr>ItalyRWChistdrawn</vt:lpstr>
      <vt:lpstr>ItalyRWChistlost</vt:lpstr>
      <vt:lpstr>ItalyRWChistplayed</vt:lpstr>
      <vt:lpstr>ItalyRWChistptsagainst</vt:lpstr>
      <vt:lpstr>ItalyRWChistptsscored</vt:lpstr>
      <vt:lpstr>ItalyRWChisttriesscored</vt:lpstr>
      <vt:lpstr>ItalyRWChistwon</vt:lpstr>
      <vt:lpstr>Italysixnationsdrawn</vt:lpstr>
      <vt:lpstr>Italysixnationslost</vt:lpstr>
      <vt:lpstr>Italysixnationsplayed</vt:lpstr>
      <vt:lpstr>Italysixnationsptsconceded</vt:lpstr>
      <vt:lpstr>Italysixnationsptsscore</vt:lpstr>
      <vt:lpstr>Italysixnationstriesscored</vt:lpstr>
      <vt:lpstr>Italysixnationswon</vt:lpstr>
      <vt:lpstr>Italytriesagainst</vt:lpstr>
      <vt:lpstr>Italytriesscored</vt:lpstr>
      <vt:lpstr>Italytrybonus</vt:lpstr>
      <vt:lpstr>Italywon</vt:lpstr>
      <vt:lpstr>Italyyellow</vt:lpstr>
      <vt:lpstr>itarwc2023overalldg</vt:lpstr>
      <vt:lpstr>itarwc2023overalldrawn</vt:lpstr>
      <vt:lpstr>itarwc2023overalllost</vt:lpstr>
      <vt:lpstr>itarwc2023overallplayed</vt:lpstr>
      <vt:lpstr>itarwc2023overallptsconc</vt:lpstr>
      <vt:lpstr>itarwc2023overallptsscored</vt:lpstr>
      <vt:lpstr>itarwc2023overallrc</vt:lpstr>
      <vt:lpstr>itarwc2023overalltriesconc</vt:lpstr>
      <vt:lpstr>itarwc2023overalltriesscored</vt:lpstr>
      <vt:lpstr>itarwc2023overallwon</vt:lpstr>
      <vt:lpstr>itarwc2023overallyc</vt:lpstr>
      <vt:lpstr>itarwc2023pools</vt:lpstr>
      <vt:lpstr>itarwc2023poolsdrawn</vt:lpstr>
      <vt:lpstr>itarwc2023poolslb</vt:lpstr>
      <vt:lpstr>itarwc2023poolslbcon</vt:lpstr>
      <vt:lpstr>itarwc2023poolslost</vt:lpstr>
      <vt:lpstr>itarwc2023poolsplayed</vt:lpstr>
      <vt:lpstr>itarwc2023poolsptsconc</vt:lpstr>
      <vt:lpstr>itarwc2023poolsptsscored</vt:lpstr>
      <vt:lpstr>itarwc2023poolstb</vt:lpstr>
      <vt:lpstr>itarwc2023poolstbcon</vt:lpstr>
      <vt:lpstr>itarwc2023poolstriescon</vt:lpstr>
      <vt:lpstr>itarwc2023poolstriesscored</vt:lpstr>
      <vt:lpstr>itarwc2023poolswon</vt:lpstr>
      <vt:lpstr>Japanalltestshistdrawn</vt:lpstr>
      <vt:lpstr>Japanalltestshistlost</vt:lpstr>
      <vt:lpstr>Japanalltestshistplayed</vt:lpstr>
      <vt:lpstr>Japanalltestshistptscon</vt:lpstr>
      <vt:lpstr>Japanalltestshistptsscored</vt:lpstr>
      <vt:lpstr>Japanalltestshisttriesscored</vt:lpstr>
      <vt:lpstr>Japanalltestshisttriesscoredcorrect</vt:lpstr>
      <vt:lpstr>Japanalltestshistwon</vt:lpstr>
      <vt:lpstr>JapanRWChistdrawn</vt:lpstr>
      <vt:lpstr>JapanRWChistlost</vt:lpstr>
      <vt:lpstr>JapanRWChistplayed</vt:lpstr>
      <vt:lpstr>JapanRWChistptsagainst</vt:lpstr>
      <vt:lpstr>JapanRWChistptsscored</vt:lpstr>
      <vt:lpstr>JapanRWChisttriesscored</vt:lpstr>
      <vt:lpstr>JapanRWChistwon</vt:lpstr>
      <vt:lpstr>jpn2019alltestsdrawn</vt:lpstr>
      <vt:lpstr>jpn2019alltestslost</vt:lpstr>
      <vt:lpstr>jpn2019alltestsplayed</vt:lpstr>
      <vt:lpstr>jpn2019alltestsptsagainst</vt:lpstr>
      <vt:lpstr>jpn2019alltestsptsscored</vt:lpstr>
      <vt:lpstr>jpn2019allteststriescon</vt:lpstr>
      <vt:lpstr>jpn2019allteststriesscored</vt:lpstr>
      <vt:lpstr>jpn2019alltestswon</vt:lpstr>
      <vt:lpstr>jpnrwc2023overalldg</vt:lpstr>
      <vt:lpstr>jpnrwc2023overalldrawn</vt:lpstr>
      <vt:lpstr>jpnrwc2023overalllost</vt:lpstr>
      <vt:lpstr>jpnrwc2023overallplayed</vt:lpstr>
      <vt:lpstr>jpnrwc2023overallptsconc</vt:lpstr>
      <vt:lpstr>jpnrwc2023overallptsscored</vt:lpstr>
      <vt:lpstr>jpnrwc2023overallrc</vt:lpstr>
      <vt:lpstr>jpnrwc2023overalltriesconc</vt:lpstr>
      <vt:lpstr>jpnrwc2023overalltriesscored</vt:lpstr>
      <vt:lpstr>jpnrwc2023overallwon</vt:lpstr>
      <vt:lpstr>jpnrwc2023overallyc</vt:lpstr>
      <vt:lpstr>jpnrwc2023poolsdrawn</vt:lpstr>
      <vt:lpstr>jpnrwc2023poolslb</vt:lpstr>
      <vt:lpstr>jpnrwc2023poolslbcon</vt:lpstr>
      <vt:lpstr>jpnrwc2023poolslost</vt:lpstr>
      <vt:lpstr>jpnrwc2023poolsplayed</vt:lpstr>
      <vt:lpstr>jpnrwc2023poolsptsconc</vt:lpstr>
      <vt:lpstr>jpnrwc2023poolsptsscored</vt:lpstr>
      <vt:lpstr>jpnrwc2023poolstb</vt:lpstr>
      <vt:lpstr>jpnrwc2023poolstbcon</vt:lpstr>
      <vt:lpstr>jpnrwc2023poolstriesconc</vt:lpstr>
      <vt:lpstr>jpnrwc2023poolstriesscored</vt:lpstr>
      <vt:lpstr>jpnrwc2023poolswon</vt:lpstr>
      <vt:lpstr>lost</vt:lpstr>
      <vt:lpstr>Nam2019alltestsdrawn</vt:lpstr>
      <vt:lpstr>Nam2019alltestslost</vt:lpstr>
      <vt:lpstr>Nam2019alltestsplayed</vt:lpstr>
      <vt:lpstr>Nam2019alltestsptscon</vt:lpstr>
      <vt:lpstr>Nam2019alltestsptsscored</vt:lpstr>
      <vt:lpstr>Nam2019allteststriescon</vt:lpstr>
      <vt:lpstr>Nam2019allteststriesscored</vt:lpstr>
      <vt:lpstr>Nam2019alltestswon</vt:lpstr>
      <vt:lpstr>Namibiaalltestshistdrawn</vt:lpstr>
      <vt:lpstr>Namibiaalltestshistlost</vt:lpstr>
      <vt:lpstr>Namibiaalltestshistplayed</vt:lpstr>
      <vt:lpstr>Namibiaalltestshistptscon</vt:lpstr>
      <vt:lpstr>Namibiaalltestshistptsscored</vt:lpstr>
      <vt:lpstr>Namibiaalltestshisttriesscored</vt:lpstr>
      <vt:lpstr>Namibiaalltestshistwon</vt:lpstr>
      <vt:lpstr>NamibiaRWChistdrawn</vt:lpstr>
      <vt:lpstr>NamibiaRWChistlost</vt:lpstr>
      <vt:lpstr>NamibiaRWChistplayed</vt:lpstr>
      <vt:lpstr>NamibiaRWChistptsagainst</vt:lpstr>
      <vt:lpstr>NamibiaRWChistptsscored</vt:lpstr>
      <vt:lpstr>NamibiaRWChisttriesscored</vt:lpstr>
      <vt:lpstr>NamibiaRWChistwon</vt:lpstr>
      <vt:lpstr>namrwc2023overalldg</vt:lpstr>
      <vt:lpstr>namrwc2023overalldrawn</vt:lpstr>
      <vt:lpstr>namrwc2023overalllost</vt:lpstr>
      <vt:lpstr>namrwc2023overallplayed</vt:lpstr>
      <vt:lpstr>namrwc2023overallptsconc</vt:lpstr>
      <vt:lpstr>namrwc2023overallptsscored</vt:lpstr>
      <vt:lpstr>namrwc2023overallrc</vt:lpstr>
      <vt:lpstr>namrwc2023overalltriesconc</vt:lpstr>
      <vt:lpstr>namrwc2023overalltrioesscored</vt:lpstr>
      <vt:lpstr>namrwc2023overallwon</vt:lpstr>
      <vt:lpstr>namrwc2023overallyc</vt:lpstr>
      <vt:lpstr>namrwc2023poolsdrawn</vt:lpstr>
      <vt:lpstr>namrwc2023poolslb</vt:lpstr>
      <vt:lpstr>namrwc2023poolslbcon</vt:lpstr>
      <vt:lpstr>namrwc2023poolslost</vt:lpstr>
      <vt:lpstr>namrwc2023poolsplayed</vt:lpstr>
      <vt:lpstr>namrwc2023poolsptsconc</vt:lpstr>
      <vt:lpstr>namrwc2023poolsptsscored</vt:lpstr>
      <vt:lpstr>namrwc2023poolstb</vt:lpstr>
      <vt:lpstr>namrwc2023poolstbcon</vt:lpstr>
      <vt:lpstr>namrwc2023poolstriesconc</vt:lpstr>
      <vt:lpstr>namrwc2023poolstriesscored</vt:lpstr>
      <vt:lpstr>namrwc2023poolswon</vt:lpstr>
      <vt:lpstr>New_ZealandRWChistdrawn</vt:lpstr>
      <vt:lpstr>New_ZealandRWChistlost</vt:lpstr>
      <vt:lpstr>New_ZealandRWChistplayed</vt:lpstr>
      <vt:lpstr>New_ZealandRWChistptscon</vt:lpstr>
      <vt:lpstr>New_ZealandRWChistptsconcorrect</vt:lpstr>
      <vt:lpstr>New_ZealandRWChistptsscored</vt:lpstr>
      <vt:lpstr>New_ZealandRWChisttriesscored</vt:lpstr>
      <vt:lpstr>New_ZealandRWChistwon</vt:lpstr>
      <vt:lpstr>Nzl2019alltestsdrawn</vt:lpstr>
      <vt:lpstr>Nzl2019alltestshistdrawn</vt:lpstr>
      <vt:lpstr>Nzl2019alltestshistlost</vt:lpstr>
      <vt:lpstr>Nzl2019alltestshistplayed</vt:lpstr>
      <vt:lpstr>Nzl2019alltestshistptscon</vt:lpstr>
      <vt:lpstr>Nzl2019alltestshistptsscored</vt:lpstr>
      <vt:lpstr>Nzl2019alltestshisttriesscored</vt:lpstr>
      <vt:lpstr>Nzl2019alltestshistwon</vt:lpstr>
      <vt:lpstr>Nzl2019alltestslost</vt:lpstr>
      <vt:lpstr>Nzl2019alltestsplayed</vt:lpstr>
      <vt:lpstr>Nzl2019alltestsptscon</vt:lpstr>
      <vt:lpstr>Nzl2019alltestsptsscored</vt:lpstr>
      <vt:lpstr>Nzl2019allteststriescon</vt:lpstr>
      <vt:lpstr>Nzl2019allteststriesscored</vt:lpstr>
      <vt:lpstr>Nzl2019alltestswon</vt:lpstr>
      <vt:lpstr>nzlrwc2023overalldg</vt:lpstr>
      <vt:lpstr>nzlrwc2023overalldrawn</vt:lpstr>
      <vt:lpstr>nzlrwc2023overalllost</vt:lpstr>
      <vt:lpstr>nzlrwc2023overallplayed</vt:lpstr>
      <vt:lpstr>nzlrwc2023overallptsconc</vt:lpstr>
      <vt:lpstr>nzlrwc2023overallptsscored</vt:lpstr>
      <vt:lpstr>nzlrwc2023overallrc</vt:lpstr>
      <vt:lpstr>nzlrwc2023overalltriesconc</vt:lpstr>
      <vt:lpstr>nzlrwc2023overalltriesscored</vt:lpstr>
      <vt:lpstr>nzlrwc2023overallwon</vt:lpstr>
      <vt:lpstr>nzlrwc2023overallyc</vt:lpstr>
      <vt:lpstr>nzlrwc2023poolsdrawn</vt:lpstr>
      <vt:lpstr>nzlrwc2023poolslb</vt:lpstr>
      <vt:lpstr>nzlrwc2023poolslbcon</vt:lpstr>
      <vt:lpstr>nzlrwc2023poolslost</vt:lpstr>
      <vt:lpstr>nzlrwc2023poolsplasyed</vt:lpstr>
      <vt:lpstr>nzlrwc2023poolsptsconc</vt:lpstr>
      <vt:lpstr>nzlrwc2023poolsptsscored</vt:lpstr>
      <vt:lpstr>nzlrwc2023poolstb</vt:lpstr>
      <vt:lpstr>nzlrwc2023poolstbcon</vt:lpstr>
      <vt:lpstr>nzlrwc2023poolstriesconc</vt:lpstr>
      <vt:lpstr>nzlrwc2023poolstriesscored</vt:lpstr>
      <vt:lpstr>nzlrwc2023poolswon</vt:lpstr>
      <vt:lpstr>nzltrcdrawn</vt:lpstr>
      <vt:lpstr>nzltrclb</vt:lpstr>
      <vt:lpstr>nzltrclost</vt:lpstr>
      <vt:lpstr>nzltrcplayed</vt:lpstr>
      <vt:lpstr>nzltrcptsconc</vt:lpstr>
      <vt:lpstr>nzltrcptsscored</vt:lpstr>
      <vt:lpstr>nzltrctb</vt:lpstr>
      <vt:lpstr>nzltrctriesconc</vt:lpstr>
      <vt:lpstr>nzltrctriesscored</vt:lpstr>
      <vt:lpstr>nzltrcwon</vt:lpstr>
      <vt:lpstr>poralltestsdrawn</vt:lpstr>
      <vt:lpstr>Poralltestshistdrawn</vt:lpstr>
      <vt:lpstr>Poralltestshistlost</vt:lpstr>
      <vt:lpstr>Poralltestshistplayed</vt:lpstr>
      <vt:lpstr>Poralltestshistptsconc</vt:lpstr>
      <vt:lpstr>Poralltestshistptsscored</vt:lpstr>
      <vt:lpstr>Poralltestshisttriesscored</vt:lpstr>
      <vt:lpstr>Poralltestshistwon</vt:lpstr>
      <vt:lpstr>poralltestslost</vt:lpstr>
      <vt:lpstr>poralltestsplayed</vt:lpstr>
      <vt:lpstr>poralltestsptsconc</vt:lpstr>
      <vt:lpstr>poralltestsptsscored</vt:lpstr>
      <vt:lpstr>porallteststriesscored</vt:lpstr>
      <vt:lpstr>poralltestswon</vt:lpstr>
      <vt:lpstr>Porrwchistdrawn</vt:lpstr>
      <vt:lpstr>Porrwchistlost</vt:lpstr>
      <vt:lpstr>Porrwchistpgtsagainst</vt:lpstr>
      <vt:lpstr>Porrwchistplayed</vt:lpstr>
      <vt:lpstr>Porrwchistptsscored</vt:lpstr>
      <vt:lpstr>Porrwchisttriesscored</vt:lpstr>
      <vt:lpstr>Porrwchistwon</vt:lpstr>
      <vt:lpstr>prtrwc2023overalldg</vt:lpstr>
      <vt:lpstr>prtrwc2023overalldrawn</vt:lpstr>
      <vt:lpstr>prtrwc2023overalllost</vt:lpstr>
      <vt:lpstr>prtrwc2023overallplayed</vt:lpstr>
      <vt:lpstr>prtrwc2023overallptsconc</vt:lpstr>
      <vt:lpstr>prtrwc2023overallptsscored</vt:lpstr>
      <vt:lpstr>prtrwc2023overallrc</vt:lpstr>
      <vt:lpstr>prtrwc2023overalltriesconc</vt:lpstr>
      <vt:lpstr>prtrwc2023overalltriesscored</vt:lpstr>
      <vt:lpstr>prtrwc2023overallwon</vt:lpstr>
      <vt:lpstr>prtrwc2023overallyc</vt:lpstr>
      <vt:lpstr>prtrwc2023poolsdrawn</vt:lpstr>
      <vt:lpstr>prtrwc2023poolslb</vt:lpstr>
      <vt:lpstr>prtrwc2023poolslbcon</vt:lpstr>
      <vt:lpstr>prtrwc2023poolslost</vt:lpstr>
      <vt:lpstr>prtrwc2023poolsplayed</vt:lpstr>
      <vt:lpstr>prtrwc2023poolsptsconc</vt:lpstr>
      <vt:lpstr>prtrwc2023poolsptsscored</vt:lpstr>
      <vt:lpstr>prtrwc2023poolstb</vt:lpstr>
      <vt:lpstr>prtrwc2023poolstbcon</vt:lpstr>
      <vt:lpstr>prtrwc2023poolstriesconc</vt:lpstr>
      <vt:lpstr>prtrwc2023poolstriesscored</vt:lpstr>
      <vt:lpstr>prtrwc2023poolswon</vt:lpstr>
      <vt:lpstr>ptsconc</vt:lpstr>
      <vt:lpstr>romaniaalltestsdrawn</vt:lpstr>
      <vt:lpstr>Romaniaalltestshistdrawn</vt:lpstr>
      <vt:lpstr>Romaniaalltestshistlost</vt:lpstr>
      <vt:lpstr>Romaniaalltestshistplayed</vt:lpstr>
      <vt:lpstr>Romaniaalltestshistptscocn</vt:lpstr>
      <vt:lpstr>Romaniaalltestshistptsscored</vt:lpstr>
      <vt:lpstr>Romaniaalltestshisttriesscored</vt:lpstr>
      <vt:lpstr>Romaniaalltestshistwon</vt:lpstr>
      <vt:lpstr>romaniaalltestslost</vt:lpstr>
      <vt:lpstr>romaniaalltestsplayed</vt:lpstr>
      <vt:lpstr>romaniaalltestsptsagainst</vt:lpstr>
      <vt:lpstr>romaniaalltestsptsscored</vt:lpstr>
      <vt:lpstr>romaniaallteststriesagaiant</vt:lpstr>
      <vt:lpstr>romaniaallteststriesscored</vt:lpstr>
      <vt:lpstr>romaniaalltestswon</vt:lpstr>
      <vt:lpstr>Romaniarwchistdrawn</vt:lpstr>
      <vt:lpstr>Romaniarwchistlost</vt:lpstr>
      <vt:lpstr>Romaniarwchistplayed</vt:lpstr>
      <vt:lpstr>Romaniarwchistptsconc</vt:lpstr>
      <vt:lpstr>Romaniarwchistptsscored</vt:lpstr>
      <vt:lpstr>Romaniarwchisttriesscored</vt:lpstr>
      <vt:lpstr>Romaniarwchistwon</vt:lpstr>
      <vt:lpstr>romrwc2023overalldg</vt:lpstr>
      <vt:lpstr>romrwc2023overalldrawn</vt:lpstr>
      <vt:lpstr>romrwc2023overalllost</vt:lpstr>
      <vt:lpstr>romrwc2023overallplayed</vt:lpstr>
      <vt:lpstr>romrwc2023overallptsconc</vt:lpstr>
      <vt:lpstr>romrwc2023overallptsscored</vt:lpstr>
      <vt:lpstr>romrwc2023overallrc</vt:lpstr>
      <vt:lpstr>romrwc2023overalltriesconc</vt:lpstr>
      <vt:lpstr>romrwc2023overalltriesscored</vt:lpstr>
      <vt:lpstr>romrwc2023overallwon</vt:lpstr>
      <vt:lpstr>romrwc2023overallyc</vt:lpstr>
      <vt:lpstr>romrwc2023poolsdrawn</vt:lpstr>
      <vt:lpstr>romrwc2023poolslb</vt:lpstr>
      <vt:lpstr>romrwc2023poolslbcon</vt:lpstr>
      <vt:lpstr>romrwc2023poolslost</vt:lpstr>
      <vt:lpstr>romrwc2023poolsplayed</vt:lpstr>
      <vt:lpstr>romrwc2023poolsptsconc</vt:lpstr>
      <vt:lpstr>romrwc2023poolsptsscored</vt:lpstr>
      <vt:lpstr>romrwc2023poolsptssxcored</vt:lpstr>
      <vt:lpstr>romrwc2023poolstb</vt:lpstr>
      <vt:lpstr>romrwc2023poolstbcon</vt:lpstr>
      <vt:lpstr>romrwc2023poolstriesconc</vt:lpstr>
      <vt:lpstr>romrwc2023poolstriesscored</vt:lpstr>
      <vt:lpstr>romrwc2023poolswon</vt:lpstr>
      <vt:lpstr>Rsa2019alltestsdrawn</vt:lpstr>
      <vt:lpstr>Rsa2019alltestslost</vt:lpstr>
      <vt:lpstr>Rsa2019alltestsplayed</vt:lpstr>
      <vt:lpstr>Rsa2019alltestsptscon</vt:lpstr>
      <vt:lpstr>Rsa2019alltestsptsscored</vt:lpstr>
      <vt:lpstr>Rsa2019allteststriescon</vt:lpstr>
      <vt:lpstr>Rsa2019allteststriesscored</vt:lpstr>
      <vt:lpstr>Rsa2019alltestswon</vt:lpstr>
      <vt:lpstr>Rsaalltestshistdrawn</vt:lpstr>
      <vt:lpstr>Rsaalltestshistlost</vt:lpstr>
      <vt:lpstr>Rsaalltestshistplayed</vt:lpstr>
      <vt:lpstr>Rsaalltestshistptscon</vt:lpstr>
      <vt:lpstr>Rsaalltestshistptsscored</vt:lpstr>
      <vt:lpstr>Rsaalltestshisttriesscored</vt:lpstr>
      <vt:lpstr>Rsaalltestshistwon</vt:lpstr>
      <vt:lpstr>RSArwc2023overalldg</vt:lpstr>
      <vt:lpstr>RSArwc2023overalldrawn</vt:lpstr>
      <vt:lpstr>RSArwc2023overalllost</vt:lpstr>
      <vt:lpstr>RSArwc2023overallplayed</vt:lpstr>
      <vt:lpstr>RSArwc2023overallplayedcorrect</vt:lpstr>
      <vt:lpstr>RSArwc2023overallptsconc</vt:lpstr>
      <vt:lpstr>RSArwc2023overallptsscored</vt:lpstr>
      <vt:lpstr>RSArwc2023overallrc</vt:lpstr>
      <vt:lpstr>RSArwc2023overalltriesconc</vt:lpstr>
      <vt:lpstr>RSArwc2023overalltriesscored</vt:lpstr>
      <vt:lpstr>RSArwc2023overallwon</vt:lpstr>
      <vt:lpstr>RSArwc2023overallyc</vt:lpstr>
      <vt:lpstr>RSArwc2023poolsdrawn</vt:lpstr>
      <vt:lpstr>RSArwc2023poolslb</vt:lpstr>
      <vt:lpstr>RSArwc2023poolslbcon</vt:lpstr>
      <vt:lpstr>RSArwc2023poolslost</vt:lpstr>
      <vt:lpstr>RSArwc2023poolsplayed</vt:lpstr>
      <vt:lpstr>RSArwc2023poolsptsconc</vt:lpstr>
      <vt:lpstr>RSArwc2023poolsptsscored</vt:lpstr>
      <vt:lpstr>RSArwc2023poolstb</vt:lpstr>
      <vt:lpstr>RSArwc2023poolstbcon</vt:lpstr>
      <vt:lpstr>RSArwc2023poolstriesconc</vt:lpstr>
      <vt:lpstr>RSArwc2023poolstriescored</vt:lpstr>
      <vt:lpstr>RSArwc2023poolswon</vt:lpstr>
      <vt:lpstr>RsaRWChistdrawn</vt:lpstr>
      <vt:lpstr>RsaRWChistlost</vt:lpstr>
      <vt:lpstr>RsaRWChistplayed</vt:lpstr>
      <vt:lpstr>RsaRWChistptscon</vt:lpstr>
      <vt:lpstr>RsaRWChistptsscored</vt:lpstr>
      <vt:lpstr>RsaRWChisttriesscored</vt:lpstr>
      <vt:lpstr>RsaRWChistwon</vt:lpstr>
      <vt:lpstr>rsatrcdrawn</vt:lpstr>
      <vt:lpstr>rsatrclb</vt:lpstr>
      <vt:lpstr>rsatrclost</vt:lpstr>
      <vt:lpstr>rsatrcplayed</vt:lpstr>
      <vt:lpstr>rsatrcptsconc</vt:lpstr>
      <vt:lpstr>rsatrcptsscored</vt:lpstr>
      <vt:lpstr>rsatrctb</vt:lpstr>
      <vt:lpstr>rsatrctriesconc</vt:lpstr>
      <vt:lpstr>rsatrctriesscored</vt:lpstr>
      <vt:lpstr>rsatrcwon</vt:lpstr>
      <vt:lpstr>RussiaRWChistdrawn</vt:lpstr>
      <vt:lpstr>RussiaRWChistlost</vt:lpstr>
      <vt:lpstr>RussiaRWChistplayed</vt:lpstr>
      <vt:lpstr>RussiaRWChistptscon</vt:lpstr>
      <vt:lpstr>RussiaRWChistptsscored</vt:lpstr>
      <vt:lpstr>RussiaRWChisttriesscored</vt:lpstr>
      <vt:lpstr>RussiaRWChistwon</vt:lpstr>
      <vt:lpstr>RWC2019startaus</vt:lpstr>
      <vt:lpstr>RWC2019startnam</vt:lpstr>
      <vt:lpstr>RWC2019startnzl</vt:lpstr>
      <vt:lpstr>RWC2019startrsa</vt:lpstr>
      <vt:lpstr>RWC2019startsco</vt:lpstr>
      <vt:lpstr>Sam2019alltestsdrawn</vt:lpstr>
      <vt:lpstr>Sam2019alltestslost</vt:lpstr>
      <vt:lpstr>Sam2019alltestsplayed</vt:lpstr>
      <vt:lpstr>Sam2019alltestsptscon</vt:lpstr>
      <vt:lpstr>Sam2019alltestsptsscored</vt:lpstr>
      <vt:lpstr>Sam2019allteststriescon</vt:lpstr>
      <vt:lpstr>Sam2019allteststriescored</vt:lpstr>
      <vt:lpstr>Sam2019alltestswon</vt:lpstr>
      <vt:lpstr>Samalltestshistdrawn</vt:lpstr>
      <vt:lpstr>Samalltestshistlost</vt:lpstr>
      <vt:lpstr>Samalltestshistplayed</vt:lpstr>
      <vt:lpstr>Samalltestshistptscon</vt:lpstr>
      <vt:lpstr>Samalltestshistptsscored</vt:lpstr>
      <vt:lpstr>SamalltestshistTRIESSCORED</vt:lpstr>
      <vt:lpstr>Samalltestshistwon</vt:lpstr>
      <vt:lpstr>samrwc2023overalldg</vt:lpstr>
      <vt:lpstr>samrwc2023overalldrawn</vt:lpstr>
      <vt:lpstr>samrwc2023overalllost</vt:lpstr>
      <vt:lpstr>samrwc2023overallplayed</vt:lpstr>
      <vt:lpstr>samrwc2023overallptsconc</vt:lpstr>
      <vt:lpstr>samrwc2023overallptsscored</vt:lpstr>
      <vt:lpstr>samrwc2023overallrc</vt:lpstr>
      <vt:lpstr>samrwc2023overalltriesconc</vt:lpstr>
      <vt:lpstr>samrwc2023overalltriesscored</vt:lpstr>
      <vt:lpstr>samrwc2023overallwon</vt:lpstr>
      <vt:lpstr>samrwc2023overallyc</vt:lpstr>
      <vt:lpstr>samrwc2023poolsdrawn</vt:lpstr>
      <vt:lpstr>samrwc2023poolslb</vt:lpstr>
      <vt:lpstr>samrwc2023poolslbcon</vt:lpstr>
      <vt:lpstr>samrwc2023poolslost</vt:lpstr>
      <vt:lpstr>samrwc2023poolsplayed</vt:lpstr>
      <vt:lpstr>samrwc2023poolsptsconc</vt:lpstr>
      <vt:lpstr>samrwc2023poolsptsscored</vt:lpstr>
      <vt:lpstr>samrwc2023poolstb</vt:lpstr>
      <vt:lpstr>samrwc2023poolstbcon</vt:lpstr>
      <vt:lpstr>samrwc2023poolstriesconc</vt:lpstr>
      <vt:lpstr>samrwc2023poolstriesscored</vt:lpstr>
      <vt:lpstr>samrwc2023poolswon</vt:lpstr>
      <vt:lpstr>SamRWChistdrawn</vt:lpstr>
      <vt:lpstr>SamRWChistlost</vt:lpstr>
      <vt:lpstr>SamRWChistplayed</vt:lpstr>
      <vt:lpstr>SamRWChistptscon</vt:lpstr>
      <vt:lpstr>SamRWChistptsscored</vt:lpstr>
      <vt:lpstr>SamRWChisttriesscored</vt:lpstr>
      <vt:lpstr>SamRWChistwon</vt:lpstr>
      <vt:lpstr>Sco2019alltestsdrawn</vt:lpstr>
      <vt:lpstr>Sco2019alltestslost</vt:lpstr>
      <vt:lpstr>Sco2019alltestsplayed</vt:lpstr>
      <vt:lpstr>Sco2019alltestsptsagainst</vt:lpstr>
      <vt:lpstr>Sco2019alltestsptsscored</vt:lpstr>
      <vt:lpstr>Sco2019allteststriescon</vt:lpstr>
      <vt:lpstr>Sco2019allteststriesscored</vt:lpstr>
      <vt:lpstr>Sco2019alltestswon</vt:lpstr>
      <vt:lpstr>sco6ntriesconc</vt:lpstr>
      <vt:lpstr>scorwc2023overalldg</vt:lpstr>
      <vt:lpstr>scorwc2023overalldrawn</vt:lpstr>
      <vt:lpstr>scorwc2023overalllost</vt:lpstr>
      <vt:lpstr>scorwc2023overallplayed</vt:lpstr>
      <vt:lpstr>scorwc2023overallptsconc</vt:lpstr>
      <vt:lpstr>scorwc2023overallptsscored</vt:lpstr>
      <vt:lpstr>scorwc2023overallrc</vt:lpstr>
      <vt:lpstr>scorwc2023overalltriesconc</vt:lpstr>
      <vt:lpstr>scorwc2023overalltriesscored</vt:lpstr>
      <vt:lpstr>scorwc2023overallwon</vt:lpstr>
      <vt:lpstr>scorwc2023overallyc</vt:lpstr>
      <vt:lpstr>scorwc2023poolsdrawn</vt:lpstr>
      <vt:lpstr>scorwc2023poolslb</vt:lpstr>
      <vt:lpstr>scorwc2023poolslbcon</vt:lpstr>
      <vt:lpstr>scorwc2023poolslost</vt:lpstr>
      <vt:lpstr>scorwc2023poolsplayed</vt:lpstr>
      <vt:lpstr>scorwc2023poolsptscconc</vt:lpstr>
      <vt:lpstr>scorwc2023poolsptsscored</vt:lpstr>
      <vt:lpstr>scorwc2023poolstb</vt:lpstr>
      <vt:lpstr>scorwc2023poolstbcon</vt:lpstr>
      <vt:lpstr>scorwc2023poolstriesconc</vt:lpstr>
      <vt:lpstr>scorwc2023poolstriescored</vt:lpstr>
      <vt:lpstr>scorwc2023poolswon</vt:lpstr>
      <vt:lpstr>Scotlandalltestshistdrawn</vt:lpstr>
      <vt:lpstr>Scotlandalltestshistlost</vt:lpstr>
      <vt:lpstr>Scotlandalltestshistplayed</vt:lpstr>
      <vt:lpstr>Scotlandalltestshistptscon</vt:lpstr>
      <vt:lpstr>Scotlandalltestshistptsscored</vt:lpstr>
      <vt:lpstr>Scotlandalltestshisttriesscored</vt:lpstr>
      <vt:lpstr>Scotlandalltestshistwon</vt:lpstr>
      <vt:lpstr>Scotlanddrawn</vt:lpstr>
      <vt:lpstr>Scotlandlosingbonus</vt:lpstr>
      <vt:lpstr>Scotlandlost</vt:lpstr>
      <vt:lpstr>Scotlandplayed</vt:lpstr>
      <vt:lpstr>Scotlandptsagainst</vt:lpstr>
      <vt:lpstr>Scotlandptsscored</vt:lpstr>
      <vt:lpstr>Scotlandred</vt:lpstr>
      <vt:lpstr>ScotlandRWChistdrawn</vt:lpstr>
      <vt:lpstr>ScotlandRWChistlost</vt:lpstr>
      <vt:lpstr>ScotlandRWChistplayed</vt:lpstr>
      <vt:lpstr>ScotlandRWChistptscon</vt:lpstr>
      <vt:lpstr>ScotlandRWChistptsscored</vt:lpstr>
      <vt:lpstr>ScotlandRWChisttriesscored</vt:lpstr>
      <vt:lpstr>ScotlandRWChistwon</vt:lpstr>
      <vt:lpstr>Scotlandtriesagainst</vt:lpstr>
      <vt:lpstr>Scotlandtriesscored</vt:lpstr>
      <vt:lpstr>Scotlandtrybonus</vt:lpstr>
      <vt:lpstr>Scotlandwon</vt:lpstr>
      <vt:lpstr>Scotlandyellow</vt:lpstr>
      <vt:lpstr>tgarwc2023overalldg</vt:lpstr>
      <vt:lpstr>tgarwc2023overalldrawn</vt:lpstr>
      <vt:lpstr>tgarwc2023overalllost</vt:lpstr>
      <vt:lpstr>tgarwc2023overallplayed</vt:lpstr>
      <vt:lpstr>tgarwc2023overallptsconc</vt:lpstr>
      <vt:lpstr>tgarwc2023overallptsscored</vt:lpstr>
      <vt:lpstr>tgarwc2023overallrc</vt:lpstr>
      <vt:lpstr>tgarwc2023overalltriesconc</vt:lpstr>
      <vt:lpstr>tgarwc2023overalltriesscored</vt:lpstr>
      <vt:lpstr>tgarwc2023overallwon</vt:lpstr>
      <vt:lpstr>tgarwc2023overallyc</vt:lpstr>
      <vt:lpstr>tgarwc2023poolsdrawn</vt:lpstr>
      <vt:lpstr>tgarwc2023poolslb</vt:lpstr>
      <vt:lpstr>tgarwc2023poolslbcon</vt:lpstr>
      <vt:lpstr>tgarwc2023poolslost</vt:lpstr>
      <vt:lpstr>tgarwc2023poolsplayed</vt:lpstr>
      <vt:lpstr>tgarwc2023poolsptsconc</vt:lpstr>
      <vt:lpstr>tgarwc2023poolsptsscored</vt:lpstr>
      <vt:lpstr>tgarwc2023poolstb</vt:lpstr>
      <vt:lpstr>tgarwc2023poolstbcon</vt:lpstr>
      <vt:lpstr>tgarwc2023poolstriesconc</vt:lpstr>
      <vt:lpstr>tgarwc2023poolstriesscored</vt:lpstr>
      <vt:lpstr>tgarwc2023poolswon</vt:lpstr>
      <vt:lpstr>Ton2019alltestsdrawn</vt:lpstr>
      <vt:lpstr>Ton2019alltestslost</vt:lpstr>
      <vt:lpstr>Ton2019alltestsplayed</vt:lpstr>
      <vt:lpstr>Ton2019alltestsptscon</vt:lpstr>
      <vt:lpstr>Ton2019alltestsptsscored</vt:lpstr>
      <vt:lpstr>Ton2019allteststriescon</vt:lpstr>
      <vt:lpstr>Ton2019allteststriesscored</vt:lpstr>
      <vt:lpstr>Ton2019alltestswon</vt:lpstr>
      <vt:lpstr>Tongaalltestshistdrawn</vt:lpstr>
      <vt:lpstr>Tongaalltestshistlost</vt:lpstr>
      <vt:lpstr>Tongaalltestshistplayed</vt:lpstr>
      <vt:lpstr>Tongaalltestshistptsagainst</vt:lpstr>
      <vt:lpstr>Tongaalltestshistptsscored</vt:lpstr>
      <vt:lpstr>Tongaalltestshisttriesscored</vt:lpstr>
      <vt:lpstr>Tongaalltestshistwon</vt:lpstr>
      <vt:lpstr>TongaRWChistdrawn</vt:lpstr>
      <vt:lpstr>TongaRWChistlost</vt:lpstr>
      <vt:lpstr>TongaRWChistplayed</vt:lpstr>
      <vt:lpstr>TongaRWChistptscon</vt:lpstr>
      <vt:lpstr>TongaRWChistptsscored</vt:lpstr>
      <vt:lpstr>TongaRWChisttriesscored</vt:lpstr>
      <vt:lpstr>TongaRWChistwon</vt:lpstr>
      <vt:lpstr>United_Statesalltestshistdrawn</vt:lpstr>
      <vt:lpstr>United_Statesalltestshistlost</vt:lpstr>
      <vt:lpstr>United_Statesalltestshistplayed</vt:lpstr>
      <vt:lpstr>United_Statesalltestshistptscon</vt:lpstr>
      <vt:lpstr>United_Statesalltestshistptsscored</vt:lpstr>
      <vt:lpstr>United_Statesalltestshisttriesscored</vt:lpstr>
      <vt:lpstr>United_Statesalltestshistwon</vt:lpstr>
      <vt:lpstr>United_StatesRWChistdrawn</vt:lpstr>
      <vt:lpstr>United_StatesRWChistlost</vt:lpstr>
      <vt:lpstr>United_StatesRWChistplayed</vt:lpstr>
      <vt:lpstr>United_StatesRWChistptscon</vt:lpstr>
      <vt:lpstr>United_StatesRWChistptsscored</vt:lpstr>
      <vt:lpstr>United_StatesRWChisttriesscored</vt:lpstr>
      <vt:lpstr>United_StatesRWChistwon</vt:lpstr>
      <vt:lpstr>Uru2019alltestsdrawn</vt:lpstr>
      <vt:lpstr>Uru2019alltestslost</vt:lpstr>
      <vt:lpstr>Uru2019alltestsplayed</vt:lpstr>
      <vt:lpstr>Uru2019alltestsplayedcorrect</vt:lpstr>
      <vt:lpstr>Uru2019alltestsptscon</vt:lpstr>
      <vt:lpstr>Uru2019alltestsptsscored</vt:lpstr>
      <vt:lpstr>Uru2019allteststriescon</vt:lpstr>
      <vt:lpstr>Uru2019allteststriesconcorrect</vt:lpstr>
      <vt:lpstr>Uru2019allteststriesscored</vt:lpstr>
      <vt:lpstr>Uru2019alltestswon</vt:lpstr>
      <vt:lpstr>Urualltestshistdrawn</vt:lpstr>
      <vt:lpstr>Urualltestshistlost</vt:lpstr>
      <vt:lpstr>Urualltestshistplayed</vt:lpstr>
      <vt:lpstr>Urualltestshistptscon</vt:lpstr>
      <vt:lpstr>Urualltestshistptsscored</vt:lpstr>
      <vt:lpstr>Urualltestshisttriesscored</vt:lpstr>
      <vt:lpstr>Urualltestshistwon</vt:lpstr>
      <vt:lpstr>ururwc2023overalldg</vt:lpstr>
      <vt:lpstr>ururwc2023overalldrawn</vt:lpstr>
      <vt:lpstr>ururwc2023overalllost</vt:lpstr>
      <vt:lpstr>ururwc2023overallplayed</vt:lpstr>
      <vt:lpstr>ururwc2023overallptsscored</vt:lpstr>
      <vt:lpstr>ururwc2023overallptssonc</vt:lpstr>
      <vt:lpstr>ururwc2023overallrc</vt:lpstr>
      <vt:lpstr>ururwc2023overalltriessconc</vt:lpstr>
      <vt:lpstr>ururwc2023overalltriesscored</vt:lpstr>
      <vt:lpstr>ururwc2023overallwon</vt:lpstr>
      <vt:lpstr>ururwc2023overallyc</vt:lpstr>
      <vt:lpstr>ururwc2023poolsdrawn</vt:lpstr>
      <vt:lpstr>ururwc2023poolslb</vt:lpstr>
      <vt:lpstr>ururwc2023poolslbcon</vt:lpstr>
      <vt:lpstr>ururwc2023poolslost</vt:lpstr>
      <vt:lpstr>ururwc2023poolsplayed</vt:lpstr>
      <vt:lpstr>ururwc2023poolsptsconc</vt:lpstr>
      <vt:lpstr>ururwc2023poolsptsscored</vt:lpstr>
      <vt:lpstr>ururwc2023poolstb</vt:lpstr>
      <vt:lpstr>ururwc2023poolstbcon</vt:lpstr>
      <vt:lpstr>ururwc2023poolstriesconc</vt:lpstr>
      <vt:lpstr>ururwc2023poolstriesscored</vt:lpstr>
      <vt:lpstr>ururwc2023poolswon</vt:lpstr>
      <vt:lpstr>UruRWChistdrawn</vt:lpstr>
      <vt:lpstr>UruRWChistlost</vt:lpstr>
      <vt:lpstr>UruRWChistplayed</vt:lpstr>
      <vt:lpstr>UruRWChistptscon</vt:lpstr>
      <vt:lpstr>UruRWChistptsscored</vt:lpstr>
      <vt:lpstr>UruRWChisttriesscored</vt:lpstr>
      <vt:lpstr>UruRWChistwon</vt:lpstr>
      <vt:lpstr>USA2019alltestsdrawn</vt:lpstr>
      <vt:lpstr>USA2019alltestslost</vt:lpstr>
      <vt:lpstr>USA2019alltestsplayed</vt:lpstr>
      <vt:lpstr>USA2019alltestsptscon</vt:lpstr>
      <vt:lpstr>USA2019alltestsptsscored</vt:lpstr>
      <vt:lpstr>USA2019allteststriescon</vt:lpstr>
      <vt:lpstr>USA2019allteststriesscored</vt:lpstr>
      <vt:lpstr>USA2019alltestswon</vt:lpstr>
      <vt:lpstr>vtriesscored</vt:lpstr>
      <vt:lpstr>Wal2019alltestsdrawn</vt:lpstr>
      <vt:lpstr>Wal2019alltestslostcorrect</vt:lpstr>
      <vt:lpstr>Wal2019alltestsplayed</vt:lpstr>
      <vt:lpstr>Wal2019alltestsptscon</vt:lpstr>
      <vt:lpstr>Wal2019alltestsptsscored</vt:lpstr>
      <vt:lpstr>Wal2019allteststriescon</vt:lpstr>
      <vt:lpstr>Wal2019allteststriesscored</vt:lpstr>
      <vt:lpstr>Wal2019alltestswon</vt:lpstr>
      <vt:lpstr>wal6ntriesconc</vt:lpstr>
      <vt:lpstr>Walesalltestshistdrawn</vt:lpstr>
      <vt:lpstr>Walesalltestshistlost</vt:lpstr>
      <vt:lpstr>Walesalltestshistplayed</vt:lpstr>
      <vt:lpstr>Walesalltestshistptscon</vt:lpstr>
      <vt:lpstr>Walesalltestshistptsscored</vt:lpstr>
      <vt:lpstr>Walesalltestshisttriesscored</vt:lpstr>
      <vt:lpstr>Walesalltestshistwon</vt:lpstr>
      <vt:lpstr>Walesdrawn</vt:lpstr>
      <vt:lpstr>Waleslosingbonus</vt:lpstr>
      <vt:lpstr>Waleslost</vt:lpstr>
      <vt:lpstr>Walesplayed</vt:lpstr>
      <vt:lpstr>Walesptsagainst</vt:lpstr>
      <vt:lpstr>Walesptsscored</vt:lpstr>
      <vt:lpstr>Walesred</vt:lpstr>
      <vt:lpstr>WalesRWChistdrawn</vt:lpstr>
      <vt:lpstr>WalesRWChistlost</vt:lpstr>
      <vt:lpstr>WalesRWChistplayed</vt:lpstr>
      <vt:lpstr>WalesRWChistptscon</vt:lpstr>
      <vt:lpstr>WalesRWChistptsscored</vt:lpstr>
      <vt:lpstr>WalesRWChisttriesscored</vt:lpstr>
      <vt:lpstr>WalesRWChistwon</vt:lpstr>
      <vt:lpstr>Walestriesagainst</vt:lpstr>
      <vt:lpstr>Walestriesscored</vt:lpstr>
      <vt:lpstr>Walestrybonus</vt:lpstr>
      <vt:lpstr>Waleswon</vt:lpstr>
      <vt:lpstr>Walesyellow</vt:lpstr>
      <vt:lpstr>walrwc2023overalldg</vt:lpstr>
      <vt:lpstr>walrwc2023overalldrawn</vt:lpstr>
      <vt:lpstr>walrwc2023overalllost</vt:lpstr>
      <vt:lpstr>walrwc2023overallplayed</vt:lpstr>
      <vt:lpstr>walrwc2023overallptsconc</vt:lpstr>
      <vt:lpstr>walrwc2023overallptsscored</vt:lpstr>
      <vt:lpstr>walrwc2023overallrc</vt:lpstr>
      <vt:lpstr>walrwc2023overalltriesconc</vt:lpstr>
      <vt:lpstr>walrwc2023overalltriesscored</vt:lpstr>
      <vt:lpstr>walrwc2023overallwon</vt:lpstr>
      <vt:lpstr>walrwc2023overallyc</vt:lpstr>
      <vt:lpstr>walrwc2023poolsdrawn</vt:lpstr>
      <vt:lpstr>walrwc2023poolslb</vt:lpstr>
      <vt:lpstr>walrwc2023poolslbcon</vt:lpstr>
      <vt:lpstr>walrwc2023poolslost</vt:lpstr>
      <vt:lpstr>walrwc2023poolsplayed</vt:lpstr>
      <vt:lpstr>walrwc2023poolsptsconc</vt:lpstr>
      <vt:lpstr>walrwc2023poolsptsscored</vt:lpstr>
      <vt:lpstr>walrwc2023poolstb</vt:lpstr>
      <vt:lpstr>walrwc2023poolstbcon</vt:lpstr>
      <vt:lpstr>walrwc2023poolstriesconc</vt:lpstr>
      <vt:lpstr>walrwc2023poolstriesscored</vt:lpstr>
      <vt:lpstr>walrwc2023poolswon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dc:creator>
  <cp:lastModifiedBy>Ade Hill</cp:lastModifiedBy>
  <cp:lastPrinted>2014-11-10T19:20:47Z</cp:lastPrinted>
  <dcterms:created xsi:type="dcterms:W3CDTF">2013-06-01T17:42:48Z</dcterms:created>
  <dcterms:modified xsi:type="dcterms:W3CDTF">2025-02-18T13:27:48Z</dcterms:modified>
</cp:coreProperties>
</file>