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97d62a7607d3ee9b/PREMIERSHIP RUGBY/Season 2021-22/"/>
    </mc:Choice>
  </mc:AlternateContent>
  <xr:revisionPtr revIDLastSave="12919" documentId="8_{5322D703-D584-4D80-86D0-DFF99406177B}" xr6:coauthVersionLast="47" xr6:coauthVersionMax="47" xr10:uidLastSave="{7C4D9E85-54FE-4FE8-B2AC-4433EFA0F65F}"/>
  <bookViews>
    <workbookView xWindow="-26192" yWindow="-109" windowWidth="26301" windowHeight="14169" tabRatio="952" activeTab="8" xr2:uid="{00000000-000D-0000-FFFF-FFFF00000000}"/>
  </bookViews>
  <sheets>
    <sheet name="BTH" sheetId="1" r:id="rId1"/>
    <sheet name="BRI" sheetId="6" r:id="rId2"/>
    <sheet name="EXE" sheetId="2" r:id="rId3"/>
    <sheet name="GLO" sheetId="3" r:id="rId4"/>
    <sheet name="HAR" sheetId="4" r:id="rId5"/>
    <sheet name="LEIC" sheetId="5" r:id="rId6"/>
    <sheet name="LIR" sheetId="8" r:id="rId7"/>
    <sheet name="NEW" sheetId="11" r:id="rId8"/>
    <sheet name="NOR" sheetId="9" r:id="rId9"/>
    <sheet name="SAL" sheetId="10" r:id="rId10"/>
    <sheet name="SAR" sheetId="14" r:id="rId11"/>
    <sheet name="WAS" sheetId="7" r:id="rId12"/>
    <sheet name="WOR" sheetId="12" r:id="rId13"/>
    <sheet name="OVERALL" sheetId="13" r:id="rId14"/>
  </sheets>
  <externalReferences>
    <externalReference r:id="rId15"/>
  </externalReferences>
  <definedNames>
    <definedName name="A_Wallerpts">NOR!$H$40</definedName>
    <definedName name="A_Wallertries">NOR!$B$40</definedName>
    <definedName name="Abbottjakepts">WOR!#REF!</definedName>
    <definedName name="Abbottjaketries">WOR!#REF!</definedName>
    <definedName name="Abendanonnickpts">BTH!#REF!</definedName>
    <definedName name="Abendanonnicktries">BTH!#REF!</definedName>
    <definedName name="Ackermannglopts">GLO!$G$3</definedName>
    <definedName name="Ackermannglotries">GLO!$B$3</definedName>
    <definedName name="Adams_Halesarpts">NEW!#REF!</definedName>
    <definedName name="Adams_Halesarptscorrect">SAR!$G$3</definedName>
    <definedName name="Adams_Halesartries">NEW!#REF!</definedName>
    <definedName name="Adams_Halesartriescorrect">SAR!$B$3</definedName>
    <definedName name="Adamsworpts">WOR!#REF!</definedName>
    <definedName name="Adamswortries">WOR!#REF!</definedName>
    <definedName name="Addisonsalpts">SAL!#REF!</definedName>
    <definedName name="Addisonsaltries">SAL!#REF!</definedName>
    <definedName name="Adejimisarpts">SAR!$G$4</definedName>
    <definedName name="Adejimisartries">SAR!$B$4</definedName>
    <definedName name="Adendorffnorpts">NOR!#REF!</definedName>
    <definedName name="Adendorffnortries">NOR!#REF!</definedName>
    <definedName name="Adeolokunbripts">BRI!$G$3</definedName>
    <definedName name="Adeolokunbritries">BRI!$B$3</definedName>
    <definedName name="afoabripts">BRI!$G$4</definedName>
    <definedName name="afoabritries">BRI!$B$4</definedName>
    <definedName name="Afoaglopts">GLO!#REF!</definedName>
    <definedName name="Afoaglotries">GLO!#REF!</definedName>
    <definedName name="Agullabatpts">BTH!#REF!</definedName>
    <definedName name="Agullabattries">BTH!#REF!</definedName>
    <definedName name="Agullapts">BTH!#REF!</definedName>
    <definedName name="Agullatries">BTH!#REF!</definedName>
    <definedName name="Ah_Younewpts">LIR!$G$4</definedName>
    <definedName name="Ah_Younewtries">LIR!$B$4</definedName>
    <definedName name="Aholeleiwelshpts">WOR!$G$3</definedName>
    <definedName name="Aholeleiwelshtries">WOR!$B$3</definedName>
    <definedName name="Alemannoglopts">GLO!$G$4</definedName>
    <definedName name="Alemannoglotries">GLO!$B$4</definedName>
    <definedName name="Allenanthonypts">LEIC!#REF!</definedName>
    <definedName name="Allenanthonytries">LEIC!#REF!</definedName>
    <definedName name="Allinsonbatpts">BTH!#REF!</definedName>
    <definedName name="Allinsonbattries">BTH!#REF!</definedName>
    <definedName name="allinsonliatt">BRI!$M$11</definedName>
    <definedName name="allinsonligoals">BRI!$L$11</definedName>
    <definedName name="Allinsonlipts">BRI!#REF!</definedName>
    <definedName name="Allinsonlitries">BRI!#REF!</definedName>
    <definedName name="Allinsonpts">BRI!#REF!</definedName>
    <definedName name="Allinsontries">BRI!#REF!</definedName>
    <definedName name="Allmannorpts">NOR!#REF!</definedName>
    <definedName name="Allmannortries">NOR!#REF!</definedName>
    <definedName name="Alofafartries">HAR!#REF!</definedName>
    <definedName name="Alofaharpts">HAR!#REF!</definedName>
    <definedName name="Aloworpts">WOR!#REF!</definedName>
    <definedName name="Alowortries">WOR!#REF!</definedName>
    <definedName name="Armanddonpts">EXE!$G$3</definedName>
    <definedName name="Armanddontries">EXE!$B$3</definedName>
    <definedName name="Armitageguytries">BRI!#REF!</definedName>
    <definedName name="Armitagewaspts">WAS!$H$3</definedName>
    <definedName name="Armitagewastries">WAS!$B$3</definedName>
    <definedName name="Armstrongbripts">BRI!$G$7</definedName>
    <definedName name="Armstrongbritries">BRI!$B$7</definedName>
    <definedName name="Armstrongjakebripts">BRI!$G$5</definedName>
    <definedName name="Armstrongjakebritries">BRI!$B$5</definedName>
    <definedName name="Armtageguypts">BRI!#REF!</definedName>
    <definedName name="Arnottexepts">EXE!#REF!</definedName>
    <definedName name="Arnottexetries">EXE!#REF!</definedName>
    <definedName name="Arscottbatpts">BTH!#REF!</definedName>
    <definedName name="Arscottbattries">BTH!#REF!</definedName>
    <definedName name="arscottbriatt">BRI!#REF!</definedName>
    <definedName name="Arscottbrigoals">BRI!#REF!</definedName>
    <definedName name="Arscottlukepts">EXE!#REF!</definedName>
    <definedName name="Arscottluketries">EXE!#REF!</definedName>
    <definedName name="arscottnewatt">LIR!$M$4</definedName>
    <definedName name="arscottnewgls">LIR!$L$4</definedName>
    <definedName name="Arscottnewpts">LIR!$G$5</definedName>
    <definedName name="Arscottnewptscorrect">NEW!#REF!</definedName>
    <definedName name="Arscottnewtries">LIR!$B$5</definedName>
    <definedName name="Arscottnewtriescorrect">NEW!#REF!</definedName>
    <definedName name="Arscottsalpts">SAL!#REF!</definedName>
    <definedName name="Arscottsaltries">SAL!#REF!</definedName>
    <definedName name="arscotttomatt">SAL!#REF!</definedName>
    <definedName name="arscotttomgoals">SAL!#REF!</definedName>
    <definedName name="Arscotttompts">SAL!#REF!</definedName>
    <definedName name="Arscotttomptscorrect">SAL!#REF!</definedName>
    <definedName name="Arscotttomtries">SAL!#REF!</definedName>
    <definedName name="Arundellirpts">LIR!$G$3</definedName>
    <definedName name="Arundellirtries">LIR!$B$3</definedName>
    <definedName name="Ascherlbripts">BRI!$G$6</definedName>
    <definedName name="Ascherlbritries">BRI!$B$6</definedName>
    <definedName name="Ashmansalpts">SAL!$G$3</definedName>
    <definedName name="Ashmansaltries">SAL!$B$3</definedName>
    <definedName name="Ashtonchrisptscorrect">NEW!#REF!</definedName>
    <definedName name="Ashtonchristriescorrect">NEW!#REF!</definedName>
    <definedName name="Ashtonpts">NEW!#REF!</definedName>
    <definedName name="Ashtonsalpts">SAL!#REF!</definedName>
    <definedName name="Ashtonsaltries">SAL!#REF!</definedName>
    <definedName name="ashtontries">NEW!#REF!</definedName>
    <definedName name="Ashtonworpts">WOR!#REF!</definedName>
    <definedName name="Ashtonwortries">WOR!#REF!</definedName>
    <definedName name="Atkinsbthatt">BTH!$O$4</definedName>
    <definedName name="Atkinsbthgls">BTH!$N$4</definedName>
    <definedName name="Atkinsbthpts">BTH!$H$3</definedName>
    <definedName name="Atkinsbthtries">BTH!$B$3</definedName>
    <definedName name="atkinsliratt">BRI!$M$8</definedName>
    <definedName name="atkinslirgls">BRI!$L$8</definedName>
    <definedName name="Atkinsonglopts">GLO!$G$5</definedName>
    <definedName name="Atkinsonglotries">GLO!$B$5</definedName>
    <definedName name="atkinsonwasatt">WAS!$O$4</definedName>
    <definedName name="atkinsonwasgls">WAS!$N$4</definedName>
    <definedName name="Atkinsonwaspts">WAS!$H$4</definedName>
    <definedName name="Atkinsonwastries">WAS!$B$4</definedName>
    <definedName name="Atkinsonworpts">WOR!$G$4</definedName>
    <definedName name="Atkinsonwortries">WOR!$B$4</definedName>
    <definedName name="Attwooddavepts">BTH!#REF!</definedName>
    <definedName name="Attwooddavetries">BTH!#REF!</definedName>
    <definedName name="Attwoodpts">BTH!$H$31</definedName>
    <definedName name="attwoodtries">BTH!#REF!</definedName>
    <definedName name="Augustusnorpts">NOR!$H$3</definedName>
    <definedName name="Augustusnortries">NOR!$B$3</definedName>
    <definedName name="Aulikalipts">BRI!#REF!</definedName>
    <definedName name="Aulikalitries">BRI!#REF!</definedName>
    <definedName name="Aulikasalpts">SAL!#REF!</definedName>
    <definedName name="Aulikasaltries">SAL!#REF!</definedName>
    <definedName name="Autagavaiafaatoinapts">NOR!#REF!</definedName>
    <definedName name="Autagavaiafaatoinatries">NOR!#REF!</definedName>
    <definedName name="Auteracharpts">HAR!#REF!</definedName>
    <definedName name="Auterachartries">HAR!#REF!</definedName>
    <definedName name="Auteracnicbatpts">BTH!#REF!</definedName>
    <definedName name="auteracnicbattries">BTH!#REF!</definedName>
    <definedName name="Auteracnorpts">NOR!$H$4</definedName>
    <definedName name="Auteracnortries">NOR!$B$4</definedName>
    <definedName name="Awcockalanpts">WOR!#REF!</definedName>
    <definedName name="Awcockalantries">WOR!#REF!</definedName>
    <definedName name="Ayerzaleipts">LEIC!#REF!</definedName>
    <definedName name="Ayerzaleitries">LEIC!#REF!</definedName>
    <definedName name="Baileipts">LEIC!#REF!</definedName>
    <definedName name="Baileitries">LEIC!#REF!</definedName>
    <definedName name="baileybthatt">BTH!$O$5</definedName>
    <definedName name="Baileybthgls">BTH!$N$5</definedName>
    <definedName name="Baileybthpts">BTH!$H$4</definedName>
    <definedName name="Baileybthtries">BTH!$B$4</definedName>
    <definedName name="Bainessalpts">SAL!#REF!</definedName>
    <definedName name="Bainessaltries">SAL!#REF!</definedName>
    <definedName name="Baldwinharpts">HAR!$G$3</definedName>
    <definedName name="Baldwinhartries">HAR!$B$3</definedName>
    <definedName name="Balmainglopts">GLO!$G$6</definedName>
    <definedName name="Balmainglotries">GLO!$B$6</definedName>
    <definedName name="Balmainleipts">LEIC!#REF!</definedName>
    <definedName name="Balmainleitries">LEIC!#REF!</definedName>
    <definedName name="banahanbatatt">BTH!#REF!</definedName>
    <definedName name="banahanbatgoals">BTH!#REF!</definedName>
    <definedName name="Banahanglopts">GLO!#REF!</definedName>
    <definedName name="Banahanglotries">GLO!#REF!</definedName>
    <definedName name="Banahanmatttries">BTH!#REF!</definedName>
    <definedName name="Banahanpts2">BTH!#REF!</definedName>
    <definedName name="Banahanptscorrect">BTH!#REF!</definedName>
    <definedName name="Banahantries">BTH!#REF!</definedName>
    <definedName name="banahantries2">BTH!#REF!</definedName>
    <definedName name="Banahantriescorrect">BTH!#REF!</definedName>
    <definedName name="banhanpts">BTH!#REF!</definedName>
    <definedName name="Barbearywaspts">WAS!$H$5</definedName>
    <definedName name="Barbearywastrie">WAS!$B$5</definedName>
    <definedName name="Barbierileipts">LEIC!$G$3</definedName>
    <definedName name="Barbierileitries">LEIC!$B$3</definedName>
    <definedName name="Barkleyollypts">WOR!#REF!</definedName>
    <definedName name="Barkleyollytries">WOR!#REF!</definedName>
    <definedName name="barkleywelatt">WOR!#REF!</definedName>
    <definedName name="barkleywelgoals">WOR!#REF!</definedName>
    <definedName name="Barnesnewpts">LIR!#REF!</definedName>
    <definedName name="Barnesnewtries">LIR!#REF!</definedName>
    <definedName name="Barringtonrichardpts">NEW!$G$3</definedName>
    <definedName name="Barringtonrichardtries">NEW!$B$3</definedName>
    <definedName name="Barringtonsarptscorrect">SAR!$G$5</definedName>
    <definedName name="Barringtonsartriescorrect">SAR!$B$5</definedName>
    <definedName name="Barrittbradpts">NEW!$G$4</definedName>
    <definedName name="Barrittbradtries">NEW!$B$4</definedName>
    <definedName name="Barrownewpts">LIR!#REF!</definedName>
    <definedName name="Barrownewtries">LIR!#REF!</definedName>
    <definedName name="Barrownorpts">NOR!#REF!</definedName>
    <definedName name="Barrownortries">NOR!#REF!</definedName>
    <definedName name="Bartlettglopts">GLO!$G$7</definedName>
    <definedName name="Bartlettglotries">GLO!$B$7</definedName>
    <definedName name="Bartongloatt">GLO!$M$4</definedName>
    <definedName name="Bartonglogls">GLO!$L$4</definedName>
    <definedName name="Bartonglopts">GLO!$G$8</definedName>
    <definedName name="Bartonglotries">GLO!$B$8</definedName>
    <definedName name="Bashamnewpts">LIR!#REF!</definedName>
    <definedName name="Bashamnewtries">LIR!#REF!</definedName>
    <definedName name="bassettjoshtries">WAS!#REF!</definedName>
    <definedName name="Bassettpts">WAS!#REF!</definedName>
    <definedName name="bassetttries">WAS!#REF!</definedName>
    <definedName name="Bassettwaspts">WAS!$H$6</definedName>
    <definedName name="Bassettwastries">WAS!$B$6</definedName>
    <definedName name="Batemangregpts">EXE!#REF!</definedName>
    <definedName name="Batemangregtries">EXE!#REF!</definedName>
    <definedName name="Batemanleipts">LEIC!$G$4</definedName>
    <definedName name="Batemanleitries">LEIC!$B$4</definedName>
    <definedName name="Batesbripts">BRI!$G$8</definedName>
    <definedName name="Batesbritries">BRI!$B$8</definedName>
    <definedName name="bathpentries">BTH!#REF!</definedName>
    <definedName name="bathpentriespts">BTH!#REF!</definedName>
    <definedName name="bathpentriesptscorrect">BTH!#REF!</definedName>
    <definedName name="bathpentriesptsthisone">BTH!$H$31</definedName>
    <definedName name="bathpentriestriescorrect">BTH!#REF!</definedName>
    <definedName name="bathpentriestriesthisone">BTH!$B$31</definedName>
    <definedName name="BathPts">BTH!$H$51</definedName>
    <definedName name="bathscorers">BTH!#REF!</definedName>
    <definedName name="BathTries">BTH!$B$51</definedName>
    <definedName name="Batleybripts">BRI!#REF!</definedName>
    <definedName name="Batleybritries">BRI!#REF!</definedName>
    <definedName name="Batleyworpts">WOR!$G$5</definedName>
    <definedName name="Batleywortries">WOR!$B$5</definedName>
    <definedName name="Battyrosspts">BTH!#REF!</definedName>
    <definedName name="Battyrosstries">BTH!#REF!</definedName>
    <definedName name="Baylissbthpts">BTH!$H$5</definedName>
    <definedName name="Baylissbthtries">BTH!$B$5</definedName>
    <definedName name="Bealewaspts">WAS!#REF!</definedName>
    <definedName name="Bealewastries">WAS!#REF!</definedName>
    <definedName name="beardharatt">HAR!$M$6</definedName>
    <definedName name="beardhargls">HAR!$L$6</definedName>
    <definedName name="Beardharpts">HAR!$G$5</definedName>
    <definedName name="Beardhartries">HAR!$B$5</definedName>
    <definedName name="Beatonsarpts">SAR!$G$6</definedName>
    <definedName name="Beatonsartries">SAR!$B$6</definedName>
    <definedName name="Beaumontsalpts">SAL!$G$4</definedName>
    <definedName name="Beaumontsaltries">SAL!$B$4</definedName>
    <definedName name="Beckworpts">WOR!$G$6</definedName>
    <definedName name="Beckwortries">WOR!$B$6</definedName>
    <definedName name="bedlowbriatt">BRI!$M$4</definedName>
    <definedName name="Bedlowbrigls">BRI!$L$4</definedName>
    <definedName name="Bedlowbripts">BRI!$G$9</definedName>
    <definedName name="bedlowbritries">BRI!$B$9</definedName>
    <definedName name="bedlowsalatt">SAL!#REF!</definedName>
    <definedName name="Bedlowsalgls">SAL!#REF!</definedName>
    <definedName name="BedlowSALPTS">SAL!#REF!</definedName>
    <definedName name="BedlowSALTRIES">SAL!#REF!</definedName>
    <definedName name="Beechcharliepts">BTH!#REF!</definedName>
    <definedName name="Beechcharlietries">BTH!#REF!</definedName>
    <definedName name="Bell_C">WAS!#REF!</definedName>
    <definedName name="Bellchrispts">WAS!#REF!</definedName>
    <definedName name="Bellchristries">WAS!#REF!</definedName>
    <definedName name="bellleiatt">LEIC!$M$6</definedName>
    <definedName name="Bellleigoals">LEIC!$L$6</definedName>
    <definedName name="Bellleipts">LEIC!#REF!</definedName>
    <definedName name="Bellleitries">LEIC!#REF!</definedName>
    <definedName name="Belltommypts">WAS!#REF!</definedName>
    <definedName name="Belltommytries">WAS!#REF!</definedName>
    <definedName name="BenettonPts">[1]BEN!$F$54</definedName>
    <definedName name="BenettonTries">[1]BEN!$B$54</definedName>
    <definedName name="Benjaminleipts">LEIC!#REF!</definedName>
    <definedName name="Benjaminleitries">LEIC!#REF!</definedName>
    <definedName name="Benjaminmilespts">LEIC!#REF!</definedName>
    <definedName name="Benjaminmilestries">LEIC!#REF!</definedName>
    <definedName name="Bennettnorpts">NOR!#REF!</definedName>
    <definedName name="Bennettnortries">NOR!#REF!</definedName>
    <definedName name="bensonharatt">HAR!$M$7</definedName>
    <definedName name="bensonhargls">HAR!$L$7</definedName>
    <definedName name="Bentleyjonnypts">GLO!$G$48</definedName>
    <definedName name="Bettencourtnewpts">LIR!#REF!</definedName>
    <definedName name="Bettencourtnewtries">LIR!#REF!</definedName>
    <definedName name="Bettysampts">WOR!#REF!</definedName>
    <definedName name="Bettysamtries">WOR!#REF!</definedName>
    <definedName name="Bevingtonbstpts">BRI!$G$7</definedName>
    <definedName name="Bevingtonbsttries">BRI!$B$7</definedName>
    <definedName name="Biggarnorpts">NOR!$H$5</definedName>
    <definedName name="Biggarnortries">NOR!$B$5</definedName>
    <definedName name="Biggstompts">BTH!#REF!</definedName>
    <definedName name="Biggstomtries">BTH!#REF!</definedName>
    <definedName name="Birchsalpts">SAL!$G$5</definedName>
    <definedName name="Birchsaltries">SAL!$B$5</definedName>
    <definedName name="Blackworpts">WOR!#REF!</definedName>
    <definedName name="Blackwortries">WOR!#REF!</definedName>
    <definedName name="Blairnewpts">LIR!$G$9</definedName>
    <definedName name="Blairpts">LIR!$G$12</definedName>
    <definedName name="Blairtries">LIR!$B$9</definedName>
    <definedName name="Blakeglopts">GLO!$G$9</definedName>
    <definedName name="Blakeglotries">GLO!$B$9</definedName>
    <definedName name="Blamirenewpts">LIR!$G$6</definedName>
    <definedName name="Blamirenewtries">LIR!$B$6</definedName>
    <definedName name="Blommetjiesleicpts">LEIC!$G$7</definedName>
    <definedName name="Blommetjiesleictries">LEIC!$B$7</definedName>
    <definedName name="Bodillyexepts">EXE!#REF!</definedName>
    <definedName name="Bodillyexetries">EXE!#REF!</definedName>
    <definedName name="boschatt">NEW!#REF!</definedName>
    <definedName name="Boschgoals">NEW!#REF!</definedName>
    <definedName name="Boschmarcelopts">NEW!$G$5</definedName>
    <definedName name="Boschmarcelotries">NEW!$B$5</definedName>
    <definedName name="Bothaexepts">EXE!#REF!</definedName>
    <definedName name="Bothaexetries">EXE!#REF!</definedName>
    <definedName name="Bothalirpts">LIR!#REF!</definedName>
    <definedName name="Bothalirtries">LIR!#REF!</definedName>
    <definedName name="Bothamouritzpts">NEW!#REF!</definedName>
    <definedName name="Bothamouritztries">NEW!#REF!</definedName>
    <definedName name="Bothmaharpts">HAR!#REF!</definedName>
    <definedName name="Bothmahartries">HAR!#REF!</definedName>
    <definedName name="boticaatt">HAR!$M$4</definedName>
    <definedName name="Boticabentries">HAR!#REF!</definedName>
    <definedName name="boticagoals">HAR!$L$4</definedName>
    <definedName name="Boticaharpts">HAR!#REF!</definedName>
    <definedName name="Boticapts">HAR!#REF!</definedName>
    <definedName name="Bowdendanpts">LEIC!$G$13</definedName>
    <definedName name="Bowdendantries">LEIC!#REF!</definedName>
    <definedName name="Bowdenpts">LEIC!#REF!</definedName>
    <definedName name="bowdentries">LEIC!#REF!</definedName>
    <definedName name="Boycebthpts">BTH!$H$6</definedName>
    <definedName name="Boycebthtries">BTH!$B$6</definedName>
    <definedName name="Boyceharpts">HAR!#REF!</definedName>
    <definedName name="Boycehartries">HAR!#REF!</definedName>
    <definedName name="Bradyleipts">LEIC!#REF!</definedName>
    <definedName name="Bradyleitries">LEIC!#REF!</definedName>
    <definedName name="Bradytompts">SAL!#REF!</definedName>
    <definedName name="Bradytomtries">SAL!#REF!</definedName>
    <definedName name="Braiddanpts">SAL!#REF!</definedName>
    <definedName name="Braiddantries">SAL!#REF!</definedName>
    <definedName name="Braidpts">SAL!#REF!</definedName>
    <definedName name="Braidtries">SAL!#REF!</definedName>
    <definedName name="braidworatt">WOR!#REF!</definedName>
    <definedName name="braidworgoals">WOR!#REF!</definedName>
    <definedName name="Braidworpts">WOR!#REF!</definedName>
    <definedName name="Braidwortries">WOR!#REF!</definedName>
    <definedName name="Braleyglopts">GLO!#REF!</definedName>
    <definedName name="Braleyglotries">GLO!#REF!</definedName>
    <definedName name="Bregvadzeworpts">WOR!#REF!</definedName>
    <definedName name="Bregvadzewortries">WOR!#REF!</definedName>
    <definedName name="Breslerworpts">WOR!#REF!</definedName>
    <definedName name="Breslerwortries">WOR!#REF!</definedName>
    <definedName name="Brewbthpts">BTH!#REF!</definedName>
    <definedName name="Brewbthtries">BTH!#REF!</definedName>
    <definedName name="Briggsleipts">LEIC!#REF!</definedName>
    <definedName name="Briggsleitries">LEIC!#REF!</definedName>
    <definedName name="Briggssalpts">SAL!#REF!</definedName>
    <definedName name="Briggssaltries">SAL!#REF!</definedName>
    <definedName name="BristolPts">BRI!$G$54</definedName>
    <definedName name="BristolTries">BRI!$B$54</definedName>
    <definedName name="Bristowleipts">LEIC!#REF!</definedName>
    <definedName name="Bristowleitries">LEIC!#REF!</definedName>
    <definedName name="Bristowsalpts">SAL!#REF!</definedName>
    <definedName name="Bristowsaltries">SAL!#REF!</definedName>
    <definedName name="Britspts">NEW!#REF!</definedName>
    <definedName name="britstris">NEW!#REF!</definedName>
    <definedName name="Brittonwelpts">WOR!#REF!</definedName>
    <definedName name="Brittonweltries">WOR!#REF!</definedName>
    <definedName name="Brookerglopts">GLO!#REF!</definedName>
    <definedName name="Brookerglotries">GLO!#REF!</definedName>
    <definedName name="Brookesnewpts">LIR!#REF!</definedName>
    <definedName name="Brookesnewtries">LIR!#REF!</definedName>
    <definedName name="Brookesnoprpts">NOR!$H$5</definedName>
    <definedName name="Brookesnortries">NOR!$B$5</definedName>
    <definedName name="Brookeswaspts">WAS!#REF!</definedName>
    <definedName name="Brookeswastries">WAS!#REF!</definedName>
    <definedName name="Brophy_Clewslirgoals">BRI!#REF!</definedName>
    <definedName name="Brophy_Clewslirpts">BRI!#REF!</definedName>
    <definedName name="Brophy_Clewslirtries">BRI!#REF!</definedName>
    <definedName name="brophyclewsliratt">BRI!#REF!</definedName>
    <definedName name="BrophyClewslirpts">BRI!#REF!</definedName>
    <definedName name="BrophyClewslirtries">BRI!#REF!</definedName>
    <definedName name="Brown">HAR!#REF!</definedName>
    <definedName name="brown2">HAR!#REF!</definedName>
    <definedName name="Brownedanielpts">WOR!#REF!</definedName>
    <definedName name="Brownedanieltries">WOR!#REF!</definedName>
    <definedName name="Brownepetepts">WOR!#REF!</definedName>
    <definedName name="Brownepetetries">WOR!#REF!</definedName>
    <definedName name="brownexepts">EXE!#REF!</definedName>
    <definedName name="brownexetries">EXE!#REF!</definedName>
    <definedName name="Brownharpts">HAR!#REF!</definedName>
    <definedName name="Brownhartries">HAR!#REF!</definedName>
    <definedName name="brownkellypts">NEW!#REF!</definedName>
    <definedName name="brownkellytries">NEW!#REF!</definedName>
    <definedName name="brownmikepts2">HAR!#REF!</definedName>
    <definedName name="Brownmiketries">HAR!#REF!</definedName>
    <definedName name="brownmiketriescorrect">HAR!#REF!</definedName>
    <definedName name="brownnewpts">NEW!$G$6</definedName>
    <definedName name="brownnewtries">NEW!$B$6</definedName>
    <definedName name="brownsarpts">NEW!#REF!</definedName>
    <definedName name="brownsartries">NEW!#REF!</definedName>
    <definedName name="Brussownorpts">NOR!#REF!</definedName>
    <definedName name="Brussownortries">NOR!#REF!</definedName>
    <definedName name="Bryansarpts">SAR!$G$7</definedName>
    <definedName name="Bryansartries">SAR!$B$7</definedName>
    <definedName name="bryantleiatt">LEIC!$M$8</definedName>
    <definedName name="Bryantleigoals">LEIC!$L$8</definedName>
    <definedName name="Bryantleipts">LEIC!#REF!</definedName>
    <definedName name="Bryantleitries">LEIC!#REF!</definedName>
    <definedName name="Buchananpts">HAR!#REF!</definedName>
    <definedName name="buchanantries">HAR!#REF!</definedName>
    <definedName name="Buckleysalpts">SAL!#REF!</definedName>
    <definedName name="Buckleysaltries">SAL!#REF!</definedName>
    <definedName name="Burgerjacquespts">NEW!$G$9</definedName>
    <definedName name="Burgerjacquestries">NEW!$B$9</definedName>
    <definedName name="Burgesssampts">BTH!#REF!</definedName>
    <definedName name="Burgesssamtries">BTH!#REF!</definedName>
    <definedName name="Burnsbillypts">GLO!#REF!</definedName>
    <definedName name="Burnsbillytries">GLO!#REF!</definedName>
    <definedName name="burnsbthpts">BTH!#REF!</definedName>
    <definedName name="burnsbthtries">BTH!#REF!</definedName>
    <definedName name="burnsfreddieatt">GLO!#REF!</definedName>
    <definedName name="burnsfreddiegoals">GLO!#REF!</definedName>
    <definedName name="Burnsfreddiepts">GLO!$G$5</definedName>
    <definedName name="Burnsfreddietries">GLO!$B$48</definedName>
    <definedName name="burnsgloatt">GLO!#REF!</definedName>
    <definedName name="burnsglogoals">GLO!#REF!</definedName>
    <definedName name="Burnsharpts">HAR!#REF!</definedName>
    <definedName name="Burnshartries">HAR!#REF!</definedName>
    <definedName name="burnsleiatt">LEIC!$M$5</definedName>
    <definedName name="Burnsleicpts">LEIC!$G$5</definedName>
    <definedName name="Burnsleictries">LEIC!$B$5</definedName>
    <definedName name="burnsleigoals">LEIC!$L$5</definedName>
    <definedName name="Burnsleipts">LEIC!#REF!</definedName>
    <definedName name="Burnsleitries">LEIC!#REF!</definedName>
    <definedName name="Burrelllutherpts">NOR!#REF!</definedName>
    <definedName name="Burrellnewpts">NEW!$G$7</definedName>
    <definedName name="Burrellnewtries">NEW!$B$7</definedName>
    <definedName name="Burrellpts">NOR!$H$33</definedName>
    <definedName name="Burrelltries">NOR!$B$33</definedName>
    <definedName name="Burrelltriescorrect">NOR!#REF!</definedName>
    <definedName name="Burrowsnewpts">LIR!#REF!</definedName>
    <definedName name="Burrowsnewtries">LIR!#REF!</definedName>
    <definedName name="Buttbthpts">BTH!$H$7</definedName>
    <definedName name="Buttbthtries">BTH!$B$7</definedName>
    <definedName name="Byrnebripts">BRI!$G$10</definedName>
    <definedName name="Byrnebritries">BRI!$B$10</definedName>
    <definedName name="Cahillshanepts">WOR!#REF!</definedName>
    <definedName name="Cahillshanetries">WOR!#REF!</definedName>
    <definedName name="Caldwellexepts">EXE!$G$4</definedName>
    <definedName name="Caldwellexetries">EXE!$B$4</definedName>
    <definedName name="Camacholeipts">LEIC!#REF!</definedName>
    <definedName name="Camacholeitries">LEIC!#REF!</definedName>
    <definedName name="Campagnarowaspts">WAS!#REF!</definedName>
    <definedName name="Campagnarowastries">WAS!#REF!</definedName>
    <definedName name="Cannonwaspts">WAS!#REF!</definedName>
    <definedName name="Cannonwastries">WAS!#REF!</definedName>
    <definedName name="Caponbripts">BRI!$G$11</definedName>
    <definedName name="Caponbritries">BRI!$B$11</definedName>
    <definedName name="Capstickexepts">EXE!$G$4</definedName>
    <definedName name="Capstickexetries">EXE!$B$4</definedName>
    <definedName name="Cardallwaspts">WAS!$H$7</definedName>
    <definedName name="Cardallwastries">WAS!$B$7</definedName>
    <definedName name="CardiffPts">[1]CBL!$F$50</definedName>
    <definedName name="CardiffTries">[1]CBL!$B$50</definedName>
    <definedName name="Care" comment="constant">HAR!$B$7</definedName>
    <definedName name="Carepts">HAR!$G$7</definedName>
    <definedName name="caretries" comment="constant">HAR!$B$7</definedName>
    <definedName name="carlisleatt">WAS!#REF!</definedName>
    <definedName name="carlislegoals">WAS!#REF!</definedName>
    <definedName name="Carlislejoetries">WAS!#REF!</definedName>
    <definedName name="Carlislepts">WAS!#REF!</definedName>
    <definedName name="Carpentersalpts">SAL!$G$6</definedName>
    <definedName name="Carpentersaltries">SAL!$B$6</definedName>
    <definedName name="Carrerasglopts">GLO!$G$10</definedName>
    <definedName name="Carrerasglotries">GLO!$B$10</definedName>
    <definedName name="Carrerasnewpts">NEW!$G$8</definedName>
    <definedName name="Carrerasnewtries">NEW!$B$8</definedName>
    <definedName name="Carrick_Smithexepts">EXE!$G$5</definedName>
    <definedName name="Carrick_Smithexetries">EXE!$B$5</definedName>
    <definedName name="Carrnwaspts">WAS!$H$8</definedName>
    <definedName name="Carrnwastries">WAS!$B$8</definedName>
    <definedName name="Carrwaspts">WAS!#REF!</definedName>
    <definedName name="Carrwastries">WAS!#REF!</definedName>
    <definedName name="Cassonharpts">HAR!#REF!</definedName>
    <definedName name="Cassonhartries">HAR!#REF!</definedName>
    <definedName name="Catonewpts">LIR!#REF!</definedName>
    <definedName name="Catonoahpts">LIR!#REF!</definedName>
    <definedName name="Catonoahtries">LIR!#REF!</definedName>
    <definedName name="Catrakilisharpts">HAR!#REF!</definedName>
    <definedName name="Catrakilishartries">HAR!#REF!</definedName>
    <definedName name="catterickatt">LIR!#REF!</definedName>
    <definedName name="catterickgoals">LIR!#REF!</definedName>
    <definedName name="Cattericknewtries">LIR!#REF!</definedName>
    <definedName name="Catterickpts">LIR!#REF!</definedName>
    <definedName name="Cattericktries">LIR!#REF!</definedName>
    <definedName name="Cattnathanpts">BTH!#REF!</definedName>
    <definedName name="Cattnathantries">BTH!#REF!</definedName>
    <definedName name="Challengerbripts">BRI!$G$12</definedName>
    <definedName name="Challengerbritries">BRI!$B$12</definedName>
    <definedName name="chapmangloatt">GLO!$M$5</definedName>
    <definedName name="chapmanglogls">GLO!$L$5</definedName>
    <definedName name="Chapmanglopts">GLO!$G$11</definedName>
    <definedName name="Chapmanglotries">GLO!$B$11</definedName>
    <definedName name="Charlesbthpts">BTH!#REF!</definedName>
    <definedName name="Charlesbthtries">BTH!#REF!</definedName>
    <definedName name="Charterisbthpts">BTH!#REF!</definedName>
    <definedName name="Charterisbthtries">BTH!#REF!</definedName>
    <definedName name="Cheesemanharpts">HAR!#REF!</definedName>
    <definedName name="Cheesemanhartries">HAR!#REF!</definedName>
    <definedName name="CheetahsPts">[1]CHE!$E$62</definedName>
    <definedName name="CheetahsTries">[1]CHE!$B$62</definedName>
    <definedName name="Chessumleicpts">LEIC!$G$6</definedName>
    <definedName name="Chessumleictries">LEIC!$B$6</definedName>
    <definedName name="Chicknewpts">LIR!$G$12</definedName>
    <definedName name="Chicknewtries">LIR!$B$12</definedName>
    <definedName name="Chisanganewpts">LIR!#REF!</definedName>
    <definedName name="Chisanganewtries">LIR!#REF!</definedName>
    <definedName name="Chisholm_Jharpts">HAR!#REF!</definedName>
    <definedName name="Chisholm_Jhartries">HAR!#REF!</definedName>
    <definedName name="Chisholm_Rharpts">HAR!$G$9</definedName>
    <definedName name="Chisholm_Rhartries">HAR!$B$9</definedName>
    <definedName name="chisholmharatt">HAR!$M$8</definedName>
    <definedName name="chisholmhargls">HAR!$L$8</definedName>
    <definedName name="Chisholmjamesharpts">HAR!$G$8</definedName>
    <definedName name="Chisholmjameshartries">HAR!$B$8</definedName>
    <definedName name="Christiesarptscorrect">SAR!$G$8</definedName>
    <definedName name="Christiesartriescorrect">SAR!$B$8</definedName>
    <definedName name="Chudleybthpts">BTH!$H$7</definedName>
    <definedName name="Chudleybthtries">BTH!$B$7</definedName>
    <definedName name="Chudleyexepts">EXE!#REF!</definedName>
    <definedName name="Chudleyexetries">EXE!#REF!</definedName>
    <definedName name="Chudleyworpts">WOR!$G$8</definedName>
    <definedName name="Chudleywortries">WOR!$B$8</definedName>
    <definedName name="Cilliersleipts">LEIC!#REF!</definedName>
    <definedName name="Cilliersleitries">LEIC!#REF!</definedName>
    <definedName name="Cintilirpts">LIR!$G$7</definedName>
    <definedName name="Cintilirtries">LIR!$B$7</definedName>
    <definedName name="ciprianiatt">SAL!$M$4</definedName>
    <definedName name="ciprianibthatt">BTH!$O$6</definedName>
    <definedName name="ciprianibthgls">BTH!$N$6</definedName>
    <definedName name="ciprianibthpts">BTH!$H$8</definedName>
    <definedName name="Ciprianibthtries">BTH!$B$8</definedName>
    <definedName name="Ciprianidannytries">SAL!#REF!</definedName>
    <definedName name="ciprianigloatt">GLO!#REF!</definedName>
    <definedName name="ciprianiglogls">GLO!#REF!</definedName>
    <definedName name="Ciprianiglopts">GLO!#REF!</definedName>
    <definedName name="Ciprianiglotries">GLO!#REF!</definedName>
    <definedName name="ciprianigoals">SAL!$L$4</definedName>
    <definedName name="Ciprianipts">SAL!#REF!</definedName>
    <definedName name="Ciprianisalpts">SAL!#REF!</definedName>
    <definedName name="ciprianitries">SAL!#REF!</definedName>
    <definedName name="Ciprianitriescorrect">SAL!#REF!</definedName>
    <definedName name="Ciprianiwaspts">WAS!#REF!</definedName>
    <definedName name="Ciprianiwastries">WAS!#REF!</definedName>
    <definedName name="Cittadiniwaspts">WAS!#REF!</definedName>
    <definedName name="Cittadiniwastries">WAS!#REF!</definedName>
    <definedName name="Civettanewpts">LIR!#REF!</definedName>
    <definedName name="Civettanewtries">LIR!#REF!</definedName>
    <definedName name="Clarenorpts">NOR!#REF!</definedName>
    <definedName name="Clarenortries">NOR!#REF!</definedName>
    <definedName name="Clareysarptscorrect">SAR!$G$9</definedName>
    <definedName name="Clareysartriescorrect">SAR!$B$9</definedName>
    <definedName name="Clarkbatpts">BTH!$H$9</definedName>
    <definedName name="Clarkbattries">BTH!$B$9</definedName>
    <definedName name="Clarkcalumpts">NOR!#REF!</definedName>
    <definedName name="Clarkcalumtries">NOR!#REF!</definedName>
    <definedName name="Cleavesharpts">HAR!$G$10</definedName>
    <definedName name="Cleaveshartries">HAR!$B$10</definedName>
    <definedName name="cleggatt">LIR!#REF!</definedName>
    <definedName name="clegggoals">LIR!#REF!</definedName>
    <definedName name="Cleggnewpts">LIR!$G$12</definedName>
    <definedName name="Cleggpts">LIR!$G$9</definedName>
    <definedName name="cleggrorytries">LIR!$B$12</definedName>
    <definedName name="Cleggworpts">WOR!$G$9</definedName>
    <definedName name="Cleggwortries">WOR!$B$9</definedName>
    <definedName name="Clevernewpts">LIR!#REF!</definedName>
    <definedName name="Clevernewtries">LIR!#REF!</definedName>
    <definedName name="Cliffordharpts">HAR!#REF!</definedName>
    <definedName name="Cliffordhartries">HAR!#REF!</definedName>
    <definedName name="Cliffordjackpts">HAR!#REF!</definedName>
    <definedName name="Cliffordjacktries">HAR!#REF!</definedName>
    <definedName name="cliffsalatt">SAL!$M$7</definedName>
    <definedName name="Cliffsalgls">SAL!$L$7</definedName>
    <definedName name="Cliffsalpts">SAL!#REF!</definedName>
    <definedName name="Cliffsaltries">SAL!#REF!</definedName>
    <definedName name="Cliffwillsalpts">SAL!$G$7</definedName>
    <definedName name="Cliffwillsaltries">SAL!$B$7</definedName>
    <definedName name="Cobilassalpts">SAL!#REF!</definedName>
    <definedName name="Cobilassaltries">SAL!#REF!</definedName>
    <definedName name="Cochraneneilpts">WAS!#REF!</definedName>
    <definedName name="Cochraneneiltries">WAS!#REF!</definedName>
    <definedName name="Coetzeebthpts">BTH!$H$10</definedName>
    <definedName name="Coetzeebthtries">BTH!$B$10</definedName>
    <definedName name="Coetzerglopts">GLO!$G$13</definedName>
    <definedName name="Coetzerglotries">GLO!$B$13</definedName>
    <definedName name="Cokanasigabthpts">BTH!$H$11</definedName>
    <definedName name="Cokanasigabthtries">BTH!$B$11</definedName>
    <definedName name="Cokanasigalirpts">BRI!#REF!</definedName>
    <definedName name="Cokanasigalirtries">BRI!#REF!</definedName>
    <definedName name="Cokanasigaplirpts">LIR!$G$8</definedName>
    <definedName name="Cokanasigaplirtries">LIR!$B$8</definedName>
    <definedName name="Coleleipts">LEIC!$G$8</definedName>
    <definedName name="Coleleitries">LEIC!$B$8</definedName>
    <definedName name="Colesnorpts">NOR!$H$6</definedName>
    <definedName name="Colesnortries">NOR!$B$6</definedName>
    <definedName name="Collettnewpts">LIR!$G$13</definedName>
    <definedName name="Collettnewtries">LIR!$B$13</definedName>
    <definedName name="Collierharpts">HAR!$G$11</definedName>
    <definedName name="Collierhartries">HAR!$B$11</definedName>
    <definedName name="Collinstompts">NOR!$H$7</definedName>
    <definedName name="Collinstomtries">NOR!$B$7</definedName>
    <definedName name="Comanlirpts">BRI!#REF!</definedName>
    <definedName name="Comanlirtries">BRI!#REF!</definedName>
    <definedName name="Conlonexepts">EXE!#REF!</definedName>
    <definedName name="Conlonexetries">EXE!#REF!</definedName>
    <definedName name="Conlonjoelpts">EXE!#REF!</definedName>
    <definedName name="Conlonjoeltries">EXE!#REF!</definedName>
    <definedName name="Conlonsarprts">NEW!#REF!</definedName>
    <definedName name="Conlonsartries">NEW!#REF!</definedName>
    <definedName name="ConnachtPts">[1]CON!$F$51</definedName>
    <definedName name="ConnachtTries">[1]CON!$B$51</definedName>
    <definedName name="connonnewatt">LIR!$M$5</definedName>
    <definedName name="connonnewgoals">LIR!$L$5</definedName>
    <definedName name="Connonnewpts">LIR!#REF!</definedName>
    <definedName name="Connonnewptscorrect">LIR!#REF!</definedName>
    <definedName name="Connonnewptscorrectthisone">NEW!$G$11</definedName>
    <definedName name="Connonnewtries">LIR!#REF!</definedName>
    <definedName name="Connonnewtriescorrect">LIR!#REF!</definedName>
    <definedName name="Connonnewtriescorrectthsione">NEW!$B$11</definedName>
    <definedName name="cookatt">GLO!#REF!</definedName>
    <definedName name="Cookbthpts">BTH!$H$12</definedName>
    <definedName name="Cookbthtries">BTH!$B$12</definedName>
    <definedName name="Cookchrispts">BTH!$H$12</definedName>
    <definedName name="Cookchristries">BTH!$B$12</definedName>
    <definedName name="Cookelirpts">LIR!$G$10</definedName>
    <definedName name="Cookelirtries">LIR!$B$10</definedName>
    <definedName name="Cookgoals">GLO!#REF!</definedName>
    <definedName name="Cookpts">GLO!#REF!</definedName>
    <definedName name="Cooktries">GLO!#REF!</definedName>
    <definedName name="Cooper_Woolleypts">WAS!#REF!</definedName>
    <definedName name="Cooper_Woolleysalpts">SAL!#REF!</definedName>
    <definedName name="Cooper_Woolleysaltries">SAL!#REF!</definedName>
    <definedName name="Cooper_Woolleytries">WAS!#REF!</definedName>
    <definedName name="Cooper_Woolleywaspts">WAS!#REF!</definedName>
    <definedName name="Cooper_Woolleywastries">WAS!#REF!</definedName>
    <definedName name="Coopernewpts">LIR!#REF!</definedName>
    <definedName name="Coopernewtries">LIR!#REF!</definedName>
    <definedName name="Cooperwelpts">WOR!#REF!</definedName>
    <definedName name="Cooperweltries">WOR!#REF!</definedName>
    <definedName name="Corbisieronorpts">NOR!#REF!</definedName>
    <definedName name="Corbisieronortries">NOR!#REF!</definedName>
    <definedName name="Corbisieropts">NOR!#REF!</definedName>
    <definedName name="Corbisierotries">NOR!#REF!</definedName>
    <definedName name="Corkermattpts">WOR!#REF!</definedName>
    <definedName name="Corkermatttries">WOR!#REF!</definedName>
    <definedName name="Cornishlirpts">LIR!$G$11</definedName>
    <definedName name="Cornishlirtries">LIR!$B$11</definedName>
    <definedName name="Cosgrovebripts">BRI!#REF!</definedName>
    <definedName name="Cosgrovebritries">BRI!#REF!</definedName>
    <definedName name="Courtlipts">BRI!$G$13</definedName>
    <definedName name="Courtlitries">BRI!$B$13</definedName>
    <definedName name="Cowan_Dickie_Lukepts">EXE!$G$6</definedName>
    <definedName name="Cowan_Dickie_Luketries">EXE!$B$6</definedName>
    <definedName name="Cowan_Dickieleicpts">LEIC!$G$9</definedName>
    <definedName name="Cowan_Dickieleictries">LEIC!$B$9</definedName>
    <definedName name="Cowanblairtries">BRI!#REF!</definedName>
    <definedName name="Cowanjimmypts">GLO!$G$47</definedName>
    <definedName name="Cowanjimmytries">GLO!$B$47</definedName>
    <definedName name="Cowanlipts">BRI!#REF!</definedName>
    <definedName name="Cowanpts">BRI!#REF!</definedName>
    <definedName name="Cowansarpts">NEW!#REF!</definedName>
    <definedName name="Cowansartries">NEW!#REF!</definedName>
    <definedName name="Cowantries">BRI!#REF!</definedName>
    <definedName name="Coxlipts">BRI!#REF!</definedName>
    <definedName name="Coxlitries">BRI!#REF!</definedName>
    <definedName name="Coxmattpts">GLO!#REF!</definedName>
    <definedName name="Coxmatttries">GLO!#REF!</definedName>
    <definedName name="Coxworpts">WOR!$G$10</definedName>
    <definedName name="Coxwortries">WOR!$B$10</definedName>
    <definedName name="Craignorpts">NOR!#REF!</definedName>
    <definedName name="Craignortries">NOR!#REF!</definedName>
    <definedName name="cranebripts">BRI!$G$13</definedName>
    <definedName name="Cranebritries">BRI!$B$13</definedName>
    <definedName name="craneleiatt">LEIC!#REF!</definedName>
    <definedName name="craneleigoals">LEIC!#REF!</definedName>
    <definedName name="Cranepts">LEIC!#REF!</definedName>
    <definedName name="Craneptscorrect">LEIC!#REF!</definedName>
    <definedName name="Cranerhyspts">WOR!#REF!</definedName>
    <definedName name="Cranerhystries">WOR!#REF!</definedName>
    <definedName name="cranetries">LEIC!#REF!</definedName>
    <definedName name="Cranetriescorrect">LEIC!#REF!</definedName>
    <definedName name="Creevyagustinpts">WOR!#REF!</definedName>
    <definedName name="Creevyagustintries">WOR!#REF!</definedName>
    <definedName name="Croallsalpts">SAL!#REF!</definedName>
    <definedName name="Croallsaltries">SAL!#REF!</definedName>
    <definedName name="Croftleipts">LEIC!#REF!</definedName>
    <definedName name="Croftleitries">LEIC!#REF!</definedName>
    <definedName name="Crossdalesarpts">NEW!$G$14</definedName>
    <definedName name="Crossdalesarptscorrect">NEW!$G$12</definedName>
    <definedName name="Crossdalesartries">NEW!$B$14</definedName>
    <definedName name="Crossdalesartriescorrect">NEW!$B$12</definedName>
    <definedName name="Crossdalewaspts">WAS!$H$9</definedName>
    <definedName name="Crossdalewastrioes">WAS!$B$9</definedName>
    <definedName name="Crosslipts">BRI!#REF!</definedName>
    <definedName name="Crosslitries">BRI!#REF!</definedName>
    <definedName name="Crumptonharpts">HAR!#REF!</definedName>
    <definedName name="Crumptonhartries">HAR!#REF!</definedName>
    <definedName name="Crusewaspts">WAS!$H$10</definedName>
    <definedName name="Crusewastries">WAS!$B$10</definedName>
    <definedName name="Cuetopts">SAL!#REF!</definedName>
    <definedName name="Cuetosalpts">SAL!#REF!</definedName>
    <definedName name="Cuetosaltries">SAL!#REF!</definedName>
    <definedName name="cuetotries">SAL!#REF!</definedName>
    <definedName name="Curry_Bsalpts">SAL!$G$8</definedName>
    <definedName name="Curry_Bsaltries">SAL!$B$8</definedName>
    <definedName name="Curry_Tsalpts">SAL!$G$9</definedName>
    <definedName name="Curry_Tsaltries">SAL!$B$9</definedName>
    <definedName name="Curtis_Harrislirpts">LIR!$G$14</definedName>
    <definedName name="Curtis_Harrislirtries">LIR!$B$14</definedName>
    <definedName name="Curtissalpts">SAL!$G$10</definedName>
    <definedName name="Curtissaltries">SAL!$B$10</definedName>
    <definedName name="Curtiswaspts">WAS!#REF!</definedName>
    <definedName name="Curtiswastries">WAS!#REF!</definedName>
    <definedName name="Cusitersalpts">SAL!#REF!</definedName>
    <definedName name="Cusitersaltries">SAL!#REF!</definedName>
    <definedName name="Daltonnewpts">NEW!$G$13</definedName>
    <definedName name="Daltonnewtries">NEW!$B$13</definedName>
    <definedName name="Dalyelliotpts">WAS!#REF!</definedName>
    <definedName name="Dalyelliottries">WAS!#REF!</definedName>
    <definedName name="dalysarattcorrect">SAR!$M$9</definedName>
    <definedName name="dalysarglscorrect">SAR!$L$9</definedName>
    <definedName name="Dalysarptscorrect">SAR!$G$10</definedName>
    <definedName name="Dalysartriescorrect">SAR!$B$10</definedName>
    <definedName name="dalywasatt">WAS!#REF!</definedName>
    <definedName name="dalywasgoals">WAS!#REF!</definedName>
    <definedName name="Dalywaspts">WAS!#REF!</definedName>
    <definedName name="Danaherdeclanpts">BRI!#REF!</definedName>
    <definedName name="Danaherdeclantries">BRI!#REF!</definedName>
    <definedName name="danielsbriatt">BRI!#REF!</definedName>
    <definedName name="Danielsbrigls">BRI!#REF!</definedName>
    <definedName name="Danielsbripts">BRI!$G$14</definedName>
    <definedName name="Danielsbritries">BRI!$B$14</definedName>
    <definedName name="dasdsa">NEW!#REF!</definedName>
    <definedName name="Davidharpts">HAR!$G$12</definedName>
    <definedName name="Davidhartries">HAR!$B$12</definedName>
    <definedName name="Davidsonglopts">GLO!$G$15</definedName>
    <definedName name="Davidsonglotries">GLO!$B$15</definedName>
    <definedName name="Davidsonnewpts">LIR!$G$18</definedName>
    <definedName name="Davidsonnewtries">LIR!$B$18</definedName>
    <definedName name="Davidworpts">WOR!#REF!</definedName>
    <definedName name="Davidwortries">WOR!#REF!</definedName>
    <definedName name="Davies_Bwaspts">WAS!#REF!</definedName>
    <definedName name="Davies_Bwsstries">WAS!#REF!</definedName>
    <definedName name="Davies_Cwaspts">WAS!#REF!</definedName>
    <definedName name="Davies_Cwastries">WAS!#REF!</definedName>
    <definedName name="Daviesalexpts">WOR!$G$7</definedName>
    <definedName name="Daviesalextries">WOR!$B$7</definedName>
    <definedName name="daviesbthatt">BTH!#REF!</definedName>
    <definedName name="daviesbthgls">BTH!#REF!</definedName>
    <definedName name="Daviesbthpts">BTH!#REF!</definedName>
    <definedName name="Daviesbthtries">BTH!#REF!</definedName>
    <definedName name="Daviescharliepts">WAS!#REF!</definedName>
    <definedName name="Daviescharlietries">WAS!#REF!</definedName>
    <definedName name="Davieselliottpts">WOR!#REF!</definedName>
    <definedName name="Davieselliotttries">WOR!#REF!</definedName>
    <definedName name="Daviesexepts">EXE!#REF!</definedName>
    <definedName name="Daviesexetries">EXE!#REF!</definedName>
    <definedName name="Daviesnewpts">LIR!#REF!</definedName>
    <definedName name="Daviesnewtries">LIR!#REF!</definedName>
    <definedName name="Daviesnorpts">NOR!#REF!</definedName>
    <definedName name="Daviesnortries">NOR!#REF!</definedName>
    <definedName name="Daviessarptscorrect">SAR!$G$11</definedName>
    <definedName name="Daviessartriescorrect">SAR!$B$11</definedName>
    <definedName name="davieswelatt">WOR!#REF!</definedName>
    <definedName name="davieswelgoals">WOR!#REF!</definedName>
    <definedName name="Davisbthpts">BTH!#REF!</definedName>
    <definedName name="Davisbthtries">BTH!#REF!</definedName>
    <definedName name="Davisexepts">EXE!#REF!</definedName>
    <definedName name="Davisexetries">EXE!#REF!</definedName>
    <definedName name="Davisnorpts">NOR!#REF!</definedName>
    <definedName name="Davisnortries">NOR!#REF!</definedName>
    <definedName name="Dawebripts">BRI!#REF!</definedName>
    <definedName name="Dawebritries">BRI!#REF!</definedName>
    <definedName name="Dawebstpts">BRI!#REF!</definedName>
    <definedName name="Dawebsttries">BRI!#REF!</definedName>
    <definedName name="Dawidiukglopts">GLO!$G$12</definedName>
    <definedName name="Dawidiukglotries">GLO!$B$12</definedName>
    <definedName name="Dawidiuklirpts">BRI!#REF!</definedName>
    <definedName name="Dawidiuklirtries">BRI!#REF!</definedName>
    <definedName name="Day_Cnorpts">NOR!#REF!</definedName>
    <definedName name="Day_Cnortries">NOR!#REF!</definedName>
    <definedName name="Dayalexpts">NOR!#REF!</definedName>
    <definedName name="Dayalextries">NOR!#REF!</definedName>
    <definedName name="Daychristianpts">NOR!#REF!</definedName>
    <definedName name="Daychristiantries">NOR!#REF!</definedName>
    <definedName name="Daydompts">BTH!#REF!</definedName>
    <definedName name="Daydomtries">BTH!#REF!</definedName>
    <definedName name="De_Chavesleipts">LEIC!#REF!</definedName>
    <definedName name="De_Chavesleitries">LEIC!#REF!</definedName>
    <definedName name="de_Glanvillebthgls">BTH!$N$7</definedName>
    <definedName name="de_Haassarptscorrect">SAR!$G$12</definedName>
    <definedName name="de_Haassartriescorrect">SAR!$B$12</definedName>
    <definedName name="de_Jagersalpts">SAL!$G$11</definedName>
    <definedName name="de_Jagersaltries">SAL!$B$11</definedName>
    <definedName name="de_Jagersarpts">NEW!#REF!</definedName>
    <definedName name="de_Jagersartries">NEW!#REF!</definedName>
    <definedName name="de_Jonghwaspts">WAS!#REF!</definedName>
    <definedName name="de_Jonghwastries">WAS!#REF!</definedName>
    <definedName name="de_Klerksalgls">SAL!$L$5</definedName>
    <definedName name="de_Kockneilpts">NEW!$G$10</definedName>
    <definedName name="de_Kockneiltries">NEW!$B$10</definedName>
    <definedName name="De_Lucawaspts">WAS!#REF!</definedName>
    <definedName name="De_Lucawastries">WAS!#REF!</definedName>
    <definedName name="de_VilliersLEIPTS">LEIC!#REF!</definedName>
    <definedName name="de_VilliersLEITRIES">LEIC!#REF!</definedName>
    <definedName name="Deaconleipts">LEIC!#REF!</definedName>
    <definedName name="Deaconleitries">LEIC!#REF!</definedName>
    <definedName name="deglanvillebthatt">BTH!$O$7</definedName>
    <definedName name="deklerksalatt">SAL!$M$5</definedName>
    <definedName name="Delmasbthpts">BTH!$H$13</definedName>
    <definedName name="Delmasbthtries">BTH!$B$13</definedName>
    <definedName name="Denmangarethpts">NOR!#REF!</definedName>
    <definedName name="Denmangarethtries">NOR!#REF!</definedName>
    <definedName name="Denmanglopts">GLO!#REF!</definedName>
    <definedName name="Denmanglotries">GLO!#REF!</definedName>
    <definedName name="Dennisexepts">EXE!#REF!</definedName>
    <definedName name="Dennisexetries">EXE!#REF!</definedName>
    <definedName name="Dentonglopts">GLO!$G$14</definedName>
    <definedName name="Dentonglotries">GLO!$B$14</definedName>
    <definedName name="Dentonleicpts">LEIC!#REF!</definedName>
    <definedName name="Dentonleictries">LEIC!#REF!</definedName>
    <definedName name="Dentonworpts">WOR!#REF!</definedName>
    <definedName name="Dentonwortries">WOR!#REF!</definedName>
    <definedName name="devotobatatt">BTH!#REF!</definedName>
    <definedName name="devotobatgoals">BTH!#REF!</definedName>
    <definedName name="Devotoexepts">EXE!$G$7</definedName>
    <definedName name="Devotoexetries">EXE!$B$7</definedName>
    <definedName name="Devotoolliepts">BTH!#REF!</definedName>
    <definedName name="Devotoollietries">BTH!#REF!</definedName>
    <definedName name="di_Marchisalpts">SAL!#REF!</definedName>
    <definedName name="di_Marchisaltries">SAL!#REF!</definedName>
    <definedName name="Diaz_Bonilla_Jleicpts">LEIC!$G$10</definedName>
    <definedName name="Diaz_Bonilla_Jleictries">LEIC!$B$10</definedName>
    <definedName name="Diaz_Bonillaleicgls">LEIC!$L$4</definedName>
    <definedName name="diazbonillaleicatt">LEIC!$M$4</definedName>
    <definedName name="Dickinsonsampts">NOR!#REF!</definedName>
    <definedName name="Dickinsonsamtries">NOR!#REF!</definedName>
    <definedName name="Dicksonglennpts">NOR!#REF!</definedName>
    <definedName name="dicksonglentries">NOR!#REF!</definedName>
    <definedName name="dicksongnoratt">NOR!#REF!</definedName>
    <definedName name="dicksongnorgoals">NOR!#REF!</definedName>
    <definedName name="Dicksonkarlpts">HAR!#REF!</definedName>
    <definedName name="Dicksonleepts">NOR!#REF!</definedName>
    <definedName name="Dicksonleeptscorrect">NOR!#REF!</definedName>
    <definedName name="Dicksonleetries">NOR!#REF!</definedName>
    <definedName name="dicksonleetriescorrect">NOR!#REF!</definedName>
    <definedName name="dicksontries">HAR!#REF!</definedName>
    <definedName name="Dingwallnorpts">NOR!$H$8</definedName>
    <definedName name="Dingwallnortries">NOR!$B$8</definedName>
    <definedName name="Dobsonmatthewpts">WOR!#REF!</definedName>
    <definedName name="Dobsonmatthewtries">WOR!#REF!</definedName>
    <definedName name="Doelworpts">WOR!$G$11</definedName>
    <definedName name="Doelwortries">WOR!$B$11</definedName>
    <definedName name="Dohertysalpts">SAL!$G$17</definedName>
    <definedName name="Dohertysaltries">SAL!$B$17</definedName>
    <definedName name="Dolannorpts">NOR!#REF!</definedName>
    <definedName name="Dolannortries">NOR!#REF!</definedName>
    <definedName name="dollmanatt">EXE!#REF!</definedName>
    <definedName name="Dollmanexepts">EXE!#REF!</definedName>
    <definedName name="Dollmanexetries">EXE!#REF!</definedName>
    <definedName name="Dollmangoals">EXE!#REF!</definedName>
    <definedName name="Dollmanpts">EXE!#REF!</definedName>
    <definedName name="dollmantries">EXE!#REF!</definedName>
    <definedName name="Dombrandtharpts">HAR!$G$13</definedName>
    <definedName name="Dombrandthartries">HAR!$B$13</definedName>
    <definedName name="Donnelllirpts">LIR!$G$15</definedName>
    <definedName name="Donnelllirtries">LIR!$B$15</definedName>
    <definedName name="Doran_Jonesglopts">GLO!#REF!</definedName>
    <definedName name="Doran_Jonesglotries">GLO!#REF!</definedName>
    <definedName name="Doran_Jonesharpts">HAR!#REF!</definedName>
    <definedName name="Doran_Joneshartries">HAR!#REF!</definedName>
    <definedName name="Dorrianlipts">BRI!$G$16</definedName>
    <definedName name="Dorrianlitries">BRI!$B$16</definedName>
    <definedName name="dorrianmylesatt">BRI!#REF!</definedName>
    <definedName name="Dorrianmylesgoals">BRI!#REF!</definedName>
    <definedName name="Dorrianpts">BRI!#REF!</definedName>
    <definedName name="Dorriantries">BRI!#REF!</definedName>
    <definedName name="Douglasbthpts">BTH!$H$14</definedName>
    <definedName name="Douglasbthtries">BTH!$B$14</definedName>
    <definedName name="Douglaswaspts">WAS!#REF!</definedName>
    <definedName name="Douglaswastries">WAS!#REF!</definedName>
    <definedName name="Downwelpts">WOR!#REF!</definedName>
    <definedName name="Downweltries">WOR!#REF!</definedName>
    <definedName name="Dowsettworatt">WOR!#REF!</definedName>
    <definedName name="Dowsettworgls">WOR!#REF!</definedName>
    <definedName name="Dowsettworpts">WOR!#REF!</definedName>
    <definedName name="Dowsettwortries">WOR!#REF!</definedName>
    <definedName name="Dowsonphilnorpts">NOR!#REF!</definedName>
    <definedName name="Dowsonphilptscorrect">NOR!#REF!</definedName>
    <definedName name="Dowsonphiltriescorrect">NOR!#REF!</definedName>
    <definedName name="Dowsonpts">NOR!$H$42</definedName>
    <definedName name="Dowsontries">NOR!$B$42</definedName>
    <definedName name="DragonsPts">[1]DRA!$F$55</definedName>
    <definedName name="DragonsTries">[1]DRA!$B$55</definedName>
    <definedName name="Drauniniupts">WOR!#REF!</definedName>
    <definedName name="Drauniniutries">WOR!#REF!</definedName>
    <definedName name="du_Plessissarpts">NEW!$G$15</definedName>
    <definedName name="du_Plessissartries">NEW!$B$15</definedName>
    <definedName name="du_Preez__JPsalpts">SAL!$G$15</definedName>
    <definedName name="du_Preez__JPsaltries">SAL!$B$15</definedName>
    <definedName name="du_Preez_Dsalpts">SAL!$G$13</definedName>
    <definedName name="du_Preez_Dsaltries">SAL!$B$13</definedName>
    <definedName name="du_Preez_J_Lsalpts">SAL!$G$14</definedName>
    <definedName name="du_Preez_J_Lsaltries">SAL!$B$14</definedName>
    <definedName name="du_Preez_Rsalpts">SAL!$G$16</definedName>
    <definedName name="du_Preez_Rsaltries">SAL!$B$16</definedName>
    <definedName name="du_Preezworpts">WOR!#REF!</definedName>
    <definedName name="du_Preezwortries">WOR!#REF!</definedName>
    <definedName name="du_Toitbthpts">BTH!$H$16</definedName>
    <definedName name="du_Toitbthtries">BTH!$B$16</definedName>
    <definedName name="Dugdalesalpts">SAL!$G$18</definedName>
    <definedName name="Dugdalesaltries">SAL!$B$18</definedName>
    <definedName name="Dunnbattries">BTH!$B$15</definedName>
    <definedName name="Dunnbtheurtries">BTH!$C$15</definedName>
    <definedName name="Dunntompts">BTH!$H$15</definedName>
    <definedName name="dupreezsalatt">SAL!$M$6</definedName>
    <definedName name="dupreezsalgls">SAL!$L$6</definedName>
    <definedName name="dupreezsalpts">SAL!$M$6</definedName>
    <definedName name="Earleharpts">HAR!#REF!</definedName>
    <definedName name="Earlehartries">HAR!#REF!</definedName>
    <definedName name="Earlenathanpts">NEW!#REF!</definedName>
    <definedName name="Earlenathantries">NEW!#REF!</definedName>
    <definedName name="Earlsarpts">NEW!$G$16</definedName>
    <definedName name="Earlsarptscorrect">SAR!$G$13</definedName>
    <definedName name="Earlsartries">NEW!$B$16</definedName>
    <definedName name="Earlsartriescorrect">SAR!$B$13</definedName>
    <definedName name="Eastermarkpts">SAL!#REF!</definedName>
    <definedName name="Eastermarktries">SAL!#REF!</definedName>
    <definedName name="Easternickpts">HAR!#REF!</definedName>
    <definedName name="Easternicktries">HAR!#REF!</definedName>
    <definedName name="Eastersalpts">SAL!#REF!</definedName>
    <definedName name="Eastersaltries">SAL!#REF!</definedName>
    <definedName name="Eastertries">HAR!#REF!</definedName>
    <definedName name="eastgatewasatt">WAS!#REF!</definedName>
    <definedName name="eastgatewasgoals">WAS!#REF!</definedName>
    <definedName name="Eastgatewaspts">WAS!$H$11</definedName>
    <definedName name="Eastgatewastries">WAS!$B$11</definedName>
    <definedName name="Eastmondkylepts">BTH!#REF!</definedName>
    <definedName name="Eastmondkyletries">BTH!#REF!</definedName>
    <definedName name="Eastmondleictries">LEIC!#REF!</definedName>
    <definedName name="Eastmondlicpts">LEIC!#REF!</definedName>
    <definedName name="Eastmondwaspts">WAS!#REF!</definedName>
    <definedName name="Eastmondwastries">WAS!#REF!</definedName>
    <definedName name="edenbriatt">BRI!#REF!</definedName>
    <definedName name="edenbriattcorrect">BRI!$M$5</definedName>
    <definedName name="Edenbrigls">BRI!#REF!</definedName>
    <definedName name="Edenbriglscorrect">BRI!$L$5</definedName>
    <definedName name="Edenbripts">BRI!$G$15</definedName>
    <definedName name="Edenbritries">BRI!$B$15</definedName>
    <definedName name="edenworatt">WOR!#REF!</definedName>
    <definedName name="edenworgoals">WOR!#REF!</definedName>
    <definedName name="EdinburghPts">[1]EDI!$F$51</definedName>
    <definedName name="EdinburghTries">[1]EDI!$B$51</definedName>
    <definedName name="Edmondshuiapts">GLO!#REF!</definedName>
    <definedName name="Edmondshuiatries">GLO!#REF!</definedName>
    <definedName name="edwardsharatt">HAR!$M$9</definedName>
    <definedName name="edwardshargls">HAR!$L$9</definedName>
    <definedName name="Edwardsharpts">HAR!$G$14</definedName>
    <definedName name="Edwardshartries">HAR!$B$14</definedName>
    <definedName name="Edwardsleicpts">LEIC!$G$11</definedName>
    <definedName name="Edwardsleictries">LEIC!$B$11</definedName>
    <definedName name="Egertonharpts">HAR!#REF!</definedName>
    <definedName name="Egertonhartries">HAR!#REF!</definedName>
    <definedName name="Egertonnewpts">LIR!#REF!</definedName>
    <definedName name="Egertonnewtries">LIR!#REF!</definedName>
    <definedName name="Elderchrispts">WOR!#REF!</definedName>
    <definedName name="Elderchristries">WOR!#REF!</definedName>
    <definedName name="Eliaharpts">HAR!#REF!</definedName>
    <definedName name="Eliahartries">HAR!#REF!</definedName>
    <definedName name="Ellerysarpts">NEW!#REF!</definedName>
    <definedName name="Ellerysartries">NEW!#REF!</definedName>
    <definedName name="Elliottjamiepts">NOR!#REF!</definedName>
    <definedName name="Elliottjamieptscorrect">NOR!#REF!</definedName>
    <definedName name="elliottjamietries">NOR!#REF!</definedName>
    <definedName name="Elliottjamietriescorrect">NOR!#REF!</definedName>
    <definedName name="Ellisgerardpts">BRI!#REF!</definedName>
    <definedName name="Ellisgerardtries">BRI!#REF!</definedName>
    <definedName name="Elringtonglopts">GLO!$G$16</definedName>
    <definedName name="Elringtonglotries">GLO!$B$16</definedName>
    <definedName name="Englefieldlirpts">LIR!$G$16</definedName>
    <definedName name="Englefieldlirtries">LIR!$B$16</definedName>
    <definedName name="Estellesnorpts">NOR!#REF!</definedName>
    <definedName name="Estellesnortrioes">NOR!#REF!</definedName>
    <definedName name="esterhuizenharatt">HAR!$M$10</definedName>
    <definedName name="Esterhuizenhargls">HAR!$L$10</definedName>
    <definedName name="Esterhuizenharpts">HAR!$G$16</definedName>
    <definedName name="Esterhuizenhartries">HAR!$B$16</definedName>
    <definedName name="Evans_Lglopts">GLO!$G$17</definedName>
    <definedName name="Evans_Lglotries">GLO!$B$17</definedName>
    <definedName name="Evans_Oharpts">HAR!$G$15</definedName>
    <definedName name="Evans_Ohartries">HAR!$B$15</definedName>
    <definedName name="Evansbrynpts">BRI!#REF!</definedName>
    <definedName name="Evansbryntries">BRI!#REF!</definedName>
    <definedName name="Evansbthpts">BTH!$H$17</definedName>
    <definedName name="Evansbthtries">BTH!$B$17</definedName>
    <definedName name="Evansgarethpts">GLO!#REF!</definedName>
    <definedName name="Evansgarethtries">GLO!#REF!</definedName>
    <definedName name="Evansharpts">HAR!#REF!</definedName>
    <definedName name="Evanshartries">HAR!$B$17</definedName>
    <definedName name="Evansleipts">LEIC!#REF!</definedName>
    <definedName name="Evansleitries">LEIC!#REF!</definedName>
    <definedName name="evanslgloatt">GLO!$M$6</definedName>
    <definedName name="evanslglogoals">GLO!$L$6</definedName>
    <definedName name="evansnickatt">HAR!#REF!</definedName>
    <definedName name="evansnickgoals">HAR!#REF!</definedName>
    <definedName name="Evansnickpts">HAR!#REF!</definedName>
    <definedName name="Evansnicktries">HAR!#REF!</definedName>
    <definedName name="Evanssalpts">SAL!#REF!</definedName>
    <definedName name="Evanssaltries">SAL!#REF!</definedName>
    <definedName name="Evanswharpts">HAR!$G$17</definedName>
    <definedName name="Evanswillharpts">HAR!$G$17</definedName>
    <definedName name="Everardmattpts">WAS!#REF!</definedName>
    <definedName name="Everardmatttries">WAS!#REF!</definedName>
    <definedName name="Everardwaspts">WAS!#REF!</definedName>
    <definedName name="Everardwastries">WAS!#REF!</definedName>
    <definedName name="Evesnorpts">NOR!#REF!</definedName>
    <definedName name="Evesnortries">NOR!#REF!</definedName>
    <definedName name="Ewelsbthpts">BTH!$H$18</definedName>
    <definedName name="ewelsbthtries">BTH!$B$18</definedName>
    <definedName name="Ewersexepts">EXE!$G$8</definedName>
    <definedName name="Ewersexetries">EXE!$B$8</definedName>
    <definedName name="Ewerspts">EXE!#REF!</definedName>
    <definedName name="Ewerstries">EXE!#REF!</definedName>
    <definedName name="ExeterPts">EXE!$G$54</definedName>
    <definedName name="ExeterTries">EXE!$B$54</definedName>
    <definedName name="Fa_asavalumauriepts">HAR!#REF!</definedName>
    <definedName name="Fa_asavalumaurietries">HAR!#REF!</definedName>
    <definedName name="Fa_osilivaalafotipts">BTH!#REF!</definedName>
    <definedName name="Fa_osilivaalafotitries">BTH!#REF!</definedName>
    <definedName name="Fainga_anukuofapts">WOR!#REF!</definedName>
    <definedName name="Fainga_anukuofatries">WOR!#REF!</definedName>
    <definedName name="Faingaalirpts">LIR!#REF!</definedName>
    <definedName name="Faingaalirtries">LIR!#REF!</definedName>
    <definedName name="Faletaubripts">BRI!#REF!</definedName>
    <definedName name="Faletaubritries">BRI!#REF!</definedName>
    <definedName name="Faletaubthpts">BTH!$H$19</definedName>
    <definedName name="Faletaubthtries">BTH!$B$19</definedName>
    <definedName name="Faosilivaworpts">WOR!#REF!</definedName>
    <definedName name="Faosilivawortries">WOR!#REF!</definedName>
    <definedName name="farrellatt">NEW!#REF!</definedName>
    <definedName name="farrellgoals">NEW!#REF!</definedName>
    <definedName name="Farrellowentries">NEW!$B$19</definedName>
    <definedName name="Farrellpts">NEW!#REF!</definedName>
    <definedName name="farrellsarattcorrect">SAR!$M$4</definedName>
    <definedName name="farrellsarglscorrect">SAR!$L$4</definedName>
    <definedName name="Farrellsarpts">NEW!$G$19</definedName>
    <definedName name="Farrellsarptscorrect">SAR!$G$14</definedName>
    <definedName name="farrellsartriescorrect">SAR!$B$14</definedName>
    <definedName name="Fatialofaworpts">WOR!$G$12</definedName>
    <definedName name="Fatialofawortries">WOR!$B$12</definedName>
    <definedName name="Feaoleicpts">LEIC!#REF!</definedName>
    <definedName name="Feaoleictries">LEIC!#REF!</definedName>
    <definedName name="Fearnsalpts">SAL!$G$12</definedName>
    <definedName name="Fearnsaltries">SAL!$B$12</definedName>
    <definedName name="Fearnscarlpts">BTH!#REF!</definedName>
    <definedName name="Fearnscarltries">BTH!#REF!</definedName>
    <definedName name="Fearnsnewpts">NEW!$G$17</definedName>
    <definedName name="Fearnsnewtries">NEW!$B$17</definedName>
    <definedName name="Fenbylipts">BRI!$G$19</definedName>
    <definedName name="Fenbylitries">BRI!$B$19</definedName>
    <definedName name="Fenbypts">BRI!#REF!</definedName>
    <definedName name="Fenbysarpts">NEW!#REF!</definedName>
    <definedName name="Fenbysartries">NEW!#REF!</definedName>
    <definedName name="Fenbytries">BRI!#REF!</definedName>
    <definedName name="Fenton_Wellsbripts">BRI!$G$16</definedName>
    <definedName name="Fenton_Wellsbritries">BRI!$B$16</definedName>
    <definedName name="Fercusarpts">NEW!#REF!</definedName>
    <definedName name="Fercusarptscorrect">NEW!#REF!</definedName>
    <definedName name="Fercusartries">NEW!#REF!</definedName>
    <definedName name="Fercusartriescorrect">NEW!#REF!</definedName>
    <definedName name="Festucciacarlopts">WAS!#REF!</definedName>
    <definedName name="Festucciacarlotries">WAS!#REF!</definedName>
    <definedName name="Fifitawaspts">WAS!$H$12</definedName>
    <definedName name="Fifitawastries">WAS!$B$12</definedName>
    <definedName name="Figallosarpts">NEW!#REF!</definedName>
    <definedName name="Figallosartries">NEW!#REF!</definedName>
    <definedName name="Fihakiviliamipts">SAL!#REF!</definedName>
    <definedName name="Fihakiviliamitris">SAL!#REF!</definedName>
    <definedName name="Fisherbrispts">BRI!#REF!</definedName>
    <definedName name="Fisherbristries">BRI!#REF!</definedName>
    <definedName name="Fisherlipts">BRI!#REF!</definedName>
    <definedName name="Fisherlitries">BRI!#REF!</definedName>
    <definedName name="Fishernorpts">NOR!#REF!</definedName>
    <definedName name="Fishernortries">NOR!#REF!</definedName>
    <definedName name="Fishnorpts">NOR!$H$9</definedName>
    <definedName name="Fishnortries">NOR!$B$9</definedName>
    <definedName name="Fitzgerald__Leitries">LEIC!#REF!</definedName>
    <definedName name="Fitzgeraldleipts">LEIC!#REF!</definedName>
    <definedName name="Flamentwaspts">WAS!#REF!</definedName>
    <definedName name="Flamentwastries">WAS!#REF!</definedName>
    <definedName name="Flanagansarpts">NEW!#REF!</definedName>
    <definedName name="Flanagansartries">NEW!#REF!</definedName>
    <definedName name="floodatt">LEIC!$M$5</definedName>
    <definedName name="floodgoals">LEIC!$L$5</definedName>
    <definedName name="Floodnewpts">LIR!$G$20</definedName>
    <definedName name="Floodnewptscorrect">NEW!#REF!</definedName>
    <definedName name="Floodnewtries">LIR!$B$20</definedName>
    <definedName name="Floodnewtriescorrect">NEW!#REF!</definedName>
    <definedName name="Floodpts">LEIC!#REF!</definedName>
    <definedName name="Floodtobypts">LEIC!#REF!</definedName>
    <definedName name="Floodtobytries">LEIC!$B$13</definedName>
    <definedName name="Flynnsalpts">SAL!#REF!</definedName>
    <definedName name="Flynnsaltries">SAL!#REF!</definedName>
    <definedName name="Fodenpts">NOR!#REF!</definedName>
    <definedName name="fodentries">NOR!#REF!</definedName>
    <definedName name="Fonualeipts">LEIC!#REF!</definedName>
    <definedName name="Fonualeitries">LEIC!#REF!</definedName>
    <definedName name="Fonualwepts">WOR!#REF!</definedName>
    <definedName name="Fonualwetries">WOR!#REF!</definedName>
    <definedName name="Fonuanewpts">LIR!#REF!</definedName>
    <definedName name="Fonuanewtries">LIR!#REF!</definedName>
    <definedName name="Ford_Jleicpts">LEIC!#REF!</definedName>
    <definedName name="Ford_Jleictries">LEIC!#REF!</definedName>
    <definedName name="Ford_Robinsonglopts">GLO!$G$18</definedName>
    <definedName name="Ford_Robinsonglotries">GLO!$B$18</definedName>
    <definedName name="Ford_Robinsonnorpts">NOR!#REF!</definedName>
    <definedName name="Ford_Robinsonnortries">NOR!#REF!</definedName>
    <definedName name="Fordgeorgeatt">BTH!#REF!</definedName>
    <definedName name="Fordgeorgebatpts">BTH!#REF!</definedName>
    <definedName name="Fordgeorgegoals">BTH!#REF!</definedName>
    <definedName name="fordgeorgepts">BTH!#REF!</definedName>
    <definedName name="Fordgroegetries">BTH!#REF!</definedName>
    <definedName name="fordjoeatt">SAL!#REF!</definedName>
    <definedName name="fordjoegoals">SAL!#REF!</definedName>
    <definedName name="Fordjoepts">SAL!#REF!</definedName>
    <definedName name="Fordjoeptscorrect">SAL!#REF!</definedName>
    <definedName name="fordleicpts">LEIC!$G$12</definedName>
    <definedName name="fordleictries">LEIC!$B$12</definedName>
    <definedName name="Fordsaltries">SAL!#REF!</definedName>
    <definedName name="Forsythandytries">SAL!#REF!</definedName>
    <definedName name="Forsythleipts">LEIC!#REF!</definedName>
    <definedName name="Forsythleitries">LEIC!#REF!</definedName>
    <definedName name="Forsythpts">SAL!#REF!</definedName>
    <definedName name="Forsythsalpts">SAL!#REF!</definedName>
    <definedName name="Forsythsaltries">SAL!#REF!</definedName>
    <definedName name="forsythtries">SAL!#REF!</definedName>
    <definedName name="Forsythtriescorrect">SAL!#REF!</definedName>
    <definedName name="Fosterwaspts">WAS!#REF!</definedName>
    <definedName name="Fosterwastries">WAS!#REF!</definedName>
    <definedName name="Fotuali_ibthatt">BTH!#REF!</definedName>
    <definedName name="Fotuali_ibthgls">BTH!#REF!</definedName>
    <definedName name="Fotuali_ibthpts">BTH!$H$20</definedName>
    <definedName name="Fotuali_ibthtries">BTH!$B$20</definedName>
    <definedName name="Fotuali_Ikahnpts">NOR!#REF!</definedName>
    <definedName name="Fotuali_Ikahntries">NOR!#REF!</definedName>
    <definedName name="Fowlessalpts">SAL!#REF!</definedName>
    <definedName name="Fowlessaltries">SAL!#REF!</definedName>
    <definedName name="Fowlielipts">BRI!$G$20</definedName>
    <definedName name="Fowlietompts">BRI!#REF!</definedName>
    <definedName name="Fowlietomtries">BRI!$B$20</definedName>
    <definedName name="Francisexepts">EXE!#REF!</definedName>
    <definedName name="Francisexetries">EXE!#REF!</definedName>
    <definedName name="Francisnorpts">NOR!$H$10</definedName>
    <definedName name="Francisnortries">NOR!$B$10</definedName>
    <definedName name="Frankslirpts">BRI!$G$21</definedName>
    <definedName name="Frankslirtries">BRI!$B$21</definedName>
    <definedName name="Franksnorpts">NOR!#REF!</definedName>
    <definedName name="Franksnortries">NOR!#REF!</definedName>
    <definedName name="Frasersarpts">NEW!#REF!</definedName>
    <definedName name="Frasersartries">NEW!#REF!</definedName>
    <definedName name="Fraserwillpts">NEW!#REF!</definedName>
    <definedName name="Fraserwilltries">NEW!#REF!</definedName>
    <definedName name="Freemanexepts">EXE!$G$11</definedName>
    <definedName name="Freemanexetries">EXE!$B$11</definedName>
    <definedName name="Freemannorpts">NOR!$H$11</definedName>
    <definedName name="Freemannortries">NOR!$B$11</definedName>
    <definedName name="Frischbripts">BRI!$G$17</definedName>
    <definedName name="Frischbritries">BRI!$B$17</definedName>
    <definedName name="Frostnorpts">NOR!$H$12</definedName>
    <definedName name="Frostnortries">NOR!$B$12</definedName>
    <definedName name="Frostwaspts">WAS!$H$13</definedName>
    <definedName name="Frostwastries">WAS!$B$13</definedName>
    <definedName name="Frueanbatpts">BTH!#REF!</definedName>
    <definedName name="Frueanbattries">BTH!#REF!</definedName>
    <definedName name="Frynewpts">LIR!#REF!</definedName>
    <definedName name="Frynewtries">LIR!#REF!</definedName>
    <definedName name="furbanknoratt">NOR!$O$6</definedName>
    <definedName name="furbanknorgls">NOR!$N$6</definedName>
    <definedName name="Furbanknorpts">NOR!#REF!</definedName>
    <definedName name="Furbanknorptscorrect">NOR!$H$13</definedName>
    <definedName name="Furbanknortries">NOR!#REF!</definedName>
    <definedName name="Furbanknortriescorrect">NOR!$B$13</definedName>
    <definedName name="Furnonewpts">LIR!#REF!</definedName>
    <definedName name="Furnonewtries">LIR!#REF!</definedName>
    <definedName name="Furynewpts">LIR!#REF!</definedName>
    <definedName name="Furywarrenpts">LIR!#REF!</definedName>
    <definedName name="Furywarrentries">LIR!#REF!</definedName>
    <definedName name="Fusernewpts">NEW!$G$18</definedName>
    <definedName name="Fusernewtries">NEW!$B$18</definedName>
    <definedName name="Galarzaglopts">GLO!$G$18</definedName>
    <definedName name="Galarzaglotries">GLO!$B$18</definedName>
    <definedName name="Galarzamarianopts">WOR!$G$16</definedName>
    <definedName name="Galarzamarianotries">WOR!$B$16</definedName>
    <definedName name="Gallaghersarpts">NEW!#REF!</definedName>
    <definedName name="Gallaghersartries">NEW!#REF!</definedName>
    <definedName name="Garrattbthpts">BTH!#REF!</definedName>
    <definedName name="Garrattbthtries">BTH!#REF!</definedName>
    <definedName name="Garside_Jnorpts">NOR!$H$14</definedName>
    <definedName name="Garside_Jnortries">NOR!$B$14</definedName>
    <definedName name="Garveyglopts">GLO!#REF!</definedName>
    <definedName name="Garveyglotries">GLO!#REF!</definedName>
    <definedName name="Garveymattpts">BTH!$H$22</definedName>
    <definedName name="Garveymatttries">BTH!$B$22</definedName>
    <definedName name="Gaskelljamespts">SAL!#REF!</definedName>
    <definedName name="Gaskelljamestries">SAL!#REF!</definedName>
    <definedName name="Gaskellwaspts">WAS!$H$14</definedName>
    <definedName name="Gaskellwastries">WAS!$B$14</definedName>
    <definedName name="Georgejamieptscorrect">NEW!#REF!</definedName>
    <definedName name="Georgejamietriescorrect">NEW!#REF!</definedName>
    <definedName name="Georgepts">NEW!#REF!</definedName>
    <definedName name="Georgesarpts">NEW!$G$22</definedName>
    <definedName name="Georgesarptscorrect">SAR!$G$15</definedName>
    <definedName name="Georgesartries">NEW!$B$22</definedName>
    <definedName name="Georgesartriescorrect">SAR!$B$15</definedName>
    <definedName name="georgetries">NEW!#REF!</definedName>
    <definedName name="geraghtyatt">BRI!#REF!</definedName>
    <definedName name="geraghtybriatt">BRI!#REF!</definedName>
    <definedName name="geraghtybrigoals">BRI!#REF!</definedName>
    <definedName name="Geraghtybripts">BRI!#REF!</definedName>
    <definedName name="Geraghtybritries">BRI!#REF!</definedName>
    <definedName name="geraghtygoals">BRI!#REF!</definedName>
    <definedName name="Geraghtylipts">BRI!#REF!</definedName>
    <definedName name="Geraghtylitries">BRI!#REF!</definedName>
    <definedName name="Geraghtypts">BRI!$G$35</definedName>
    <definedName name="Geraghtyptscorrect">BRI!#REF!</definedName>
    <definedName name="Geraghtytries">BRI!#REF!</definedName>
    <definedName name="Geraghtytriescorrect">BRI!#REF!</definedName>
    <definedName name="gfordpts">BTH!#REF!</definedName>
    <definedName name="Ghiraldinileipts">LEIC!$G$13</definedName>
    <definedName name="Ghiraldinileitries">LEIC!$B$13</definedName>
    <definedName name="Gibsonjamiepts">LEIC!#REF!</definedName>
    <definedName name="Gibsonjamietries">LEIC!#REF!</definedName>
    <definedName name="Gibsonnorpts">NOR!#REF!</definedName>
    <definedName name="Gibsonnortries">NOR!#REF!</definedName>
    <definedName name="Gigenaleicpts">LEIC!#REF!</definedName>
    <definedName name="Gigenaleictries">LEIC!#REF!</definedName>
    <definedName name="Gilbertbatpts">BTH!#REF!</definedName>
    <definedName name="Gilbertbattries">BTH!#REF!</definedName>
    <definedName name="Gilbertmatpts">BTH!#REF!</definedName>
    <definedName name="Gilbertmattries">BTH!#REF!</definedName>
    <definedName name="Gildingjackpts">WOR!#REF!</definedName>
    <definedName name="Gildingjacktries">WOR!#REF!</definedName>
    <definedName name="Gillespienorpts">NOR!$H$15</definedName>
    <definedName name="Gillespienortries">NOR!$B$15</definedName>
    <definedName name="Gillsarpts">NEW!#REF!</definedName>
    <definedName name="Gillsartries">NEW!#REF!</definedName>
    <definedName name="Gilsenanlipts">BRI!#REF!</definedName>
    <definedName name="Gilsenanlirpts">LIR!#REF!</definedName>
    <definedName name="Gilsenanlirtries">LIR!#REF!</definedName>
    <definedName name="Gilsenanlitries">BRI!#REF!</definedName>
    <definedName name="Gjaltemaharpts">HAR!$G$18</definedName>
    <definedName name="Gjaltemahartries">HAR!$B$18</definedName>
    <definedName name="GlasgowPts">[1]GLA!$F$58</definedName>
    <definedName name="GlasgowTries">[1]GLA!$B$58</definedName>
    <definedName name="Gleavelirpts">BRI!#REF!</definedName>
    <definedName name="Gleavelirtries">BRI!#REF!</definedName>
    <definedName name="gloucesterpentriespts">GLO!#REF!</definedName>
    <definedName name="GloucesterPenTriestries">GLO!#REF!</definedName>
    <definedName name="GloucesterPts">GLO!$G$52</definedName>
    <definedName name="GloucesterTries">GLO!$B$52</definedName>
    <definedName name="godmanatt">LIR!#REF!</definedName>
    <definedName name="godmangoals">LIR!#REF!</definedName>
    <definedName name="Godmannewpts">LIR!#REF!</definedName>
    <definedName name="Godmanphiltries">LIR!#REF!</definedName>
    <definedName name="Godmanpts">LIR!#REF!</definedName>
    <definedName name="goneatries">LEIC!#REF!</definedName>
    <definedName name="Gonevaleipts">LEIC!#REF!</definedName>
    <definedName name="Gonevaleiptscorrect">LEIC!#REF!</definedName>
    <definedName name="Gonevaleitries">LEIC!#REF!</definedName>
    <definedName name="Gonevapts">LEIC!#REF!</definedName>
    <definedName name="Gonevaptscorrect">LEIC!#REF!</definedName>
    <definedName name="Gonevatriescorrect">LEIC!#REF!</definedName>
    <definedName name="Gonzalezlirpts">LIR!$G$17</definedName>
    <definedName name="Gonzalezlirtries">LIR!$B$17</definedName>
    <definedName name="goodealexatt">NEW!#REF!</definedName>
    <definedName name="goodealexgoals">NEW!#REF!</definedName>
    <definedName name="Goodealexpts">NEW!$G$25</definedName>
    <definedName name="goodealextries">NEW!$B$25</definedName>
    <definedName name="goodeandyatt">WAS!$O$5</definedName>
    <definedName name="goodeandygoals">WAS!$N$5</definedName>
    <definedName name="Goodeandypts">WAS!#REF!</definedName>
    <definedName name="Goodemewpts">LIR!#REF!</definedName>
    <definedName name="goodenewatt">LIR!#REF!</definedName>
    <definedName name="Goodenewgoals">LIR!#REF!</definedName>
    <definedName name="Goodenewtries">LIR!#REF!</definedName>
    <definedName name="Goodepts">WAS!#REF!</definedName>
    <definedName name="GOODESARATTCORRECT">SAR!$M$6</definedName>
    <definedName name="goodesarglscorrect">SAR!$L$6</definedName>
    <definedName name="Goodesarptscorrect">SAR!$G$16</definedName>
    <definedName name="Goodesartriescorrect">SAR!$B$16</definedName>
    <definedName name="Goodewaspts">WAS!$H$15</definedName>
    <definedName name="Goodewastries">WAS!$B$15</definedName>
    <definedName name="Goodhuecampts">WOR!#REF!</definedName>
    <definedName name="Goodhuecamtries">WOR!#REF!</definedName>
    <definedName name="Graham__Guynewpts">LIR!#REF!</definedName>
    <definedName name="Graham__Guynewtries">LIR!#REF!</definedName>
    <definedName name="Grahambripts">BRI!#REF!</definedName>
    <definedName name="Grahambritries">BRI!#REF!</definedName>
    <definedName name="Grahambthpts">BTH!$H$21</definedName>
    <definedName name="Grahambthtres">BTH!$B$21</definedName>
    <definedName name="Grahamnewpts">LIR!$G$21</definedName>
    <definedName name="Grahamnewtries">LIR!$B$21</definedName>
    <definedName name="Grantbatpts">BTH!#REF!</definedName>
    <definedName name="Grantbattries">BTH!#REF!</definedName>
    <definedName name="Graybthpts">BTH!#REF!</definedName>
    <definedName name="Graybthtries">BTH!#REF!</definedName>
    <definedName name="graydannyatt">WOR!#REF!</definedName>
    <definedName name="graydannygoals">WOR!#REF!</definedName>
    <definedName name="Grayexeeurtries">EXE!$C$9</definedName>
    <definedName name="Grayexepts">EXE!$G$9</definedName>
    <definedName name="Grayexetries">EXE!$B$9</definedName>
    <definedName name="Grayharpts">HAR!#REF!</definedName>
    <definedName name="Grayhartries">HAR!#REF!</definedName>
    <definedName name="Grayjoeharpts">HAR!$G$19</definedName>
    <definedName name="Grayjoehartries">HAR!$B$19</definedName>
    <definedName name="Grayjoshglopts">GLO!#REF!</definedName>
    <definedName name="Grayjoshglotries">GLO!#REF!</definedName>
    <definedName name="Graypts">WOR!#REF!</definedName>
    <definedName name="graysonnoratt">NOR!$O$7</definedName>
    <definedName name="graysonnorgls">NOR!$N$7</definedName>
    <definedName name="Graysonnorpts">NOR!$H$16</definedName>
    <definedName name="Graysonnortries">NOR!$B$16</definedName>
    <definedName name="Greenbthpts">BTH!$H$23</definedName>
    <definedName name="Greenbthtries">BTH!$B$23</definedName>
    <definedName name="Greenharpts">HAR!$G$20</definedName>
    <definedName name="Greenhartries">HAR!$B$20</definedName>
    <definedName name="Griffinlipts">BRI!#REF!</definedName>
    <definedName name="Griffinlitries">BRI!#REF!</definedName>
    <definedName name="Griffithssarpts">NEW!$G$27</definedName>
    <definedName name="Griffithssartries">NEW!$B$27</definedName>
    <definedName name="Grimoldbyharpts">HAR!#REF!</definedName>
    <definedName name="Grimoldbyhartries">HAR!#REF!</definedName>
    <definedName name="Groblerglopts">GLO!#REF!</definedName>
    <definedName name="Groblerglotrie">GLO!#REF!</definedName>
    <definedName name="Grondonaexepts">EXE!$G$10</definedName>
    <definedName name="Grondonaexetries">EXE!$B$10</definedName>
    <definedName name="Groomnorpts">NOR!#REF!</definedName>
    <definedName name="Groomnortries">NOR!#REF!</definedName>
    <definedName name="Grovepts">WOR!#REF!</definedName>
    <definedName name="Grovetries">WOR!#REF!</definedName>
    <definedName name="Guestlipts">BRI!#REF!</definedName>
    <definedName name="Guestlitries">BRI!#REF!</definedName>
    <definedName name="Guesttompts">HAR!#REF!</definedName>
    <definedName name="Guesttomtris">HAR!#REF!</definedName>
    <definedName name="Haganjamiepts">BRI!#REF!</definedName>
    <definedName name="Haganjamietries">BRI!#REF!</definedName>
    <definedName name="Hainingbripts">BRI!$G$19</definedName>
    <definedName name="Hainingbritries">BRI!$B$19</definedName>
    <definedName name="Hala_ufiachrispts">BRI!#REF!</definedName>
    <definedName name="Hala_ufiachristries">BRI!#REF!</definedName>
    <definedName name="Halaifonuaglopts">GLO!$G$19</definedName>
    <definedName name="Halaifonuaglotries">GLO!$B$19</definedName>
    <definedName name="Halaiwaspts">WAS!#REF!</definedName>
    <definedName name="Halaiwastries">WAS!#REF!</definedName>
    <definedName name="Halavataulipts">BRI!#REF!</definedName>
    <definedName name="Halavataulitries">BRI!#REF!</definedName>
    <definedName name="Halavataupts">BRI!#REF!</definedName>
    <definedName name="Halavatautries">BRI!#REF!</definedName>
    <definedName name="Haleymikepts">SAL!#REF!</definedName>
    <definedName name="Haleymiketries">SAL!#REF!</definedName>
    <definedName name="Hamiltonleipts">LEIC!#REF!</definedName>
    <definedName name="Hamiltonleitries">LEIC!#REF!</definedName>
    <definedName name="Hamiltonsarpts">NEW!#REF!</definedName>
    <definedName name="Hamiltonsartries">NEW!#REF!</definedName>
    <definedName name="Hammersleynewpts">LIR!$G$26</definedName>
    <definedName name="Hammersleynewtries">LIR!$B$26</definedName>
    <definedName name="Hammersleysalpts">SAL!$G$19</definedName>
    <definedName name="Hammersleysaltries">SAL!$B$19</definedName>
    <definedName name="Hammonddeanpts">WOR!$G$21</definedName>
    <definedName name="Hammonddeantries">WOR!#REF!</definedName>
    <definedName name="Hampsonwaspts">WAS!#REF!</definedName>
    <definedName name="Hampsonwasptscorrect">WAS!#REF!</definedName>
    <definedName name="Hampsonwastries">WAS!#REF!</definedName>
    <definedName name="Hampsonwastriescorrect">WAS!#REF!</definedName>
    <definedName name="Hankinmattpts">NEW!#REF!</definedName>
    <definedName name="Hankinmatttries">NEW!#REF!</definedName>
    <definedName name="hanrahannoratt">NOR!$O$5</definedName>
    <definedName name="Hanrahannorgoals">NOR!$N$5</definedName>
    <definedName name="Hanrahannorpts">NOR!#REF!</definedName>
    <definedName name="Hanrahannortries">NOR!#REF!</definedName>
    <definedName name="Hansonglopts">GLO!#REF!</definedName>
    <definedName name="Hansonglotries">GLO!#REF!</definedName>
    <definedName name="Hardingbripts">BRI!$G$18</definedName>
    <definedName name="Hardingbritries">BRI!$B$18</definedName>
    <definedName name="Hardingwaspts">WAS!$H$16</definedName>
    <definedName name="Hardingwastries">WAS!$B$16</definedName>
    <definedName name="hardwickleicatt">LEIC!$M$8</definedName>
    <definedName name="hardwickleicgls">LEIC!$L$8</definedName>
    <definedName name="Hardwickleipts">LEIC!$G$14</definedName>
    <definedName name="Hardwickleitries">LEIC!$B$14</definedName>
    <definedName name="Hargreavessarpts">NEW!#REF!</definedName>
    <definedName name="Hargreavessartries">NEW!#REF!</definedName>
    <definedName name="HarlequinsPts">HAR!$G$46</definedName>
    <definedName name="HarlequinsTries">HAR!$B$46</definedName>
    <definedName name="Harpersalpts">SAL!$G$21</definedName>
    <definedName name="Harpersaltries">SAL!$B$21</definedName>
    <definedName name="Harris_Bwaspts">WAS!$H$17</definedName>
    <definedName name="Harris_Bwastries">WAS!$B$17</definedName>
    <definedName name="Harrisglopts">GLO!$G$20</definedName>
    <definedName name="Harrisglotries">GLO!$B$20</definedName>
    <definedName name="Harrislipts">BRI!#REF!</definedName>
    <definedName name="Harrislitries">BRI!#REF!</definedName>
    <definedName name="Harrisnewpts">LIR!#REF!</definedName>
    <definedName name="Harrisnewtries">LIR!#REF!</definedName>
    <definedName name="Harrisonnorpts">NOR!$H$17</definedName>
    <definedName name="Harrisonnortries">NOR!$B$17</definedName>
    <definedName name="Harrisonsalpts">SAL!$G$20</definedName>
    <definedName name="Harrisonsaltris">SAL!$B$20</definedName>
    <definedName name="Harrisonsampts">LEIC!$G$16</definedName>
    <definedName name="Harrisonsamtries">LEIC!$B$16</definedName>
    <definedName name="Harrissarpts">SAR!$G$17</definedName>
    <definedName name="Harrissartries">SAR!$B$17</definedName>
    <definedName name="Hartleypts">NOR!#REF!</definedName>
    <definedName name="Hartleyptscorrect">NOR!#REF!</definedName>
    <definedName name="hartleytries">NOR!#REF!</definedName>
    <definedName name="Hartleytriescorrect">NOR!#REF!</definedName>
    <definedName name="Hartleytriesthisiscorrect">NOR!#REF!</definedName>
    <definedName name="Hartleywaspts">WAS!$H$18</definedName>
    <definedName name="Hartleywastries">WAS!$B$18</definedName>
    <definedName name="Hartryscorers">HAR!$A$2:$E$46</definedName>
    <definedName name="Haskelljamespts">WAS!#REF!</definedName>
    <definedName name="Haskelljamestries">WAS!#REF!</definedName>
    <definedName name="Haskellnorpts">NOR!#REF!</definedName>
    <definedName name="Haskellnortries">NOR!#REF!</definedName>
    <definedName name="Hassell_Collinslirpts">LIR!$G$19</definedName>
    <definedName name="Hassell_Collinslirtries">LIR!$B$19</definedName>
    <definedName name="hastingsbatatt">BTH!#REF!</definedName>
    <definedName name="hastingsbatgoals">BTH!#REF!</definedName>
    <definedName name="Hastingsbatpts">BTH!#REF!</definedName>
    <definedName name="Hastingsbattries">BTH!#REF!</definedName>
    <definedName name="hastingsgloatt">GLO!$M$7</definedName>
    <definedName name="Hastingsglogls">GLO!$L$7</definedName>
    <definedName name="Hauptworpts">WOR!#REF!</definedName>
    <definedName name="Hauptwortries">WOR!#REF!</definedName>
    <definedName name="Hawkinsnewpts">LIR!#REF!</definedName>
    <definedName name="Hawkinsnewtries">LIR!#REF!</definedName>
    <definedName name="Haydon_Woodnewgls">NEW!$L$5</definedName>
    <definedName name="Haydon_Woodnewpts">NEW!$G$20</definedName>
    <definedName name="Haydon_Woodnewtries">NEW!$B$20</definedName>
    <definedName name="haydonwoodnewatt">NEW!$M$5</definedName>
    <definedName name="Hayterpts">WAS!#REF!</definedName>
    <definedName name="Haytertries">WAS!#REF!</definedName>
    <definedName name="Hayterwaspts">WAS!#REF!</definedName>
    <definedName name="Hayterwastries">WAS!#REF!</definedName>
    <definedName name="Haywoodmikepts">NOR!$H$18</definedName>
    <definedName name="Haywoodmiketries">NOR!$B$18</definedName>
    <definedName name="Heaneyworpts">WOR!$G$13</definedName>
    <definedName name="Heaneywortries">WOR!$B$13</definedName>
    <definedName name="Hearleworpts">WOR!$G$14</definedName>
    <definedName name="Hearlewortries">WOR!$B$14</definedName>
    <definedName name="Hearnlirpts">BRI!$G$24</definedName>
    <definedName name="Hearnlirtries">BRI!$B$24</definedName>
    <definedName name="heathcoteatt">BTH!#REF!</definedName>
    <definedName name="Heathcotegoals">BTH!#REF!</definedName>
    <definedName name="Heathcotepts">BTH!#REF!</definedName>
    <definedName name="Heathcoteptscorrect">BTH!#REF!</definedName>
    <definedName name="Hegartyleicpts">LEIC!$G$15</definedName>
    <definedName name="Hegartyleictries">LEIC!$B$15</definedName>
    <definedName name="Heinzglopts">GLO!#REF!</definedName>
    <definedName name="Heinzglotries">GLO!#REF!</definedName>
    <definedName name="heinzworpts">WOR!$G$15</definedName>
    <definedName name="Heinzwortries">WOR!$B$15</definedName>
    <definedName name="Helleurnewpts">LIR!#REF!</definedName>
    <definedName name="Helleurnewtris">LIR!#REF!</definedName>
    <definedName name="Helupts">WAS!#REF!</definedName>
    <definedName name="Helutries">WAS!#REF!</definedName>
    <definedName name="Hendricksonexepts">EXE!$G$12</definedName>
    <definedName name="Hendricksonexetries">EXE!$B$12</definedName>
    <definedName name="Hendriksonexetries">EXE!$B$12</definedName>
    <definedName name="Hendynorpts">NOR!$H$19</definedName>
    <definedName name="Hendynortries">NOR!$B$19</definedName>
    <definedName name="Hennwelshpts">WOR!#REF!</definedName>
    <definedName name="Hennwelshtries">WOR!#REF!</definedName>
    <definedName name="henryleicatt">LEIC!#REF!</definedName>
    <definedName name="Henryleicgls">LEIC!#REF!</definedName>
    <definedName name="Henryleicpts">LEIC!#REF!</definedName>
    <definedName name="Henryleictries">LEIC!#REF!</definedName>
    <definedName name="hensongavinatt">BTH!#REF!</definedName>
    <definedName name="Hensongavingoals">BTH!#REF!</definedName>
    <definedName name="Hensongavinpts">BTH!#REF!</definedName>
    <definedName name="Hensongavintries">BTH!#REF!</definedName>
    <definedName name="Hepburnexepts">EXE!$G$13</definedName>
    <definedName name="Hepburnexetries">EXE!$B$13</definedName>
    <definedName name="Hepburnwaspts">WAS!#REF!</definedName>
    <definedName name="Hepburnwastries">WAS!#REF!</definedName>
    <definedName name="Hepetamaleipts">LEIC!#REF!</definedName>
    <definedName name="Hepetamaleitries">LEIC!#REF!</definedName>
    <definedName name="herronharatt">HAR!#REF!</definedName>
    <definedName name="Herronhargls">HAR!#REF!</definedName>
    <definedName name="Herronharpts">HAR!$G$21</definedName>
    <definedName name="Herronhartries">HAR!$B$21</definedName>
    <definedName name="Hibbardglopts">GLO!#REF!</definedName>
    <definedName name="Hibbardglotries">GLO!#REF!</definedName>
    <definedName name="Hicksglopts">GLO!#REF!</definedName>
    <definedName name="Hicksgloptscorrect">GLO!#REF!</definedName>
    <definedName name="Hicksglotries">GLO!#REF!</definedName>
    <definedName name="Hill_Jexepts">EXE!$G$14</definedName>
    <definedName name="Hill_Jexetries">EXE!$B$14</definedName>
    <definedName name="Hill_Samexetries">EXE!$B$15</definedName>
    <definedName name="Hill_Sexepts">EXE!$B$15</definedName>
    <definedName name="Hill_Ssamexepts">EXE!$G$15</definedName>
    <definedName name="Hillman_Cooperglopts">GLO!$G$22</definedName>
    <definedName name="Hillman_Cooperglotries">GLO!$B$22</definedName>
    <definedName name="Hillsampts">EXE!$G$15</definedName>
    <definedName name="Hillsamtries">EXE!$B$15</definedName>
    <definedName name="Hillworpts">WOR!$G$17</definedName>
    <definedName name="Hillwortries">WOR!$B$17</definedName>
    <definedName name="Hinessalpts">SAL!#REF!</definedName>
    <definedName name="Hinessaltries">SAL!#REF!</definedName>
    <definedName name="Hinkleyglopts">GLO!#REF!</definedName>
    <definedName name="Hinkleyglotries">GLO!#REF!</definedName>
    <definedName name="Hodgeexeatt">EXE!$M$4</definedName>
    <definedName name="Hodgeexegls">EXE!$L$4</definedName>
    <definedName name="Hodgeexepts">EXE!$G$16</definedName>
    <definedName name="Hodgeexetries">EXE!$B$16</definedName>
    <definedName name="hodgsoncharlieatt">NEW!$M$4</definedName>
    <definedName name="Hodgsoncharliegoals">NEW!$L$4</definedName>
    <definedName name="Hodgsoncharliepts">NEW!#REF!</definedName>
    <definedName name="Hodgsoncharlietries">NEW!#REF!</definedName>
    <definedName name="hodgsonjoelatt">LIR!#REF!</definedName>
    <definedName name="Hodgsonjoelgoals">LIR!#REF!</definedName>
    <definedName name="Hodgsonjoelpts">LIR!#REF!</definedName>
    <definedName name="Hodgsonjoeltries">LIR!#REF!</definedName>
    <definedName name="Hodgsonnewatt">LIR!#REF!</definedName>
    <definedName name="hodgsonnewattcorrect">LIR!#REF!</definedName>
    <definedName name="Hodgsonnewgoals">LIR!#REF!</definedName>
    <definedName name="Hodgsonnewptscorrect">NEW!$G$21</definedName>
    <definedName name="Hodgsonnewtriescorrect">NEW!$B$21</definedName>
    <definedName name="hodgsonnoratt">NOR!#REF!</definedName>
    <definedName name="hodgsonnorgoals">NOR!#REF!</definedName>
    <definedName name="Hodgsonnorpts">NOR!$H$20</definedName>
    <definedName name="Hodgsonnortries">NOR!$B$20</definedName>
    <definedName name="hodgsonsargoals">NOR!#REF!</definedName>
    <definedName name="hoggexeatt">EXE!$M$5</definedName>
    <definedName name="hoggexegls">EXE!$L$5</definedName>
    <definedName name="Hoggexepts">EXE!$G$17</definedName>
    <definedName name="Hoggexetries">EXE!$B$17</definedName>
    <definedName name="Hoggnewpts">LIR!#REF!</definedName>
    <definedName name="Hoggnewtries">LIR!#REF!</definedName>
    <definedName name="Holensteinharpts">HAR!#REF!</definedName>
    <definedName name="Holensteinhartries">HAR!#REF!</definedName>
    <definedName name="Holmesexepts">EXE!$G$18</definedName>
    <definedName name="holmesexetries">EXE!$B$18</definedName>
    <definedName name="Holmesjonahpts">WAS!#REF!</definedName>
    <definedName name="Holmesjonahtries">WAS!#REF!</definedName>
    <definedName name="Holmesleicpts">LEIC!$G$17</definedName>
    <definedName name="Holmesleictries">LEIC!$B$17</definedName>
    <definedName name="Holmesnewpts">LIR!#REF!</definedName>
    <definedName name="Holmesnewtries">LIR!#REF!</definedName>
    <definedName name="Holmeswaspts">WAS!#REF!</definedName>
    <definedName name="Holmeswastries">WAS!#REF!</definedName>
    <definedName name="Holsey_Lwortries">WOR!$B$18</definedName>
    <definedName name="Holseyworpts">WOR!$G$18</definedName>
    <definedName name="Homer_Tombthgoals">BTH!$N$6</definedName>
    <definedName name="Homer_Tombthpts">BTH!#REF!</definedName>
    <definedName name="Homer_Tombthtries">BTH!#REF!</definedName>
    <definedName name="Homerbthpts">BTH!#REF!</definedName>
    <definedName name="Homerbthtries">BTH!#REF!</definedName>
    <definedName name="homerliatt">BRI!#REF!</definedName>
    <definedName name="homerligoals">BRI!#REF!</definedName>
    <definedName name="homertombthatt">BTH!$O$6</definedName>
    <definedName name="Homertompts">BRI!#REF!</definedName>
    <definedName name="Homertomtried">BRI!#REF!</definedName>
    <definedName name="hookgloatt">GLO!#REF!</definedName>
    <definedName name="hookglogoals">GLO!#REF!</definedName>
    <definedName name="Hookglopts">GLO!#REF!</definedName>
    <definedName name="Hookglotries">GLO!#REF!</definedName>
    <definedName name="hooleyatt">NOR!#REF!</definedName>
    <definedName name="hooleyexeatt">EXE!#REF!</definedName>
    <definedName name="Hooleyexegoals">EXE!#REF!</definedName>
    <definedName name="Hooleyexepts">EXE!#REF!</definedName>
    <definedName name="Hooleyexetries">EXE!#REF!</definedName>
    <definedName name="Hooleygoals">NOR!#REF!</definedName>
    <definedName name="Hooleywillpts">NOR!#REF!</definedName>
    <definedName name="Hooleywilltries">NOR!#REF!</definedName>
    <definedName name="Hooperstuartpts">BTH!#REF!</definedName>
    <definedName name="Hooperstuarttries">BTH!#REF!</definedName>
    <definedName name="Hopperpts">HAR!#REF!</definedName>
    <definedName name="Hoppertries">HAR!#REF!</definedName>
    <definedName name="Hornenorpts">NOR!#REF!</definedName>
    <definedName name="Hornenortries">NOR!#REF!</definedName>
    <definedName name="Horstmannexepts">EXE!#REF!</definedName>
    <definedName name="Horstmannexetries">EXE!#REF!</definedName>
    <definedName name="Horwillharpts">HAR!#REF!</definedName>
    <definedName name="Horwillhartries">HAR!#REF!</definedName>
    <definedName name="Hoskinslirpts">BRI!#REF!</definedName>
    <definedName name="Hoskinslirtries">BRI!#REF!</definedName>
    <definedName name="Hougaardwaspts">WAS!$H$19</definedName>
    <definedName name="Hougaardwastries">WAS!$B$19</definedName>
    <definedName name="Hougaardworpts">WOR!#REF!</definedName>
    <definedName name="Hougaardwortries">WOR!#REF!</definedName>
    <definedName name="Houstonbatpts">BTH!#REF!</definedName>
    <definedName name="Houstonbattries">BTH!#REF!</definedName>
    <definedName name="Houstonleroypts">BTH!#REF!</definedName>
    <definedName name="Houstonleroytries">BTH!#REF!</definedName>
    <definedName name="Howardnorpts">NOR!#REF!</definedName>
    <definedName name="Howardnortries">NOR!#REF!</definedName>
    <definedName name="Howetompts">WAS!#REF!</definedName>
    <definedName name="Howetomtries">WAS!#REF!</definedName>
    <definedName name="Howewaspts">WAS!#REF!</definedName>
    <definedName name="Howewastries">WAS!#REF!</definedName>
    <definedName name="Howeworpts">WOR!$G$19</definedName>
    <definedName name="Howewortries">WOR!$B$19</definedName>
    <definedName name="Hudsonglopts">GLO!$G$21</definedName>
    <definedName name="Hudsonglotries">GLO!$B$21</definedName>
    <definedName name="Hudsonjamespts">GLO!#REF!</definedName>
    <definedName name="hudsonjamestries">GLO!#REF!</definedName>
    <definedName name="Hughesbripts">BRI!$G$22</definedName>
    <definedName name="Hughesbritries">BRI!$B$22</definedName>
    <definedName name="Hughesexepts">EXE!#REF!</definedName>
    <definedName name="Hughesexetries">EXE!#REF!</definedName>
    <definedName name="Hughesnathanpts">WAS!#REF!</definedName>
    <definedName name="Hughesnathantries">WAS!#REF!</definedName>
    <definedName name="Hugheswaspts">WAS!#REF!</definedName>
    <definedName name="Hugheswastries">WAS!#REF!</definedName>
    <definedName name="humphreysatt">BRI!#REF!</definedName>
    <definedName name="humphreysgoals">BRI!#REF!</definedName>
    <definedName name="Humphreysiantries">BRI!#REF!</definedName>
    <definedName name="Humphreyspts">BRI!#REF!</definedName>
    <definedName name="Humphreysworpts">WOR!$G$20</definedName>
    <definedName name="Humphreyswortries">WOR!$B$20</definedName>
    <definedName name="Hunter_Hillsarptscorrect">SAR!$G$18</definedName>
    <definedName name="Hunter_Hillsartriescorrect">SAR!$B$18</definedName>
    <definedName name="Hurdleicpts">LEIC!$G$18</definedName>
    <definedName name="Hurdleictries">LEIC!$B$18</definedName>
    <definedName name="Hurrellbstpts">BRI!#REF!</definedName>
    <definedName name="Hurrellbsttries">BRI!#REF!</definedName>
    <definedName name="hutchinsonnoratt">NOR!$O$8</definedName>
    <definedName name="hutchinsonnorgls">NOR!$N$8</definedName>
    <definedName name="Hutchinsonnorpts">NOR!$H$21</definedName>
    <definedName name="Hutchinsonnortries">NOR!$B$21</definedName>
    <definedName name="Ibitoyeharpts">HAR!$G$25</definedName>
    <definedName name="Ibitoyehartries">HAR!$B$25</definedName>
    <definedName name="Ibuanokpeharpts">HAR!#REF!</definedName>
    <definedName name="Ibuanokpehartries">HAR!#REF!</definedName>
    <definedName name="Ingallcharliepts">SAL!#REF!</definedName>
    <definedName name="Ingallcharlietries">SAL!#REF!</definedName>
    <definedName name="Ioanetjsalpts">SAL!#REF!</definedName>
    <definedName name="Ioanetjsaltries">SAL!#REF!</definedName>
    <definedName name="Iosefa_Scottexepts">EXE!$G$19</definedName>
    <definedName name="Iosefa_Scottexetries">EXE!$B$19</definedName>
    <definedName name="Isaacsglopts">GLO!#REF!</definedName>
    <definedName name="Isaacsglotries">GLO!#REF!</definedName>
    <definedName name="isiekwenorpts">NOR!#REF!</definedName>
    <definedName name="Isiekwenortries">NOR!#REF!</definedName>
    <definedName name="Isiekwesarpts">NEW!$G$30</definedName>
    <definedName name="Isiekwesarptscorrect">SAR!$G$19</definedName>
    <definedName name="Isiekwesartries">NEW!$B$30</definedName>
    <definedName name="Isiekwesartriescorrect">SAR!$B$19</definedName>
    <definedName name="Itojesarpts">NEW!$G$32</definedName>
    <definedName name="Itojesarptscorrect">SAR!$G$20</definedName>
    <definedName name="Itojesartries">NEW!$B$32</definedName>
    <definedName name="Itojesartriescorrect">SAR!$B$20</definedName>
    <definedName name="Jackson_Ewaspts">WAS!#REF!</definedName>
    <definedName name="Jackson_Ewastries">WAS!#REF!</definedName>
    <definedName name="Jackson_Rwaspts">WAS!#REF!</definedName>
    <definedName name="Jackson_Rwastries">WAS!#REF!</definedName>
    <definedName name="Jacksonedpts">WAS!#REF!</definedName>
    <definedName name="jacksonedtries">WAS!#REF!</definedName>
    <definedName name="Jacksonharpts">HAR!#REF!</definedName>
    <definedName name="Jacksonhartries">HAR!#REF!</definedName>
    <definedName name="Jacksonlirpts">LIR!$G$22</definedName>
    <definedName name="Jacksonlirtries">LIR!$B$22</definedName>
    <definedName name="jacksonrwasatt">WAS!#REF!</definedName>
    <definedName name="jacksonrwasgoals">WAS!#REF!</definedName>
    <definedName name="Jacksonsarpts">SAR!$G$21</definedName>
    <definedName name="Jacksonsartries">SAR!$B$21</definedName>
    <definedName name="Jacobsbenpts">WAS!#REF!</definedName>
    <definedName name="Jacobsbentries">WAS!#REF!</definedName>
    <definedName name="Jacobswaspts">WAS!#REF!</definedName>
    <definedName name="Jacobswastries">WAS!#REF!</definedName>
    <definedName name="James_Lsalpts">SAL!$G$22</definedName>
    <definedName name="James_Lsaltries">SAL!$B$22</definedName>
    <definedName name="Jamesnorpts">NOR!$H$22</definedName>
    <definedName name="Jamesnortries">NOR!$B$22</definedName>
    <definedName name="Jamespaulpts">BTH!#REF!</definedName>
    <definedName name="Jamespaultries">BTH!#REF!</definedName>
    <definedName name="Jamespts">EXE!$G$20</definedName>
    <definedName name="Jamessalatt">SAL!$M$9</definedName>
    <definedName name="Jamessalgls">SAL!$L$9</definedName>
    <definedName name="Jamessalpts">SAL!$G$23</definedName>
    <definedName name="Jamessaltries">SAL!$B$23</definedName>
    <definedName name="jamestries">EXE!$B$20</definedName>
    <definedName name="jameswasatt">WAS!#REF!</definedName>
    <definedName name="jameswasgoals">WAS!#REF!</definedName>
    <definedName name="Jameswaspts">WAS!#REF!</definedName>
    <definedName name="Jameswastries">WAS!#REF!</definedName>
    <definedName name="Janse_v_Rensburglirpts">LIR!$G$23</definedName>
    <definedName name="Janse_v_Rensburglirtries">LIR!$B$23</definedName>
    <definedName name="Jansevanrensburgsalpts">SAL!$G$41</definedName>
    <definedName name="Jansevanrensburgsaltries">SAL!$B$41</definedName>
    <definedName name="jansevrensburgliratt">LIR!$M$6</definedName>
    <definedName name="jansevrensburglirgls">LIR!$L$6</definedName>
    <definedName name="jardinewasatt">WAS!#REF!</definedName>
    <definedName name="jardinewasgls">WAS!#REF!</definedName>
    <definedName name="Jardinewaspts">WAS!#REF!</definedName>
    <definedName name="Jardinewastries">WAS!#REF!</definedName>
    <definedName name="jarvisbriatt">BRI!#REF!</definedName>
    <definedName name="Jarvisbrigoals">BRI!#REF!</definedName>
    <definedName name="Jefferssalepts">SAL!#REF!</definedName>
    <definedName name="Jefferssaltries">SAL!#REF!</definedName>
    <definedName name="Jeffriesbripts">BRI!#REF!</definedName>
    <definedName name="Jeffriesbriptscorrect">BRI!$G$23</definedName>
    <definedName name="Jeffriesbritries">BRI!#REF!</definedName>
    <definedName name="Jeffriesbritriescorrect">BRI!$B$23</definedName>
    <definedName name="Jeffriesbstpts">BRI!#REF!</definedName>
    <definedName name="Jeffriesbsttries">BRI!#REF!</definedName>
    <definedName name="Jenningsbthpts">BTH!#REF!</definedName>
    <definedName name="Jenningsbthtries">BTH!#REF!</definedName>
    <definedName name="jenningsliratt">LIR!$M$7</definedName>
    <definedName name="Jenningslirgls">LIR!$L$7</definedName>
    <definedName name="Jenningslirpts">LIR!$G$24</definedName>
    <definedName name="Jenningslirtries">LIR!$B$24</definedName>
    <definedName name="Jenningssalpts">SAL!#REF!</definedName>
    <definedName name="Jenningssaltries">SAL!#REF!</definedName>
    <definedName name="Jessexepts">EXE!#REF!</definedName>
    <definedName name="Jessexetries">EXE!#REF!</definedName>
    <definedName name="Jesspts">EXE!#REF!</definedName>
    <definedName name="Jesstries">EXE!#REF!</definedName>
    <definedName name="Jewellsebpts">WOR!#REF!</definedName>
    <definedName name="Jewellsebtries">WOR!#REF!</definedName>
    <definedName name="Johnsalpts">SAL!$G$24</definedName>
    <definedName name="Johnsaltries">SAL!$B$24</definedName>
    <definedName name="Johnsonashleypts">WAS!#REF!</definedName>
    <definedName name="johnsonashleytries">WAS!#REF!</definedName>
    <definedName name="Johnsonexepts">EXE!#REF!</definedName>
    <definedName name="Johnsonexetries">EXE!#REF!</definedName>
    <definedName name="Johnsontompts">EXE!#REF!</definedName>
    <definedName name="Johnsontomtries">EXE!#REF!</definedName>
    <definedName name="Johnsonwaspts">WAS!#REF!</definedName>
    <definedName name="Johnsonwastries">WAS!#REF!</definedName>
    <definedName name="Johnsonworpts">WOR!$G$21</definedName>
    <definedName name="Johnsonwortries">WOR!$B$21</definedName>
    <definedName name="Johnstonjamespts">NEW!#REF!</definedName>
    <definedName name="Johnstonjamestries">NEW!#REF!</definedName>
    <definedName name="Johnstonwaspts">WAS!#REF!</definedName>
    <definedName name="Johnstonwasptscorrect">WAS!#REF!</definedName>
    <definedName name="Johnstonwastries">WAS!#REF!</definedName>
    <definedName name="jonathanjosephtries">BTH!#REF!</definedName>
    <definedName name="Jones_Jsalpts">SAL!#REF!</definedName>
    <definedName name="Jones_Jsaltries">SAL!#REF!</definedName>
    <definedName name="Jonesadamharpts">HAR!$G$26</definedName>
    <definedName name="Jonesadamhartries">HAR!$B$26</definedName>
    <definedName name="Joneschrispts">WOR!#REF!</definedName>
    <definedName name="joneschristries">WOR!#REF!</definedName>
    <definedName name="Jonesexepts">EXE!#REF!</definedName>
    <definedName name="Jonesexetries">EXE!#REF!</definedName>
    <definedName name="Jonesharpts">HAR!#REF!</definedName>
    <definedName name="Joneshartries">HAR!#REF!</definedName>
    <definedName name="JonesHharpts">HAR!$G$22</definedName>
    <definedName name="JonesHhartries">HAR!$B$22</definedName>
    <definedName name="Jonesmarcpts">SAL!#REF!</definedName>
    <definedName name="Jonesmarctries">SAL!#REF!</definedName>
    <definedName name="Jonessalpts">SAL!#REF!</definedName>
    <definedName name="Jonessaltries">SAL!#REF!</definedName>
    <definedName name="Jonessampts">WAS!#REF!</definedName>
    <definedName name="Jonessamtries">WAS!#REF!</definedName>
    <definedName name="jonesworatt">WOR!#REF!</definedName>
    <definedName name="Jonesworgls">WOR!#REF!</definedName>
    <definedName name="Jonesworpts">WOR!#REF!</definedName>
    <definedName name="Joneswortries">WOR!#REF!</definedName>
    <definedName name="Jonkerbthpts">BTH!$H$24</definedName>
    <definedName name="Jonkerbthtries">BTH!$B$24</definedName>
    <definedName name="Josephbatpts">BTH!$H$25</definedName>
    <definedName name="Josephbattries">BTH!$B$25</definedName>
    <definedName name="josephbthatt">BTH!$O$8</definedName>
    <definedName name="Josephbthgls">BTH!$N$8</definedName>
    <definedName name="Josephjonathanptscorrect">BTH!#REF!</definedName>
    <definedName name="Josephjonathantriescorrect">BTH!#REF!</definedName>
    <definedName name="Josephlirpts">LIR!$G$25</definedName>
    <definedName name="Josephlirtries">LIR!$B$25</definedName>
    <definedName name="josephpts">BTH!#REF!</definedName>
    <definedName name="Josephpts2">BTH!#REF!</definedName>
    <definedName name="Jouberternstpts">NEW!$G$36</definedName>
    <definedName name="Jouberternsttries">NEW!$B$36</definedName>
    <definedName name="Jubbtompts">NEW!#REF!</definedName>
    <definedName name="Jubbtomtries">NEW!#REF!</definedName>
    <definedName name="Judgebthpts">BTH!#REF!</definedName>
    <definedName name="Judgebthtries">BTH!#REF!</definedName>
    <definedName name="Judgesarpts">NEW!#REF!</definedName>
    <definedName name="Judgesartries">NEW!#REF!</definedName>
    <definedName name="Jureviciusharpts">HAR!$G$23</definedName>
    <definedName name="Jureviciushartries">HAR!$B$23</definedName>
    <definedName name="Kalamafonileipts">LEIC!#REF!</definedName>
    <definedName name="Kalamafonileitries">LEIC!#REF!</definedName>
    <definedName name="Kalamafonipts">GLO!#REF!</definedName>
    <definedName name="Kalamafonitries">GLO!#REF!</definedName>
    <definedName name="Kareaexepts">EXE!#REF!</definedName>
    <definedName name="Kareaexetries">EXE!#REF!</definedName>
    <definedName name="Kearlwepts">WOR!#REF!</definedName>
    <definedName name="Kearlwetries">WOR!#REF!</definedName>
    <definedName name="Keastexepts">EXE!$G$21</definedName>
    <definedName name="Keastexetries">EXE!$B$21</definedName>
    <definedName name="Kellawaynorpts">NOR!#REF!</definedName>
    <definedName name="Kellawaynortries">NOR!#REF!</definedName>
    <definedName name="kellyleicatt">LEIC!$M$7</definedName>
    <definedName name="Kellyleicgls">LEIC!$L$7</definedName>
    <definedName name="Kenninghamharpts">HAR!$G$24</definedName>
    <definedName name="Kenninghamhartries">HAR!$B$24</definedName>
    <definedName name="Kennyexepts">EXE!$G$22</definedName>
    <definedName name="Kennyexetries">EXE!$B$22</definedName>
    <definedName name="Kerrbripts">BRI!$G$25</definedName>
    <definedName name="Kerrbritries">BRI!$B$25</definedName>
    <definedName name="Kerrleicpts">LEIC!$G$19</definedName>
    <definedName name="Kerrleictries">LEIC!$B$19</definedName>
    <definedName name="Kerrodworpts">WOR!#REF!</definedName>
    <definedName name="Kerrodwortries">WOR!#REF!</definedName>
    <definedName name="Kessellnorpts">NOR!#REF!</definedName>
    <definedName name="Kessellnortries">NOR!#REF!</definedName>
    <definedName name="Kibirigezachpts">LIR!$G$28</definedName>
    <definedName name="Kibirigezachtries">LIR!$B$28</definedName>
    <definedName name="Kilbridgewaspts">WAS!$H$20</definedName>
    <definedName name="Kilbridgewastries">WAS!$B$20</definedName>
    <definedName name="KingsPts">[1]SKG!$E$47</definedName>
    <definedName name="KingsTries">[1]SKG!$B$47</definedName>
    <definedName name="Kirstenexepts">EXE!$G$23</definedName>
    <definedName name="Kirstenexetries">EXE!$B$23</definedName>
    <definedName name="Kirwancarlpts">WOR!$G$16</definedName>
    <definedName name="Kirwancarltries">WOR!$B$16</definedName>
    <definedName name="Kitchenergrahamptscorrect">LEIC!$G$21</definedName>
    <definedName name="Kitchenergrahamtriescorrect">LEIC!$B$21</definedName>
    <definedName name="Kitchenerpts">LEIC!#REF!</definedName>
    <definedName name="kitchenertries">LEIC!#REF!</definedName>
    <definedName name="Kittoleipts">LEIC!#REF!</definedName>
    <definedName name="Kittoleitries">LEIC!#REF!</definedName>
    <definedName name="Knightglopts">BTH!#REF!</definedName>
    <definedName name="Knightglotries">BTH!#REF!</definedName>
    <definedName name="Knightpts">GLO!#REF!</definedName>
    <definedName name="Knighttries">GLO!#REF!</definedName>
    <definedName name="Kochsarptscorrect">SAR!$G$22</definedName>
    <definedName name="Kochsartriescorrect">SAR!$B$22</definedName>
    <definedName name="Kolo_ofainewpts">LIR!#REF!</definedName>
    <definedName name="Kolo_ofainewtries">LIR!#REF!</definedName>
    <definedName name="Kpoku__Jonathansarpts">NEW!$G$39</definedName>
    <definedName name="Kpoku__Jonathansartries">NEW!$B$39</definedName>
    <definedName name="Kpokusarpts">NEW!$G$38</definedName>
    <definedName name="Kpokusartries">NEW!$B$38</definedName>
    <definedName name="Krielglopts">GLO!$G$23</definedName>
    <definedName name="Krielglotries">GLO!$B$23</definedName>
    <definedName name="Kruisgeorgepts">NEW!$G$42</definedName>
    <definedName name="Kruisgeorgetries">NEW!$B$42</definedName>
    <definedName name="Kuleminsalpts">SAL!#REF!</definedName>
    <definedName name="Kuleminsaltries">SAL!#REF!</definedName>
    <definedName name="Kunataniharpts">HAR!#REF!</definedName>
    <definedName name="Kunatanihartries">HAR!#REF!</definedName>
    <definedName name="Kvesicmattpts">GLO!#REF!</definedName>
    <definedName name="Kvesicmatttries">GLO!#REF!</definedName>
    <definedName name="Lahiffmaxbthpts">BTH!#REF!</definedName>
    <definedName name="lahiffmaxbthtries">BTH!#REF!</definedName>
    <definedName name="laidlawgloatt">GLO!#REF!</definedName>
    <definedName name="laidlawglogoals">GLO!#REF!</definedName>
    <definedName name="Laidlawglopts">GLO!#REF!</definedName>
    <definedName name="Laidlawglotries">GLO!#REF!</definedName>
    <definedName name="lambatt">LEIC!#REF!</definedName>
    <definedName name="Lambertharpts">HAR!#REF!</definedName>
    <definedName name="Lamberthartries">HAR!#REF!</definedName>
    <definedName name="lambgoals">LEIC!#REF!</definedName>
    <definedName name="Lambpts">LEIC!#REF!</definedName>
    <definedName name="Lambptscorrect">LEIC!#REF!</definedName>
    <definedName name="Lambripts">BRI!#REF!</definedName>
    <definedName name="Lambritries">BRI!#REF!</definedName>
    <definedName name="Lambryantries">WOR!#REF!</definedName>
    <definedName name="lambryanworatt">WOR!#REF!</definedName>
    <definedName name="Lambryanworgoals">WOR!#REF!</definedName>
    <definedName name="Lambryanworpts">WOR!#REF!</definedName>
    <definedName name="Lambworgoals">WOR!#REF!</definedName>
    <definedName name="Lamositelesarpts">NEW!$G$43</definedName>
    <definedName name="Lamositelesartries">NEW!$B$43</definedName>
    <definedName name="lanceworatt">WOR!#REF!</definedName>
    <definedName name="lanceworgls">WOR!#REF!</definedName>
    <definedName name="Lanceworpts">WOR!$G$22</definedName>
    <definedName name="Lancewortries">WOR!$B$22</definedName>
    <definedName name="Landajoharpts">HAR!#REF!</definedName>
    <definedName name="Landajohartries">HAR!#REF!</definedName>
    <definedName name="Lanebatpts">BTH!#REF!</definedName>
    <definedName name="Lanebattris">BTH!#REF!</definedName>
    <definedName name="Lanebripts">BRI!$G$28</definedName>
    <definedName name="Lanebritries">BRI!$B$28</definedName>
    <definedName name="Lanerichardpts">BTH!#REF!</definedName>
    <definedName name="Lanerichardtries">BTH!#REF!</definedName>
    <definedName name="Lanerichardtriescorrect">BTH!#REF!</definedName>
    <definedName name="Langdonsalpts">SAL!$G$25</definedName>
    <definedName name="Langdonsaltries">SAL!$B$25</definedName>
    <definedName name="langharatt">HAR!$M$5</definedName>
    <definedName name="Langhargls">HAR!$L$5</definedName>
    <definedName name="Langharpts">HAR!#REF!</definedName>
    <definedName name="Langhartries">HAR!#REF!</definedName>
    <definedName name="Langleywaspts">WAS!#REF!</definedName>
    <definedName name="Langleywastries">WAS!#REF!</definedName>
    <definedName name="lanharatt">HAR!$M$5</definedName>
    <definedName name="lanhargoals">HAR!$L$5</definedName>
    <definedName name="lanharpts">HAR!$M$5</definedName>
    <definedName name="Lasikeharpts">HAR!#REF!</definedName>
    <definedName name="Lasikehartries">HAR!#REF!</definedName>
    <definedName name="Latunewpts">LIR!#REF!</definedName>
    <definedName name="Latunewtries">LIR!#REF!</definedName>
    <definedName name="Launchburypts">WAS!#REF!</definedName>
    <definedName name="launchburytries">WAS!#REF!</definedName>
    <definedName name="Launchburywaspts">WAS!$H$21</definedName>
    <definedName name="Launchburywastries">WAS!$B$21</definedName>
    <definedName name="Lavaninileicpts">LEIC!$G$20</definedName>
    <definedName name="Lavaninileictries">LEIC!$B$20</definedName>
    <definedName name="Lawdayexepts">EXE!#REF!</definedName>
    <definedName name="Lawdayexeptscorrect">EXE!#REF!</definedName>
    <definedName name="Lawdayexetries">EXE!#REF!</definedName>
    <definedName name="Lawdayexetriescorrect">EXE!#REF!</definedName>
    <definedName name="Lawesnorpts">NOR!$H$23</definedName>
    <definedName name="Lawesnortries">NOR!$B$23</definedName>
    <definedName name="Lawrencewaspts">WAS!#REF!</definedName>
    <definedName name="Lawrencewastries">WAS!#REF!</definedName>
    <definedName name="Lawrenceworpts">WOR!$G$23</definedName>
    <definedName name="Lawrencewortries">WOR!$B$23</definedName>
    <definedName name="Lawsonnewpts">LIR!#REF!</definedName>
    <definedName name="Lawsonnewtries">LIR!#REF!</definedName>
    <definedName name="Lawsonscottpts">LIR!#REF!</definedName>
    <definedName name="Lawsonscotttries">LIR!#REF!</definedName>
    <definedName name="Laybripts">BRI!$G$26</definedName>
    <definedName name="Laybritries">BRI!$B$26</definedName>
    <definedName name="Le_Bourgeoiswaspts">WAS!$H$22</definedName>
    <definedName name="Le_Bourgeoiswastries">WAS!$B$22</definedName>
    <definedName name="Le_Rouxwaspts">WAS!#REF!</definedName>
    <definedName name="Le_Rouxwastries">WAS!#REF!</definedName>
    <definedName name="Leesexepts">EXE!#REF!</definedName>
    <definedName name="Leesexetries">EXE!#REF!</definedName>
    <definedName name="LeicesterPts">LEIC!$G$52</definedName>
    <definedName name="LeicesterTries">LEIC!$B$52</definedName>
    <definedName name="leicspentriespts">LEIC!$G$31</definedName>
    <definedName name="leicspentriestries">LEIC!$B$31</definedName>
    <definedName name="LeinsterPts">[1]LEIN!$F$58</definedName>
    <definedName name="LeinsterTries">[1]LEIN!$B$58</definedName>
    <definedName name="Leiuaalapatiwaspts">WAS!#REF!</definedName>
    <definedName name="Leiuawaspts">WAS!#REF!</definedName>
    <definedName name="Leiuawasptscorrect">WAS!#REF!</definedName>
    <definedName name="Leiuawastries">WAS!#REF!</definedName>
    <definedName name="Lemipts">WOR!#REF!</definedName>
    <definedName name="lemitries">WOR!#REF!</definedName>
    <definedName name="Leolipts">BRI!#REF!</definedName>
    <definedName name="Leolitries">BRI!#REF!</definedName>
    <definedName name="Leotajohnnypts">SAL!#REF!</definedName>
    <definedName name="Leotajohnnytries">SAL!#REF!</definedName>
    <definedName name="Lewingtonalextries">BRI!#REF!</definedName>
    <definedName name="Lewingtonpts">BRI!#REF!</definedName>
    <definedName name="Lewingtonsarpts">NEW!#REF!</definedName>
    <definedName name="Lewingtonsarptscorrect">SAR!$G$23</definedName>
    <definedName name="Lewingtonsartries">NEW!#REF!</definedName>
    <definedName name="Lewingtonsartriescorrect">SAR!$B$23</definedName>
    <definedName name="Lewingtontries">BRI!$B$26</definedName>
    <definedName name="Lewis_">WOR!$G$21</definedName>
    <definedName name="Lewis_Robertssalpts">SAL!#REF!</definedName>
    <definedName name="Lewis_Robertssaltries">SAL!#REF!</definedName>
    <definedName name="lewisbthatt">BTH!#REF!</definedName>
    <definedName name="Lewisbthgls">BTH!#REF!</definedName>
    <definedName name="Lewisbthpts">BTH!#REF!</definedName>
    <definedName name="Lewisbthtries">BTH!#REF!</definedName>
    <definedName name="Lewisdaveharpts">HAR!$G$27</definedName>
    <definedName name="Lewisdavehartries">HAR!$B$27</definedName>
    <definedName name="Lewisdavepts">EXE!#REF!</definedName>
    <definedName name="Lewisdavetries">EXE!#REF!</definedName>
    <definedName name="Lewisjamespts">WOR!#REF!</definedName>
    <definedName name="Lewisjamestries">WOR!#REF!</definedName>
    <definedName name="Lewisleicpts">LEIC!#REF!</definedName>
    <definedName name="Lewisleictries">LEIC!#REF!</definedName>
    <definedName name="Lewisrobpts">WOR!$G$21</definedName>
    <definedName name="Lewisrobtries">WOR!$B$21</definedName>
    <definedName name="Lewissarptscorrect">SAR!$G$24</definedName>
    <definedName name="Lewissartriescorrect">SAR!$B$24</definedName>
    <definedName name="Liebenbergleicpts">LEIC!$G$22</definedName>
    <definedName name="Liebenbergleictries">LEIC!$B$22</definedName>
    <definedName name="Lindsay_Haguenewpts">NEW!$G$23</definedName>
    <definedName name="Lindsay_Haguenewtries">NEW!$B$23</definedName>
    <definedName name="Lindsay_Hagueolliepts">HAR!#REF!</definedName>
    <definedName name="Lindsay_Hagueollietries">HAR!#REF!</definedName>
    <definedName name="Lindsaysarpts">NEW!#REF!</definedName>
    <definedName name="Lindsaysartries">NEW!#REF!</definedName>
    <definedName name="Lindsaywaspts">WAS!#REF!</definedName>
    <definedName name="Lindsaywastries">WAS!#REF!</definedName>
    <definedName name="Listonjessepts">WOR!#REF!</definedName>
    <definedName name="Listonjessetries">WOR!#REF!</definedName>
    <definedName name="Litchfieldjimmiepts">WOR!#REF!</definedName>
    <definedName name="Litchfieldjimmietries">WOR!#REF!</definedName>
    <definedName name="Litchfieldnorpts">NOR!$H$24</definedName>
    <definedName name="Litchfieldnortries">NOR!$B$24</definedName>
    <definedName name="Lloyd_Jbripts">BRI!$G$31</definedName>
    <definedName name="Lloyd_Jbritries">BRI!$B$31</definedName>
    <definedName name="LloydBriAtt">BRI!$M$6</definedName>
    <definedName name="LloydBriGls">BRI!$L$6</definedName>
    <definedName name="LloydBriPts">BRI!$G$30</definedName>
    <definedName name="LloydBriTries">BRI!$B$30</definedName>
    <definedName name="lloydjbriatt">BRI!$M$7</definedName>
    <definedName name="lloydjbrigls">BRI!$L$7</definedName>
    <definedName name="Lloydlirpts">BRI!$G$27</definedName>
    <definedName name="Lloydlirtries">BRI!$B$27</definedName>
    <definedName name="Loaderlirpts">BRI!$G$29</definedName>
    <definedName name="Loaderlirtries">BRI!$B$29</definedName>
    <definedName name="Loamanuleipts">LEIC!#REF!</definedName>
    <definedName name="Loamanuleitries">LEIC!#REF!</definedName>
    <definedName name="Lokotuiglopts">GLO!#REF!</definedName>
    <definedName name="Lokotuiglotries">GLO!#REF!</definedName>
    <definedName name="Lomidzelirpts">BRI!#REF!</definedName>
    <definedName name="Lomidzelirtries">BRI!#REF!</definedName>
    <definedName name="londonirishpentriespts">BRI!$G$44</definedName>
    <definedName name="londonirishpentriestries">BRI!$B$44</definedName>
    <definedName name="LondonIrishPts">LIR!$G$46</definedName>
    <definedName name="LondonIrishTres">LIR!$B$46</definedName>
    <definedName name="LondonIrishTries">LIR!$B$46</definedName>
    <definedName name="Longbottomsalpts">SAL!#REF!</definedName>
    <definedName name="Longbottomsaltries">SAL!#REF!</definedName>
    <definedName name="Longbottomsarpts">NEW!$G$44</definedName>
    <definedName name="LongbottomsarptsCORRECT">NEW!#REF!</definedName>
    <definedName name="Longbottomsartries">NEW!$B$44</definedName>
    <definedName name="LongbottomsartriesCORRECT">NEW!#REF!</definedName>
    <definedName name="Lonsdaleexepts">EXE!$G$24</definedName>
    <definedName name="Lonsdaleexetries">EXE!$B$24</definedName>
    <definedName name="Louwfrancoispts">BTH!#REF!</definedName>
    <definedName name="Louwfrancoistris">BTH!#REF!</definedName>
    <definedName name="Loweharpts">HAR!#REF!</definedName>
    <definedName name="Lowehartries">HAR!#REF!</definedName>
    <definedName name="Lowkierantries">BRI!$B$26</definedName>
    <definedName name="Lowlipts">BRI!$G$26</definedName>
    <definedName name="Lowmoraypts">EXE!#REF!</definedName>
    <definedName name="Lowmoraytries">EXE!#REF!</definedName>
    <definedName name="Lowpts">BRI!#REF!</definedName>
    <definedName name="Lowptscorrect">BRI!#REF!</definedName>
    <definedName name="lowtries">BRI!#REF!</definedName>
    <definedName name="Lowtriescorrect">BRI!#REF!</definedName>
    <definedName name="Lozadawaspts">WAS!#REF!</definedName>
    <definedName name="Lozadawastries">WAS!#REF!</definedName>
    <definedName name="lozowksisarattcorrect">SAR!$M$5</definedName>
    <definedName name="lozowskisarattcorrect">SAR!$M$6</definedName>
    <definedName name="lozowskisarglscorrect">SAR!$L$5</definedName>
    <definedName name="Lozowskisarptscorrect">SAR!$G$25</definedName>
    <definedName name="Lozowskisartriescorrect">SAR!$B$25</definedName>
    <definedName name="lozowskiwasatt">WAS!#REF!</definedName>
    <definedName name="lozowskiwasgoals">WAS!#REF!</definedName>
    <definedName name="Lozowskiwaspts">WAS!#REF!</definedName>
    <definedName name="Lozowskiwastries">WAS!#REF!</definedName>
    <definedName name="Lucocknewpts">NEW!$G$24</definedName>
    <definedName name="Lucocknewtries">NEW!$B$24</definedName>
    <definedName name="Ludlamnorpts">NOR!$H$25</definedName>
    <definedName name="Ludlamnortries">NOR!$B$25</definedName>
    <definedName name="Ludlowglopts">GLO!$G$24</definedName>
    <definedName name="Ludlowglotries">GLO!$B$24</definedName>
    <definedName name="Lundsalpts">SAL!#REF!</definedName>
    <definedName name="Lundsaltries">SAL!#REF!</definedName>
    <definedName name="Lutuiglopts">GLO!#REF!</definedName>
    <definedName name="Lutuiglotries">GLO!#REF!</definedName>
    <definedName name="Lynaghharpts">HAR!$G$30</definedName>
    <definedName name="Lynaghhartries">HAR!$B$30</definedName>
    <definedName name="Ma_afuglopts">GLO!#REF!</definedName>
    <definedName name="Ma_afuglotries">GLO!#REF!</definedName>
    <definedName name="Ma_afunorpts">NOR!#REF!</definedName>
    <definedName name="Ma_afunortries">NOR!#REF!</definedName>
    <definedName name="Ma_afusalesipts">NOR!$H$25</definedName>
    <definedName name="Ma_afusalesitries">NOR!$B$25</definedName>
    <definedName name="Maafunorpts">NOR!#REF!</definedName>
    <definedName name="Maafunortries">NOR!#REF!</definedName>
    <definedName name="Mackenwaspts">WAS!#REF!</definedName>
    <definedName name="Mackenwastries">WAS!#REF!</definedName>
    <definedName name="MacKenziephilpts">SAL!$G$26</definedName>
    <definedName name="MacKenziephiltries">SAL!$B$26</definedName>
    <definedName name="MacLeodnewpts">LIR!#REF!</definedName>
    <definedName name="MacLeodnewtries">LIR!#REF!</definedName>
    <definedName name="macleodnickatt">SAL!#REF!</definedName>
    <definedName name="macleodnickgoals">SAL!#REF!</definedName>
    <definedName name="MacLeodnickpts">SAL!#REF!</definedName>
    <definedName name="MacLeodnickptscorrect">SAL!#REF!</definedName>
    <definedName name="MacLeodsalpts">SAL!#REF!</definedName>
    <definedName name="MacLeodsaltries">SAL!#REF!</definedName>
    <definedName name="Mafibathtries">BTH!#REF!</definedName>
    <definedName name="Mafibthpts">BTH!#REF!</definedName>
    <definedName name="Mafilirpts">LIR!$G$27</definedName>
    <definedName name="Mafilirtries">LIR!$B$27</definedName>
    <definedName name="Mafipts">LEIC!$G$51</definedName>
    <definedName name="Mafistevepts">LEIC!#REF!</definedName>
    <definedName name="Mafistevetriescorrect">LEIC!#REF!</definedName>
    <definedName name="mafitries">LEIC!#REF!</definedName>
    <definedName name="Maitlandsarpts">NEW!$G$45</definedName>
    <definedName name="Maitlandsarptscorrect">SAR!$G$26</definedName>
    <definedName name="Maitlandsartries">NEW!$B$45</definedName>
    <definedName name="Maitlandsartriescorrect">SAR!$B$26</definedName>
    <definedName name="malinsbriatt">BRI!#REF!</definedName>
    <definedName name="Malinsbrigls">BRI!#REF!</definedName>
    <definedName name="malinssaratt">NEW!$M$7</definedName>
    <definedName name="malinssarattcorrect">SAR!$M$7</definedName>
    <definedName name="malinssargls">NEW!$L$7</definedName>
    <definedName name="malinssarglscorrect">SAR!$L$7</definedName>
    <definedName name="Malinssarpts">NEW!$G$47</definedName>
    <definedName name="Malinssarptscorrect">SAR!$G$27</definedName>
    <definedName name="Malinssartries">NEW!$B$47</definedName>
    <definedName name="Malinssartriescorrect">SAR!$B$27</definedName>
    <definedName name="mallindernoratt">NOR!#REF!</definedName>
    <definedName name="Mallindernorgoals">NOR!#REF!</definedName>
    <definedName name="Mallindernorpts">NOR!#REF!</definedName>
    <definedName name="Mallindernortries">NOR!#REF!</definedName>
    <definedName name="Maltonexepts">EXE!#REF!</definedName>
    <definedName name="Maltonexetries">EXE!#REF!</definedName>
    <definedName name="Mamukashvilisalpts">SAL!#REF!</definedName>
    <definedName name="Mamukashvilisaltries">SAL!#REF!</definedName>
    <definedName name="Manoanorpts">NOR!#REF!</definedName>
    <definedName name="Manoanortries">NOR!#REF!</definedName>
    <definedName name="Manoapts">NOR!#REF!</definedName>
    <definedName name="manoatries">NOR!#REF!</definedName>
    <definedName name="Maraisglopts">GLO!$G$25</definedName>
    <definedName name="Maraisglotries">GLO!$B$25</definedName>
    <definedName name="marchantharatt">HAR!$M$11</definedName>
    <definedName name="Marchanthargls">HAR!$L$11</definedName>
    <definedName name="Marchantharpts">HAR!$G$31</definedName>
    <definedName name="Marchanthartries">HAR!$B$31</definedName>
    <definedName name="Marfoharpts">HAR!$G$28</definedName>
    <definedName name="Marfohartries">HAR!$B$28</definedName>
    <definedName name="Marlerharpts">HAR!$G$32</definedName>
    <definedName name="Marlerpts">HAR!#REF!</definedName>
    <definedName name="marlertries">HAR!$B$32</definedName>
    <definedName name="Marshallglopts">GLO!#REF!</definedName>
    <definedName name="marshallliratt">BRI!#REF!</definedName>
    <definedName name="marshalllirgls">BRI!#REF!</definedName>
    <definedName name="Marshalllirpts">BRI!$G$32</definedName>
    <definedName name="Marshalllirtries">BRI!$B$32</definedName>
    <definedName name="Marshallnorpts">NOR!$H$26</definedName>
    <definedName name="Marshallnortries">NOR!$B$26</definedName>
    <definedName name="Marshalltomglo">GLO!#REF!</definedName>
    <definedName name="Martinleicpts">LEIC!$G$23</definedName>
    <definedName name="Martinleictries">LEIC!$B$23</definedName>
    <definedName name="Masiwaspts">WAS!#REF!</definedName>
    <definedName name="Masiwastries">WAS!#REF!</definedName>
    <definedName name="Matavesi__Joshnewpts">LIR!#REF!</definedName>
    <definedName name="Matavesi__JoshnewptsCORRECT">LIR!#REF!</definedName>
    <definedName name="Matavesi__Joshnewtries">LIR!#REF!</definedName>
    <definedName name="matavesibthatt">BTH!#REF!</definedName>
    <definedName name="Matavesibthgoals">BTH!#REF!</definedName>
    <definedName name="Matavesinewptscorrect">NEW!$G$26</definedName>
    <definedName name="Matavesinewtriescorrect">NEW!$B$26</definedName>
    <definedName name="Matavesipts">WOR!#REF!</definedName>
    <definedName name="matavesitries">WOR!#REF!</definedName>
    <definedName name="Matawalubthpts">BTH!#REF!</definedName>
    <definedName name="Matawalubthtries">BTH!#REF!</definedName>
    <definedName name="Matawaluexepts">EXE!#REF!</definedName>
    <definedName name="Matawaluexetries">EXE!#REF!</definedName>
    <definedName name="Materapablopts">LEIC!#REF!</definedName>
    <definedName name="Materapablotries">LEIC!#REF!</definedName>
    <definedName name="mathewswasatt">WAS!$O$6</definedName>
    <definedName name="mathewswasgls">WAS!$N$6</definedName>
    <definedName name="Matthewsharpts">HAR!#REF!</definedName>
    <definedName name="Matthewshartries">HAR!#REF!</definedName>
    <definedName name="Matthewsnorpts">NOR!$H$27</definedName>
    <definedName name="Matthewsnortries">NOR!$B$27</definedName>
    <definedName name="Matthewswaspts">WAS!#REF!</definedName>
    <definedName name="Matthewswastries">WAS!#REF!</definedName>
    <definedName name="Matu_uglopts">GLO!#REF!</definedName>
    <definedName name="Matu_uglotries">GLO!#REF!</definedName>
    <definedName name="Maunder_Sexepts">EXE!$G$26</definedName>
    <definedName name="Maunder_Sexetries">EXE!$B$26</definedName>
    <definedName name="Maunderexepts">EXE!$G$25</definedName>
    <definedName name="Maunderexetries">EXE!$B$25</definedName>
    <definedName name="Mawisarptscorrect">SAR!$G$28</definedName>
    <definedName name="Mawisartriescorrect">SAR!$B$28</definedName>
    <definedName name="Mayglopts">GLO!#REF!</definedName>
    <definedName name="Mayhewlipts">BRI!$G$34</definedName>
    <definedName name="Mayhewlitries">BRI!$B$34</definedName>
    <definedName name="Mayhewrichardpts">LIR!#REF!</definedName>
    <definedName name="Mayhewrichardtries">LIR!#REF!</definedName>
    <definedName name="Mayleicpts">LEIC!$G$24</definedName>
    <definedName name="Mayleictries">LEIC!$B$24</definedName>
    <definedName name="Maypts">GLO!#REF!</definedName>
    <definedName name="Maytompts">WOR!$G$24</definedName>
    <definedName name="Maytomtries">WOR!$B$24</definedName>
    <definedName name="Maytris">GLO!#REF!</definedName>
    <definedName name="McAllisterglopts">GLO!#REF!</definedName>
    <definedName name="McAllisterglotries">GLO!#REF!</definedName>
    <definedName name="McCabebripts">BRI!#REF!</definedName>
    <definedName name="McCabebritrie">BRI!#REF!</definedName>
    <definedName name="McCaffreywelshpts">WOR!#REF!</definedName>
    <definedName name="McCaffreywelshtries">WOR!#REF!</definedName>
    <definedName name="McCauleyexepts">EXE!#REF!</definedName>
    <definedName name="McCauleyexetries">EXE!#REF!</definedName>
    <definedName name="McCollgloptsd">GLO!#REF!</definedName>
    <definedName name="McCollglotries">GLO!#REF!</definedName>
    <definedName name="McConnochiebthpts">BTH!$H$26</definedName>
    <definedName name="McConnochiebthtries">BTH!$B$26</definedName>
    <definedName name="McCuskerlirpts">BRI!#REF!</definedName>
    <definedName name="McCuskerlirtries">BRI!#REF!</definedName>
    <definedName name="McFarlandsarptscorrect">SAR!$G$29</definedName>
    <definedName name="McFarlandsartriescorrect">SAR!$B$29</definedName>
    <definedName name="McGuiganexepts">EXE!#REF!</definedName>
    <definedName name="McGuiganexetries">EXE!#REF!</definedName>
    <definedName name="McGuigannewpts">LIR!$G$32</definedName>
    <definedName name="McGuigannewtries">LIR!$B$32</definedName>
    <definedName name="McGuiganpts">LIR!#REF!</definedName>
    <definedName name="mcguigansalatt">SAL!$M$12</definedName>
    <definedName name="McGuigansalgoals">SAL!$L$12</definedName>
    <definedName name="McGuigansalpts">SAL!$G$27</definedName>
    <definedName name="McGuigansaltries">SAL!$B$27</definedName>
    <definedName name="McGuigantries">LIR!#REF!</definedName>
    <definedName name="McIntyresimonpts">WAS!$H$23</definedName>
    <definedName name="McIntyresimontries">WAS!#REF!</definedName>
    <definedName name="McIntyrewastries">WAS!$B$23</definedName>
    <definedName name="McKenziefraserpts">LIR!#REF!</definedName>
    <definedName name="McKenziefrasertries">LIR!#REF!</definedName>
    <definedName name="mckibbinliratt">BRI!#REF!</definedName>
    <definedName name="mckibbinlirattcorrect">BRI!#REF!</definedName>
    <definedName name="mckibbinlirgls">BRI!#REF!</definedName>
    <definedName name="mckibbinlirgoals">BRI!#REF!</definedName>
    <definedName name="McKibbinlirgoalscorrect">BRI!#REF!</definedName>
    <definedName name="mckibbinlirishatt">BRI!#REF!</definedName>
    <definedName name="McKibbinlirpts">BRI!#REF!</definedName>
    <definedName name="McKibbinlirtries">BRI!#REF!</definedName>
    <definedName name="McLeanlirpts">BRI!#REF!</definedName>
    <definedName name="McLeanlirtries">BRI!#REF!</definedName>
    <definedName name="mcleansalatt">SAL!#REF!</definedName>
    <definedName name="mcleansalgoals">SAL!#REF!</definedName>
    <definedName name="McLeansalpts">SAL!#REF!</definedName>
    <definedName name="McLeansaltries">SAL!#REF!</definedName>
    <definedName name="Mcmillanlirpts">LIR!$G$29</definedName>
    <definedName name="Mcmillanlirtries">LIR!$B$29</definedName>
    <definedName name="McMillannorpts">NOR!#REF!</definedName>
    <definedName name="McMillannortries">NOR!#REF!</definedName>
    <definedName name="McNallybthpts">BTH!$H$27</definedName>
    <definedName name="McNallybthtries">BTH!$B$27</definedName>
    <definedName name="McNallyjoshpts">WOR!#REF!</definedName>
    <definedName name="McNallyjoshtries">WOR!#REF!</definedName>
    <definedName name="McNallylirpts">BRI!$G$33</definedName>
    <definedName name="McNallylirtries">BRI!$B$33</definedName>
    <definedName name="McNultyharpts">HAR!$G$29</definedName>
    <definedName name="McNultyhartries">HAR!$B$29</definedName>
    <definedName name="Mcphilipsleipts">LEIC!$G$25</definedName>
    <definedName name="Mcphilipsleitries">LEIC!$B$25</definedName>
    <definedName name="Meakesglopts">GLO!#REF!</definedName>
    <definedName name="Meakesglotries">GLO!#REF!</definedName>
    <definedName name="Meehanglopts">GLO!$G$26</definedName>
    <definedName name="Meehanglotries">GLO!$B$26</definedName>
    <definedName name="Mehsonwaspts">WAS!$H$24</definedName>
    <definedName name="Mehsonwastries">WAS!$B$24</definedName>
    <definedName name="Melcksarpts">NEW!#REF!</definedName>
    <definedName name="Melcksartries">NEW!#REF!</definedName>
    <definedName name="meleatt">LEIC!#REF!</definedName>
    <definedName name="Meledavidpts">LEIC!#REF!</definedName>
    <definedName name="Meledavidptscorrect">LEIC!#REF!</definedName>
    <definedName name="Meledavidtries">LEIC!#REF!</definedName>
    <definedName name="Meledaviestries">LEIC!#REF!</definedName>
    <definedName name="melegoals">LEIC!#REF!</definedName>
    <definedName name="Meleleipts">LEIC!#REF!</definedName>
    <definedName name="Melepts">LEIC!#REF!</definedName>
    <definedName name="meletries">LEIC!#REF!</definedName>
    <definedName name="Meletriescorrect">LEIC!#REF!</definedName>
    <definedName name="Meletriesthisiscorrect">LEIC!#REF!</definedName>
    <definedName name="Mercer_Gbthpts">BTH!#REF!</definedName>
    <definedName name="Mercer_Gbthtries">BTH!#REF!</definedName>
    <definedName name="Mercerbatpts">BTH!#REF!</definedName>
    <definedName name="Mercerbattries">BTH!#REF!</definedName>
    <definedName name="Mercerguypts">BTH!#REF!</definedName>
    <definedName name="Mercerguyptscorrect">BTH!#REF!</definedName>
    <definedName name="Mercerpts">BTH!#REF!</definedName>
    <definedName name="Mercertries">BTH!#REF!</definedName>
    <definedName name="Mercertriescorrect">BTH!#REF!</definedName>
    <definedName name="Merceynorpts">NOR!#REF!</definedName>
    <definedName name="Merceynortries">NOR!#REF!</definedName>
    <definedName name="Mermozleicpts">LEIC!#REF!</definedName>
    <definedName name="Mermozleictries">LEIC!#REF!</definedName>
    <definedName name="Mermoznewpts">LIR!#REF!</definedName>
    <definedName name="Mermoznewtries">LIR!#REF!</definedName>
    <definedName name="Merrickharpts">HAR!#REF!</definedName>
    <definedName name="Merrickhartries">HAR!#REF!</definedName>
    <definedName name="Merricknewpts">NEW!$G$28</definedName>
    <definedName name="Merricknewtries">NEW!$B$28</definedName>
    <definedName name="mieresatt">WOR!#REF!</definedName>
    <definedName name="mieresgoals">WOR!#REF!</definedName>
    <definedName name="Mierespts">WOR!#REF!</definedName>
    <definedName name="mierestries">WOR!#REF!</definedName>
    <definedName name="mikepts">HAR!#REF!</definedName>
    <definedName name="Milasinovichworpts">WOR!#REF!</definedName>
    <definedName name="Milasinovichwortries">WOR!#REF!</definedName>
    <definedName name="Millerrobpts">SAL!#REF!</definedName>
    <definedName name="Millerrobtries">SAL!#REF!</definedName>
    <definedName name="millersalatt">SAL!#REF!</definedName>
    <definedName name="millersalgoals">SAL!#REF!</definedName>
    <definedName name="millerwasatt">WAS!$O$9</definedName>
    <definedName name="millerwasgoals">WAS!$N$9</definedName>
    <definedName name="Millerwaspts">WAS!$H$25</definedName>
    <definedName name="Millerwastries">WAS!$B$25</definedName>
    <definedName name="Millerworpts">WOR!$G$25</definedName>
    <definedName name="Millerwortries">WOR!$B$25</definedName>
    <definedName name="Millsjonathanpts">SAL!#REF!</definedName>
    <definedName name="Millsjonathantries">SAL!#REF!</definedName>
    <definedName name="millsworatt">WOR!#REF!</definedName>
    <definedName name="millsworgoals">WOR!#REF!</definedName>
    <definedName name="Mitchellnorpts">NOR!$H$28</definedName>
    <definedName name="Mitchellnortries">NOR!$B$28</definedName>
    <definedName name="mitchellsalatt">SAL!#REF!</definedName>
    <definedName name="Mitchellsalgoals">SAL!#REF!</definedName>
    <definedName name="Mitchellsalpts">SAL!#REF!</definedName>
    <definedName name="Mitchellsaltries">SAL!#REF!</definedName>
    <definedName name="Moatesjacktries">WAS!#REF!</definedName>
    <definedName name="Moatespts">WAS!#REF!</definedName>
    <definedName name="Moatestries">WAS!#REF!</definedName>
    <definedName name="Moateswaspts">WAS!#REF!</definedName>
    <definedName name="Moateswastries">WAS!#REF!</definedName>
    <definedName name="Molenaartimpts">HAR!#REF!</definedName>
    <definedName name="Molenaartimtries">HAR!#REF!</definedName>
    <definedName name="Molenaarwelpts">WOR!#REF!</definedName>
    <definedName name="Molenaarweltries">WOR!#REF!</definedName>
    <definedName name="Monahanshanepts">GLO!#REF!</definedName>
    <definedName name="Monahanshanetries">GLO!#REF!</definedName>
    <definedName name="Montgomerynewpts">NEW!$G$29</definedName>
    <definedName name="Montgomerynewtries">NEW!$B$29</definedName>
    <definedName name="Montgomeryworpts">WOR!$G$26</definedName>
    <definedName name="Montgomerywortries">WOR!$B$26</definedName>
    <definedName name="Montoyaleicpts">LEIC!$G$26</definedName>
    <definedName name="Montoyaleictries">LEIC!$B$26</definedName>
    <definedName name="Monyeugopts">HAR!#REF!</definedName>
    <definedName name="Monyeugotries">HAR!#REF!</definedName>
    <definedName name="Moon_Anortries">NOR!$B$29</definedName>
    <definedName name="Moonnorpts">NOR!$H$29</definedName>
    <definedName name="Mooresalpts">SAL!$G$28</definedName>
    <definedName name="Mooresaltries">SAL!$B$28</definedName>
    <definedName name="Moorewaspts">WAS!#REF!</definedName>
    <definedName name="Moorewastries">WAS!#REF!</definedName>
    <definedName name="Mordtnilspts">NEW!#REF!</definedName>
    <definedName name="mordtsaratt">NEW!#REF!</definedName>
    <definedName name="mordtsargoals">NEW!#REF!</definedName>
    <definedName name="Mordtsartries">NEW!#REF!</definedName>
    <definedName name="Morgan_Aglopts">GLO!$G$27</definedName>
    <definedName name="Morgan_Aglotries">GLO!$B$27</definedName>
    <definedName name="Morganbenpts">GLO!$G$28</definedName>
    <definedName name="Morganbentries">GLO!$B$28</definedName>
    <definedName name="Moriartyglopts">GLO!$G$31</definedName>
    <definedName name="Moriartyglotries">GLO!$B$31</definedName>
    <definedName name="morleyexeatt">EXE!#REF!</definedName>
    <definedName name="Morleyexegls">EXE!#REF!</definedName>
    <definedName name="Moronileicpts">LEIC!#REF!</definedName>
    <definedName name="Moronileictries">LEIC!#REF!</definedName>
    <definedName name="Morrisbenwasgtries">WAS!$B$26</definedName>
    <definedName name="Morrisbenwaspts">WAS!$H$26</definedName>
    <definedName name="Morrisglopts">GLO!$G$30</definedName>
    <definedName name="Morrisglotries">GLO!$B$30</definedName>
    <definedName name="Morrisharpts">HAR!$G$33</definedName>
    <definedName name="Morrishartries">HAR!$B$33</definedName>
    <definedName name="morrisjgloatt">GLO!$M$8</definedName>
    <definedName name="Morrisjglogls">GLO!$L$8</definedName>
    <definedName name="Morrisjglopts">GLO!$G$29</definedName>
    <definedName name="Morrisjglotries">GLO!$B$29</definedName>
    <definedName name="Morrislwepts">WOR!#REF!</definedName>
    <definedName name="Morrislwetries">WOR!#REF!</definedName>
    <definedName name="Morrisniallpts">LEIC!#REF!</definedName>
    <definedName name="Morrisnialltries">LEIC!#REF!</definedName>
    <definedName name="Morrissarptscorrect">SAR!$G$30</definedName>
    <definedName name="Morrissartriescorrect">SAR!$B$30</definedName>
    <definedName name="Morriswaspts">WAS!#REF!</definedName>
    <definedName name="Morriswastries">WAS!#REF!</definedName>
    <definedName name="Morrisworpts">WOR!#REF!</definedName>
    <definedName name="Morriswortries">WOR!#REF!</definedName>
    <definedName name="Mortonsalpts">SAL!#REF!</definedName>
    <definedName name="Mortonsaltries">SAL!#REF!</definedName>
    <definedName name="Mudarikiworpts">WOR!$G$27</definedName>
    <definedName name="Mudarikiwortries">WOR!$B$27</definedName>
    <definedName name="Mugfordsalpts">SAL!#REF!</definedName>
    <definedName name="Mugfordsaltries">SAL!#REF!</definedName>
    <definedName name="Muirbthpts">BTH!$H$28</definedName>
    <definedName name="Muirbthtries">BTH!$B$28</definedName>
    <definedName name="Mujatisalpts">SAL!#REF!</definedName>
    <definedName name="Mujatisalptscorrect">SAL!#REF!</definedName>
    <definedName name="Mujatisaltries">SAL!#REF!</definedName>
    <definedName name="Mulchroneharpts">HAR!#REF!</definedName>
    <definedName name="Mulchronehartries">HAR!#REF!</definedName>
    <definedName name="Mulchronelipts">BRI!$G$35</definedName>
    <definedName name="MulchronelirtriesCORRECT">BRI!$B$35</definedName>
    <definedName name="Mulchronelitries">BRI!$B$35</definedName>
    <definedName name="Mulchronepts">BRI!#REF!</definedName>
    <definedName name="Mulchronetries">BRI!#REF!</definedName>
    <definedName name="Muldowneybripts">BRI!$G$34</definedName>
    <definedName name="Muldowneybritries">BRI!$B$34</definedName>
    <definedName name="mulipolaleicatt">LEIC!#REF!</definedName>
    <definedName name="Mulipolaleicgls">LEIC!#REF!</definedName>
    <definedName name="Mulipolaleipts">LEIC!#REF!</definedName>
    <definedName name="Mulipolaleitries">LEIC!#REF!</definedName>
    <definedName name="Mulipolanewpts">LIR!$G$34</definedName>
    <definedName name="Mulipolanewtries">LIR!$B$34</definedName>
    <definedName name="Mulipolapts">LEIC!#REF!</definedName>
    <definedName name="Mulipolatries">LEIC!#REF!</definedName>
    <definedName name="Mullanpts">WAS!#REF!</definedName>
    <definedName name="Mullantries">WAS!#REF!</definedName>
    <definedName name="Mullanwaspts">WAS!#REF!</definedName>
    <definedName name="Mullanwastries">WAS!#REF!</definedName>
    <definedName name="Mullennewpts">LIR!$G$36</definedName>
    <definedName name="Mullennewtries">LIR!$B$36</definedName>
    <definedName name="MullisGLOPTS">GLO!#REF!</definedName>
    <definedName name="MullisGLOTRIES">GLO!#REF!</definedName>
    <definedName name="Mummpts">EXE!$G$27</definedName>
    <definedName name="mummtries">EXE!$B$27</definedName>
    <definedName name="MunsterPts">[1]MUN!$F$55</definedName>
    <definedName name="MunsterTries">[1]MUN!$B$55</definedName>
    <definedName name="Murleyharpts">HAR!$G$34</definedName>
    <definedName name="Murleyhartries">HAR!$B$34</definedName>
    <definedName name="Murphydanpts">GLO!#REF!</definedName>
    <definedName name="Murphydantries">GLO!#REF!</definedName>
    <definedName name="Murphyharpts">HAR!#REF!</definedName>
    <definedName name="Murphyhartries">HAR!#REF!</definedName>
    <definedName name="Myallpts">WAS!#REF!</definedName>
    <definedName name="Myalltries">WAS!#REF!</definedName>
    <definedName name="myleratt">NOR!$O$4</definedName>
    <definedName name="mylergoals">NOR!$N$4</definedName>
    <definedName name="Mylerlirpts">LIR!#REF!</definedName>
    <definedName name="Mylerlirtries">LIR!#REF!</definedName>
    <definedName name="Mylernorpts">NOR!#REF!</definedName>
    <definedName name="Mylerpts">NOR!#REF!</definedName>
    <definedName name="Mylerstephentries">NOR!#REF!</definedName>
    <definedName name="Nagusanewpts">LIR!$G$37</definedName>
    <definedName name="Nagusanewtries">LIR!$B$37</definedName>
    <definedName name="Nahololirpts">LIR!#REF!</definedName>
    <definedName name="Nahololirtries">LIR!#REF!</definedName>
    <definedName name="Naiyaravoronorpts">NOR!$H$30</definedName>
    <definedName name="Naiyaravoronortries">NOR!$B$30</definedName>
    <definedName name="Nanaiworpts">WOR!$G$28</definedName>
    <definedName name="Nanaiwortries">WOR!$B$28</definedName>
    <definedName name="Naoupuharpts">HAR!#REF!</definedName>
    <definedName name="Naoupuhartries">HAR!#REF!</definedName>
    <definedName name="Naqelevukisirelipts">EXE!#REF!</definedName>
    <definedName name="Naqelevukisirelitries">EXE!#REF!</definedName>
    <definedName name="Narrawaylipts">BRI!$AJ$42</definedName>
    <definedName name="Naysarpts">NEW!#REF!</definedName>
    <definedName name="Naysartries">NEW!#REF!</definedName>
    <definedName name="Nealwaspts">WAS!$H$28</definedName>
    <definedName name="Nealwastries">WAS!$B$28</definedName>
    <definedName name="Neildsalpts">SAL!$G$29</definedName>
    <definedName name="Neildsaltries">SAL!$B$29</definedName>
    <definedName name="Nelsonnewpts">LIR!#REF!</definedName>
    <definedName name="Nelsonnewtries">LIR!#REF!</definedName>
    <definedName name="Nemsadzebstpts">BRI!#REF!</definedName>
    <definedName name="Nemsadzebsttries">BRI!#REF!</definedName>
    <definedName name="newcastlepenaltytriespts">LIR!#REF!</definedName>
    <definedName name="newcastlepenaltytriestries">LIR!#REF!</definedName>
    <definedName name="Nixonexepts">EXE!$G$28</definedName>
    <definedName name="Nixonexetries">EXE!$B$28</definedName>
    <definedName name="noakesliatt">BRI!#REF!</definedName>
    <definedName name="noakesligoals">BRI!#REF!</definedName>
    <definedName name="Noakeslipts">BRI!$G$37</definedName>
    <definedName name="Noakeslitries">BRI!$B$37</definedName>
    <definedName name="Noguerabthpts">BTH!#REF!</definedName>
    <definedName name="Noguerabthtries">BTH!#REF!</definedName>
    <definedName name="Noonemichaelpts">LEIC!#REF!</definedName>
    <definedName name="Noonemichaeltries">LEIC!#REF!</definedName>
    <definedName name="Noreyexepts">EXE!$G$29</definedName>
    <definedName name="Noreyexetries">EXE!$B$29</definedName>
    <definedName name="NorthamptonPts">NOR!$H$43</definedName>
    <definedName name="NorthamptonTries">NOR!$B$43</definedName>
    <definedName name="Northcote_Greenbthpts">BTH!#REF!</definedName>
    <definedName name="Northcote_Greenbthtries">BTH!#REF!</definedName>
    <definedName name="Northmoreharpts">HAR!$G$35</definedName>
    <definedName name="Northmorehartries">HAR!$B$35</definedName>
    <definedName name="Northnorpts">NOR!#REF!</definedName>
    <definedName name="Northnortries">NOR!#REF!</definedName>
    <definedName name="Northpts">NOR!#REF!</definedName>
    <definedName name="Northtries">NOR!#REF!</definedName>
    <definedName name="Nortonlirpts">LIR!#REF!</definedName>
    <definedName name="Nortonlirtries">LIR!#REF!</definedName>
    <definedName name="Nottlirpts">LIR!$G$30</definedName>
    <definedName name="Nottlirtries">LIR!$B$30</definedName>
    <definedName name="Nottsalpts">SAL!#REF!</definedName>
    <definedName name="Nottsaltries">SAL!#REF!</definedName>
    <definedName name="Nowellexepts">EXE!$G$30</definedName>
    <definedName name="Nowellexetries">EXE!$B$30</definedName>
    <definedName name="Nutleybenpts">NOR!#REF!</definedName>
    <definedName name="Nutleybentries">NOR!#REF!</definedName>
    <definedName name="O_Brienexepts">EXE!$G$31</definedName>
    <definedName name="O_Brienexetries">EXE!$B$31</definedName>
    <definedName name="O_Connorjamespts">BRI!#REF!</definedName>
    <definedName name="O_Connorptssal">SAL!#REF!</definedName>
    <definedName name="O_Connortriessal">SAL!#REF!</definedName>
    <definedName name="O_Connorwaspts">WAS!#REF!</definedName>
    <definedName name="O_Connorwastries">WAS!#REF!</definedName>
    <definedName name="O_Donnellrobpts">WOR!#REF!</definedName>
    <definedName name="O_Donnellrobptscorrect">WOR!#REF!</definedName>
    <definedName name="O_Donnellrobtries">WOR!$B$7</definedName>
    <definedName name="O_Learylipts">BRI!#REF!</definedName>
    <definedName name="O_Learylitries">BRI!#REF!</definedName>
    <definedName name="O_Sullivanlirpts">LIR!$G$31</definedName>
    <definedName name="O_Sullivanlirtries">LIR!$B$31</definedName>
    <definedName name="O_Sullivanwaspts">WAS!$H$29</definedName>
    <definedName name="O_Sullivanwastries">WAS!$B$29</definedName>
    <definedName name="Obanobthpts">BTH!$H$29</definedName>
    <definedName name="Obanobthtries">BTH!$B$29</definedName>
    <definedName name="Obatoyinbosarptscorrect">SAR!$G$31</definedName>
    <definedName name="Obatoyinbosartriescorrect">SAR!$B$31</definedName>
    <definedName name="Obatoysarpts">NEW!$G$49</definedName>
    <definedName name="Obatoysartries">NEW!$B$49</definedName>
    <definedName name="Obonnanewpts">NEW!$G$31</definedName>
    <definedName name="Obonnanewtries">NEW!$B$31</definedName>
    <definedName name="oconnoratt">BRI!#REF!</definedName>
    <definedName name="oconnorgoals">BRI!#REF!</definedName>
    <definedName name="OConnorjamestries">BRI!#REF!</definedName>
    <definedName name="Odogwusalpts">SAL!#REF!</definedName>
    <definedName name="Odogwusaltries">SAL!#REF!</definedName>
    <definedName name="Odogwuwaspts">WAS!$H$27</definedName>
    <definedName name="Odogwuwastries">WAS!$B$27</definedName>
    <definedName name="OjomohBTHPTS">BTH!$H$30</definedName>
    <definedName name="OjomohBTHTRIES">BTH!$B$30</definedName>
    <definedName name="Ojotopsypts">BRI!#REF!</definedName>
    <definedName name="Ojotopsytries">BRI!#REF!</definedName>
    <definedName name="OLE_LINK1" localSheetId="0">BTH!#REF!</definedName>
    <definedName name="Olowofela_Jleicpts">LEIC!$G$28</definedName>
    <definedName name="Olowofela_Jleictries">LEIC!$B$28</definedName>
    <definedName name="olvernoratt">NOR!#REF!</definedName>
    <definedName name="olvernorgoals">NOR!#REF!</definedName>
    <definedName name="Olvernorpts">NOR!#REF!</definedName>
    <definedName name="Olvernortries">NOR!#REF!</definedName>
    <definedName name="Olvernortriescorrect">NOR!#REF!</definedName>
    <definedName name="olverworatt">WOR!#REF!</definedName>
    <definedName name="Olverworgls">WOR!#REF!</definedName>
    <definedName name="Olverworpts">WOR!#REF!</definedName>
    <definedName name="Olverwortries">WOR!#REF!</definedName>
    <definedName name="Orlandibatpts">BTH!#REF!</definedName>
    <definedName name="Orlandibattries">BTH!#REF!</definedName>
    <definedName name="Orrglopts">GLO!#REF!</definedName>
    <definedName name="Orrglotries">GLO!#REF!</definedName>
    <definedName name="OspreysPts">[1]OSP!$F$50</definedName>
    <definedName name="OspreysTries">[1]OSP!$B$50</definedName>
    <definedName name="Ostrikovandreipts">SAL!#REF!</definedName>
    <definedName name="Ostrikovandreitries">SAL!$B$30</definedName>
    <definedName name="OStrikovsalpts">SAL!$G$30</definedName>
    <definedName name="Ovensjoshpts">BTH!#REF!</definedName>
    <definedName name="Ovensjoshtries">BTH!#REF!</definedName>
    <definedName name="Owenleicpts">LEIC!$G$30</definedName>
    <definedName name="Owenleictries">LEIC!$B$30</definedName>
    <definedName name="Owennewptscorrect">NEW!$G$33</definedName>
    <definedName name="Owennewtriescorrect">NEW!$B$33</definedName>
    <definedName name="Packmanhowardpts">NOR!#REF!</definedName>
    <definedName name="Packmanhowardtries">NOR!#REF!</definedName>
    <definedName name="PaiceDavidpts">BRI!$AH$52</definedName>
    <definedName name="PaiceDavidptts">BRI!$AK$47</definedName>
    <definedName name="Painternorpts">NOR!$H$31</definedName>
    <definedName name="Painternortries">NOR!$B$31</definedName>
    <definedName name="Palamobrispts">BRI!$G$41</definedName>
    <definedName name="Palamobristries">BRI!$B$41</definedName>
    <definedName name="Palframanworpts">WOR!$G$29</definedName>
    <definedName name="Palframanwortries">WOR!$B$29</definedName>
    <definedName name="Palma_Newportpts">BTH!#REF!</definedName>
    <definedName name="palmanewporttries">BTH!#REF!</definedName>
    <definedName name="Palmerglopts">GLO!#REF!</definedName>
    <definedName name="Palmerglotries">GLO!#REF!</definedName>
    <definedName name="Palmerpts">WAS!#REF!</definedName>
    <definedName name="palmertomtries">WAS!#REF!</definedName>
    <definedName name="Parlingexepts">EXE!$B$32</definedName>
    <definedName name="Parlingexetries">EXE!$B$32</definedName>
    <definedName name="Parlinggeoffexepts">EXE!$G$32</definedName>
    <definedName name="Parlingleipts">LEIC!$G$27</definedName>
    <definedName name="Parlingleitries">LEIC!$B$27</definedName>
    <definedName name="Parrmattpts">BRI!#REF!</definedName>
    <definedName name="Parrmatttries">BRI!#REF!</definedName>
    <definedName name="Pasqualileipts">LEIC!#REF!</definedName>
    <definedName name="Pasqualileitries">LEIC!#REF!</definedName>
    <definedName name="Patersonmichaelpts">SAL!#REF!</definedName>
    <definedName name="Patersonmichaeltries">SAL!#REF!</definedName>
    <definedName name="Patersonnorpts">NOR!#REF!</definedName>
    <definedName name="Patersonnortries">NOR!#REF!</definedName>
    <definedName name="Paulolirpts">BRI!$G$43</definedName>
    <definedName name="paulolirtries">BRI!$B$43</definedName>
    <definedName name="Pearceleipts">LEIC!#REF!</definedName>
    <definedName name="Pearceleitries">LEIC!#REF!</definedName>
    <definedName name="Pearcesalpts">SAL!#REF!</definedName>
    <definedName name="Pearcesaltries">SAL!#REF!</definedName>
    <definedName name="Pearsonexepts">EXE!$G$33</definedName>
    <definedName name="Pearsonexetries">EXE!$B$33</definedName>
    <definedName name="Pearsonlirpts">LIR!$G$33</definedName>
    <definedName name="Pearsonlirtries">LIR!$B$33</definedName>
    <definedName name="Peeldwaynepts">SAL!#REF!</definedName>
    <definedName name="Peeldwaynetries">SAL!#REF!</definedName>
    <definedName name="Peeldwaynetriescorrect">SAL!#REF!</definedName>
    <definedName name="Penalty_Triesbath">BTH!$H$31</definedName>
    <definedName name="Penalty_Triesbripts">BRI!$G$36</definedName>
    <definedName name="Penalty_Triesbritries">BRI!$B$36</definedName>
    <definedName name="Penalty_Triesexepts">EXE!$G$34</definedName>
    <definedName name="Penalty_Triesexetries">EXE!$B$34</definedName>
    <definedName name="Penalty_Triesglopts">GLO!$G$32</definedName>
    <definedName name="Penalty_Triesglotries">GLO!$B$32</definedName>
    <definedName name="Penalty_Triesharpts">HAR!$G$36</definedName>
    <definedName name="Penalty_Trieshartries">HAR!$B$36</definedName>
    <definedName name="Penalty_Triesnewpts">LIR!$G$39</definedName>
    <definedName name="Penalty_Triesnewptscorrect">NEW!$G$34</definedName>
    <definedName name="Penalty_Triesnewtries">LIR!$B$39</definedName>
    <definedName name="Penalty_Triesnewtriescorrect">NEW!$B$34</definedName>
    <definedName name="Penalty_Triessaintspts">NOR!$H$32</definedName>
    <definedName name="Penalty_Triessaintstries">NOR!$B$32</definedName>
    <definedName name="Penalty_Triessalpts">SAL!$G$31</definedName>
    <definedName name="Penalty_Triessaltries">SAL!$B$31</definedName>
    <definedName name="Penalty_Triessarpts">NEW!#REF!</definedName>
    <definedName name="Penalty_Triessarptscorrect">SAR!$G$32</definedName>
    <definedName name="Penalty_Triessartries">NEW!#REF!</definedName>
    <definedName name="Penalty_Triessartriescorrect">SAR!$B$32</definedName>
    <definedName name="Penalty_Trieswaspts">WAS!$H$30</definedName>
    <definedName name="Penalty_Trieswastries">WAS!$B$30</definedName>
    <definedName name="Penalty_Triesworpts">WOR!$G$30</definedName>
    <definedName name="Penalty_Trieswortries">WOR!$B$30</definedName>
    <definedName name="pennellchrisatt">WOR!#REF!</definedName>
    <definedName name="Pennellchrisgoals">WOR!#REF!</definedName>
    <definedName name="Pennellchrispts">WOR!#REF!</definedName>
    <definedName name="Pennellchristries">WOR!$B$21</definedName>
    <definedName name="pennellworatt">WOR!#REF!</definedName>
    <definedName name="Pennellworgls">WOR!#REF!</definedName>
    <definedName name="Pennynewtries">LIR!#REF!</definedName>
    <definedName name="Pennytnewpts">NEW!$G$35</definedName>
    <definedName name="Pennytnewtries">NEW!$B$35</definedName>
    <definedName name="Pereniseanthonypts">BTH!#REF!</definedName>
    <definedName name="Perenisebthpts">BTH!#REF!</definedName>
    <definedName name="Perenisebthtries">BTH!#REF!</definedName>
    <definedName name="perenisepts">BTH!#REF!</definedName>
    <definedName name="Pereniseptscorrect">BTH!#REF!</definedName>
    <definedName name="perenisetries">BTH!#REF!</definedName>
    <definedName name="Perenisetriescorrect">BTH!#REF!</definedName>
    <definedName name="Perkinssarpts">NEW!#REF!</definedName>
    <definedName name="Perkinssartries">NEW!#REF!</definedName>
    <definedName name="Phibbslipts">BRI!#REF!</definedName>
    <definedName name="Phibbslitries">BRI!#REF!</definedName>
    <definedName name="Phillipsbthpts">BTH!#REF!</definedName>
    <definedName name="Phillipsbthtries">BTH!#REF!</definedName>
    <definedName name="Phillipsjamespts">EXE!$G$30</definedName>
    <definedName name="Phillipsjamessalpts">SAL!$G$32</definedName>
    <definedName name="Phillipsjamessaltries">SAL!$B$32</definedName>
    <definedName name="Phillipsjamestries">EXE!$B$30</definedName>
    <definedName name="Phillipssalpts">SAL!#REF!</definedName>
    <definedName name="Phillipssaltries">SAL!#REF!</definedName>
    <definedName name="Phillipsworpts">WOR!#REF!</definedName>
    <definedName name="Phillipswortries">WOR!#REF!</definedName>
    <definedName name="Picamolesnorpts">NOR!#REF!</definedName>
    <definedName name="Picamolesnortries">NOR!#REF!</definedName>
    <definedName name="Pienaarbenpts">WOR!#REF!</definedName>
    <definedName name="Pienaarbentries">WOR!#REF!</definedName>
    <definedName name="Pietersenleipts">LEIC!#REF!</definedName>
    <definedName name="Pietersenleitries">LEIC!#REF!</definedName>
    <definedName name="Pifeletisarptscorrect">SAR!$G$33</definedName>
    <definedName name="Pifeletisartriescorrect">SAR!$B$33</definedName>
    <definedName name="Pincusbripts">BRI!#REF!</definedName>
    <definedName name="Pincusbritries">BRI!#REF!</definedName>
    <definedName name="Pisi_Gnorpts">NOR!#REF!</definedName>
    <definedName name="Pisi_Gnortries">NOR!#REF!</definedName>
    <definedName name="Pisibripts">BRI!#REF!</definedName>
    <definedName name="Pisibritries">BRI!#REF!</definedName>
    <definedName name="Pisigeorgepts">NOR!#REF!</definedName>
    <definedName name="Pisigeorgeptscorrect">NOR!#REF!</definedName>
    <definedName name="pisigeorgetries">NOR!#REF!</definedName>
    <definedName name="Pisigeorgetriescorrect">NOR!#REF!</definedName>
    <definedName name="Pisikenpts">NOR!#REF!</definedName>
    <definedName name="Pisikenptscorrect">NOR!$H$33</definedName>
    <definedName name="pisikentries">NOR!#REF!</definedName>
    <definedName name="Pisikentriescorrect">NOR!$B$33</definedName>
    <definedName name="Piutau_Cbritriescorrect">BRI!$B$37</definedName>
    <definedName name="Piutau_Swaspts">WAS!#REF!</definedName>
    <definedName name="Piutau_Swastries">WAS!#REF!</definedName>
    <definedName name="Piutaubripts">BRI!$G$50</definedName>
    <definedName name="Piutaubritries">BRI!$B$50</definedName>
    <definedName name="Piutauwaspts">WAS!#REF!</definedName>
    <definedName name="Piutauwastries">WAS!#REF!</definedName>
    <definedName name="Polledriglopts">GLO!$G$33</definedName>
    <definedName name="Polledriglotries">GLO!$B$33</definedName>
    <definedName name="Poreckilirpts">BRI!$G$46</definedName>
    <definedName name="Poreckilirptscorrect">LIR!#REF!</definedName>
    <definedName name="Poreckilirtries">BRI!$B$46</definedName>
    <definedName name="Poreckilirtriescorrect">LIR!#REF!</definedName>
    <definedName name="Porterleicpts">LEIC!$G$29</definedName>
    <definedName name="Porterleictries">LEIC!$B$29</definedName>
    <definedName name="Postlethwaitesalpts">SAL!$G$33</definedName>
    <definedName name="Postlethwaitesaltries">SAL!$B$33</definedName>
    <definedName name="Potgieterworpts">WOR!#REF!</definedName>
    <definedName name="Potgieterwortries">WOR!#REF!</definedName>
    <definedName name="Powelladampts">LIR!#REF!</definedName>
    <definedName name="Powelladamtries">LIR!#REF!</definedName>
    <definedName name="Powellbripts">BRI!$G$38</definedName>
    <definedName name="Powellbritries">BRI!$B$38</definedName>
    <definedName name="priestlandbthatt">BTH!#REF!</definedName>
    <definedName name="Priestlandbthgoals">BTH!#REF!</definedName>
    <definedName name="Priestlandbthpts">BTH!#REF!</definedName>
    <definedName name="Priestlandbthtries">BTH!#REF!</definedName>
    <definedName name="priorharatt">HAR!#REF!</definedName>
    <definedName name="priorhargls">HAR!#REF!</definedName>
    <definedName name="Protheroebripts">BRI!#REF!</definedName>
    <definedName name="Protheroebritries">BRI!#REF!</definedName>
    <definedName name="Prydiebthpts">BTH!$H$32</definedName>
    <definedName name="Prydiebthtries">BTH!$B$32</definedName>
    <definedName name="pts">HAR!$AD$44</definedName>
    <definedName name="Puafisiglopts">GLO!#REF!</definedName>
    <definedName name="Puafisiglotries">GLO!#REF!</definedName>
    <definedName name="Purdybripts">BRI!$G$39</definedName>
    <definedName name="Purdybritries">BRI!$B$39</definedName>
    <definedName name="Purdyglospts">GLO!#REF!</definedName>
    <definedName name="Purdyglotries">GLO!#REF!</definedName>
    <definedName name="quinspentriespts">HAR!$G$36</definedName>
    <definedName name="quinspentriestries">HAR!$B$36</definedName>
    <definedName name="Quirkesalpts">SAL!$G$34</definedName>
    <definedName name="Quirkesaltries">SAL!$B$34</definedName>
    <definedName name="Radradrabripts">BRI!$G$40</definedName>
    <definedName name="Radradrabritries">BRI!$B$40</definedName>
    <definedName name="Radwannewpts">LIR!#REF!</definedName>
    <definedName name="Radwannewptscorrect">NEW!$G$37</definedName>
    <definedName name="Radwannewtries">LIR!#REF!</definedName>
    <definedName name="Radwannewtriescorrect">NEW!$B$37</definedName>
    <definedName name="Randallbripts">BRI!$G$41</definedName>
    <definedName name="Randallbritries">BRI!$B$41</definedName>
    <definedName name="Ransombenpts">NEW!#REF!</definedName>
    <definedName name="Ransombentries">NEW!#REF!</definedName>
    <definedName name="Ransomlirpts">BRI!#REF!</definedName>
    <definedName name="Ransomlirtries">BRI!#REF!</definedName>
    <definedName name="Rapava_Ruskinglopts">GLO!$G$34</definedName>
    <definedName name="Rapava_Ruskinglotries">GLO!$B$34</definedName>
    <definedName name="Rapava_Ruskinworpts">WOR!#REF!</definedName>
    <definedName name="Rapava_Ruskinwortries">WOR!#REF!</definedName>
    <definedName name="Ratuniyarawanorpts">NOR!$H$34</definedName>
    <definedName name="Ratuniyarawanortries">NOR!$B$34</definedName>
    <definedName name="Rawacasarpts">NEW!#REF!</definedName>
    <definedName name="Rawacasartries">NEW!#REF!</definedName>
    <definedName name="Readsalpts">SAL!$G$35</definedName>
    <definedName name="Readsaltries">SAL!$B$35</definedName>
    <definedName name="Reddishharpts">HAR!#REF!</definedName>
    <definedName name="Reddishhartries">HAR!#REF!</definedName>
    <definedName name="Redmondlirpts">LIR!$G$40</definedName>
    <definedName name="Redmondlirtries">LIR!$B$40</definedName>
    <definedName name="redpathbthatt">BTH!$O$9</definedName>
    <definedName name="Redpathbthpts">BTH!$H$33</definedName>
    <definedName name="Redpathbthtries">BTH!$B$33</definedName>
    <definedName name="redpathsalatt">SAL!$M$8</definedName>
    <definedName name="redpathsalegls">SAL!$L$8</definedName>
    <definedName name="Redpathsalpts">SAL!#REF!</definedName>
    <definedName name="Redpathsaltries">SAL!#REF!</definedName>
    <definedName name="Rees_Zammitglopts">GLO!$G$35</definedName>
    <definedName name="Rees_Zammitglotries">GLO!$B$35</definedName>
    <definedName name="Reevesglopts">GLO!$G$36</definedName>
    <definedName name="Reevesglotries">GLO!$B$36</definedName>
    <definedName name="Reevesrickypts">WOR!#REF!</definedName>
    <definedName name="Reevesrickytries">WOR!#REF!</definedName>
    <definedName name="Reffellsarpts">NEW!#REF!</definedName>
    <definedName name="Reffellsarptscorrect">SAR!$G$34</definedName>
    <definedName name="Reffellsartries">NEW!#REF!</definedName>
    <definedName name="Reffellsartriescorrect">SAR!$B$34</definedName>
    <definedName name="Reidleicatt">LEIC!#REF!</definedName>
    <definedName name="Reidleicgls">LEIC!#REF!</definedName>
    <definedName name="Reidleipts">LEIC!#REF!</definedName>
    <definedName name="Reidleitries">LEIC!#REF!</definedName>
    <definedName name="Reidlirpts">LIR!$G$35</definedName>
    <definedName name="Reidlirtries">LIR!$B$35</definedName>
    <definedName name="reinachnoratt">NOR!#REF!</definedName>
    <definedName name="reinachnorgls">NOR!#REF!</definedName>
    <definedName name="Reinachnorpts">NOR!#REF!</definedName>
    <definedName name="Reinachnortries">NOR!#REF!</definedName>
    <definedName name="Reltonexepts">EXE!$G$35</definedName>
    <definedName name="Reltonexetries">EXE!$B$35</definedName>
    <definedName name="repathbthgls">BTH!$N$9</definedName>
    <definedName name="Reynoldsnicpts">WOR!#REF!</definedName>
    <definedName name="Reynoldsnictries">WOR!#REF!</definedName>
    <definedName name="Reynoldsstefpts">GLO!#REF!</definedName>
    <definedName name="Reynoldssteftries">GLO!#REF!</definedName>
    <definedName name="Rhodessarpts">NEW!$G$51</definedName>
    <definedName name="Rhodessartries">NEW!$B$51</definedName>
    <definedName name="Ribbansnorpts">NOR!$H$35</definedName>
    <definedName name="Ribbansnortries">NOR!$B$35</definedName>
    <definedName name="Riccionisarptscorrect">SAR!$G$35</definedName>
    <definedName name="Riccionisartriescorrect">SAR!$B$35</definedName>
    <definedName name="Richardsbthpts">BTH!$H$35</definedName>
    <definedName name="Richardsbthtries">BTH!$B$35</definedName>
    <definedName name="Richardsonleicpts">LEIC!$G$33</definedName>
    <definedName name="Richardsonleictries">LEIC!$B$33</definedName>
    <definedName name="Riederwaspts">WAS!$H$31</definedName>
    <definedName name="Riederwastries">WAS!$B$31</definedName>
    <definedName name="Rimmercarlpts">EXE!#REF!</definedName>
    <definedName name="Rimmercarltries">EXE!#REF!</definedName>
    <definedName name="Ripper_Smithworpts">WOR!#REF!</definedName>
    <definedName name="Ripper_Smithwortries">WOR!#REF!</definedName>
    <definedName name="Rizzoleipts">LEIC!#REF!</definedName>
    <definedName name="Rizzoleitries">LEIC!#REF!</definedName>
    <definedName name="Robertsbthpts">BTH!$H$34</definedName>
    <definedName name="Robertsbthtries">BTH!$B$34</definedName>
    <definedName name="Robertsharpts">HAR!#REF!</definedName>
    <definedName name="Robertshartries">HAR!#REF!</definedName>
    <definedName name="Robertsmartinpts">BTH!#REF!</definedName>
    <definedName name="Robertsmartintruies">BTH!#REF!</definedName>
    <definedName name="Robertstristanpts">WOR!#REF!</definedName>
    <definedName name="Robertstristantries">WOR!#REF!</definedName>
    <definedName name="robertswelatt">WOR!#REF!</definedName>
    <definedName name="robertswelgoals">WOR!#REF!</definedName>
    <definedName name="Robinsonnewpts">LIR!$G$43</definedName>
    <definedName name="Robinsonnewtries">LIR!$B$43</definedName>
    <definedName name="robinsonwelatt">WOR!#REF!</definedName>
    <definedName name="robinsonwelgoals">WOR!#REF!</definedName>
    <definedName name="Robinsonwillpts">WOR!#REF!</definedName>
    <definedName name="Robinsonwilltries">WOR!#REF!</definedName>
    <definedName name="Robshawharpts">HAR!#REF!</definedName>
    <definedName name="Robshawhartries">HAR!#REF!</definedName>
    <definedName name="robsobwasgoals">WAS!$N$7</definedName>
    <definedName name="Robsonglopts">GLO!#REF!</definedName>
    <definedName name="Robsonglotries">GLO!#REF!</definedName>
    <definedName name="Robsonharpts">HAR!#REF!</definedName>
    <definedName name="Robsonhartries">HAR!#REF!</definedName>
    <definedName name="robsonwasatt">WAS!$O$7</definedName>
    <definedName name="Robsonwaspts">WAS!$H$32</definedName>
    <definedName name="Robsonwastries">WAS!$B$32</definedName>
    <definedName name="Roddsalpts">SAL!$G$36</definedName>
    <definedName name="Roddsaltries">SAL!$B$36</definedName>
    <definedName name="Roebucksalpts">SAL!$G$37</definedName>
    <definedName name="Roebucksaltries">SAL!$B$37</definedName>
    <definedName name="Rogersnewpts">LIR!#REF!</definedName>
    <definedName name="Rogersnewtries">LIR!#REF!</definedName>
    <definedName name="Rokodugunibatpts">BTH!$H$36</definedName>
    <definedName name="Rokodugunibattries">BTH!$B$36</definedName>
    <definedName name="Rokodugunipts">BTH!#REF!</definedName>
    <definedName name="Rokoduguniptscorrect">BTH!#REF!</definedName>
    <definedName name="Rokodugunisemesapts">BTH!#REF!</definedName>
    <definedName name="Rokodugunisemesaptscorrect">BTH!#REF!</definedName>
    <definedName name="Rokodugunitries">BTH!#REF!</definedName>
    <definedName name="Rokodugunitriescorrect">BTH!#REF!</definedName>
    <definedName name="Rossgordonpts">WOR!#REF!</definedName>
    <definedName name="Rossgordontries">WOR!#REF!</definedName>
    <definedName name="Rosssalpts">SAL!$G$38</definedName>
    <definedName name="Rosssaltries">SAL!$B$38</definedName>
    <definedName name="rosswelatt">WOR!#REF!</definedName>
    <definedName name="rosswelgoals">WOR!#REF!</definedName>
    <definedName name="Rouselipts">BRI!#REF!</definedName>
    <definedName name="Rouselitries">BRI!#REF!</definedName>
    <definedName name="Rousepts">BRI!#REF!</definedName>
    <definedName name="rousetries">BRI!#REF!</definedName>
    <definedName name="Rowanglopts">GLO!#REF!</definedName>
    <definedName name="Rowanglotries">GLO!#REF!</definedName>
    <definedName name="Rowelirpts">LIR!$G$38</definedName>
    <definedName name="Rowelirtries">LIR!$B$38</definedName>
    <definedName name="Rowlandswaspts">WAS!#REF!</definedName>
    <definedName name="Rowlandswastries">WAS!#REF!</definedName>
    <definedName name="Rowleypaulpts">WOR!#REF!</definedName>
    <definedName name="Rowleypaultries">WOR!#REF!</definedName>
    <definedName name="Sackeypaulpts">HAR!#REF!</definedName>
    <definedName name="Sackeypaultries">HAR!#REF!</definedName>
    <definedName name="Safeglopts">GLO!$G$37</definedName>
    <definedName name="Safeglotries">GLO!$B$37</definedName>
    <definedName name="SalePts">SAL!$G$48</definedName>
    <definedName name="Saletries">SAL!$B$48</definedName>
    <definedName name="Salmonexepts">EXE!#REF!</definedName>
    <definedName name="Salmonexetries">EXE!#REF!</definedName>
    <definedName name="Salomonbripts">BRI!$G$42</definedName>
    <definedName name="Salomonbritries">BRI!$B$42</definedName>
    <definedName name="Salvijulianpts">LEIC!$G$32</definedName>
    <definedName name="Salvijuliantries">LEIC!$B$32</definedName>
    <definedName name="Sandfordjamespts">WOR!#REF!</definedName>
    <definedName name="Sandfordjamestries">WOR!#REF!</definedName>
    <definedName name="saracenspenaltytriespts">NEW!#REF!</definedName>
    <definedName name="saracenspenaltytriestries">NEW!#REF!</definedName>
    <definedName name="SaracensPts">NEW!$G$52</definedName>
    <definedName name="SaracensTries">NEW!$B$52</definedName>
    <definedName name="Saullandypts">LIR!#REF!</definedName>
    <definedName name="Saullandytries">LIR!#REF!</definedName>
    <definedName name="Saulolirpts">BRI!$G$48</definedName>
    <definedName name="Saulolirtries">BRI!$B$48</definedName>
    <definedName name="Saumakileicpts">LEIC!$G$34</definedName>
    <definedName name="Saumakileictries">LEIC!$B$34</definedName>
    <definedName name="Saunderssarpts">NEW!#REF!</definedName>
    <definedName name="Saunderssartries">NEW!#REF!</definedName>
    <definedName name="Savageglopts">GLO!#REF!</definedName>
    <definedName name="Savageglotries">GLO!#REF!</definedName>
    <definedName name="ScarletsPts">[1]SCA!$F$56</definedName>
    <definedName name="ScarletsTries">[1]SCA!$B$56</definedName>
    <definedName name="Scaysbrookpts">EXE!#REF!</definedName>
    <definedName name="scaysbrooktries">EXE!#REF!</definedName>
    <definedName name="Schatzlirpts">BRI!#REF!</definedName>
    <definedName name="Schatzlirtries">BRI!#REF!</definedName>
    <definedName name="Schickerlingexepts">EXE!$G$36</definedName>
    <definedName name="Schickerlingexetries">EXE!$B$36</definedName>
    <definedName name="Schoeman_Tbthpts">BTH!$G$38</definedName>
    <definedName name="Schoeman_Tbthptscorrect">BTH!$H$38</definedName>
    <definedName name="Schoeman_Tbthtries">BTH!$B$38</definedName>
    <definedName name="schoemanbthatt">BTH!$O$10</definedName>
    <definedName name="Schoemanbthgls">BTH!$N$10</definedName>
    <definedName name="Schoemanbthpts">BTH!$H$37</definedName>
    <definedName name="Schoemanbthtries">BTH!$B$37</definedName>
    <definedName name="Schofieldwelpts">WOR!#REF!</definedName>
    <definedName name="Schofieldweltries">WOR!#REF!</definedName>
    <definedName name="Scotland_W_sonharpts">HAR!$G$37</definedName>
    <definedName name="Scotland_W_sonhartries">HAR!$B$37</definedName>
    <definedName name="ScotlandWilliamsonchristianpts">WOR!$G$24</definedName>
    <definedName name="ScotlandWilliamsonchristiantries">WOR!#REF!</definedName>
    <definedName name="Scottglopts">GLO!#REF!</definedName>
    <definedName name="Scottglotries">GLO!#REF!</definedName>
    <definedName name="Scottleicpts">LEIC!$G$35</definedName>
    <definedName name="Scottleictries">LEIC!$B$35</definedName>
    <definedName name="Scottnickpts">WOR!#REF!</definedName>
    <definedName name="Scottnicktries">WOR!#REF!</definedName>
    <definedName name="Scullyblainepts">LEIC!#REF!</definedName>
    <definedName name="Scullyblainetries">LEIC!#REF!</definedName>
    <definedName name="Scullypts">LEIC!$G$21</definedName>
    <definedName name="scullytries">LEIC!#REF!</definedName>
    <definedName name="Seabrookglopts">GLO!$G$38</definedName>
    <definedName name="Seabrookglotries">GLO!$B$38</definedName>
    <definedName name="searlebriatt">BRI!#REF!</definedName>
    <definedName name="searlebrigoals">BRI!#REF!</definedName>
    <definedName name="Searlebstpts">BRI!#REF!</definedName>
    <definedName name="Searlebsttries">BRI!#REF!</definedName>
    <definedName name="searlewasatt">WAS!#REF!</definedName>
    <definedName name="Searlewasgls">WAS!#REF!</definedName>
    <definedName name="Searlewaspts">WAS!#REF!</definedName>
    <definedName name="Searlewastries">WAS!#REF!</definedName>
    <definedName name="searleworatt">WOR!$M$5</definedName>
    <definedName name="Searleworgls">WOR!$L$5</definedName>
    <definedName name="Searleworpts">WOR!$G$31</definedName>
    <definedName name="Searlewortris">WOR!$B$31</definedName>
    <definedName name="Searlswaspts">WAS!#REF!</definedName>
    <definedName name="Searlswastries">WAS!#REF!</definedName>
    <definedName name="Segunsarpts">NEW!#REF!</definedName>
    <definedName name="Segunsarptscorrect">SAR!$G$36</definedName>
    <definedName name="Segunsartries">NEW!#REF!</definedName>
    <definedName name="Segunsartriescorrect">SAR!$B$36</definedName>
    <definedName name="Sextonexepoints">EXE!#REF!</definedName>
    <definedName name="Sextonexetries">EXE!#REF!</definedName>
    <definedName name="Seymourdavidpts">SAL!#REF!</definedName>
    <definedName name="seymourdavidtries">SAL!#REF!</definedName>
    <definedName name="Seymourdavidtriescorrect">SAL!#REF!</definedName>
    <definedName name="Sharplesglopts">GLO!#REF!</definedName>
    <definedName name="Sharplesglotries">GLO!#REF!</definedName>
    <definedName name="Sharplespts">GLO!#REF!</definedName>
    <definedName name="Sharplestries">GLO!#REF!</definedName>
    <definedName name="Sheridaneamonnpts">BRI!$G$47</definedName>
    <definedName name="Sheridaneamonntries">BRI!$B$47</definedName>
    <definedName name="Sheriffsarpts">NEW!#REF!</definedName>
    <definedName name="Sheriffsartries">NEW!#REF!</definedName>
    <definedName name="Shervingtonwaspts">WAS!#REF!</definedName>
    <definedName name="Shervingtonwastries">WAS!#REF!</definedName>
    <definedName name="Shieldswaspts">WAS!$H$33</definedName>
    <definedName name="Shieldswastries">WAS!$B$33</definedName>
    <definedName name="Shiellsgrahambatpts">BTH!#REF!</definedName>
    <definedName name="Shiellsgrahambattries">BTH!#REF!</definedName>
    <definedName name="Shillcockworpts">WOR!$G$32</definedName>
    <definedName name="Shillcockwortries">WOR!$B$32</definedName>
    <definedName name="shilllcockworatt">WOR!$M$4</definedName>
    <definedName name="shilllcockworgoals">WOR!$L$4</definedName>
    <definedName name="Short_Alirpts">BRI!#REF!</definedName>
    <definedName name="Short_Alirtries">BRI!#REF!</definedName>
    <definedName name="Shortexepts">EXE!#REF!</definedName>
    <definedName name="Shortexetries">EXE!#REF!</definedName>
    <definedName name="Shortjamespts">WAS!#REF!</definedName>
    <definedName name="Shortjamestries">WAS!#REF!</definedName>
    <definedName name="Shortlandpts">LIR!#REF!</definedName>
    <definedName name="Shortlandryanpts">LIR!#REF!</definedName>
    <definedName name="Shortlandtries">LIR!#REF!</definedName>
    <definedName name="Shortlipts">BRI!#REF!</definedName>
    <definedName name="Shortlitries">BRI!#REF!</definedName>
    <definedName name="Simmonds_Sexepts">EXE!$G$38</definedName>
    <definedName name="Simmonds_Sexetries">EXE!$B$38</definedName>
    <definedName name="simmondsexeatt">EXE!$M$7</definedName>
    <definedName name="simmondsexegoals">EXE!$L$7</definedName>
    <definedName name="Simmondsexepts">EXE!$G$37</definedName>
    <definedName name="Simmondsexetries">EXE!$B$37</definedName>
    <definedName name="Simmonsleicpts">LEIC!$G$36</definedName>
    <definedName name="Simmonsleictries">LEIC!$B$36</definedName>
    <definedName name="Simmonslirpts">LIR!$G$41</definedName>
    <definedName name="Simmonslirtries">LIR!$B$41</definedName>
    <definedName name="Simpson_Danieljamespts">GLO!#REF!</definedName>
    <definedName name="Simpson_Danieljamestries">GLO!#REF!</definedName>
    <definedName name="Simpsonbthpts">BTH!$H$39</definedName>
    <definedName name="Simpsonbthtries">BTH!$B$39</definedName>
    <definedName name="Simpsonglopts">GLO!$G$39</definedName>
    <definedName name="Simpsonglotries">GLO!$B$39</definedName>
    <definedName name="Simpsonjoepts">WAS!#REF!</definedName>
    <definedName name="Simpsonjoetries">WAS!#REF!</definedName>
    <definedName name="Simpsonwaspts">WAS!#REF!</definedName>
    <definedName name="Simpsonwastries">WAS!#REF!</definedName>
    <definedName name="Sincklerharpts">HAR!#REF!</definedName>
    <definedName name="Sincklerhartries">HAR!#REF!</definedName>
    <definedName name="Sinclairjebbpts">BRI!$G$49</definedName>
    <definedName name="Sinclairjebbtries">BRI!$B$49</definedName>
    <definedName name="Singletonsarpts">NEW!#REF!</definedName>
    <definedName name="Singletonsartries">NEW!#REF!</definedName>
    <definedName name="Singletonworpts">WOR!$G$33</definedName>
    <definedName name="Singletonwortries">WOR!$B$33</definedName>
    <definedName name="Sinotisinotipts">LIR!#REF!</definedName>
    <definedName name="Sinotisinotitries">LIR!#REF!</definedName>
    <definedName name="Sioleipts">LEIC!#REF!</definedName>
    <definedName name="Sioleitries">LEIC!#REF!</definedName>
    <definedName name="Sirkerwaspts">WAS!$H$34</definedName>
    <definedName name="Sirkerwastries">WAS!$B$34</definedName>
    <definedName name="Sisidavidpts">BTH!#REF!</definedName>
    <definedName name="Sisidavidtries">BTH!#REF!</definedName>
    <definedName name="Sisilirpts">BRI!#REF!</definedName>
    <definedName name="Sisilirtries">BRI!#REF!</definedName>
    <definedName name="Skeltonsarpts">NEW!#REF!</definedName>
    <definedName name="Skeltonsartries">NEW!#REF!</definedName>
    <definedName name="Skinner_Hexepts">EXE!$G$39</definedName>
    <definedName name="Skinner_Hexetries">EXE!$B$39</definedName>
    <definedName name="Skinnerexeatt">EXE!$M$8</definedName>
    <definedName name="Skinnerexegls">EXE!$L$8</definedName>
    <definedName name="Skinnerexepts">EXE!$G$40</definedName>
    <definedName name="Skinnerexetries">EXE!$B$40</definedName>
    <definedName name="Skivingtongeorgeli">BRI!#REF!</definedName>
    <definedName name="Skivingtongeorgepts">BRI!#REF!</definedName>
    <definedName name="Skivingtongeorgetries">BRI!#REF!</definedName>
    <definedName name="Skusebatpts">BTH!#REF!</definedName>
    <definedName name="Skusebattries">BTH!#REF!</definedName>
    <definedName name="sladeatt">EXE!$M$6</definedName>
    <definedName name="Sladeexepts">EXE!$G$41</definedName>
    <definedName name="Sladeexetries">EXE!$B$41</definedName>
    <definedName name="sladegoals">EXE!$L$6</definedName>
    <definedName name="Sladehenrypts">EXE!#REF!</definedName>
    <definedName name="Slaterglopts">GLO!$G$40</definedName>
    <definedName name="Slaterglotries">GLO!$B$40</definedName>
    <definedName name="Slaterpts">LEIC!#REF!</definedName>
    <definedName name="Slaterptscorrect">LEIC!#REF!</definedName>
    <definedName name="slatertries">LEIC!#REF!</definedName>
    <definedName name="Slatertriescorrect">LEIC!#REF!</definedName>
    <definedName name="Sleightholmenorpts">NOR!$H$36</definedName>
    <definedName name="Sleightholmenortries">NOR!$B$36</definedName>
    <definedName name="Sloanharrypts">HAR!#REF!</definedName>
    <definedName name="Sloanharrytries">HAR!#REF!</definedName>
    <definedName name="Slowikworpts">WOR!#REF!</definedName>
    <definedName name="Slowikwortries">WOR!#REF!</definedName>
    <definedName name="Smithbripts">BRI!#REF!</definedName>
    <definedName name="Smithbritries">BRI!#REF!</definedName>
    <definedName name="Smithharpts">HAR!$G$38</definedName>
    <definedName name="Smithhartries">HAR!$B$38</definedName>
    <definedName name="smithleeatt">LIR!#REF!</definedName>
    <definedName name="Smithleegoals">LIR!#REF!</definedName>
    <definedName name="Smithleepts">LIR!#REF!</definedName>
    <definedName name="Smithleicpts">LEIC!$G$37</definedName>
    <definedName name="Smithleictries">LEIC!$B$37</definedName>
    <definedName name="Smithleipts">LEIC!#REF!</definedName>
    <definedName name="Smithleitries">LEIC!#REF!</definedName>
    <definedName name="Smithnewtries">LIR!#REF!</definedName>
    <definedName name="Smithrnewpts">NEW!$G$41</definedName>
    <definedName name="Smithrnewtries">NEW!$B$41</definedName>
    <definedName name="Smithrobbienewpts">NEW!$G$40</definedName>
    <definedName name="Smithrobbienewtries">NEW!$B$40</definedName>
    <definedName name="Smithsampts">HAR!#REF!</definedName>
    <definedName name="Smithsamtries">HAR!#REF!</definedName>
    <definedName name="Smithsarpts">NEW!#REF!</definedName>
    <definedName name="Smithsartries">NEW!#REF!</definedName>
    <definedName name="Smithwaspts">WAS!#REF!</definedName>
    <definedName name="Smithwastries">WAS!#REF!</definedName>
    <definedName name="smithworatt">WOR!$M$6</definedName>
    <definedName name="Smithworgls">WOR!$L$6</definedName>
    <definedName name="Smithworpts">WOR!$G$34</definedName>
    <definedName name="Smithwortries">WOR!$B$34</definedName>
    <definedName name="Snymanleicpts">LEIC!$G$38</definedName>
    <definedName name="Snymanleictries">LEIC!$B$38</definedName>
    <definedName name="Socino_Snewpts">LIR!#REF!</definedName>
    <definedName name="Socino_Snewtries">LIR!#REF!</definedName>
    <definedName name="Socinoglopts">GLO!$G$42</definedName>
    <definedName name="Socinoglotries">GLO!$B$42</definedName>
    <definedName name="Socinoleicpts">LEIC!$G$39</definedName>
    <definedName name="Socinoleictries">LEIC!$B$39</definedName>
    <definedName name="socinonewatt">LIR!#REF!</definedName>
    <definedName name="socinonewgoals">LIR!#REF!</definedName>
    <definedName name="Socinonewpts">LIR!#REF!</definedName>
    <definedName name="Socinonewtries">LIR!#REF!</definedName>
    <definedName name="Solomonasalpts">SAL!#REF!</definedName>
    <definedName name="Solomonasaltries">SAL!#REF!</definedName>
    <definedName name="SopoagaGLSWAS">WAS!#REF!</definedName>
    <definedName name="SOPOAGAWASATT">WAS!#REF!</definedName>
    <definedName name="Sopoagawaspts">WAS!#REF!</definedName>
    <definedName name="Sopoagawastries">WAS!#REF!</definedName>
    <definedName name="Southworthexepts">EXE!$G$42</definedName>
    <definedName name="Southworthexetries">EXE!$B$42</definedName>
    <definedName name="Sowreynewpts">LIR!$G$45</definedName>
    <definedName name="Sowreynewtries">LIR!$B$45</definedName>
    <definedName name="spcncerbthgls">BTH!$N$11</definedName>
    <definedName name="Spencer_Bbthpts">BTH!$H$40</definedName>
    <definedName name="Spencer_Bbthtries">BTH!$B$40</definedName>
    <definedName name="Spencer_Wbthpts">BTH!$H$41</definedName>
    <definedName name="Spencer_Wbthtries">BTH!$B$41</definedName>
    <definedName name="spencerbenatt">NEW!$M$6</definedName>
    <definedName name="spencerbengoals">NEW!$L$6</definedName>
    <definedName name="Spencerbenpts">NEW!#REF!</definedName>
    <definedName name="Spencerbentries">NEW!#REF!</definedName>
    <definedName name="spencerbthatt">BTH!$O$11</definedName>
    <definedName name="Spencerleicpts">LEIC!#REF!</definedName>
    <definedName name="Spencerleictries">LEIC!#REF!</definedName>
    <definedName name="Spencersarpts">NEW!#REF!</definedName>
    <definedName name="Spencerwillpts">BTH!#REF!</definedName>
    <definedName name="Spencerwilltries">BTH!#REF!</definedName>
    <definedName name="Spurlingsarpts">NEW!#REF!</definedName>
    <definedName name="Spurlingsartries">NEW!#REF!</definedName>
    <definedName name="Stanleyglopts">GLO!$G$43</definedName>
    <definedName name="Stanleyglotries">GLO!$B$43</definedName>
    <definedName name="Stedmanolliepts">WOR!#REF!</definedName>
    <definedName name="Stedmanollietrie">WOR!#REF!</definedName>
    <definedName name="Steelelipts">BRI!$G$53</definedName>
    <definedName name="Steelelirpts">LIR!#REF!</definedName>
    <definedName name="Steelelirtries">LIR!#REF!</definedName>
    <definedName name="Steelelitries">BRI!$B$53</definedName>
    <definedName name="Steenson">EXE!#REF!</definedName>
    <definedName name="steensonatt">EXE!#REF!</definedName>
    <definedName name="Steensonexepts">EXE!#REF!</definedName>
    <definedName name="Steensonexetries">EXE!#REF!</definedName>
    <definedName name="steensongarethtries">EXE!#REF!</definedName>
    <definedName name="Steensongoals">EXE!#REF!</definedName>
    <definedName name="Steensonpts">EXE!#REF!</definedName>
    <definedName name="Stegmannsebpts">WOR!#REF!</definedName>
    <definedName name="Stegmannsebtries">WOR!#REF!</definedName>
    <definedName name="Stellingmaxpts">WOR!#REF!</definedName>
    <definedName name="Stellingmaxtries">WOR!#REF!</definedName>
    <definedName name="stellingworatt">WOR!#REF!</definedName>
    <definedName name="stellingworgoals">WOR!#REF!</definedName>
    <definedName name="Stephensonjamespts">WOR!#REF!</definedName>
    <definedName name="Stephensonjamestries">WOR!$B$24</definedName>
    <definedName name="Stephensontompts">NOR!#REF!</definedName>
    <definedName name="Stephensontomtries">NOR!#REF!</definedName>
    <definedName name="Stevensjimmypts">BRI!#REF!</definedName>
    <definedName name="Stevensjimmytries">BRI!#REF!</definedName>
    <definedName name="Stevensleicpts">LEIC!$G$40</definedName>
    <definedName name="Stevensleictries">LEIC!$B$40</definedName>
    <definedName name="Stevenslipts">BRI!#REF!</definedName>
    <definedName name="Stevenslitries">BRI!#REF!</definedName>
    <definedName name="Stevensmattpts">NEW!#REF!</definedName>
    <definedName name="Stevensonnewpts">LIR!#REF!</definedName>
    <definedName name="Stevensonnewtries">LIR!#REF!</definedName>
    <definedName name="Stevensonwaspts">WAS!#REF!</definedName>
    <definedName name="Stevensonwastries">WAS!#REF!</definedName>
    <definedName name="stevenstries">NEW!#REF!</definedName>
    <definedName name="stewardleicatt">LEIC!$M$10</definedName>
    <definedName name="Stewardleicgls">LEIC!$L$10</definedName>
    <definedName name="Stewartbthpts">BTH!$H$42</definedName>
    <definedName name="Stewartbthtries">BTH!$B$42</definedName>
    <definedName name="Stirzakerbripts">BRI!$G$44</definedName>
    <definedName name="Stirzakerbritries">BRI!$B$44</definedName>
    <definedName name="Stokeslirpts">LIR!$G$42</definedName>
    <definedName name="Stokeslirtries">LIR!$B$42</definedName>
    <definedName name="Stookeglotres">GLO!#REF!</definedName>
    <definedName name="Stookeglptd">GLO!#REF!</definedName>
    <definedName name="Stookepts">GLO!#REF!</definedName>
    <definedName name="Stooketries">GLO!#REF!</definedName>
    <definedName name="Stookewaspts">WAS!$H$36</definedName>
    <definedName name="Stookewastries">WAS!$B$36</definedName>
    <definedName name="Strainnewpts">LIR!#REF!</definedName>
    <definedName name="Strainnewtries">LIR!#REF!</definedName>
    <definedName name="Strangbripts">BRI!$G$45</definedName>
    <definedName name="Strangbritries">BRI!$B$45</definedName>
    <definedName name="Streathertimpts">NEW!#REF!</definedName>
    <definedName name="Streathertimtries">NEW!#REF!</definedName>
    <definedName name="Streetexepts">EXE!$G$43</definedName>
    <definedName name="Streetexetries">EXE!$B$43</definedName>
    <definedName name="Strettlepts">NEW!#REF!</definedName>
    <definedName name="Strettlesarpts">NEW!#REF!</definedName>
    <definedName name="Strettlesarptscorrect">NEW!#REF!</definedName>
    <definedName name="Strettlesartries">NEW!#REF!</definedName>
    <definedName name="strettletries">NEW!#REF!</definedName>
    <definedName name="Strettllesartries">NEW!#REF!</definedName>
    <definedName name="Stringerpeterpts">BTH!#REF!</definedName>
    <definedName name="Stringerpetertries">BTH!#REF!</definedName>
    <definedName name="Stringersalpts">SAL!#REF!</definedName>
    <definedName name="Stringersaltries">SAL!#REF!</definedName>
    <definedName name="Stringerworpts">WOR!#REF!</definedName>
    <definedName name="Stringerwortries">WOR!#REF!</definedName>
    <definedName name="Strongexepts">EXE!#REF!</definedName>
    <definedName name="Strongexetries">EXE!#REF!</definedName>
    <definedName name="Stuartbthpts">BTH!$H$43</definedName>
    <definedName name="Stuartbthtries">BTH!$B$43</definedName>
    <definedName name="Stuartharpts">HAR!#REF!</definedName>
    <definedName name="Stuarthartries">HAR!#REF!</definedName>
    <definedName name="stuartnewatt">LIR!#REF!</definedName>
    <definedName name="Stuartnewgls">LIR!#REF!</definedName>
    <definedName name="Stuartnewpts">LIR!#REF!</definedName>
    <definedName name="Stuartnewtries">LIR!#REF!</definedName>
    <definedName name="Stuartwaspts">WAS!$H$35</definedName>
    <definedName name="Stuartwastries">WAS!$B$35</definedName>
    <definedName name="Sturgessexepts">EXE!#REF!</definedName>
    <definedName name="Sturgessexetries">EXE!#REF!</definedName>
    <definedName name="suajeremypts">WOR!#REF!</definedName>
    <definedName name="suajeremytries">WOR!#REF!</definedName>
    <definedName name="Suniulawaspts">WAS!#REF!</definedName>
    <definedName name="Suniulawastries">WAS!#REF!</definedName>
    <definedName name="Sutherlandworpts">WOR!$G$35</definedName>
    <definedName name="Sutherlandwortries">WOR!$B$35</definedName>
    <definedName name="Swainstonharpts">HAR!$G$39</definedName>
    <definedName name="Swainstonhartries">HAR!$B$39</definedName>
    <definedName name="Swainstonwapts">WAS!#REF!</definedName>
    <definedName name="Swainstonwastries">WAS!#REF!</definedName>
    <definedName name="Sweeneyceripts">EXE!#REF!</definedName>
    <definedName name="Sweeneyceritries">EXE!#REF!</definedName>
    <definedName name="sweeneyexeatt">EXE!#REF!</definedName>
    <definedName name="sweeneyexegoals">EXE!#REF!</definedName>
    <definedName name="swielharatt">HAR!#REF!</definedName>
    <definedName name="Swielhargoals">HAR!#REF!</definedName>
    <definedName name="Swielharpts">HAR!#REF!</definedName>
    <definedName name="Swielhartries">HAR!#REF!</definedName>
    <definedName name="Swielnewatt">LIR!#REF!</definedName>
    <definedName name="Swielnewgls">LIR!#REF!</definedName>
    <definedName name="Swielnewpts">LIR!#REF!</definedName>
    <definedName name="Swielnewtries">LIR!#REF!</definedName>
    <definedName name="Swinsonsarptscorrect">SAR!$G$37</definedName>
    <definedName name="Swinsonsartriescorrect">SAR!$B$37</definedName>
    <definedName name="Symonsandypts">WOR!#REF!</definedName>
    <definedName name="Symonsandytries">WOR!#REF!</definedName>
    <definedName name="Symonsharpts">HAR!$G$40</definedName>
    <definedName name="Symonshartries">HAR!$B$40</definedName>
    <definedName name="Symonslirpts">BRI!#REF!</definedName>
    <definedName name="Symonslirtries">BRI!#REF!</definedName>
    <definedName name="Symonsnorpts">NOR!#REF!</definedName>
    <definedName name="Symonsnortries">NOR!#REF!</definedName>
    <definedName name="Symonswaspts">WAS!#REF!</definedName>
    <definedName name="Symonswastries">WAS!#REF!</definedName>
    <definedName name="symonsworatt">WOR!#REF!</definedName>
    <definedName name="Symonsworgoals">WOR!#REF!</definedName>
    <definedName name="Tagicakibausailosipts">BRI!#REF!</definedName>
    <definedName name="Tagicakibausailositries">BRI!#REF!</definedName>
    <definedName name="Tagicakibausarpts">NEW!#REF!</definedName>
    <definedName name="Tagicakibausartries">NEW!#REF!</definedName>
    <definedName name="Tagicakibauwaspts">WAS!#REF!</definedName>
    <definedName name="Tagucakibauwastries">WAS!#REF!</definedName>
    <definedName name="Taioneexepts">EXE!#REF!</definedName>
    <definedName name="Taioneexetries">EXE!#REF!</definedName>
    <definedName name="Taitalexpts">LIR!#REF!</definedName>
    <definedName name="Taitalextries">LIR!#REF!</definedName>
    <definedName name="Taitmathewpts">LEIC!#REF!</definedName>
    <definedName name="Taitmathewtries">LEIC!#REF!</definedName>
    <definedName name="Taitnewpts">LIR!#REF!</definedName>
    <definedName name="Taitnewtris">LIR!#REF!</definedName>
    <definedName name="Takaluanewpts">LIR!#REF!</definedName>
    <definedName name="takaluanewtries">LIR!#REF!</definedName>
    <definedName name="takuluanewatt">LIR!#REF!</definedName>
    <definedName name="takuluanewgoals">LIR!#REF!</definedName>
    <definedName name="Tapuaibatpts">BTH!#REF!</definedName>
    <definedName name="Tapuaibattries">BTH!#REF!</definedName>
    <definedName name="tapuaibthatt">BTH!#REF!</definedName>
    <definedName name="tapuaibthgoals">BTH!#REF!</definedName>
    <definedName name="tapuaihargls">HAR!#REF!</definedName>
    <definedName name="tapuaiharglsatt">HAR!#REF!</definedName>
    <definedName name="tapuaiharglscorrect">HAR!#REF!</definedName>
    <definedName name="Tapuaiharpts">HAR!$G$44</definedName>
    <definedName name="Tapuaihartries">HAR!$B$44</definedName>
    <definedName name="Taufete_eworpts">WOR!#REF!</definedName>
    <definedName name="Taufete_ewortries">WOR!#REF!</definedName>
    <definedName name="Taulaniharpts">HAR!$G$42</definedName>
    <definedName name="Taulaniharptscorrect">HAR!$G$41</definedName>
    <definedName name="Taulanihartries">HAR!$B$42</definedName>
    <definedName name="Taulanihartriescorrect">HAR!$B$41</definedName>
    <definedName name="Taulavasemisipts">WOR!#REF!</definedName>
    <definedName name="Taulavasemisitries">WOR!#REF!</definedName>
    <definedName name="Taylorduncanpts">NEW!#REF!</definedName>
    <definedName name="Taylorduncantries">NEW!#REF!</definedName>
    <definedName name="Taylorglopts">GLO!$G$44</definedName>
    <definedName name="Taylorglotries">GLO!$B$44</definedName>
    <definedName name="Taylornathanpts">WOR!#REF!</definedName>
    <definedName name="Taylornathantries">WOR!#REF!</definedName>
    <definedName name="Taylornorpts">NOR!$H$37</definedName>
    <definedName name="Taylornortries">NOR!$B$37</definedName>
    <definedName name="Taylorsalpts">SAL!#REF!</definedName>
    <definedName name="Taylorsaltries">SAL!#REF!</definedName>
    <definedName name="Taylorsarpts">NEW!#REF!</definedName>
    <definedName name="Taylorsarptscorrect">SAR!$G$38</definedName>
    <definedName name="Taylorsartries">NEW!#REF!</definedName>
    <definedName name="Taylorsartriescorrect">SAR!$B$38</definedName>
    <definedName name="Taylortommywaspts">WAS!#REF!</definedName>
    <definedName name="Taylortommywastries">WAS!#REF!</definedName>
    <definedName name="Taylortsalpts">SAL!$G$39</definedName>
    <definedName name="Taylortsaltries">SAL!$B$39</definedName>
    <definedName name="Taylorwaspts">WAS!#REF!</definedName>
    <definedName name="Taylorwastries">WAS!#REF!</definedName>
    <definedName name="Taylorworpts">WOR!#REF!</definedName>
    <definedName name="Taylorwortries">WOR!#REF!</definedName>
    <definedName name="Temmnewpts">LIR!#REF!</definedName>
    <definedName name="Temmnewtries">LIR!#REF!</definedName>
    <definedName name="Terryglopts">GLO!$G$41</definedName>
    <definedName name="Terryglotries">GLO!$B$41</definedName>
    <definedName name="test">BTH!#REF!</definedName>
    <definedName name="Thacker_Cleicpts">LEIC!#REF!</definedName>
    <definedName name="Thacker_Cleictries">LEIC!#REF!</definedName>
    <definedName name="Thacker_Hleipts">LEIC!#REF!</definedName>
    <definedName name="Thacker_Hleitries">LEIC!#REF!</definedName>
    <definedName name="Thielsarpts">NEW!#REF!</definedName>
    <definedName name="Thielsartries">NEW!#REF!</definedName>
    <definedName name="Thomas_Dbripts">BRI!$G$47</definedName>
    <definedName name="Thomas_Dbritries">BRI!$B$47</definedName>
    <definedName name="Thomas_DBRITRIESCORRECT">BRI!$B$47</definedName>
    <definedName name="Thomas_Dglopts">GLO!#REF!</definedName>
    <definedName name="Thomas_Dglotriews">GLO!#REF!</definedName>
    <definedName name="Thomas_Yglopts">GLO!#REF!</definedName>
    <definedName name="Thomas_Yglotries">GLO!#REF!</definedName>
    <definedName name="thomasagloatt">GLO!#REF!</definedName>
    <definedName name="thomasaglogoals">GLO!#REF!</definedName>
    <definedName name="Thomasaledglopts">GLO!#REF!</definedName>
    <definedName name="Thomasaledglotries">GLO!#REF!</definedName>
    <definedName name="Thomasexepts">EXE!#REF!</definedName>
    <definedName name="Thomasexetries">EXE!#REF!</definedName>
    <definedName name="Thomasglopts">GLO!$G$45</definedName>
    <definedName name="Thomasglotries">GLO!$B$45</definedName>
    <definedName name="Thomashaydnpts">EXE!#REF!</definedName>
    <definedName name="Thomashaydntries">EXE!#REF!</definedName>
    <definedName name="Thomashenrybatpts">BTH!#REF!</definedName>
    <definedName name="Thomashenrybattries">BTH!#REF!</definedName>
    <definedName name="Thomashenrypts">SAL!#REF!</definedName>
    <definedName name="Thomashenrytries">SAL!#REF!</definedName>
    <definedName name="Thomasmartynpts">GLO!#REF!</definedName>
    <definedName name="Thomasmartyntries">GLO!#REF!</definedName>
    <definedName name="Thompson_Stringersarpts">NEW!#REF!</definedName>
    <definedName name="Thompson_Stringersartries">NEW!#REF!</definedName>
    <definedName name="Thompsonleicpts">LEIC!$G$41</definedName>
    <definedName name="Thompsonleictries">LEIC!$B$41</definedName>
    <definedName name="Thompsonnewpts">LIR!#REF!</definedName>
    <definedName name="Thompsonnewtries">LIR!#REF!</definedName>
    <definedName name="Thompsonpts">WAS!#REF!</definedName>
    <definedName name="Thompsontries">WAS!#REF!</definedName>
    <definedName name="Thompsonwaspts">WAS!#REF!</definedName>
    <definedName name="Thompsonwastries">WAS!#REF!</definedName>
    <definedName name="Thompstoneleipts">LEIC!#REF!</definedName>
    <definedName name="Thompstoneleitries">LEIC!#REF!</definedName>
    <definedName name="Thompstonepts">LEIC!#REF!</definedName>
    <definedName name="Thompstoneptscorrect">LEIC!#REF!</definedName>
    <definedName name="thompstonetries">LEIC!$B$21</definedName>
    <definedName name="Thorleyglopts">GLO!#REF!</definedName>
    <definedName name="Thorleygloptscorrect">GLO!$G$46</definedName>
    <definedName name="Thorleyglotries">GLO!#REF!</definedName>
    <definedName name="Thorleyglotriescorrect">GLO!$B$46</definedName>
    <definedName name="Thornleipts">LEIC!#REF!</definedName>
    <definedName name="Thornleitries">LEIC!#REF!</definedName>
    <definedName name="Thorperichardpts">WOR!#REF!</definedName>
    <definedName name="Thorperichardtries">WOR!#REF!</definedName>
    <definedName name="Tiesinewpts">LIR!#REF!</definedName>
    <definedName name="Tiesinewtries">LIR!#REF!</definedName>
    <definedName name="Tiffennewpts">NEW!$G$46</definedName>
    <definedName name="Tiffennewtries">NEW!$B$46</definedName>
    <definedName name="Tikoirotumaharpts">HAR!#REF!</definedName>
    <definedName name="Tikoirotumahartries">HAR!#REF!</definedName>
    <definedName name="Tikoirotumalirpts">BRI!#REF!</definedName>
    <definedName name="Tikoirotumalirtries">BRI!#REF!</definedName>
    <definedName name="Tincknelljamespts">WOR!$G$37</definedName>
    <definedName name="Tincknelljamestries">WOR!$B$37</definedName>
    <definedName name="tindallgloatt">GLO!$M$10</definedName>
    <definedName name="tindallglogoals">GLO!$L$10</definedName>
    <definedName name="Tindallmikepts">GLO!#REF!</definedName>
    <definedName name="Tindallmiketries">GLO!#REF!</definedName>
    <definedName name="Tipunanewpts">LIR!#REF!</definedName>
    <definedName name="Tipunanewtries">LIR!#REF!</definedName>
    <definedName name="Tolofuasarpts">NEW!#REF!</definedName>
    <definedName name="Tolofuasartries">NEW!#REF!</definedName>
    <definedName name="Tomaszczyknewpts">LIR!#REF!</definedName>
    <definedName name="Tomaszczyknewtries">LIR!#REF!</definedName>
    <definedName name="Tomesnewpts">LIR!#REF!</definedName>
    <definedName name="Tomesnewtries">LIR!#REF!</definedName>
    <definedName name="Tomkinsjoelpts">NEW!#REF!</definedName>
    <definedName name="tomkinstries">NEW!#REF!</definedName>
    <definedName name="Tompkinsnickpts">NEW!#REF!</definedName>
    <definedName name="Tompkinsnicktries">NEW!#REF!</definedName>
    <definedName name="Tompkinssarpts">NEW!#REF!</definedName>
    <definedName name="Tompkinssarptscorrect">NEW!#REF!</definedName>
    <definedName name="Tompkinssarptscorrect2">SAR!$G$39</definedName>
    <definedName name="Tompkinssartries">NEW!#REF!</definedName>
    <definedName name="Tompkinssartriescorrect">SAR!$B$39</definedName>
    <definedName name="Tonga_uihabstpts">BRI!#REF!</definedName>
    <definedName name="Tonga_uihabsttries">BRI!#REF!</definedName>
    <definedName name="Tonksliratt">BRI!#REF!</definedName>
    <definedName name="Tonkslirgoals">BRI!#REF!</definedName>
    <definedName name="Tonkslirpts">BRI!#REF!</definedName>
    <definedName name="Tonkslirtries">BRI!#REF!</definedName>
    <definedName name="Tonksnorpts">NOR!$H$38</definedName>
    <definedName name="Tonksnortries">NOR!$B$38</definedName>
    <definedName name="Toomaga_Allenwaspts">WAS!$H$37</definedName>
    <definedName name="Toomaga_Allenwastries">WAS!$B$37</definedName>
    <definedName name="toomualeicatt">LEIC!#REF!</definedName>
    <definedName name="Toomualeicgls">LEIC!#REF!</definedName>
    <definedName name="Toomualeipts">LEIC!#REF!</definedName>
    <definedName name="Toomualeitries">LEIC!#REF!</definedName>
    <definedName name="Townsendexepts">EXE!$G$44</definedName>
    <definedName name="Townsendexetries">EXE!$B$44</definedName>
    <definedName name="Trayfootharpts">HAR!#REF!</definedName>
    <definedName name="Trayfoothartries">HAR!#REF!</definedName>
    <definedName name="Trayfootlirpts">BRI!#REF!</definedName>
    <definedName name="Trayfootlirtries">BRI!#REF!</definedName>
    <definedName name="Trevettnathanpts">WOR!#REF!</definedName>
    <definedName name="Trevettnathantries">WOR!#REF!</definedName>
    <definedName name="Treviranuspts">BRI!#REF!</definedName>
    <definedName name="Treviranustries">BRI!#REF!</definedName>
    <definedName name="Trinderglopts">GLO!$G$47</definedName>
    <definedName name="Trinderhenrypts">GLO!#REF!</definedName>
    <definedName name="Trinderpts">GLO!#REF!</definedName>
    <definedName name="trindertries">GLO!#REF!</definedName>
    <definedName name="Trindertriestries">GLO!$B$47</definedName>
    <definedName name="Tualanorpts">NOR!$H$39</definedName>
    <definedName name="TualaNORTRIES">NOR!$B$39</definedName>
    <definedName name="Tuilagi__Alesananewgoals">LIR!#REF!</definedName>
    <definedName name="Tuilagi_Alesananewpts">LIR!#REF!</definedName>
    <definedName name="Tuilagi_Alesananewtries">LIR!#REF!</definedName>
    <definedName name="Tuilagi_Aniteleanewpts">LIR!#REF!</definedName>
    <definedName name="Tuilagi_Aniteleanewtries">LIR!#REF!</definedName>
    <definedName name="Tuilagi_Fleicpts">LEIC!#REF!</definedName>
    <definedName name="Tuilagi_Fleictries">LEIC!#REF!</definedName>
    <definedName name="tuilagialesananewatt">LIR!#REF!</definedName>
    <definedName name="Tuilagimanupts">LEIC!#REF!</definedName>
    <definedName name="Tuilagimanutries">LEIC!#REF!</definedName>
    <definedName name="Tuimaexepts">EXE!$G$45</definedName>
    <definedName name="Tuimaexetries">EXE!$B$45</definedName>
    <definedName name="Tuitavakenorpts">NOR!#REF!</definedName>
    <definedName name="Tuitavakenortries">NOR!#REF!</definedName>
    <definedName name="Tuitupousampts">SAL!$G$40</definedName>
    <definedName name="Tuitupousamtries">SAL!$B$40</definedName>
    <definedName name="Tunneywaspts">WAS!$H$38</definedName>
    <definedName name="Tunneywastries">WAS!$B$38</definedName>
    <definedName name="Tuohybripts">BRI!#REF!</definedName>
    <definedName name="Tuohybritries">BRI!#REF!</definedName>
    <definedName name="Turner_Hallharpts">HAR!#REF!</definedName>
    <definedName name="Turner_Hallhartries">HAR!#REF!</definedName>
    <definedName name="Turnerexepts">EXE!#REF!</definedName>
    <definedName name="Turnerexetries">EXE!#REF!</definedName>
    <definedName name="twelvetreesatt">GLO!$M$9</definedName>
    <definedName name="Twelvetreesglopts">GLO!$G$48</definedName>
    <definedName name="Twelvetreesglotries">GLO!$B$48</definedName>
    <definedName name="twelvetreesgoals">GLO!$L$9</definedName>
    <definedName name="Twelvetreespts">GLO!#REF!</definedName>
    <definedName name="Twelvetreestries">GLO!#REF!</definedName>
    <definedName name="Twomeyharpts">HAR!#REF!</definedName>
    <definedName name="Twomeyhartries">HAR!#REF!</definedName>
    <definedName name="UlsterPts">[1]ULS!$F$59</definedName>
    <definedName name="UlsterTries">[1]ULS!$B$59</definedName>
    <definedName name="umagawasatt">WAS!$O$8</definedName>
    <definedName name="umagawasgoals">WAS!$N$8</definedName>
    <definedName name="Umagawaspts">WAS!$H$39</definedName>
    <definedName name="Umagawastries">WAS!$B$39</definedName>
    <definedName name="Underhillbthpts">BTH!$H$44</definedName>
    <definedName name="Underhillbthtries">BTH!$B$44</definedName>
    <definedName name="UrenBRITRIES">BRI!$B$49</definedName>
    <definedName name="Uzokwenewpts">LIR!#REF!</definedName>
    <definedName name="Uzokwenewtries">LIR!#REF!</definedName>
    <definedName name="Vailanusarpts">NEW!#REF!</definedName>
    <definedName name="Vailanusartries">NEW!#REF!</definedName>
    <definedName name="Vailanuwaspts">WAS!#REF!</definedName>
    <definedName name="Vailanuwastries">WAS!#REF!</definedName>
    <definedName name="Vainikoloexepts">EXE!#REF!</definedName>
    <definedName name="Vainikoloexetries">EXE!#REF!</definedName>
    <definedName name="Vainikolopts">EXE!#REF!</definedName>
    <definedName name="Vainikolotries">EXE!#REF!</definedName>
    <definedName name="Van_Bredaworpts">WOR!$G$36</definedName>
    <definedName name="Van_Bredawortries">WOR!$B$36</definedName>
    <definedName name="Van_der_Merwe_Asalpts">SAL!$G$42</definedName>
    <definedName name="Van_der_Merwe_Asaltries">SAL!$B$42</definedName>
    <definedName name="van_der_Merwelirpts">LIR!#REF!</definedName>
    <definedName name="van_der_Merwelirtries">LIR!#REF!</definedName>
    <definedName name="van_der_Merweworpts">WOR!$G$38</definedName>
    <definedName name="van_der_Merwewortries">WOR!$B$38</definedName>
    <definedName name="van_der_Sluysexepts">EXE!$G$46</definedName>
    <definedName name="van_der_Sluysexetries">EXE!$B$46</definedName>
    <definedName name="van_Poortvlietleicpts">LEIC!$G$43</definedName>
    <definedName name="van_Poortvlietleictries">LEIC!$B$43</definedName>
    <definedName name="van_Rensburgsalpts">SAL!$G$41</definedName>
    <definedName name="van_Rensburgsaltries">SAL!$B$41</definedName>
    <definedName name="van_Rooyenbthpts">BTH!#REF!</definedName>
    <definedName name="van_Rooyenbthtries">BTH!#REF!</definedName>
    <definedName name="van_Stadenleicpts">LEIC!$G$44</definedName>
    <definedName name="van_Stadenleictries">LEIC!$B$44</definedName>
    <definedName name="van_Velzegjpts">NOR!#REF!</definedName>
    <definedName name="van_Velzegjtries">NOR!#REF!</definedName>
    <definedName name="van_Vuurenbthpts">BTH!$H$45</definedName>
    <definedName name="van_Vuurenbthtries">BTH!$B$45</definedName>
    <definedName name="van_Wyk_Fleicpts">LEIC!$G$45</definedName>
    <definedName name="van_Wyk_Fleictries">LEIC!$B$45</definedName>
    <definedName name="van_Wykkobusleicpts">LEIC!$G$46</definedName>
    <definedName name="van_Wykkobusleictries">LEIC!$B$46</definedName>
    <definedName name="van_Wyknorpts">NOR!#REF!</definedName>
    <definedName name="van_Wyknortries">NOR!#REF!</definedName>
    <definedName name="van_Zyllirpts">BRI!#REF!</definedName>
    <definedName name="van_Zyllirtries">BRI!#REF!</definedName>
    <definedName name="van_Zylsarptscorrect">SAR!$G$40</definedName>
    <definedName name="van_Zylsartriescorrect">SAR!$B$40</definedName>
    <definedName name="vanbredaworatt">WOR!#REF!</definedName>
    <definedName name="vanbredaworgls">WOR!#REF!</definedName>
    <definedName name="Vanesleicpts">LEIC!$G$42</definedName>
    <definedName name="Vanesleictries">LEIC!$B$42</definedName>
    <definedName name="Varndelltompts">WAS!#REF!</definedName>
    <definedName name="Varndelltomtries">WAS!#REF!</definedName>
    <definedName name="Veainuleipts">LEIC!#REF!</definedName>
    <definedName name="Veainuleitries">LEIC!#REF!</definedName>
    <definedName name="Veanewpts">LIR!#REF!</definedName>
    <definedName name="Veanewtries">LIR!#REF!</definedName>
    <definedName name="Veataionelwelshpts">WOR!#REF!</definedName>
    <definedName name="Veataionelwelshtries">WOR!#REF!</definedName>
    <definedName name="Veataionepts">WAS!#REF!</definedName>
    <definedName name="Veataionetroes">WAS!#REF!</definedName>
    <definedName name="Vellacottglopts">GLO!$G$49</definedName>
    <definedName name="Vellacottglotries">GLO!$B$49</definedName>
    <definedName name="Vellacottwaspts">WAS!$H$40</definedName>
    <definedName name="Vellacottwastries">WAS!$B$40</definedName>
    <definedName name="Vellanathanpts">WOR!#REF!</definedName>
    <definedName name="Vellanathantries">WOR!#REF!</definedName>
    <definedName name="Vendittinewpts">LIR!#REF!</definedName>
    <definedName name="Vendittinewtries">LIR!#REF!</definedName>
    <definedName name="VennerGLOPTS">GLO!#REF!</definedName>
    <definedName name="VennerGLOTRIES">GLO!#REF!</definedName>
    <definedName name="Ventersarptscorrect">SAR!$G$41</definedName>
    <definedName name="Ventersartriescorrect">SAR!$B$41</definedName>
    <definedName name="Venterworpts">WOR!$G$39</definedName>
    <definedName name="Venterwortries">WOR!$B$39</definedName>
    <definedName name="Verbakelnorpts">NOR!#REF!</definedName>
    <definedName name="Verbakelnortries">NOR!#REF!</definedName>
    <definedName name="Vermeulenexepts">EXE!#REF!</definedName>
    <definedName name="Vermeulenexetries">EXE!#REF!</definedName>
    <definedName name="Vickersnewpts">LIR!#REF!</definedName>
    <definedName name="Vickersnewtries">LIR!#REF!</definedName>
    <definedName name="Viljoen_EWleicatt">LEIC!#REF!</definedName>
    <definedName name="Viljoen_EWleicgls">LEIC!#REF!</definedName>
    <definedName name="Visagieglopts">GLO!$G$50</definedName>
    <definedName name="Visagieglotries">GLO!$B$50</definedName>
    <definedName name="Vossleicpts">LEIC!#REF!</definedName>
    <definedName name="Vossleictries">LEIC!#REF!</definedName>
    <definedName name="Vuibripts">BRI!$G$50</definedName>
    <definedName name="Vuibritries">BRI!$B$50</definedName>
    <definedName name="Vukasinovicwaspts">WAS!$H$41</definedName>
    <definedName name="Vukasinovicwastries">WAS!$B$41</definedName>
    <definedName name="Vunabthpts">BTH!#REF!</definedName>
    <definedName name="Vunabthtries">BTH!#REF!</definedName>
    <definedName name="Vunipola__Makosarpts">NEW!#REF!</definedName>
    <definedName name="Vunipola__Makosarptscorrect">SAR!$G$43</definedName>
    <definedName name="Vunipola__Makosartries">NEW!#REF!</definedName>
    <definedName name="Vunipola__Makosartriescorrect">SAR!$B$43</definedName>
    <definedName name="Vunipola__Manusarptscorrect">SAR!$G$44</definedName>
    <definedName name="Vunipola__Manusartriescorrect">SAR!$B$44</definedName>
    <definedName name="Vunipola_Bsarpts">NEW!#REF!</definedName>
    <definedName name="Vunipola_Bsarptscorrect">SAR!$G$42</definedName>
    <definedName name="Vunipola_Bsartries">NEW!#REF!</definedName>
    <definedName name="Vunipola_Bsartriescorrect">SAR!$B$42</definedName>
    <definedName name="Vunipola_Msaratt">NEW!$M$9</definedName>
    <definedName name="Vunipola_Msargls">NEW!$L$9</definedName>
    <definedName name="Vunipola_Msarpts">NEW!#REF!</definedName>
    <definedName name="Vunipola_Msartries">NEW!#REF!</definedName>
    <definedName name="Vunipolabillypts">NEW!#REF!</definedName>
    <definedName name="vunipolabillytries">NEW!#REF!</definedName>
    <definedName name="Vunipolamakopts">NEW!#REF!</definedName>
    <definedName name="vunipolamakotries">NEW!#REF!</definedName>
    <definedName name="vunipolasarattcorrect">SAR!$M$8</definedName>
    <definedName name="vunipolasarglscorrect">SAR!$L$8</definedName>
    <definedName name="Vunisasarpts">NEW!#REF!</definedName>
    <definedName name="Vunisasartries">NEW!#REF!</definedName>
    <definedName name="Wacokecokenewpts">NEW!$G$48</definedName>
    <definedName name="Wacokecokenewtries">NEW!$B$48</definedName>
    <definedName name="Wadepts">WAS!#REF!</definedName>
    <definedName name="wadetries">WAS!#REF!</definedName>
    <definedName name="wadewasatt">WAS!#REF!</definedName>
    <definedName name="Wadewasgls">WAS!#REF!</definedName>
    <definedName name="Wadewaspts">WAS!#REF!</definedName>
    <definedName name="Wadewastries">WAS!#REF!</definedName>
    <definedName name="Waldoucklirpts">BRI!#REF!</definedName>
    <definedName name="Waldoucklirtries">BRI!#REF!</definedName>
    <definedName name="Waldoucknewpts">LIR!#REF!</definedName>
    <definedName name="Waldoucknewtries">LIR!#REF!</definedName>
    <definedName name="Waldoucknorpts">NOR!#REF!</definedName>
    <definedName name="Waldoucknortries">NOR!#REF!</definedName>
    <definedName name="Waldromexepts">EXE!#REF!</definedName>
    <definedName name="Waldromexetries">EXE!#REF!</definedName>
    <definedName name="Waldrompts">LEIC!#REF!</definedName>
    <definedName name="Waldromptscorrect">LEIC!#REF!</definedName>
    <definedName name="waldromtries">LEIC!#REF!</definedName>
    <definedName name="Waldromtriescorrect">LEIC!#REF!</definedName>
    <definedName name="Walkerbthpts">BTH!$H$46</definedName>
    <definedName name="Walkerbthtries">BTH!$B$46</definedName>
    <definedName name="Walkercharliehqtries">HAR!#REF!</definedName>
    <definedName name="Walkercharliepts">HAR!#REF!</definedName>
    <definedName name="Walkerharpts">HAR!$G$43</definedName>
    <definedName name="Walkerhartries">HAR!$B$43</definedName>
    <definedName name="Wallacebriatt">BRI!#REF!</definedName>
    <definedName name="Wallacebrigls">BRI!#REF!</definedName>
    <definedName name="Wallacebripts">BRI!#REF!</definedName>
    <definedName name="Wallacebritries">BRI!#REF!</definedName>
    <definedName name="Wallacelukepts">HAR!#REF!</definedName>
    <definedName name="Wallaceluketries">HAR!#REF!</definedName>
    <definedName name="wallerethanpts">NOR!#REF!</definedName>
    <definedName name="wallerethantries">NOR!#REF!</definedName>
    <definedName name="Wallerworpts">WOR!$G$40</definedName>
    <definedName name="Wallerwortries">WOR!$B$40</definedName>
    <definedName name="Walshexegls">EXE!$L$9</definedName>
    <definedName name="Warddavepts">HAR!#REF!</definedName>
    <definedName name="warddavetries">HAR!#REF!</definedName>
    <definedName name="Warrsalpts">SAL!$G$43</definedName>
    <definedName name="Warrsaltries">SAL!$B$43</definedName>
    <definedName name="warwickatt">WOR!#REF!</definedName>
    <definedName name="warwickgoals">WOR!#REF!</definedName>
    <definedName name="Warwickpaulpts">WOR!#REF!</definedName>
    <definedName name="Warwickpaultries">WOR!#REF!</definedName>
    <definedName name="waslhexeatt">EXE!$M$9</definedName>
    <definedName name="waspspenaltytriespts">WAS!#REF!</definedName>
    <definedName name="waspspenaltytriestries">WAS!#REF!</definedName>
    <definedName name="waspspentries">WAS!#REF!</definedName>
    <definedName name="Waspspentriespts">WAS!#REF!</definedName>
    <definedName name="WaspsPts">WAS!$H$48</definedName>
    <definedName name="WaspsTries">WAS!$B$48</definedName>
    <definedName name="Watersharpts">HAR!$G$45</definedName>
    <definedName name="Watershartries">HAR!$B$45</definedName>
    <definedName name="Waterswelpts">WOR!#REF!</definedName>
    <definedName name="Watersweltries">WOR!#REF!</definedName>
    <definedName name="Watsonanthonypts">BTH!$H$47</definedName>
    <definedName name="Watsonanthonytries">BTH!$B$47</definedName>
    <definedName name="Watsonnewpts">LIR!#REF!</definedName>
    <definedName name="Watsonnewtriwes">LIR!#REF!</definedName>
    <definedName name="Watsonsarpts">NEW!#REF!</definedName>
    <definedName name="Watsonsartries">NEW!#REF!</definedName>
    <definedName name="Watsonwaspts">WAS!$H$42</definedName>
    <definedName name="Watsonwastries">WAS!$B$42</definedName>
    <definedName name="Webberpts">BTH!#REF!</definedName>
    <definedName name="Webberrobtries">BTH!#REF!</definedName>
    <definedName name="Webbersalpts">SAL!$G$44</definedName>
    <definedName name="Webbersaltries">SAL!$B$44</definedName>
    <definedName name="Webbertries">BTH!#REF!</definedName>
    <definedName name="Weepuwelshpts">WOR!#REF!</definedName>
    <definedName name="Weepuwelshtries">WOR!#REF!</definedName>
    <definedName name="Weirworpts">WOR!#REF!</definedName>
    <definedName name="Weirwortries">WOR!#REF!</definedName>
    <definedName name="Welchdamianpts">EXE!#REF!</definedName>
    <definedName name="Welchdamiantries">EXE!#REF!</definedName>
    <definedName name="Welchexepts">EXE!#REF!</definedName>
    <definedName name="Welchexetries">EXE!#REF!</definedName>
    <definedName name="Welchwillpts">LIR!#REF!</definedName>
    <definedName name="Welchwilltries">LIR!#REF!</definedName>
    <definedName name="Wellsharrypts">LEIC!#REF!</definedName>
    <definedName name="Wellsharrytries">LEIC!#REF!</definedName>
    <definedName name="Wellsleicpts">LEIC!$G$47</definedName>
    <definedName name="Wellsleictries">LEIC!$B$47</definedName>
    <definedName name="Welshnewpts">LIR!#REF!</definedName>
    <definedName name="Welshnewtries">LIR!#REF!</definedName>
    <definedName name="Westbenpts">WOR!#REF!</definedName>
    <definedName name="Westbentries">WOR!#REF!</definedName>
    <definedName name="Westwaspts">WAS!$H$43</definedName>
    <definedName name="Westwastries">WAS!$B$43</definedName>
    <definedName name="White_NexeptsCORRECT">EXE!$G$47</definedName>
    <definedName name="White_Nicexepts">EXE!$F$47</definedName>
    <definedName name="White_Nicexetries">EXE!$B$47</definedName>
    <definedName name="Whiteexepts">EXE!#REF!</definedName>
    <definedName name="Whiteharpts">HAR!#REF!</definedName>
    <definedName name="Whitehartries">HAR!#REF!</definedName>
    <definedName name="Whiteheadchrispts">EXE!#REF!</definedName>
    <definedName name="Whiteheadchristries">EXE!#REF!</definedName>
    <definedName name="Whiteleicpts">LEIC!$G$48</definedName>
    <definedName name="Whiteleictries">LEIC!$B$48</definedName>
    <definedName name="whiteleybriatt">BRI!$M$9</definedName>
    <definedName name="Whiteleybrigls">BRI!$L$9</definedName>
    <definedName name="Whiteleybripts">BRI!$G$51</definedName>
    <definedName name="Whiteleybritries">BRI!$B$51</definedName>
    <definedName name="whiteleysaratt">NEW!$M$8</definedName>
    <definedName name="Whiteleysargls">NEW!$L$8</definedName>
    <definedName name="Whiteleysarpts">NEW!#REF!</definedName>
    <definedName name="Whiteleysartries">NEW!#REF!</definedName>
    <definedName name="Whitelirpts">LIR!$G$44</definedName>
    <definedName name="Whitelirtries">LIR!$B$44</definedName>
    <definedName name="Whitepts">EXE!#REF!</definedName>
    <definedName name="whitetrie">EXE!#REF!</definedName>
    <definedName name="Whittenpts">EXE!$G$48</definedName>
    <definedName name="Whittentries">EXE!$B$48</definedName>
    <definedName name="Wieseleicpts">LEIC!$G$49</definedName>
    <definedName name="Wieseleictries">LEIC!$B$49</definedName>
    <definedName name="Wigglesworthleictries">LEIC!$B$50</definedName>
    <definedName name="Wigglesworthlicpts">LEIC!$G$50</definedName>
    <definedName name="Wigglesworthrichardpts">NEW!#REF!</definedName>
    <definedName name="Wigglesworthrichardtries">NEW!#REF!</definedName>
    <definedName name="wigglesworthsaratt">NEW!#REF!</definedName>
    <definedName name="Wigglesworthsargoals">NEW!#REF!</definedName>
    <definedName name="Wiliamsnewtries">LIR!#REF!</definedName>
    <definedName name="Wilkinsnorpts">NOR!$H$41</definedName>
    <definedName name="Wilkinsnortries">NOR!$B$41</definedName>
    <definedName name="wilkinsonsalatt">SAL!$M$10</definedName>
    <definedName name="wilkinsonsalgls">SAL!$L$10</definedName>
    <definedName name="Wilkinsonsalpts">SAL!$G$45</definedName>
    <definedName name="Wilkinsonsaltries">SAL!$B$45</definedName>
    <definedName name="Willemsesarpts">NEW!#REF!</definedName>
    <definedName name="Willemsesartries">NEW!#REF!</definedName>
    <definedName name="Williams_Jbstpts">BRI!#REF!</definedName>
    <definedName name="Williams_Jbsttries">BRI!#REF!</definedName>
    <definedName name="Williams_Rbstpts">BRI!#REF!</definedName>
    <definedName name="Williams_Rbsttries">BRI!#REF!</definedName>
    <definedName name="Williamsbenpts">BTH!$H$48</definedName>
    <definedName name="Williamsbentries">BTH!$B$48</definedName>
    <definedName name="Williamsexepts">EXE!$G$49</definedName>
    <definedName name="Williamsexetries">EXE!$B$49</definedName>
    <definedName name="williamsglopts">GLO!#REF!</definedName>
    <definedName name="williamsglotries">GLO!#REF!</definedName>
    <definedName name="Williamsjohnnylirpts">BRI!#REF!</definedName>
    <definedName name="Williamsjohnnylirtries">BRI!#REF!</definedName>
    <definedName name="Williamsleipts">LEIC!#REF!</definedName>
    <definedName name="Williamsleitries">LEIC!#REF!</definedName>
    <definedName name="Williamsmikepts">WOR!#REF!</definedName>
    <definedName name="Williamsmiketries">WOR!#REF!</definedName>
    <definedName name="Williamsmiketriescorrect">WOR!#REF!</definedName>
    <definedName name="williamsnewatt">LIR!#REF!</definedName>
    <definedName name="Williamsnewgls">LIR!#REF!</definedName>
    <definedName name="Williamsnewpts">LIR!#REF!</definedName>
    <definedName name="Williamsnorpts">NOR!#REF!</definedName>
    <definedName name="Williamsnortries">NOR!#REF!</definedName>
    <definedName name="williamsowenatt">LEIC!#REF!</definedName>
    <definedName name="williamsowengoals">LEIC!#REF!</definedName>
    <definedName name="Williamsowenpts">LEIC!$G$13</definedName>
    <definedName name="Williamsowenptscorrect">LEIC!#REF!</definedName>
    <definedName name="williamssalatt">SAL!$M$10</definedName>
    <definedName name="williamssalgls">SAL!$L$10</definedName>
    <definedName name="Williamssalpts">SAL!$G$46</definedName>
    <definedName name="Williamssaltries">SAL!$B$46</definedName>
    <definedName name="Williamssarpts">NEW!#REF!</definedName>
    <definedName name="Williamssartries">NEW!#REF!</definedName>
    <definedName name="Williamstompts">HAR!#REF!</definedName>
    <definedName name="Williamstomtries">HAR!#REF!</definedName>
    <definedName name="Williamstomtriescorrect">HAR!#REF!</definedName>
    <definedName name="williamsworatt">WOR!$M$7</definedName>
    <definedName name="Williamsworgls">WOR!$L$7</definedName>
    <definedName name="Williamsworpts">WOR!$G$41</definedName>
    <definedName name="Williamswortries">WOR!$B$41</definedName>
    <definedName name="Willis_Twaspts">WAS!$H$45</definedName>
    <definedName name="Willis_Twastries">WAS!$B$45</definedName>
    <definedName name="Willismewtries">LIR!#REF!</definedName>
    <definedName name="willisnewatt">LIR!#REF!</definedName>
    <definedName name="Willisnewgoals">LIR!#REF!</definedName>
    <definedName name="Willisnewpts">LIR!#REF!</definedName>
    <definedName name="Willisonbthpts">BTH!$H$48</definedName>
    <definedName name="Willisonbthtries">BTH!$B$48</definedName>
    <definedName name="Willisonworpts">WOR!#REF!</definedName>
    <definedName name="Willisonwortries">WOR!#REF!</definedName>
    <definedName name="Williswaspts">WAS!$H$44</definedName>
    <definedName name="Williswastries">WAS!$B$44</definedName>
    <definedName name="Wilson__Jamesbthgls">BTH!#REF!</definedName>
    <definedName name="Wilson__Jamesbthpts">BTH!$H$50</definedName>
    <definedName name="Wilson__Jamesbthptscorrect">BTH!#REF!</definedName>
    <definedName name="Wilson__Jamesbthtries">BTH!$B$50</definedName>
    <definedName name="Wilson__Jamesbthtriescorrect">BTH!#REF!</definedName>
    <definedName name="Wilson_Dnewpts">LIR!#REF!</definedName>
    <definedName name="Wilson_Dnewtries">LIR!#REF!</definedName>
    <definedName name="Wilson_Markpts">LIR!#REF!</definedName>
    <definedName name="Wilson_Marktries">LIR!#REF!</definedName>
    <definedName name="Wilson_Snewpts">LIR!#REF!</definedName>
    <definedName name="Wilson_Snewtries">LIR!#REF!</definedName>
    <definedName name="Wilsonbatpts">BTH!#REF!</definedName>
    <definedName name="Wilsonbattries">BTH!#REF!</definedName>
    <definedName name="Wilsondavidpts">BTH!#REF!</definedName>
    <definedName name="Wilsondavidtries">BTH!#REF!</definedName>
    <definedName name="Wilsonjackpts">NEW!#REF!</definedName>
    <definedName name="Wilsonjacktries">NEW!#REF!</definedName>
    <definedName name="Wilsonjacktriescorr">NEW!#REF!</definedName>
    <definedName name="Wilsonjacktriescorrect">NEW!#REF!</definedName>
    <definedName name="wilsonjamesatt">NOR!#REF!</definedName>
    <definedName name="wilsonjamesbthatt">BTH!#REF!</definedName>
    <definedName name="wilsonjamesbthgls">BTH!#REF!</definedName>
    <definedName name="Wilsonjamesgoals">NOR!#REF!</definedName>
    <definedName name="Wilsonjamesnorpts">NOR!#REF!</definedName>
    <definedName name="Wilsonjamespts">NOR!#REF!</definedName>
    <definedName name="Wilsonjamesptscorrect">NOR!#REF!</definedName>
    <definedName name="wilsonjamestries">NOR!#REF!</definedName>
    <definedName name="Wilsonjamestriescorrect">NOR!#REF!</definedName>
    <definedName name="wilsonjbthatt">BTH!#REF!</definedName>
    <definedName name="Wilsonnewpts">NEW!#REF!</definedName>
    <definedName name="Wilsonnewtries">NEW!#REF!</definedName>
    <definedName name="wilsteadbriatt">BRI!$M$10</definedName>
    <definedName name="wilsteadbrigls">BRI!$L$10</definedName>
    <definedName name="Wilsteadbripts">BRI!$G$52</definedName>
    <definedName name="Wilsteadbritries">BRI!$B$52</definedName>
    <definedName name="Wittyexepts">EXE!$G$50</definedName>
    <definedName name="Wittyexetries">EXE!$B$50</definedName>
    <definedName name="Wittynewpts">LIR!#REF!</definedName>
    <definedName name="Wittynewtries">LIR!#REF!</definedName>
    <definedName name="Wolstenholmewaspts">WAS!$H$46</definedName>
    <definedName name="Wolstenholmewastries">WAS!$B$46</definedName>
    <definedName name="Wolstenhomewaspts">WAS!$H$46</definedName>
    <definedName name="Woodburnexepts">EXE!$G$51</definedName>
    <definedName name="Woodburnexetries">EXE!$B$51</definedName>
    <definedName name="Woodburnollypts">BTH!#REF!</definedName>
    <definedName name="woodburnollytries">BTH!#REF!</definedName>
    <definedName name="Woodburnworpts">WOR!#REF!</definedName>
    <definedName name="Woodburnwortries">WOR!#REF!</definedName>
    <definedName name="Woodglopts">GLO!#REF!</definedName>
    <definedName name="Woodglotries">GLO!#REF!</definedName>
    <definedName name="Woodtompts">NOR!#REF!</definedName>
    <definedName name="Woodtomptscorrect">NOR!$H$42</definedName>
    <definedName name="woodtomtries">NOR!#REF!</definedName>
    <definedName name="Woodtomtriescorrect">NOR!$B$42</definedName>
    <definedName name="woodwardbriatt">BRI!#REF!</definedName>
    <definedName name="Woodwardbrigoals">BRI!#REF!</definedName>
    <definedName name="Woodwardbripts">BRI!#REF!</definedName>
    <definedName name="Woodwardbritries">BRI!#REF!</definedName>
    <definedName name="Woodwardglopts">GLO!$G$51</definedName>
    <definedName name="Woodwardglotries">GLO!$B$51</definedName>
    <definedName name="Woolfordnorpts">NOR!#REF!</definedName>
    <definedName name="Woolfordnortries">NOR!#REF!</definedName>
    <definedName name="Woolmoreexepts">EXE!#REF!</definedName>
    <definedName name="Woolmoreexetries">EXE!#REF!</definedName>
    <definedName name="Woolstencroftsarpts">NEW!#REF!</definedName>
    <definedName name="Woolstencroftsarptscorrect">SAR!$G$45</definedName>
    <definedName name="Woolstencroftsartries">NEW!#REF!</definedName>
    <definedName name="Woolstencroftsartriescorrect">SAR!$B$45</definedName>
    <definedName name="Woolstencroftwaspts">WAS!$H$45</definedName>
    <definedName name="Woolstencroftwastries">WAS!$B$45</definedName>
    <definedName name="woratt">WOR!#REF!</definedName>
    <definedName name="worboysbthatt">BTH!$O$12</definedName>
    <definedName name="worboysbthgls">BTH!$N$12</definedName>
    <definedName name="worcesterpentries">WOR!#REF!</definedName>
    <definedName name="worcesterpentriespts">WOR!$G$7</definedName>
    <definedName name="WorcesterPts">WOR!$G$42</definedName>
    <definedName name="WorcesterTries">WOR!$B$42</definedName>
    <definedName name="Worleynorpts">NOR!#REF!</definedName>
    <definedName name="Worleynortries">NOR!#REF!</definedName>
    <definedName name="worthleiatt">LEIC!#REF!</definedName>
    <definedName name="worthleigoals">LEIC!#REF!</definedName>
    <definedName name="Worthleipts">LEIC!#REF!</definedName>
    <definedName name="Worthleitries">LEIC!#REF!</definedName>
    <definedName name="Wrayjacksonpts">NEW!#REF!</definedName>
    <definedName name="Wrayjacksontries">NEW!#REF!</definedName>
    <definedName name="Wraysarptscorrect">SAR!$G$46</definedName>
    <definedName name="Wraysartriescorrect">SAR!$B$46</definedName>
    <definedName name="Wrightnewpts">NEW!$G$50</definedName>
    <definedName name="Wrightnewtries">NEW!$B$50</definedName>
    <definedName name="Wyattexepts">EXE!$G$52</definedName>
    <definedName name="Wyattexetries">EXE!$B$52</definedName>
    <definedName name="Wylespts">NEW!#REF!</definedName>
    <definedName name="wylestries">NEW!#REF!</definedName>
    <definedName name="Yappwaspts">WAS!#REF!</definedName>
    <definedName name="Yappwastries">WAS!#REF!</definedName>
    <definedName name="Yardeharpts">HAR!#REF!</definedName>
    <definedName name="Yardehartries">HAR!#REF!</definedName>
    <definedName name="Yardepts">BRI!#REF!</definedName>
    <definedName name="Yardesalpts">SAL!$G$47</definedName>
    <definedName name="Yardesaltries">SAL!$B$47</definedName>
    <definedName name="yardetries">BRI!#REF!</definedName>
    <definedName name="Yeandlejackpts">EXE!$G$53</definedName>
    <definedName name="Yeandlejacktries">EXE!$B$53</definedName>
    <definedName name="Yorkchrispts">LIR!#REF!</definedName>
    <definedName name="Yorkchristries">LIR!#REF!</definedName>
    <definedName name="Young_Gnewpts">LIR!#REF!</definedName>
    <definedName name="Young_Gnewtries">LIR!#REF!</definedName>
    <definedName name="Youngmickypts">BTH!#REF!</definedName>
    <definedName name="Youngmickytries">BTH!#REF!</definedName>
    <definedName name="youngsbatt">LEIC!$M$11</definedName>
    <definedName name="Youngsbenpts">LEIC!#REF!</definedName>
    <definedName name="Youngsbenptscorrect">LEIC!$G$51</definedName>
    <definedName name="youngsbentries">LEIC!$B$51</definedName>
    <definedName name="youngsbgoals">LEIC!$L$11</definedName>
    <definedName name="youngstompts">LEIC!#REF!</definedName>
    <definedName name="youngstomtries">LEIC!#REF!</definedName>
    <definedName name="Youngwaspts">WAS!$H$47</definedName>
    <definedName name="Youngwastries">WAS!$B$47</definedName>
    <definedName name="ZebrePts">[1]ZEB!$F$49</definedName>
    <definedName name="ZebreTries">[1]ZEB!$B$49</definedName>
    <definedName name="Zhvaniawaspts">WAS!#REF!</definedName>
    <definedName name="Zhvaniawastries">WAS!#REF!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9" i="14" l="1"/>
  <c r="I95" i="14"/>
  <c r="H95" i="14"/>
  <c r="G95" i="14"/>
  <c r="J95" i="14" s="1"/>
  <c r="D95" i="14"/>
  <c r="C95" i="14"/>
  <c r="B95" i="14"/>
  <c r="J86" i="14"/>
  <c r="E84" i="14"/>
  <c r="J58" i="14"/>
  <c r="E55" i="14"/>
  <c r="J56" i="14"/>
  <c r="E94" i="14"/>
  <c r="J75" i="14"/>
  <c r="E73" i="14"/>
  <c r="J65" i="14"/>
  <c r="E62" i="14"/>
  <c r="J94" i="14"/>
  <c r="E93" i="14"/>
  <c r="J85" i="14"/>
  <c r="E83" i="14"/>
  <c r="J61" i="14"/>
  <c r="E57" i="14"/>
  <c r="J84" i="14"/>
  <c r="E82" i="14"/>
  <c r="J93" i="14"/>
  <c r="E92" i="14"/>
  <c r="J55" i="14"/>
  <c r="E53" i="14"/>
  <c r="J92" i="14"/>
  <c r="E91" i="14"/>
  <c r="J91" i="14"/>
  <c r="E90" i="14"/>
  <c r="J83" i="14"/>
  <c r="E81" i="14"/>
  <c r="J72" i="14"/>
  <c r="E72" i="14"/>
  <c r="J82" i="14"/>
  <c r="E80" i="14"/>
  <c r="J64" i="14"/>
  <c r="E61" i="14"/>
  <c r="J63" i="14"/>
  <c r="E59" i="14"/>
  <c r="J71" i="14"/>
  <c r="E68" i="14"/>
  <c r="J53" i="14"/>
  <c r="E51" i="14"/>
  <c r="J60" i="14"/>
  <c r="E56" i="14"/>
  <c r="J52" i="14"/>
  <c r="E71" i="14"/>
  <c r="J81" i="14"/>
  <c r="E79" i="14"/>
  <c r="J57" i="14"/>
  <c r="E54" i="14"/>
  <c r="J70" i="14"/>
  <c r="E67" i="14"/>
  <c r="J80" i="14"/>
  <c r="E78" i="14"/>
  <c r="J69" i="14"/>
  <c r="E66" i="14"/>
  <c r="J74" i="14"/>
  <c r="E70" i="14"/>
  <c r="J90" i="14"/>
  <c r="E89" i="14"/>
  <c r="J68" i="14"/>
  <c r="E65" i="14"/>
  <c r="J59" i="14"/>
  <c r="E60" i="14"/>
  <c r="J62" i="14"/>
  <c r="E58" i="14"/>
  <c r="J51" i="14"/>
  <c r="E88" i="14"/>
  <c r="J54" i="14"/>
  <c r="E52" i="14"/>
  <c r="J89" i="14"/>
  <c r="E87" i="14"/>
  <c r="J67" i="14"/>
  <c r="E64" i="14"/>
  <c r="J66" i="14"/>
  <c r="E63" i="14"/>
  <c r="J88" i="14"/>
  <c r="E86" i="14"/>
  <c r="J73" i="14"/>
  <c r="E69" i="14"/>
  <c r="J79" i="14"/>
  <c r="E77" i="14"/>
  <c r="J78" i="14"/>
  <c r="E76" i="14"/>
  <c r="J77" i="14"/>
  <c r="E75" i="14"/>
  <c r="J76" i="14"/>
  <c r="E74" i="14"/>
  <c r="J87" i="14"/>
  <c r="E85" i="14"/>
  <c r="Q4" i="5"/>
  <c r="I105" i="5"/>
  <c r="H105" i="5"/>
  <c r="G105" i="5"/>
  <c r="J105" i="5" s="1"/>
  <c r="D105" i="5"/>
  <c r="C105" i="5"/>
  <c r="B105" i="5"/>
  <c r="J91" i="5"/>
  <c r="E90" i="5"/>
  <c r="J79" i="5"/>
  <c r="E78" i="5"/>
  <c r="J73" i="5"/>
  <c r="E68" i="5"/>
  <c r="J104" i="5"/>
  <c r="E104" i="5"/>
  <c r="J90" i="5"/>
  <c r="E89" i="5"/>
  <c r="J103" i="5"/>
  <c r="E103" i="5"/>
  <c r="J89" i="5"/>
  <c r="E88" i="5"/>
  <c r="J102" i="5"/>
  <c r="E102" i="5"/>
  <c r="J72" i="5"/>
  <c r="E67" i="5"/>
  <c r="J78" i="5"/>
  <c r="E77" i="5"/>
  <c r="J101" i="5"/>
  <c r="E101" i="5"/>
  <c r="J65" i="5"/>
  <c r="E62" i="5"/>
  <c r="J80" i="5"/>
  <c r="E87" i="5"/>
  <c r="J88" i="5"/>
  <c r="E86" i="5"/>
  <c r="J100" i="5"/>
  <c r="E100" i="5"/>
  <c r="J99" i="5"/>
  <c r="E99" i="5"/>
  <c r="J71" i="5"/>
  <c r="E66" i="5"/>
  <c r="J60" i="5"/>
  <c r="E57" i="5"/>
  <c r="J98" i="5"/>
  <c r="E98" i="5"/>
  <c r="J77" i="5"/>
  <c r="E76" i="5"/>
  <c r="J69" i="5"/>
  <c r="E71" i="5"/>
  <c r="J62" i="5"/>
  <c r="E59" i="5"/>
  <c r="J64" i="5"/>
  <c r="E61" i="5"/>
  <c r="J97" i="5"/>
  <c r="E97" i="5"/>
  <c r="J59" i="5"/>
  <c r="E56" i="5"/>
  <c r="J70" i="5"/>
  <c r="E65" i="5"/>
  <c r="J76" i="5"/>
  <c r="E75" i="5"/>
  <c r="J63" i="5"/>
  <c r="E60" i="5"/>
  <c r="J87" i="5"/>
  <c r="E85" i="5"/>
  <c r="J67" i="5"/>
  <c r="E64" i="5"/>
  <c r="J96" i="5"/>
  <c r="E96" i="5"/>
  <c r="J68" i="5"/>
  <c r="E95" i="5"/>
  <c r="J81" i="5"/>
  <c r="E84" i="5"/>
  <c r="J95" i="5"/>
  <c r="E94" i="5"/>
  <c r="J86" i="5"/>
  <c r="E83" i="5"/>
  <c r="J94" i="5"/>
  <c r="E93" i="5"/>
  <c r="J58" i="5"/>
  <c r="E70" i="5"/>
  <c r="J85" i="5"/>
  <c r="E82" i="5"/>
  <c r="J75" i="5"/>
  <c r="E74" i="5"/>
  <c r="J56" i="5"/>
  <c r="E73" i="5"/>
  <c r="J84" i="5"/>
  <c r="E81" i="5"/>
  <c r="J61" i="5"/>
  <c r="E58" i="5"/>
  <c r="J83" i="5"/>
  <c r="E80" i="5"/>
  <c r="J93" i="5"/>
  <c r="E92" i="5"/>
  <c r="J74" i="5"/>
  <c r="E69" i="5"/>
  <c r="J82" i="5"/>
  <c r="E79" i="5"/>
  <c r="J57" i="5"/>
  <c r="E72" i="5"/>
  <c r="J92" i="5"/>
  <c r="E91" i="5"/>
  <c r="J66" i="5"/>
  <c r="E63" i="5"/>
  <c r="S7" i="9"/>
  <c r="K86" i="9"/>
  <c r="J86" i="9"/>
  <c r="I86" i="9"/>
  <c r="H86" i="9"/>
  <c r="E86" i="9"/>
  <c r="D86" i="9"/>
  <c r="C86" i="9"/>
  <c r="B86" i="9"/>
  <c r="L78" i="9"/>
  <c r="F78" i="9"/>
  <c r="L77" i="9"/>
  <c r="F77" i="9"/>
  <c r="L60" i="9"/>
  <c r="F58" i="9"/>
  <c r="L85" i="9"/>
  <c r="F85" i="9"/>
  <c r="L76" i="9"/>
  <c r="F76" i="9"/>
  <c r="L49" i="9"/>
  <c r="F47" i="9"/>
  <c r="L75" i="9"/>
  <c r="F75" i="9"/>
  <c r="L84" i="9"/>
  <c r="F84" i="9"/>
  <c r="L74" i="9"/>
  <c r="F74" i="9"/>
  <c r="L55" i="9"/>
  <c r="F52" i="9"/>
  <c r="L64" i="9"/>
  <c r="F67" i="9"/>
  <c r="L83" i="9"/>
  <c r="F83" i="9"/>
  <c r="L82" i="9"/>
  <c r="F82" i="9"/>
  <c r="L81" i="9"/>
  <c r="F81" i="9"/>
  <c r="L51" i="9"/>
  <c r="F48" i="9"/>
  <c r="L56" i="9"/>
  <c r="F53" i="9"/>
  <c r="L73" i="9"/>
  <c r="F73" i="9"/>
  <c r="L59" i="9"/>
  <c r="F57" i="9"/>
  <c r="L68" i="9"/>
  <c r="F66" i="9"/>
  <c r="L80" i="9"/>
  <c r="F80" i="9"/>
  <c r="L58" i="9"/>
  <c r="F56" i="9"/>
  <c r="L52" i="9"/>
  <c r="F49" i="9"/>
  <c r="L72" i="9"/>
  <c r="F72" i="9"/>
  <c r="L57" i="9"/>
  <c r="F55" i="9"/>
  <c r="L63" i="9"/>
  <c r="F62" i="9"/>
  <c r="L79" i="9"/>
  <c r="F79" i="9"/>
  <c r="L47" i="9"/>
  <c r="F61" i="9"/>
  <c r="L67" i="9"/>
  <c r="F65" i="9"/>
  <c r="L71" i="9"/>
  <c r="F71" i="9"/>
  <c r="L50" i="9"/>
  <c r="F54" i="9"/>
  <c r="L70" i="9"/>
  <c r="F70" i="9"/>
  <c r="L48" i="9"/>
  <c r="F46" i="9"/>
  <c r="L66" i="9"/>
  <c r="F69" i="9"/>
  <c r="L62" i="9"/>
  <c r="F60" i="9"/>
  <c r="L61" i="9"/>
  <c r="F59" i="9"/>
  <c r="L54" i="9"/>
  <c r="F51" i="9"/>
  <c r="L65" i="9"/>
  <c r="F64" i="9"/>
  <c r="L46" i="9"/>
  <c r="F63" i="9"/>
  <c r="L69" i="9"/>
  <c r="F68" i="9"/>
  <c r="L53" i="9"/>
  <c r="F50" i="9"/>
  <c r="F86" i="9" s="1"/>
  <c r="I93" i="4"/>
  <c r="H93" i="4"/>
  <c r="G93" i="4"/>
  <c r="D93" i="4"/>
  <c r="C93" i="4"/>
  <c r="B93" i="4"/>
  <c r="J66" i="4"/>
  <c r="E64" i="4"/>
  <c r="J81" i="4"/>
  <c r="E79" i="4"/>
  <c r="J65" i="4"/>
  <c r="E63" i="4"/>
  <c r="J64" i="4"/>
  <c r="E62" i="4"/>
  <c r="J77" i="4"/>
  <c r="E73" i="4"/>
  <c r="J92" i="4"/>
  <c r="E92" i="4"/>
  <c r="J76" i="4"/>
  <c r="E72" i="4"/>
  <c r="J50" i="4"/>
  <c r="E59" i="4"/>
  <c r="J91" i="4"/>
  <c r="E91" i="4"/>
  <c r="J90" i="4"/>
  <c r="E90" i="4"/>
  <c r="J58" i="4"/>
  <c r="E56" i="4"/>
  <c r="J53" i="4"/>
  <c r="E52" i="4"/>
  <c r="J80" i="4"/>
  <c r="E78" i="4"/>
  <c r="J89" i="4"/>
  <c r="E89" i="4"/>
  <c r="J56" i="4"/>
  <c r="E54" i="4"/>
  <c r="J52" i="4"/>
  <c r="E51" i="4"/>
  <c r="J88" i="4"/>
  <c r="E88" i="4"/>
  <c r="J87" i="4"/>
  <c r="E87" i="4"/>
  <c r="J75" i="4"/>
  <c r="E71" i="4"/>
  <c r="J74" i="4"/>
  <c r="E70" i="4"/>
  <c r="J86" i="4"/>
  <c r="E86" i="4"/>
  <c r="J85" i="4"/>
  <c r="E85" i="4"/>
  <c r="J73" i="4"/>
  <c r="E69" i="4"/>
  <c r="J60" i="4"/>
  <c r="E58" i="4"/>
  <c r="J63" i="4"/>
  <c r="E61" i="4"/>
  <c r="J59" i="4"/>
  <c r="E57" i="4"/>
  <c r="J84" i="4"/>
  <c r="E84" i="4"/>
  <c r="J72" i="4"/>
  <c r="E68" i="4"/>
  <c r="J79" i="4"/>
  <c r="E77" i="4"/>
  <c r="J55" i="4"/>
  <c r="E53" i="4"/>
  <c r="J83" i="4"/>
  <c r="E83" i="4"/>
  <c r="J61" i="4"/>
  <c r="E82" i="4"/>
  <c r="J51" i="4"/>
  <c r="E50" i="4"/>
  <c r="J78" i="4"/>
  <c r="E76" i="4"/>
  <c r="J71" i="4"/>
  <c r="E67" i="4"/>
  <c r="J70" i="4"/>
  <c r="E66" i="4"/>
  <c r="J68" i="4"/>
  <c r="E75" i="4"/>
  <c r="J82" i="4"/>
  <c r="E81" i="4"/>
  <c r="J57" i="4"/>
  <c r="E55" i="4"/>
  <c r="J67" i="4"/>
  <c r="E80" i="4"/>
  <c r="J62" i="4"/>
  <c r="E60" i="4"/>
  <c r="J69" i="4"/>
  <c r="E65" i="4"/>
  <c r="J54" i="4"/>
  <c r="E74" i="4"/>
  <c r="Q4" i="14"/>
  <c r="J54" i="13"/>
  <c r="I54" i="13"/>
  <c r="K54" i="13" s="1"/>
  <c r="J53" i="13"/>
  <c r="I53" i="13"/>
  <c r="J52" i="13"/>
  <c r="I52" i="13"/>
  <c r="J45" i="13"/>
  <c r="I45" i="13"/>
  <c r="K45" i="13" s="1"/>
  <c r="J51" i="13"/>
  <c r="I51" i="13"/>
  <c r="J36" i="13"/>
  <c r="I36" i="13"/>
  <c r="K36" i="13" s="1"/>
  <c r="J50" i="13"/>
  <c r="I50" i="13"/>
  <c r="K103" i="1"/>
  <c r="J103" i="1"/>
  <c r="I103" i="1"/>
  <c r="H103" i="1"/>
  <c r="L103" i="1" s="1"/>
  <c r="E103" i="1"/>
  <c r="D103" i="1"/>
  <c r="C103" i="1"/>
  <c r="B103" i="1"/>
  <c r="F103" i="1" s="1"/>
  <c r="L102" i="1"/>
  <c r="F102" i="1"/>
  <c r="L66" i="1"/>
  <c r="F84" i="1"/>
  <c r="L86" i="1"/>
  <c r="F83" i="1"/>
  <c r="L101" i="1"/>
  <c r="F101" i="1"/>
  <c r="L100" i="1"/>
  <c r="F100" i="1"/>
  <c r="L99" i="1"/>
  <c r="F99" i="1"/>
  <c r="L59" i="1"/>
  <c r="F57" i="1"/>
  <c r="L65" i="1"/>
  <c r="F63" i="1"/>
  <c r="L85" i="1"/>
  <c r="F82" i="1"/>
  <c r="L98" i="1"/>
  <c r="F98" i="1"/>
  <c r="L56" i="1"/>
  <c r="F56" i="1"/>
  <c r="L71" i="1"/>
  <c r="F68" i="1"/>
  <c r="L97" i="1"/>
  <c r="F97" i="1"/>
  <c r="L84" i="1"/>
  <c r="F81" i="1"/>
  <c r="L62" i="1"/>
  <c r="F60" i="1"/>
  <c r="L83" i="1"/>
  <c r="F80" i="1"/>
  <c r="L82" i="1"/>
  <c r="F79" i="1"/>
  <c r="L96" i="1"/>
  <c r="F96" i="1"/>
  <c r="L70" i="1"/>
  <c r="F67" i="1"/>
  <c r="L95" i="1"/>
  <c r="F95" i="1"/>
  <c r="L64" i="1"/>
  <c r="F62" i="1"/>
  <c r="L94" i="1"/>
  <c r="F94" i="1"/>
  <c r="L58" i="1"/>
  <c r="F55" i="1"/>
  <c r="L81" i="1"/>
  <c r="F78" i="1"/>
  <c r="L80" i="1"/>
  <c r="F77" i="1"/>
  <c r="L79" i="1"/>
  <c r="F76" i="1"/>
  <c r="L78" i="1"/>
  <c r="F75" i="1"/>
  <c r="L77" i="1"/>
  <c r="F74" i="1"/>
  <c r="L93" i="1"/>
  <c r="F93" i="1"/>
  <c r="L76" i="1"/>
  <c r="F73" i="1"/>
  <c r="L75" i="1"/>
  <c r="F72" i="1"/>
  <c r="L69" i="1"/>
  <c r="F66" i="1"/>
  <c r="L92" i="1"/>
  <c r="F92" i="1"/>
  <c r="L74" i="1"/>
  <c r="F71" i="1"/>
  <c r="L73" i="1"/>
  <c r="F70" i="1"/>
  <c r="L72" i="1"/>
  <c r="F69" i="1"/>
  <c r="L91" i="1"/>
  <c r="F91" i="1"/>
  <c r="L60" i="1"/>
  <c r="F59" i="1"/>
  <c r="L90" i="1"/>
  <c r="F90" i="1"/>
  <c r="L61" i="1"/>
  <c r="F58" i="1"/>
  <c r="L89" i="1"/>
  <c r="F89" i="1"/>
  <c r="L63" i="1"/>
  <c r="F61" i="1"/>
  <c r="L57" i="1"/>
  <c r="F88" i="1"/>
  <c r="L88" i="1"/>
  <c r="F87" i="1"/>
  <c r="L68" i="1"/>
  <c r="F65" i="1"/>
  <c r="L67" i="1"/>
  <c r="F64" i="1"/>
  <c r="L55" i="1"/>
  <c r="F86" i="1"/>
  <c r="L87" i="1"/>
  <c r="F85" i="1"/>
  <c r="I85" i="12"/>
  <c r="H85" i="12"/>
  <c r="G85" i="12"/>
  <c r="D85" i="12"/>
  <c r="C85" i="12"/>
  <c r="B85" i="12"/>
  <c r="J52" i="12"/>
  <c r="E84" i="12"/>
  <c r="J84" i="12"/>
  <c r="E83" i="12"/>
  <c r="J70" i="12"/>
  <c r="E68" i="12"/>
  <c r="J51" i="12"/>
  <c r="E48" i="12"/>
  <c r="J63" i="12"/>
  <c r="E61" i="12"/>
  <c r="J69" i="12"/>
  <c r="E67" i="12"/>
  <c r="J79" i="12"/>
  <c r="E78" i="12"/>
  <c r="J46" i="12"/>
  <c r="E77" i="12"/>
  <c r="J50" i="12"/>
  <c r="E47" i="12"/>
  <c r="J49" i="12"/>
  <c r="E49" i="12"/>
  <c r="J47" i="12"/>
  <c r="E58" i="12"/>
  <c r="J64" i="12"/>
  <c r="E66" i="12"/>
  <c r="J78" i="12"/>
  <c r="E76" i="12"/>
  <c r="J77" i="12"/>
  <c r="E75" i="12"/>
  <c r="J83" i="12"/>
  <c r="E82" i="12"/>
  <c r="J82" i="12"/>
  <c r="E81" i="12"/>
  <c r="J76" i="12"/>
  <c r="E74" i="12"/>
  <c r="J75" i="12"/>
  <c r="E73" i="12"/>
  <c r="J74" i="12"/>
  <c r="E72" i="12"/>
  <c r="J68" i="12"/>
  <c r="E65" i="12"/>
  <c r="J67" i="12"/>
  <c r="E64" i="12"/>
  <c r="J62" i="12"/>
  <c r="E60" i="12"/>
  <c r="J48" i="12"/>
  <c r="E46" i="12"/>
  <c r="J73" i="12"/>
  <c r="E71" i="12"/>
  <c r="J57" i="12"/>
  <c r="E54" i="12"/>
  <c r="J56" i="12"/>
  <c r="E53" i="12"/>
  <c r="J66" i="12"/>
  <c r="E63" i="12"/>
  <c r="J55" i="12"/>
  <c r="E52" i="12"/>
  <c r="J60" i="12"/>
  <c r="E57" i="12"/>
  <c r="J72" i="12"/>
  <c r="E70" i="12"/>
  <c r="J54" i="12"/>
  <c r="E51" i="12"/>
  <c r="J81" i="12"/>
  <c r="E80" i="12"/>
  <c r="J65" i="12"/>
  <c r="E62" i="12"/>
  <c r="J53" i="12"/>
  <c r="E50" i="12"/>
  <c r="J80" i="12"/>
  <c r="E79" i="12"/>
  <c r="J59" i="12"/>
  <c r="E56" i="12"/>
  <c r="J61" i="12"/>
  <c r="E59" i="12"/>
  <c r="J71" i="12"/>
  <c r="E69" i="12"/>
  <c r="J58" i="12"/>
  <c r="E55" i="12"/>
  <c r="I109" i="6"/>
  <c r="H109" i="6"/>
  <c r="G109" i="6"/>
  <c r="J109" i="6" s="1"/>
  <c r="D109" i="6"/>
  <c r="C109" i="6"/>
  <c r="B109" i="6"/>
  <c r="J108" i="6"/>
  <c r="E108" i="6"/>
  <c r="J100" i="6"/>
  <c r="E107" i="6"/>
  <c r="J62" i="6"/>
  <c r="E85" i="6"/>
  <c r="J99" i="6"/>
  <c r="E98" i="6"/>
  <c r="J77" i="6"/>
  <c r="E74" i="6"/>
  <c r="J98" i="6"/>
  <c r="E97" i="6"/>
  <c r="J97" i="6"/>
  <c r="E96" i="6"/>
  <c r="J61" i="6"/>
  <c r="E59" i="6"/>
  <c r="J87" i="6"/>
  <c r="E84" i="6"/>
  <c r="J107" i="6"/>
  <c r="E106" i="6"/>
  <c r="J58" i="6"/>
  <c r="E73" i="6"/>
  <c r="J96" i="6"/>
  <c r="E95" i="6"/>
  <c r="J95" i="6"/>
  <c r="E94" i="6"/>
  <c r="J69" i="6"/>
  <c r="E65" i="6"/>
  <c r="J68" i="6"/>
  <c r="E64" i="6"/>
  <c r="J106" i="6"/>
  <c r="E105" i="6"/>
  <c r="J76" i="6"/>
  <c r="E72" i="6"/>
  <c r="J66" i="6"/>
  <c r="E71" i="6"/>
  <c r="J65" i="6"/>
  <c r="E62" i="6"/>
  <c r="J67" i="6"/>
  <c r="E63" i="6"/>
  <c r="J64" i="6"/>
  <c r="E61" i="6"/>
  <c r="J75" i="6"/>
  <c r="E70" i="6"/>
  <c r="J94" i="6"/>
  <c r="E104" i="6"/>
  <c r="J74" i="6"/>
  <c r="E83" i="6"/>
  <c r="J63" i="6"/>
  <c r="E60" i="6"/>
  <c r="J93" i="6"/>
  <c r="E93" i="6"/>
  <c r="J86" i="6"/>
  <c r="E82" i="6"/>
  <c r="J92" i="6"/>
  <c r="E92" i="6"/>
  <c r="J73" i="6"/>
  <c r="E69" i="6"/>
  <c r="J85" i="6"/>
  <c r="E81" i="6"/>
  <c r="J84" i="6"/>
  <c r="E80" i="6"/>
  <c r="J83" i="6"/>
  <c r="E79" i="6"/>
  <c r="J105" i="6"/>
  <c r="E103" i="6"/>
  <c r="J91" i="6"/>
  <c r="E91" i="6"/>
  <c r="J104" i="6"/>
  <c r="E102" i="6"/>
  <c r="J90" i="6"/>
  <c r="E90" i="6"/>
  <c r="J82" i="6"/>
  <c r="E78" i="6"/>
  <c r="J60" i="6"/>
  <c r="E58" i="6"/>
  <c r="J59" i="6"/>
  <c r="E89" i="6"/>
  <c r="J81" i="6"/>
  <c r="E77" i="6"/>
  <c r="J89" i="6"/>
  <c r="E88" i="6"/>
  <c r="J88" i="6"/>
  <c r="E87" i="6"/>
  <c r="J80" i="6"/>
  <c r="E76" i="6"/>
  <c r="J72" i="6"/>
  <c r="E68" i="6"/>
  <c r="J78" i="6"/>
  <c r="E86" i="6"/>
  <c r="J71" i="6"/>
  <c r="E67" i="6"/>
  <c r="J79" i="6"/>
  <c r="E75" i="6"/>
  <c r="J103" i="6"/>
  <c r="E101" i="6"/>
  <c r="J102" i="6"/>
  <c r="E100" i="6"/>
  <c r="J101" i="6"/>
  <c r="E99" i="6"/>
  <c r="J70" i="6"/>
  <c r="E66" i="6"/>
  <c r="Q10" i="10"/>
  <c r="I97" i="10"/>
  <c r="H97" i="10"/>
  <c r="G97" i="10"/>
  <c r="D97" i="10"/>
  <c r="C97" i="10"/>
  <c r="B97" i="10"/>
  <c r="J70" i="10"/>
  <c r="E67" i="10"/>
  <c r="J96" i="10"/>
  <c r="E96" i="10"/>
  <c r="J58" i="10"/>
  <c r="E85" i="10"/>
  <c r="J78" i="10"/>
  <c r="E75" i="10"/>
  <c r="J77" i="10"/>
  <c r="E74" i="10"/>
  <c r="J57" i="10"/>
  <c r="E55" i="10"/>
  <c r="J63" i="10"/>
  <c r="E60" i="10"/>
  <c r="J76" i="10"/>
  <c r="E73" i="10"/>
  <c r="J75" i="10"/>
  <c r="E72" i="10"/>
  <c r="J69" i="10"/>
  <c r="E66" i="10"/>
  <c r="J56" i="10"/>
  <c r="E54" i="10"/>
  <c r="J86" i="10"/>
  <c r="E84" i="10"/>
  <c r="J54" i="10"/>
  <c r="E52" i="10"/>
  <c r="J65" i="10"/>
  <c r="E62" i="10"/>
  <c r="J95" i="10"/>
  <c r="E95" i="10"/>
  <c r="J94" i="10"/>
  <c r="E94" i="10"/>
  <c r="J93" i="10"/>
  <c r="E93" i="10"/>
  <c r="J92" i="10"/>
  <c r="E92" i="10"/>
  <c r="J91" i="10"/>
  <c r="E91" i="10"/>
  <c r="J64" i="10"/>
  <c r="E61" i="10"/>
  <c r="J85" i="10"/>
  <c r="E83" i="10"/>
  <c r="J53" i="10"/>
  <c r="E71" i="10"/>
  <c r="J61" i="10"/>
  <c r="E58" i="10"/>
  <c r="J90" i="10"/>
  <c r="E90" i="10"/>
  <c r="J68" i="10"/>
  <c r="E65" i="10"/>
  <c r="J74" i="10"/>
  <c r="E70" i="10"/>
  <c r="J84" i="10"/>
  <c r="E82" i="10"/>
  <c r="J83" i="10"/>
  <c r="E81" i="10"/>
  <c r="J73" i="10"/>
  <c r="E69" i="10"/>
  <c r="J72" i="10"/>
  <c r="E68" i="10"/>
  <c r="J89" i="10"/>
  <c r="E89" i="10"/>
  <c r="J52" i="10"/>
  <c r="E64" i="10"/>
  <c r="J82" i="10"/>
  <c r="E80" i="10"/>
  <c r="J60" i="10"/>
  <c r="E57" i="10"/>
  <c r="J59" i="10"/>
  <c r="E56" i="10"/>
  <c r="J71" i="10"/>
  <c r="E79" i="10"/>
  <c r="J81" i="10"/>
  <c r="E78" i="10"/>
  <c r="J66" i="10"/>
  <c r="E88" i="10"/>
  <c r="J88" i="10"/>
  <c r="E87" i="10"/>
  <c r="J62" i="10"/>
  <c r="E59" i="10"/>
  <c r="J67" i="10"/>
  <c r="E63" i="10"/>
  <c r="J80" i="10"/>
  <c r="E77" i="10"/>
  <c r="J79" i="10"/>
  <c r="E76" i="10"/>
  <c r="J87" i="10"/>
  <c r="E86" i="10"/>
  <c r="J55" i="10"/>
  <c r="E53" i="10"/>
  <c r="I105" i="11"/>
  <c r="H105" i="11"/>
  <c r="G105" i="11"/>
  <c r="J105" i="11" s="1"/>
  <c r="D105" i="11"/>
  <c r="C105" i="11"/>
  <c r="B105" i="11"/>
  <c r="J104" i="11"/>
  <c r="E104" i="11"/>
  <c r="J77" i="11"/>
  <c r="E76" i="11"/>
  <c r="J103" i="11"/>
  <c r="E103" i="11"/>
  <c r="J76" i="11"/>
  <c r="E75" i="11"/>
  <c r="J102" i="11"/>
  <c r="E102" i="11"/>
  <c r="J92" i="11"/>
  <c r="E92" i="11"/>
  <c r="J101" i="11"/>
  <c r="E101" i="11"/>
  <c r="J67" i="11"/>
  <c r="E64" i="11"/>
  <c r="J91" i="11"/>
  <c r="E91" i="11"/>
  <c r="J62" i="11"/>
  <c r="E59" i="11"/>
  <c r="J66" i="11"/>
  <c r="E63" i="11"/>
  <c r="J65" i="11"/>
  <c r="E62" i="11"/>
  <c r="J75" i="11"/>
  <c r="E74" i="11"/>
  <c r="J74" i="11"/>
  <c r="E73" i="11"/>
  <c r="J60" i="11"/>
  <c r="E57" i="11"/>
  <c r="J90" i="11"/>
  <c r="E90" i="11"/>
  <c r="J100" i="11"/>
  <c r="E100" i="11"/>
  <c r="J68" i="11"/>
  <c r="E72" i="11"/>
  <c r="J99" i="11"/>
  <c r="E99" i="11"/>
  <c r="J89" i="11"/>
  <c r="E89" i="11"/>
  <c r="J64" i="11"/>
  <c r="E61" i="11"/>
  <c r="J98" i="11"/>
  <c r="E98" i="11"/>
  <c r="J73" i="11"/>
  <c r="E71" i="11"/>
  <c r="J97" i="11"/>
  <c r="E97" i="11"/>
  <c r="J56" i="11"/>
  <c r="E56" i="11"/>
  <c r="J88" i="11"/>
  <c r="E88" i="11"/>
  <c r="J87" i="11"/>
  <c r="E87" i="11"/>
  <c r="J86" i="11"/>
  <c r="E86" i="11"/>
  <c r="J85" i="11"/>
  <c r="E85" i="11"/>
  <c r="J84" i="11"/>
  <c r="E84" i="11"/>
  <c r="J59" i="11"/>
  <c r="E70" i="11"/>
  <c r="J58" i="11"/>
  <c r="E69" i="11"/>
  <c r="J83" i="11"/>
  <c r="E83" i="11"/>
  <c r="J96" i="11"/>
  <c r="E96" i="11"/>
  <c r="J82" i="11"/>
  <c r="E82" i="11"/>
  <c r="J95" i="11"/>
  <c r="E95" i="11"/>
  <c r="J63" i="11"/>
  <c r="E60" i="11"/>
  <c r="J72" i="11"/>
  <c r="E68" i="11"/>
  <c r="J94" i="11"/>
  <c r="E94" i="11"/>
  <c r="J81" i="11"/>
  <c r="E81" i="11"/>
  <c r="J57" i="11"/>
  <c r="E80" i="11"/>
  <c r="J80" i="11"/>
  <c r="E79" i="11"/>
  <c r="J61" i="11"/>
  <c r="E58" i="11"/>
  <c r="J71" i="11"/>
  <c r="E67" i="11"/>
  <c r="J79" i="11"/>
  <c r="E78" i="11"/>
  <c r="J70" i="11"/>
  <c r="E66" i="11"/>
  <c r="J93" i="11"/>
  <c r="E93" i="11"/>
  <c r="J69" i="11"/>
  <c r="E65" i="11"/>
  <c r="J78" i="11"/>
  <c r="E77" i="11"/>
  <c r="P4" i="7"/>
  <c r="S4" i="7"/>
  <c r="K97" i="7"/>
  <c r="J97" i="7"/>
  <c r="I97" i="7"/>
  <c r="H97" i="7"/>
  <c r="L97" i="7" s="1"/>
  <c r="E97" i="7"/>
  <c r="D97" i="7"/>
  <c r="C97" i="7"/>
  <c r="B97" i="7"/>
  <c r="L78" i="7"/>
  <c r="F76" i="7"/>
  <c r="L88" i="7"/>
  <c r="F87" i="7"/>
  <c r="L58" i="7"/>
  <c r="F56" i="7"/>
  <c r="L96" i="7"/>
  <c r="F96" i="7"/>
  <c r="L69" i="7"/>
  <c r="F67" i="7"/>
  <c r="L87" i="7"/>
  <c r="F86" i="7"/>
  <c r="L86" i="7"/>
  <c r="F85" i="7"/>
  <c r="L85" i="7"/>
  <c r="F84" i="7"/>
  <c r="L53" i="7"/>
  <c r="F59" i="7"/>
  <c r="L84" i="7"/>
  <c r="F83" i="7"/>
  <c r="L83" i="7"/>
  <c r="F82" i="7"/>
  <c r="L68" i="7"/>
  <c r="F66" i="7"/>
  <c r="L77" i="7"/>
  <c r="F75" i="7"/>
  <c r="L95" i="7"/>
  <c r="F95" i="7"/>
  <c r="L76" i="7"/>
  <c r="F74" i="7"/>
  <c r="L59" i="7"/>
  <c r="F58" i="7"/>
  <c r="L62" i="7"/>
  <c r="F62" i="7"/>
  <c r="L79" i="7"/>
  <c r="F81" i="7"/>
  <c r="L94" i="7"/>
  <c r="F94" i="7"/>
  <c r="L55" i="7"/>
  <c r="F53" i="7"/>
  <c r="L57" i="7"/>
  <c r="F55" i="7"/>
  <c r="L93" i="7"/>
  <c r="F93" i="7"/>
  <c r="L63" i="7"/>
  <c r="F80" i="7"/>
  <c r="L61" i="7"/>
  <c r="F61" i="7"/>
  <c r="L70" i="7"/>
  <c r="F92" i="7"/>
  <c r="L82" i="7"/>
  <c r="F79" i="7"/>
  <c r="L75" i="7"/>
  <c r="F73" i="7"/>
  <c r="L60" i="7"/>
  <c r="F57" i="7"/>
  <c r="L67" i="7"/>
  <c r="F65" i="7"/>
  <c r="L74" i="7"/>
  <c r="F72" i="7"/>
  <c r="L92" i="7"/>
  <c r="F91" i="7"/>
  <c r="L81" i="7"/>
  <c r="F78" i="7"/>
  <c r="L52" i="7"/>
  <c r="F60" i="7"/>
  <c r="L91" i="7"/>
  <c r="F90" i="7"/>
  <c r="L56" i="7"/>
  <c r="F54" i="7"/>
  <c r="L73" i="7"/>
  <c r="F71" i="7"/>
  <c r="L90" i="7"/>
  <c r="F89" i="7"/>
  <c r="L80" i="7"/>
  <c r="F77" i="7"/>
  <c r="L66" i="7"/>
  <c r="F64" i="7"/>
  <c r="L72" i="7"/>
  <c r="F70" i="7"/>
  <c r="L89" i="7"/>
  <c r="F88" i="7"/>
  <c r="L71" i="7"/>
  <c r="F69" i="7"/>
  <c r="L54" i="7"/>
  <c r="F52" i="7"/>
  <c r="L64" i="7"/>
  <c r="F68" i="7"/>
  <c r="L65" i="7"/>
  <c r="F63" i="7"/>
  <c r="I105" i="3"/>
  <c r="H105" i="3"/>
  <c r="G105" i="3"/>
  <c r="J105" i="3" s="1"/>
  <c r="D105" i="3"/>
  <c r="C105" i="3"/>
  <c r="B105" i="3"/>
  <c r="J96" i="3"/>
  <c r="E94" i="3"/>
  <c r="J87" i="3"/>
  <c r="E84" i="3"/>
  <c r="J86" i="3"/>
  <c r="E83" i="3"/>
  <c r="J67" i="3"/>
  <c r="E82" i="3"/>
  <c r="J104" i="3"/>
  <c r="E104" i="3"/>
  <c r="J66" i="3"/>
  <c r="E62" i="3"/>
  <c r="J95" i="3"/>
  <c r="E93" i="3"/>
  <c r="J94" i="3"/>
  <c r="E92" i="3"/>
  <c r="J103" i="3"/>
  <c r="E103" i="3"/>
  <c r="J60" i="3"/>
  <c r="E58" i="3"/>
  <c r="J59" i="3"/>
  <c r="E57" i="3"/>
  <c r="J102" i="3"/>
  <c r="E102" i="3"/>
  <c r="J101" i="3"/>
  <c r="E101" i="3"/>
  <c r="J85" i="3"/>
  <c r="E81" i="3"/>
  <c r="J70" i="3"/>
  <c r="E66" i="3"/>
  <c r="J93" i="3"/>
  <c r="E91" i="3"/>
  <c r="J58" i="3"/>
  <c r="E56" i="3"/>
  <c r="J80" i="3"/>
  <c r="E76" i="3"/>
  <c r="J100" i="3"/>
  <c r="E100" i="3"/>
  <c r="J65" i="3"/>
  <c r="E65" i="3"/>
  <c r="J99" i="3"/>
  <c r="E99" i="3"/>
  <c r="J77" i="3"/>
  <c r="E73" i="3"/>
  <c r="J76" i="3"/>
  <c r="E72" i="3"/>
  <c r="J61" i="3"/>
  <c r="E59" i="3"/>
  <c r="J69" i="3"/>
  <c r="E64" i="3"/>
  <c r="J84" i="3"/>
  <c r="E80" i="3"/>
  <c r="J75" i="3"/>
  <c r="E71" i="3"/>
  <c r="J74" i="3"/>
  <c r="E70" i="3"/>
  <c r="J83" i="3"/>
  <c r="E79" i="3"/>
  <c r="J92" i="3"/>
  <c r="E90" i="3"/>
  <c r="J56" i="3"/>
  <c r="E98" i="3"/>
  <c r="J63" i="3"/>
  <c r="E60" i="3"/>
  <c r="J98" i="3"/>
  <c r="E97" i="3"/>
  <c r="J91" i="3"/>
  <c r="E89" i="3"/>
  <c r="J57" i="3"/>
  <c r="E96" i="3"/>
  <c r="J82" i="3"/>
  <c r="E78" i="3"/>
  <c r="J90" i="3"/>
  <c r="E88" i="3"/>
  <c r="J97" i="3"/>
  <c r="E95" i="3"/>
  <c r="J64" i="3"/>
  <c r="E61" i="3"/>
  <c r="J81" i="3"/>
  <c r="E77" i="3"/>
  <c r="J73" i="3"/>
  <c r="E69" i="3"/>
  <c r="J72" i="3"/>
  <c r="E68" i="3"/>
  <c r="J89" i="3"/>
  <c r="E87" i="3"/>
  <c r="J62" i="3"/>
  <c r="E86" i="3"/>
  <c r="J88" i="3"/>
  <c r="E85" i="3"/>
  <c r="J71" i="3"/>
  <c r="E67" i="3"/>
  <c r="J79" i="3"/>
  <c r="E75" i="3"/>
  <c r="J78" i="3"/>
  <c r="E74" i="3"/>
  <c r="J68" i="3"/>
  <c r="E63" i="3"/>
  <c r="I109" i="2"/>
  <c r="H109" i="2"/>
  <c r="G109" i="2"/>
  <c r="E109" i="2"/>
  <c r="D109" i="2"/>
  <c r="C109" i="2"/>
  <c r="B109" i="2"/>
  <c r="J98" i="2"/>
  <c r="E97" i="2"/>
  <c r="J108" i="2"/>
  <c r="E108" i="2"/>
  <c r="J64" i="2"/>
  <c r="E62" i="2"/>
  <c r="J76" i="2"/>
  <c r="E74" i="2"/>
  <c r="J107" i="2"/>
  <c r="E107" i="2"/>
  <c r="J97" i="2"/>
  <c r="E96" i="2"/>
  <c r="J72" i="2"/>
  <c r="E83" i="2"/>
  <c r="J67" i="2"/>
  <c r="E65" i="2"/>
  <c r="J83" i="2"/>
  <c r="E82" i="2"/>
  <c r="J96" i="2"/>
  <c r="E95" i="2"/>
  <c r="J95" i="2"/>
  <c r="E94" i="2"/>
  <c r="J94" i="2"/>
  <c r="E93" i="2"/>
  <c r="J59" i="2"/>
  <c r="E69" i="2"/>
  <c r="J93" i="2"/>
  <c r="E92" i="2"/>
  <c r="J84" i="2"/>
  <c r="E106" i="2"/>
  <c r="J60" i="2"/>
  <c r="E58" i="2"/>
  <c r="J58" i="2"/>
  <c r="E73" i="2"/>
  <c r="J66" i="2"/>
  <c r="E64" i="2"/>
  <c r="J92" i="2"/>
  <c r="E91" i="2"/>
  <c r="J85" i="2"/>
  <c r="E90" i="2"/>
  <c r="J91" i="2"/>
  <c r="E89" i="2"/>
  <c r="J61" i="2"/>
  <c r="E59" i="2"/>
  <c r="J90" i="2"/>
  <c r="E88" i="2"/>
  <c r="J75" i="2"/>
  <c r="E72" i="2"/>
  <c r="J71" i="2"/>
  <c r="E68" i="2"/>
  <c r="J106" i="2"/>
  <c r="E105" i="2"/>
  <c r="J105" i="2"/>
  <c r="E104" i="2"/>
  <c r="J82" i="2"/>
  <c r="E81" i="2"/>
  <c r="J89" i="2"/>
  <c r="E87" i="2"/>
  <c r="J104" i="2"/>
  <c r="E103" i="2"/>
  <c r="J103" i="2"/>
  <c r="E102" i="2"/>
  <c r="J81" i="2"/>
  <c r="E80" i="2"/>
  <c r="J88" i="2"/>
  <c r="E86" i="2"/>
  <c r="J102" i="2"/>
  <c r="E101" i="2"/>
  <c r="J80" i="2"/>
  <c r="E79" i="2"/>
  <c r="J65" i="2"/>
  <c r="E63" i="2"/>
  <c r="J62" i="2"/>
  <c r="E61" i="2"/>
  <c r="J68" i="2"/>
  <c r="E78" i="2"/>
  <c r="J101" i="2"/>
  <c r="E100" i="2"/>
  <c r="J79" i="2"/>
  <c r="E77" i="2"/>
  <c r="J87" i="2"/>
  <c r="E85" i="2"/>
  <c r="J100" i="2"/>
  <c r="E99" i="2"/>
  <c r="J78" i="2"/>
  <c r="E76" i="2"/>
  <c r="J74" i="2"/>
  <c r="E71" i="2"/>
  <c r="J70" i="2"/>
  <c r="E67" i="2"/>
  <c r="J63" i="2"/>
  <c r="E60" i="2"/>
  <c r="J99" i="2"/>
  <c r="E98" i="2"/>
  <c r="J77" i="2"/>
  <c r="E75" i="2"/>
  <c r="J73" i="2"/>
  <c r="E70" i="2"/>
  <c r="J86" i="2"/>
  <c r="E84" i="2"/>
  <c r="J69" i="2"/>
  <c r="E66" i="2"/>
  <c r="F303" i="13"/>
  <c r="C284" i="13"/>
  <c r="S4" i="9"/>
  <c r="I93" i="8"/>
  <c r="H93" i="8"/>
  <c r="G93" i="8"/>
  <c r="D93" i="8"/>
  <c r="C93" i="8"/>
  <c r="B93" i="8"/>
  <c r="J79" i="8"/>
  <c r="E76" i="8"/>
  <c r="J64" i="8"/>
  <c r="E61" i="8"/>
  <c r="J59" i="8"/>
  <c r="E57" i="8"/>
  <c r="J58" i="8"/>
  <c r="E56" i="8"/>
  <c r="J86" i="8"/>
  <c r="E85" i="8"/>
  <c r="J78" i="8"/>
  <c r="E75" i="8"/>
  <c r="J65" i="8"/>
  <c r="E71" i="8"/>
  <c r="J54" i="8"/>
  <c r="E53" i="8"/>
  <c r="J63" i="8"/>
  <c r="E60" i="8"/>
  <c r="J62" i="8"/>
  <c r="E59" i="8"/>
  <c r="J61" i="8"/>
  <c r="E84" i="8"/>
  <c r="J57" i="8"/>
  <c r="E55" i="8"/>
  <c r="J73" i="8"/>
  <c r="E70" i="8"/>
  <c r="J60" i="8"/>
  <c r="E58" i="8"/>
  <c r="J77" i="8"/>
  <c r="E83" i="8"/>
  <c r="J92" i="8"/>
  <c r="E92" i="8"/>
  <c r="J85" i="8"/>
  <c r="E82" i="8"/>
  <c r="J84" i="8"/>
  <c r="E81" i="8"/>
  <c r="J76" i="8"/>
  <c r="E74" i="8"/>
  <c r="J72" i="8"/>
  <c r="E69" i="8"/>
  <c r="J75" i="8"/>
  <c r="E73" i="8"/>
  <c r="J56" i="8"/>
  <c r="E91" i="8"/>
  <c r="J53" i="8"/>
  <c r="E52" i="8"/>
  <c r="J50" i="8"/>
  <c r="E68" i="8"/>
  <c r="J71" i="8"/>
  <c r="E67" i="8"/>
  <c r="J70" i="8"/>
  <c r="E66" i="8"/>
  <c r="J52" i="8"/>
  <c r="E51" i="8"/>
  <c r="J91" i="8"/>
  <c r="E90" i="8"/>
  <c r="J69" i="8"/>
  <c r="E65" i="8"/>
  <c r="J90" i="8"/>
  <c r="E89" i="8"/>
  <c r="J83" i="8"/>
  <c r="E80" i="8"/>
  <c r="J82" i="8"/>
  <c r="E79" i="8"/>
  <c r="J51" i="8"/>
  <c r="E50" i="8"/>
  <c r="J67" i="8"/>
  <c r="E63" i="8"/>
  <c r="J66" i="8"/>
  <c r="E62" i="8"/>
  <c r="J89" i="8"/>
  <c r="E88" i="8"/>
  <c r="J81" i="8"/>
  <c r="E78" i="8"/>
  <c r="J74" i="8"/>
  <c r="E72" i="8"/>
  <c r="J68" i="8"/>
  <c r="E64" i="8"/>
  <c r="J88" i="8"/>
  <c r="E87" i="8"/>
  <c r="J80" i="8"/>
  <c r="E77" i="8"/>
  <c r="J87" i="8"/>
  <c r="E86" i="8"/>
  <c r="J55" i="8"/>
  <c r="J93" i="8" s="1"/>
  <c r="E54" i="8"/>
  <c r="E93" i="8" s="1"/>
  <c r="S5" i="1"/>
  <c r="Q7" i="2"/>
  <c r="K53" i="13" l="1"/>
  <c r="E95" i="14"/>
  <c r="E105" i="5"/>
  <c r="L86" i="9"/>
  <c r="J93" i="4"/>
  <c r="E93" i="4"/>
  <c r="K50" i="13"/>
  <c r="J85" i="12"/>
  <c r="E85" i="12"/>
  <c r="E109" i="6"/>
  <c r="J97" i="10"/>
  <c r="E97" i="10"/>
  <c r="E105" i="11"/>
  <c r="F97" i="7"/>
  <c r="E105" i="3"/>
  <c r="J109" i="2"/>
  <c r="N32" i="8" l="1"/>
  <c r="N27" i="14"/>
  <c r="Q5" i="8" l="1"/>
  <c r="N8" i="14"/>
  <c r="Q5" i="5"/>
  <c r="N5" i="3"/>
  <c r="Q7" i="3"/>
  <c r="F439" i="13"/>
  <c r="C432" i="13"/>
  <c r="L16" i="7"/>
  <c r="F16" i="7"/>
  <c r="F485" i="13"/>
  <c r="C480" i="13"/>
  <c r="L24" i="7"/>
  <c r="F24" i="7"/>
  <c r="F421" i="13"/>
  <c r="C410" i="13"/>
  <c r="J11" i="5"/>
  <c r="E11" i="5"/>
  <c r="N27" i="12"/>
  <c r="Q6" i="11"/>
  <c r="J48" i="7"/>
  <c r="D48" i="7"/>
  <c r="P27" i="1"/>
  <c r="P25" i="1"/>
  <c r="F548" i="13"/>
  <c r="C545" i="13"/>
  <c r="L42" i="1"/>
  <c r="F42" i="1"/>
  <c r="J51" i="1"/>
  <c r="D51" i="1"/>
  <c r="P24" i="9"/>
  <c r="P22" i="9"/>
  <c r="J43" i="9"/>
  <c r="D43" i="9"/>
  <c r="P23" i="7"/>
  <c r="F462" i="13"/>
  <c r="C457" i="13"/>
  <c r="J25" i="8"/>
  <c r="E25" i="8"/>
  <c r="F312" i="13"/>
  <c r="C294" i="13"/>
  <c r="J26" i="2"/>
  <c r="E26" i="2"/>
  <c r="N25" i="3" l="1"/>
  <c r="N23" i="14"/>
  <c r="I32" i="13"/>
  <c r="J32" i="13"/>
  <c r="S5" i="7"/>
  <c r="Q4" i="4"/>
  <c r="Q6" i="12"/>
  <c r="F560" i="13"/>
  <c r="C557" i="13"/>
  <c r="J46" i="11"/>
  <c r="E46" i="11"/>
  <c r="Q8" i="6"/>
  <c r="F374" i="13"/>
  <c r="C360" i="13"/>
  <c r="J7" i="3"/>
  <c r="E7" i="3"/>
  <c r="F559" i="13"/>
  <c r="C556" i="13"/>
  <c r="J45" i="3"/>
  <c r="E45" i="3"/>
  <c r="N5" i="2"/>
  <c r="N9" i="14"/>
  <c r="Q6" i="10"/>
  <c r="J57" i="13"/>
  <c r="I57" i="13"/>
  <c r="N28" i="4"/>
  <c r="F398" i="13"/>
  <c r="C386" i="13"/>
  <c r="J10" i="4"/>
  <c r="E10" i="4"/>
  <c r="L14" i="9"/>
  <c r="F14" i="9"/>
  <c r="L38" i="9"/>
  <c r="F38" i="9"/>
  <c r="L12" i="9"/>
  <c r="F12" i="9"/>
  <c r="F440" i="13"/>
  <c r="C433" i="13"/>
  <c r="F389" i="13"/>
  <c r="C376" i="13"/>
  <c r="F367" i="13"/>
  <c r="C352" i="13"/>
  <c r="F384" i="13"/>
  <c r="C371" i="13"/>
  <c r="J4" i="14"/>
  <c r="E4" i="14"/>
  <c r="J7" i="14"/>
  <c r="E7" i="14"/>
  <c r="J21" i="10"/>
  <c r="E21" i="10"/>
  <c r="J6" i="10"/>
  <c r="E6" i="10"/>
  <c r="J37" i="13"/>
  <c r="I37" i="13"/>
  <c r="N7" i="5"/>
  <c r="F455" i="13"/>
  <c r="C449" i="13"/>
  <c r="J21" i="14"/>
  <c r="E21" i="14"/>
  <c r="N26" i="12"/>
  <c r="P30" i="7"/>
  <c r="P33" i="7"/>
  <c r="F203" i="13"/>
  <c r="C176" i="13"/>
  <c r="L19" i="7"/>
  <c r="F19" i="7"/>
  <c r="F390" i="13"/>
  <c r="C377" i="13"/>
  <c r="L8" i="7"/>
  <c r="F8" i="7"/>
  <c r="F574" i="13"/>
  <c r="C571" i="13"/>
  <c r="L41" i="7"/>
  <c r="F41" i="7"/>
  <c r="N41" i="10"/>
  <c r="AE25" i="5"/>
  <c r="AE9" i="5"/>
  <c r="N34" i="5"/>
  <c r="F569" i="13"/>
  <c r="C566" i="13"/>
  <c r="J42" i="5"/>
  <c r="E42" i="5"/>
  <c r="F543" i="13"/>
  <c r="C540" i="13"/>
  <c r="J40" i="11"/>
  <c r="E40" i="11"/>
  <c r="N31" i="4"/>
  <c r="N30" i="4"/>
  <c r="F285" i="13"/>
  <c r="C262" i="13"/>
  <c r="J18" i="4"/>
  <c r="E18" i="4"/>
  <c r="N31" i="8"/>
  <c r="N35" i="8"/>
  <c r="N34" i="8"/>
  <c r="F528" i="13"/>
  <c r="C523" i="13"/>
  <c r="J35" i="8"/>
  <c r="E35" i="8"/>
  <c r="P33" i="1"/>
  <c r="F433" i="13"/>
  <c r="C426" i="13"/>
  <c r="L21" i="1"/>
  <c r="F21" i="1"/>
  <c r="F477" i="13"/>
  <c r="C472" i="13"/>
  <c r="J66" i="13"/>
  <c r="I66" i="13"/>
  <c r="N34" i="6"/>
  <c r="N32" i="6"/>
  <c r="J31" i="6"/>
  <c r="E31" i="6"/>
  <c r="F470" i="13"/>
  <c r="C465" i="13"/>
  <c r="J28" i="6"/>
  <c r="E28" i="6"/>
  <c r="J49" i="13"/>
  <c r="I49" i="13"/>
  <c r="J44" i="13"/>
  <c r="I44" i="13"/>
  <c r="F168" i="13"/>
  <c r="C144" i="13"/>
  <c r="J43" i="4"/>
  <c r="E43" i="4"/>
  <c r="F297" i="13"/>
  <c r="C276" i="13"/>
  <c r="J22" i="3"/>
  <c r="E22" i="3"/>
  <c r="N5" i="10"/>
  <c r="F322" i="13"/>
  <c r="C304" i="13"/>
  <c r="J29" i="2"/>
  <c r="E29" i="2"/>
  <c r="F144" i="13"/>
  <c r="C117" i="13"/>
  <c r="J10" i="2"/>
  <c r="E10" i="2"/>
  <c r="N6" i="8"/>
  <c r="F261" i="13"/>
  <c r="C237" i="13"/>
  <c r="J7" i="8"/>
  <c r="E7" i="8"/>
  <c r="F331" i="13"/>
  <c r="C316" i="13"/>
  <c r="L35" i="1"/>
  <c r="F35" i="1"/>
  <c r="I41" i="13"/>
  <c r="J41" i="13"/>
  <c r="N4" i="3"/>
  <c r="F193" i="13"/>
  <c r="C163" i="13"/>
  <c r="J16" i="3"/>
  <c r="E16" i="3"/>
  <c r="F252" i="13"/>
  <c r="C227" i="13"/>
  <c r="J4" i="12"/>
  <c r="E4" i="12"/>
  <c r="F346" i="13"/>
  <c r="C332" i="13"/>
  <c r="L37" i="7"/>
  <c r="F37" i="7"/>
  <c r="I48" i="13"/>
  <c r="J48" i="13"/>
  <c r="I28" i="13"/>
  <c r="J28" i="13"/>
  <c r="F356" i="13"/>
  <c r="C342" i="13"/>
  <c r="L41" i="9"/>
  <c r="F41" i="9"/>
  <c r="F327" i="13"/>
  <c r="C312" i="13"/>
  <c r="L32" i="1"/>
  <c r="F32" i="1"/>
  <c r="F221" i="13"/>
  <c r="C196" i="13"/>
  <c r="J33" i="8"/>
  <c r="E33" i="8"/>
  <c r="N5" i="6"/>
  <c r="F259" i="13"/>
  <c r="C235" i="13"/>
  <c r="J12" i="6"/>
  <c r="E12" i="6"/>
  <c r="F325" i="13"/>
  <c r="C307" i="13"/>
  <c r="J33" i="2"/>
  <c r="E33" i="2"/>
  <c r="I2" i="13"/>
  <c r="J2" i="13"/>
  <c r="AH36" i="6"/>
  <c r="T36" i="6"/>
  <c r="N9" i="6"/>
  <c r="F161" i="13"/>
  <c r="C137" i="13"/>
  <c r="L36" i="7"/>
  <c r="F36" i="7"/>
  <c r="I38" i="13"/>
  <c r="J38" i="13"/>
  <c r="N6" i="5"/>
  <c r="F342" i="13"/>
  <c r="C328" i="13"/>
  <c r="J35" i="12"/>
  <c r="E35" i="12"/>
  <c r="F100" i="13"/>
  <c r="C65" i="13"/>
  <c r="J36" i="2"/>
  <c r="E36" i="2"/>
  <c r="P11" i="1"/>
  <c r="P14" i="7"/>
  <c r="F376" i="13"/>
  <c r="C363" i="13"/>
  <c r="J6" i="14"/>
  <c r="E6" i="14"/>
  <c r="N24" i="8"/>
  <c r="J24" i="8"/>
  <c r="J23" i="8"/>
  <c r="J3" i="8"/>
  <c r="J4" i="8"/>
  <c r="J5" i="8"/>
  <c r="J6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6" i="8"/>
  <c r="J27" i="8"/>
  <c r="J28" i="8"/>
  <c r="J29" i="8"/>
  <c r="J30" i="8"/>
  <c r="J31" i="8"/>
  <c r="J32" i="8"/>
  <c r="J34" i="8"/>
  <c r="J36" i="8"/>
  <c r="J37" i="8"/>
  <c r="J38" i="8"/>
  <c r="J39" i="8"/>
  <c r="J40" i="8"/>
  <c r="J41" i="8"/>
  <c r="J42" i="8"/>
  <c r="J43" i="8"/>
  <c r="J44" i="8"/>
  <c r="J45" i="8"/>
  <c r="I46" i="8"/>
  <c r="H46" i="8"/>
  <c r="G46" i="8"/>
  <c r="E3" i="8"/>
  <c r="E4" i="8"/>
  <c r="E5" i="8"/>
  <c r="E6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6" i="8"/>
  <c r="E27" i="8"/>
  <c r="E28" i="8"/>
  <c r="E29" i="8"/>
  <c r="E30" i="8"/>
  <c r="E31" i="8"/>
  <c r="E32" i="8"/>
  <c r="E34" i="8"/>
  <c r="E36" i="8"/>
  <c r="E37" i="8"/>
  <c r="E38" i="8"/>
  <c r="E39" i="8"/>
  <c r="E40" i="8"/>
  <c r="E41" i="8"/>
  <c r="E42" i="8"/>
  <c r="E43" i="8"/>
  <c r="E44" i="8"/>
  <c r="E45" i="8"/>
  <c r="D46" i="8"/>
  <c r="C46" i="8"/>
  <c r="B46" i="8"/>
  <c r="F179" i="13"/>
  <c r="C147" i="13"/>
  <c r="F286" i="13"/>
  <c r="C263" i="13"/>
  <c r="N16" i="4"/>
  <c r="F554" i="13"/>
  <c r="C551" i="13"/>
  <c r="J41" i="4"/>
  <c r="E41" i="4"/>
  <c r="N14" i="11"/>
  <c r="N20" i="10"/>
  <c r="N18" i="6"/>
  <c r="N15" i="2"/>
  <c r="P20" i="1"/>
  <c r="F538" i="13"/>
  <c r="C533" i="13"/>
  <c r="L39" i="1"/>
  <c r="F39" i="1"/>
  <c r="F460" i="13"/>
  <c r="C455" i="13"/>
  <c r="L24" i="1"/>
  <c r="F24" i="1"/>
  <c r="Z40" i="2"/>
  <c r="F8" i="13"/>
  <c r="F44" i="13"/>
  <c r="F158" i="13"/>
  <c r="F149" i="13"/>
  <c r="F2" i="13"/>
  <c r="F4" i="13"/>
  <c r="F6" i="13"/>
  <c r="F5" i="13"/>
  <c r="F7" i="13"/>
  <c r="F3" i="13"/>
  <c r="F9" i="13"/>
  <c r="F12" i="13"/>
  <c r="F13" i="13"/>
  <c r="F25" i="13"/>
  <c r="F16" i="13"/>
  <c r="F14" i="13"/>
  <c r="F10" i="13"/>
  <c r="F22" i="13"/>
  <c r="F18" i="13"/>
  <c r="F15" i="13"/>
  <c r="F29" i="13"/>
  <c r="F17" i="13"/>
  <c r="F32" i="13"/>
  <c r="F46" i="13"/>
  <c r="F26" i="13"/>
  <c r="F54" i="13"/>
  <c r="F52" i="13"/>
  <c r="F69" i="13"/>
  <c r="F31" i="13"/>
  <c r="F37" i="13"/>
  <c r="F38" i="13"/>
  <c r="F89" i="13"/>
  <c r="F43" i="13"/>
  <c r="F23" i="13"/>
  <c r="F19" i="13"/>
  <c r="F59" i="13"/>
  <c r="F47" i="13"/>
  <c r="F48" i="13"/>
  <c r="F86" i="13"/>
  <c r="F30" i="13"/>
  <c r="F36" i="13"/>
  <c r="F53" i="13"/>
  <c r="F27" i="13"/>
  <c r="F113" i="13"/>
  <c r="F70" i="13"/>
  <c r="F55" i="13"/>
  <c r="F45" i="13"/>
  <c r="F57" i="13"/>
  <c r="F28" i="13"/>
  <c r="F58" i="13"/>
  <c r="F73" i="13"/>
  <c r="F20" i="13"/>
  <c r="F34" i="13"/>
  <c r="F123" i="13"/>
  <c r="F60" i="13"/>
  <c r="F62" i="13"/>
  <c r="F128" i="13"/>
  <c r="F133" i="13"/>
  <c r="F81" i="13"/>
  <c r="F83" i="13"/>
  <c r="F21" i="13"/>
  <c r="F49" i="13"/>
  <c r="F51" i="13"/>
  <c r="F136" i="13"/>
  <c r="F137" i="13"/>
  <c r="F109" i="13"/>
  <c r="F140" i="13"/>
  <c r="F110" i="13"/>
  <c r="F141" i="13"/>
  <c r="F143" i="13"/>
  <c r="F24" i="13"/>
  <c r="F116" i="13"/>
  <c r="F152" i="13"/>
  <c r="F153" i="13"/>
  <c r="F33" i="13"/>
  <c r="F39" i="13"/>
  <c r="F122" i="13"/>
  <c r="F40" i="13"/>
  <c r="F159" i="13"/>
  <c r="F125" i="13"/>
  <c r="F127" i="13"/>
  <c r="F64" i="13"/>
  <c r="F76" i="13"/>
  <c r="F129" i="13"/>
  <c r="F130" i="13"/>
  <c r="F132" i="13"/>
  <c r="F135" i="13"/>
  <c r="F169" i="13"/>
  <c r="F170" i="13"/>
  <c r="F85" i="13"/>
  <c r="F11" i="13"/>
  <c r="F84" i="13"/>
  <c r="F105" i="13"/>
  <c r="F66" i="13"/>
  <c r="F90" i="13"/>
  <c r="F138" i="13"/>
  <c r="F139" i="13"/>
  <c r="F106" i="13"/>
  <c r="F42" i="13"/>
  <c r="F111" i="13"/>
  <c r="F195" i="13"/>
  <c r="F145" i="13"/>
  <c r="F198" i="13"/>
  <c r="F200" i="13"/>
  <c r="F88" i="13"/>
  <c r="F202" i="13"/>
  <c r="F50" i="13"/>
  <c r="F207" i="13"/>
  <c r="F117" i="13"/>
  <c r="F71" i="13"/>
  <c r="F72" i="13"/>
  <c r="F96" i="13"/>
  <c r="F121" i="13"/>
  <c r="F98" i="13"/>
  <c r="F155" i="13"/>
  <c r="F75" i="13"/>
  <c r="F126" i="13"/>
  <c r="F226" i="13"/>
  <c r="F229" i="13"/>
  <c r="F162" i="13"/>
  <c r="F231" i="13"/>
  <c r="F131" i="13"/>
  <c r="F80" i="13"/>
  <c r="F166" i="13"/>
  <c r="F232" i="13"/>
  <c r="F233" i="13"/>
  <c r="F134" i="13"/>
  <c r="F234" i="13"/>
  <c r="F35" i="13"/>
  <c r="F238" i="13"/>
  <c r="F240" i="13"/>
  <c r="F63" i="13"/>
  <c r="F171" i="13"/>
  <c r="F244" i="13"/>
  <c r="F243" i="13"/>
  <c r="F104" i="13"/>
  <c r="F172" i="13"/>
  <c r="F245" i="13"/>
  <c r="F247" i="13"/>
  <c r="F180" i="13"/>
  <c r="F254" i="13"/>
  <c r="F181" i="13"/>
  <c r="F182" i="13"/>
  <c r="F185" i="13"/>
  <c r="F255" i="13"/>
  <c r="F257" i="13"/>
  <c r="F108" i="13"/>
  <c r="F187" i="13"/>
  <c r="F262" i="13"/>
  <c r="F263" i="13"/>
  <c r="F190" i="13"/>
  <c r="F266" i="13"/>
  <c r="F267" i="13"/>
  <c r="F268" i="13"/>
  <c r="F270" i="13"/>
  <c r="F271" i="13"/>
  <c r="F272" i="13"/>
  <c r="F92" i="13"/>
  <c r="F112" i="13"/>
  <c r="F278" i="13"/>
  <c r="F68" i="13"/>
  <c r="F280" i="13"/>
  <c r="F196" i="13"/>
  <c r="F282" i="13"/>
  <c r="F284" i="13"/>
  <c r="F290" i="13"/>
  <c r="F291" i="13"/>
  <c r="F293" i="13"/>
  <c r="F294" i="13"/>
  <c r="F199" i="13"/>
  <c r="F93" i="13"/>
  <c r="F295" i="13"/>
  <c r="F296" i="13"/>
  <c r="F146" i="13"/>
  <c r="F206" i="13"/>
  <c r="F94" i="13"/>
  <c r="F298" i="13"/>
  <c r="F299" i="13"/>
  <c r="F147" i="13"/>
  <c r="F148" i="13"/>
  <c r="F56" i="13"/>
  <c r="F115" i="13"/>
  <c r="F209" i="13"/>
  <c r="F301" i="13"/>
  <c r="F241" i="13"/>
  <c r="F210" i="13"/>
  <c r="F304" i="13"/>
  <c r="F211" i="13"/>
  <c r="F212" i="13"/>
  <c r="F305" i="13"/>
  <c r="F306" i="13"/>
  <c r="F242" i="13"/>
  <c r="F150" i="13"/>
  <c r="F151" i="13"/>
  <c r="F118" i="13"/>
  <c r="F308" i="13"/>
  <c r="F119" i="13"/>
  <c r="F310" i="13"/>
  <c r="F311" i="13"/>
  <c r="F313" i="13"/>
  <c r="F314" i="13"/>
  <c r="F120" i="13"/>
  <c r="F315" i="13"/>
  <c r="F316" i="13"/>
  <c r="F216" i="13"/>
  <c r="F217" i="13"/>
  <c r="F320" i="13"/>
  <c r="F321" i="13"/>
  <c r="F218" i="13"/>
  <c r="F219" i="13"/>
  <c r="F220" i="13"/>
  <c r="F74" i="13"/>
  <c r="F156" i="13"/>
  <c r="F99" i="13"/>
  <c r="F222" i="13"/>
  <c r="F329" i="13"/>
  <c r="F61" i="13"/>
  <c r="F224" i="13"/>
  <c r="F330" i="13"/>
  <c r="F225" i="13"/>
  <c r="F177" i="13"/>
  <c r="F333" i="13"/>
  <c r="F227" i="13"/>
  <c r="F335" i="13"/>
  <c r="F336" i="13"/>
  <c r="F101" i="13"/>
  <c r="F41" i="13"/>
  <c r="F339" i="13"/>
  <c r="F77" i="13"/>
  <c r="F160" i="13"/>
  <c r="F343" i="13"/>
  <c r="F78" i="13"/>
  <c r="F344" i="13"/>
  <c r="F102" i="13"/>
  <c r="F163" i="13"/>
  <c r="F79" i="13"/>
  <c r="F349" i="13"/>
  <c r="F230" i="13"/>
  <c r="F164" i="13"/>
  <c r="F165" i="13"/>
  <c r="F350" i="13"/>
  <c r="F353" i="13"/>
  <c r="F65" i="13"/>
  <c r="F237" i="13"/>
  <c r="F357" i="13"/>
  <c r="F359" i="13"/>
  <c r="F360" i="13"/>
  <c r="F361" i="13"/>
  <c r="F362" i="13"/>
  <c r="F283" i="13"/>
  <c r="F366" i="13"/>
  <c r="F248" i="13"/>
  <c r="F368" i="13"/>
  <c r="F249" i="13"/>
  <c r="F250" i="13"/>
  <c r="F251" i="13"/>
  <c r="F369" i="13"/>
  <c r="F370" i="13"/>
  <c r="F67" i="13"/>
  <c r="F371" i="13"/>
  <c r="F372" i="13"/>
  <c r="F178" i="13"/>
  <c r="F253" i="13"/>
  <c r="F373" i="13"/>
  <c r="F246" i="13"/>
  <c r="F375" i="13"/>
  <c r="F183" i="13"/>
  <c r="F377" i="13"/>
  <c r="F378" i="13"/>
  <c r="F379" i="13"/>
  <c r="F380" i="13"/>
  <c r="F184" i="13"/>
  <c r="F383" i="13"/>
  <c r="F381" i="13"/>
  <c r="F382" i="13"/>
  <c r="F385" i="13"/>
  <c r="F386" i="13"/>
  <c r="F387" i="13"/>
  <c r="F256" i="13"/>
  <c r="F258" i="13"/>
  <c r="F388" i="13"/>
  <c r="F186" i="13"/>
  <c r="F107" i="13"/>
  <c r="F391" i="13"/>
  <c r="F260" i="13"/>
  <c r="F392" i="13"/>
  <c r="F393" i="13"/>
  <c r="F394" i="13"/>
  <c r="F395" i="13"/>
  <c r="F396" i="13"/>
  <c r="F397" i="13"/>
  <c r="F188" i="13"/>
  <c r="F399" i="13"/>
  <c r="F91" i="13"/>
  <c r="F400" i="13"/>
  <c r="F401" i="13"/>
  <c r="F264" i="13"/>
  <c r="F189" i="13"/>
  <c r="F265" i="13"/>
  <c r="F402" i="13"/>
  <c r="F403" i="13"/>
  <c r="F142" i="13"/>
  <c r="F269" i="13"/>
  <c r="F404" i="13"/>
  <c r="F405" i="13"/>
  <c r="F406" i="13"/>
  <c r="F407" i="13"/>
  <c r="F175" i="13"/>
  <c r="F408" i="13"/>
  <c r="F409" i="13"/>
  <c r="F273" i="13"/>
  <c r="F274" i="13"/>
  <c r="F410" i="13"/>
  <c r="F411" i="13"/>
  <c r="F176" i="13"/>
  <c r="F412" i="13"/>
  <c r="F191" i="13"/>
  <c r="F413" i="13"/>
  <c r="F192" i="13"/>
  <c r="F414" i="13"/>
  <c r="F415" i="13"/>
  <c r="F416" i="13"/>
  <c r="F275" i="13"/>
  <c r="F417" i="13"/>
  <c r="F418" i="13"/>
  <c r="F419" i="13"/>
  <c r="F276" i="13"/>
  <c r="F420" i="13"/>
  <c r="F277" i="13"/>
  <c r="F87" i="13"/>
  <c r="F422" i="13"/>
  <c r="F423" i="13"/>
  <c r="F279" i="13"/>
  <c r="F424" i="13"/>
  <c r="F194" i="13"/>
  <c r="F425" i="13"/>
  <c r="F426" i="13"/>
  <c r="F281" i="13"/>
  <c r="F197" i="13"/>
  <c r="F427" i="13"/>
  <c r="F428" i="13"/>
  <c r="F429" i="13"/>
  <c r="F430" i="13"/>
  <c r="F431" i="13"/>
  <c r="F432" i="13"/>
  <c r="F287" i="13"/>
  <c r="F434" i="13"/>
  <c r="F435" i="13"/>
  <c r="F436" i="13"/>
  <c r="F437" i="13"/>
  <c r="F438" i="13"/>
  <c r="F288" i="13"/>
  <c r="F442" i="13"/>
  <c r="F441" i="13"/>
  <c r="F443" i="13"/>
  <c r="F444" i="13"/>
  <c r="F445" i="13"/>
  <c r="F292" i="13"/>
  <c r="F114" i="13"/>
  <c r="F239" i="13"/>
  <c r="F446" i="13"/>
  <c r="F447" i="13"/>
  <c r="F448" i="13"/>
  <c r="F449" i="13"/>
  <c r="F450" i="13"/>
  <c r="F201" i="13"/>
  <c r="F451" i="13"/>
  <c r="F452" i="13"/>
  <c r="F204" i="13"/>
  <c r="F205" i="13"/>
  <c r="F453" i="13"/>
  <c r="F454" i="13"/>
  <c r="F289" i="13"/>
  <c r="F208" i="13"/>
  <c r="F456" i="13"/>
  <c r="F457" i="13"/>
  <c r="F458" i="13"/>
  <c r="F459" i="13"/>
  <c r="F95" i="13"/>
  <c r="F461" i="13"/>
  <c r="F300" i="13"/>
  <c r="F463" i="13"/>
  <c r="F302" i="13"/>
  <c r="F464" i="13"/>
  <c r="F465" i="13"/>
  <c r="F466" i="13"/>
  <c r="F467" i="13"/>
  <c r="F468" i="13"/>
  <c r="F469" i="13"/>
  <c r="F213" i="13"/>
  <c r="F214" i="13"/>
  <c r="F471" i="13"/>
  <c r="F472" i="13"/>
  <c r="F473" i="13"/>
  <c r="F474" i="13"/>
  <c r="F475" i="13"/>
  <c r="F476" i="13"/>
  <c r="F478" i="13"/>
  <c r="F479" i="13"/>
  <c r="F480" i="13"/>
  <c r="F215" i="13"/>
  <c r="F307" i="13"/>
  <c r="F481" i="13"/>
  <c r="F482" i="13"/>
  <c r="F309" i="13"/>
  <c r="F483" i="13"/>
  <c r="F484" i="13"/>
  <c r="F317" i="13"/>
  <c r="F486" i="13"/>
  <c r="F487" i="13"/>
  <c r="F488" i="13"/>
  <c r="F318" i="13"/>
  <c r="F489" i="13"/>
  <c r="F490" i="13"/>
  <c r="F491" i="13"/>
  <c r="F492" i="13"/>
  <c r="F493" i="13"/>
  <c r="F494" i="13"/>
  <c r="F319" i="13"/>
  <c r="F495" i="13"/>
  <c r="F496" i="13"/>
  <c r="F497" i="13"/>
  <c r="F498" i="13"/>
  <c r="F499" i="13"/>
  <c r="F500" i="13"/>
  <c r="F154" i="13"/>
  <c r="F501" i="13"/>
  <c r="F502" i="13"/>
  <c r="F503" i="13"/>
  <c r="F504" i="13"/>
  <c r="F323" i="13"/>
  <c r="F505" i="13"/>
  <c r="F97" i="13"/>
  <c r="F506" i="13"/>
  <c r="F507" i="13"/>
  <c r="F324" i="13"/>
  <c r="F508" i="13"/>
  <c r="F509" i="13"/>
  <c r="F510" i="13"/>
  <c r="F511" i="13"/>
  <c r="F512" i="13"/>
  <c r="F513" i="13"/>
  <c r="F514" i="13"/>
  <c r="F174" i="13"/>
  <c r="F173" i="13"/>
  <c r="F515" i="13"/>
  <c r="F516" i="13"/>
  <c r="F517" i="13"/>
  <c r="F326" i="13"/>
  <c r="F518" i="13"/>
  <c r="F519" i="13"/>
  <c r="F520" i="13"/>
  <c r="F157" i="13"/>
  <c r="F521" i="13"/>
  <c r="F522" i="13"/>
  <c r="F328" i="13"/>
  <c r="F523" i="13"/>
  <c r="F524" i="13"/>
  <c r="F525" i="13"/>
  <c r="F526" i="13"/>
  <c r="F527" i="13"/>
  <c r="F223" i="13"/>
  <c r="F529" i="13"/>
  <c r="F530" i="13"/>
  <c r="F531" i="13"/>
  <c r="F532" i="13"/>
  <c r="F533" i="13"/>
  <c r="F124" i="13"/>
  <c r="F534" i="13"/>
  <c r="F332" i="13"/>
  <c r="F535" i="13"/>
  <c r="F536" i="13"/>
  <c r="F334" i="13"/>
  <c r="F537" i="13"/>
  <c r="F539" i="13"/>
  <c r="F540" i="13"/>
  <c r="F337" i="13"/>
  <c r="F541" i="13"/>
  <c r="F542" i="13"/>
  <c r="F544" i="13"/>
  <c r="F338" i="13"/>
  <c r="F545" i="13"/>
  <c r="F546" i="13"/>
  <c r="F228" i="13"/>
  <c r="F547" i="13"/>
  <c r="F340" i="13"/>
  <c r="F341" i="13"/>
  <c r="F549" i="13"/>
  <c r="F550" i="13"/>
  <c r="F551" i="13"/>
  <c r="F552" i="13"/>
  <c r="F553" i="13"/>
  <c r="F555" i="13"/>
  <c r="F556" i="13"/>
  <c r="F557" i="13"/>
  <c r="F558" i="13"/>
  <c r="F345" i="13"/>
  <c r="F347" i="13"/>
  <c r="F561" i="13"/>
  <c r="F562" i="13"/>
  <c r="F348" i="13"/>
  <c r="F563" i="13"/>
  <c r="F564" i="13"/>
  <c r="F565" i="13"/>
  <c r="F566" i="13"/>
  <c r="F567" i="13"/>
  <c r="F568" i="13"/>
  <c r="F570" i="13"/>
  <c r="F571" i="13"/>
  <c r="F572" i="13"/>
  <c r="F573" i="13"/>
  <c r="F167" i="13"/>
  <c r="F351" i="13"/>
  <c r="F365" i="13"/>
  <c r="F575" i="13"/>
  <c r="F576" i="13"/>
  <c r="F577" i="13"/>
  <c r="F578" i="13"/>
  <c r="F579" i="13"/>
  <c r="F580" i="13"/>
  <c r="F352" i="13"/>
  <c r="F581" i="13"/>
  <c r="F235" i="13"/>
  <c r="F582" i="13"/>
  <c r="F354" i="13"/>
  <c r="F355" i="13"/>
  <c r="F236" i="13"/>
  <c r="F103" i="13"/>
  <c r="F583" i="13"/>
  <c r="F584" i="13"/>
  <c r="F358" i="13"/>
  <c r="F585" i="13"/>
  <c r="F586" i="13"/>
  <c r="F82" i="13"/>
  <c r="F587" i="13"/>
  <c r="F588" i="13"/>
  <c r="F589" i="13"/>
  <c r="F363" i="13"/>
  <c r="F590" i="13"/>
  <c r="F364" i="13"/>
  <c r="C20" i="13"/>
  <c r="C133" i="13"/>
  <c r="C123" i="13"/>
  <c r="C42" i="13"/>
  <c r="C89" i="13"/>
  <c r="C151" i="13"/>
  <c r="C233" i="13"/>
  <c r="C267" i="13"/>
  <c r="C271" i="13"/>
  <c r="C182" i="13"/>
  <c r="C281" i="13"/>
  <c r="C184" i="13"/>
  <c r="C288" i="13"/>
  <c r="C125" i="13"/>
  <c r="C195" i="13"/>
  <c r="C308" i="13"/>
  <c r="C131" i="13"/>
  <c r="C49" i="13"/>
  <c r="C140" i="13"/>
  <c r="C218" i="13"/>
  <c r="C222" i="13"/>
  <c r="C353" i="13"/>
  <c r="C354" i="13"/>
  <c r="C355" i="13"/>
  <c r="C228" i="13"/>
  <c r="C365" i="13"/>
  <c r="C232" i="13"/>
  <c r="C408" i="13"/>
  <c r="C409" i="13"/>
  <c r="C255" i="13"/>
  <c r="C168" i="13"/>
  <c r="C430" i="13"/>
  <c r="C439" i="13"/>
  <c r="C445" i="13"/>
  <c r="C178" i="13"/>
  <c r="C463" i="13"/>
  <c r="C128" i="13"/>
  <c r="C517" i="13"/>
  <c r="C313" i="13"/>
  <c r="C518" i="13"/>
  <c r="C529" i="13"/>
  <c r="C208" i="13"/>
  <c r="C534" i="13"/>
  <c r="C326" i="13"/>
  <c r="C555" i="13"/>
  <c r="C331" i="13"/>
  <c r="C337" i="13"/>
  <c r="C586" i="13"/>
  <c r="C587" i="13"/>
  <c r="C56" i="13"/>
  <c r="C12" i="13"/>
  <c r="C94" i="13"/>
  <c r="C129" i="13"/>
  <c r="C138" i="13"/>
  <c r="C102" i="13"/>
  <c r="C154" i="13"/>
  <c r="C156" i="13"/>
  <c r="C256" i="13"/>
  <c r="C260" i="13"/>
  <c r="C298" i="13"/>
  <c r="C315" i="13"/>
  <c r="C318" i="13"/>
  <c r="C67" i="13"/>
  <c r="C356" i="13"/>
  <c r="C358" i="13"/>
  <c r="C152" i="13"/>
  <c r="C374" i="13"/>
  <c r="C382" i="13"/>
  <c r="C383" i="13"/>
  <c r="C387" i="13"/>
  <c r="C55" i="13"/>
  <c r="C391" i="13"/>
  <c r="C405" i="13"/>
  <c r="C406" i="13"/>
  <c r="C253" i="13"/>
  <c r="C415" i="13"/>
  <c r="C164" i="13"/>
  <c r="C429" i="13"/>
  <c r="C431" i="13"/>
  <c r="C280" i="13"/>
  <c r="C479" i="13"/>
  <c r="C499" i="13"/>
  <c r="C508" i="13"/>
  <c r="C520" i="13"/>
  <c r="C530" i="13"/>
  <c r="C568" i="13"/>
  <c r="C570" i="13"/>
  <c r="C578" i="13"/>
  <c r="C344" i="13"/>
  <c r="C588" i="13"/>
  <c r="C97" i="13"/>
  <c r="C99" i="13"/>
  <c r="C107" i="13"/>
  <c r="C113" i="13"/>
  <c r="C145" i="13"/>
  <c r="C173" i="13"/>
  <c r="C82" i="13"/>
  <c r="C63" i="13"/>
  <c r="C135" i="13"/>
  <c r="C244" i="13"/>
  <c r="C39" i="13"/>
  <c r="C273" i="13"/>
  <c r="C274" i="13"/>
  <c r="C59" i="13"/>
  <c r="C278" i="13"/>
  <c r="C293" i="13"/>
  <c r="C194" i="13"/>
  <c r="C309" i="13"/>
  <c r="C335" i="13"/>
  <c r="C234" i="13"/>
  <c r="C401" i="13"/>
  <c r="C264" i="13"/>
  <c r="C441" i="13"/>
  <c r="C444" i="13"/>
  <c r="C174" i="13"/>
  <c r="C454" i="13"/>
  <c r="C282" i="13"/>
  <c r="C462" i="13"/>
  <c r="C473" i="13"/>
  <c r="C488" i="13"/>
  <c r="C497" i="13"/>
  <c r="C500" i="13"/>
  <c r="C524" i="13"/>
  <c r="C536" i="13"/>
  <c r="C323" i="13"/>
  <c r="C543" i="13"/>
  <c r="C327" i="13"/>
  <c r="C333" i="13"/>
  <c r="C143" i="13"/>
  <c r="C577" i="13"/>
  <c r="C341" i="13"/>
  <c r="C582" i="13"/>
  <c r="C53" i="13"/>
  <c r="C589" i="13"/>
  <c r="C349" i="13"/>
  <c r="C24" i="13"/>
  <c r="C28" i="13"/>
  <c r="C44" i="13"/>
  <c r="C108" i="13"/>
  <c r="C75" i="13"/>
  <c r="C126" i="13"/>
  <c r="C70" i="13"/>
  <c r="C91" i="13"/>
  <c r="C213" i="13"/>
  <c r="C149" i="13"/>
  <c r="C73" i="13"/>
  <c r="C192" i="13"/>
  <c r="C201" i="13"/>
  <c r="C203" i="13"/>
  <c r="C66" i="13"/>
  <c r="C68" i="13"/>
  <c r="C347" i="13"/>
  <c r="C223" i="13"/>
  <c r="C361" i="13"/>
  <c r="C367" i="13"/>
  <c r="C72" i="13"/>
  <c r="C157" i="13"/>
  <c r="C392" i="13"/>
  <c r="C398" i="13"/>
  <c r="C414" i="13"/>
  <c r="C259" i="13"/>
  <c r="C423" i="13"/>
  <c r="C438" i="13"/>
  <c r="C456" i="13"/>
  <c r="C189" i="13"/>
  <c r="C299" i="13"/>
  <c r="C489" i="13"/>
  <c r="C490" i="13"/>
  <c r="C494" i="13"/>
  <c r="C515" i="13"/>
  <c r="C521" i="13"/>
  <c r="C319" i="13"/>
  <c r="C537" i="13"/>
  <c r="C544" i="13"/>
  <c r="C554" i="13"/>
  <c r="C558" i="13"/>
  <c r="C567" i="13"/>
  <c r="C574" i="13"/>
  <c r="C16" i="13"/>
  <c r="C11" i="13"/>
  <c r="C22" i="13"/>
  <c r="C18" i="13"/>
  <c r="C19" i="13"/>
  <c r="C41" i="13"/>
  <c r="C31" i="13"/>
  <c r="C4" i="13"/>
  <c r="C26" i="13"/>
  <c r="C110" i="13"/>
  <c r="C209" i="13"/>
  <c r="C159" i="13"/>
  <c r="C185" i="13"/>
  <c r="C325" i="13"/>
  <c r="C139" i="13"/>
  <c r="C224" i="13"/>
  <c r="C379" i="13"/>
  <c r="C380" i="13"/>
  <c r="C397" i="13"/>
  <c r="C411" i="13"/>
  <c r="C412" i="13"/>
  <c r="C257" i="13"/>
  <c r="C427" i="13"/>
  <c r="C266" i="13"/>
  <c r="C60" i="13"/>
  <c r="C458" i="13"/>
  <c r="C459" i="13"/>
  <c r="C461" i="13"/>
  <c r="C187" i="13"/>
  <c r="C469" i="13"/>
  <c r="C474" i="13"/>
  <c r="C476" i="13"/>
  <c r="C301" i="13"/>
  <c r="C509" i="13"/>
  <c r="C531" i="13"/>
  <c r="C548" i="13"/>
  <c r="C575" i="13"/>
  <c r="C340" i="13"/>
  <c r="C27" i="13"/>
  <c r="C33" i="13"/>
  <c r="C32" i="13"/>
  <c r="C13" i="13"/>
  <c r="C96" i="13"/>
  <c r="C43" i="13"/>
  <c r="C142" i="13"/>
  <c r="C111" i="13"/>
  <c r="C245" i="13"/>
  <c r="C167" i="13"/>
  <c r="C261" i="13"/>
  <c r="C283" i="13"/>
  <c r="C292" i="13"/>
  <c r="C191" i="13"/>
  <c r="C302" i="13"/>
  <c r="C130" i="13"/>
  <c r="C64" i="13"/>
  <c r="C48" i="13"/>
  <c r="C336" i="13"/>
  <c r="C339" i="13"/>
  <c r="C220" i="13"/>
  <c r="C38" i="13"/>
  <c r="C368" i="13"/>
  <c r="C236" i="13"/>
  <c r="C384" i="13"/>
  <c r="C389" i="13"/>
  <c r="C428" i="13"/>
  <c r="C272" i="13"/>
  <c r="C440" i="13"/>
  <c r="C443" i="13"/>
  <c r="C448" i="13"/>
  <c r="C464" i="13"/>
  <c r="C468" i="13"/>
  <c r="C501" i="13"/>
  <c r="C202" i="13"/>
  <c r="C527" i="13"/>
  <c r="C317" i="13"/>
  <c r="C532" i="13"/>
  <c r="C541" i="13"/>
  <c r="C324" i="13"/>
  <c r="C542" i="13"/>
  <c r="C552" i="13"/>
  <c r="C562" i="13"/>
  <c r="C564" i="13"/>
  <c r="C580" i="13"/>
  <c r="C69" i="13"/>
  <c r="C350" i="13"/>
  <c r="C5" i="13"/>
  <c r="C10" i="13"/>
  <c r="C23" i="13"/>
  <c r="C90" i="13"/>
  <c r="C134" i="13"/>
  <c r="C106" i="13"/>
  <c r="C175" i="13"/>
  <c r="C95" i="13"/>
  <c r="C248" i="13"/>
  <c r="C172" i="13"/>
  <c r="C30" i="13"/>
  <c r="C124" i="13"/>
  <c r="C290" i="13"/>
  <c r="C296" i="13"/>
  <c r="C199" i="13"/>
  <c r="C45" i="13"/>
  <c r="C322" i="13"/>
  <c r="C136" i="13"/>
  <c r="C212" i="13"/>
  <c r="C343" i="13"/>
  <c r="C357" i="13"/>
  <c r="C370" i="13"/>
  <c r="C378" i="13"/>
  <c r="C388" i="13"/>
  <c r="C240" i="13"/>
  <c r="C390" i="13"/>
  <c r="C114" i="13"/>
  <c r="C246" i="13"/>
  <c r="C404" i="13"/>
  <c r="C413" i="13"/>
  <c r="C424" i="13"/>
  <c r="C120" i="13"/>
  <c r="C450" i="13"/>
  <c r="C493" i="13"/>
  <c r="C498" i="13"/>
  <c r="C503" i="13"/>
  <c r="C519" i="13"/>
  <c r="C3" i="13"/>
  <c r="C34" i="13"/>
  <c r="C74" i="13"/>
  <c r="C100" i="13"/>
  <c r="C211" i="13"/>
  <c r="C231" i="13"/>
  <c r="C243" i="13"/>
  <c r="C258" i="13"/>
  <c r="C193" i="13"/>
  <c r="C204" i="13"/>
  <c r="C207" i="13"/>
  <c r="C362" i="13"/>
  <c r="C153" i="13"/>
  <c r="C369" i="13"/>
  <c r="C372" i="13"/>
  <c r="C155" i="13"/>
  <c r="C241" i="13"/>
  <c r="C242" i="13"/>
  <c r="C396" i="13"/>
  <c r="C250" i="13"/>
  <c r="C254" i="13"/>
  <c r="C416" i="13"/>
  <c r="C420" i="13"/>
  <c r="C425" i="13"/>
  <c r="C269" i="13"/>
  <c r="C277" i="13"/>
  <c r="C460" i="13"/>
  <c r="C475" i="13"/>
  <c r="C289" i="13"/>
  <c r="C291" i="13"/>
  <c r="C481" i="13"/>
  <c r="C486" i="13"/>
  <c r="C492" i="13"/>
  <c r="C306" i="13"/>
  <c r="C507" i="13"/>
  <c r="C200" i="13"/>
  <c r="C512" i="13"/>
  <c r="C311" i="13"/>
  <c r="C546" i="13"/>
  <c r="C549" i="13"/>
  <c r="C550" i="13"/>
  <c r="C561" i="13"/>
  <c r="C573" i="13"/>
  <c r="C579" i="13"/>
  <c r="C590" i="13"/>
  <c r="C9" i="13"/>
  <c r="C6" i="13"/>
  <c r="C25" i="13"/>
  <c r="C8" i="13"/>
  <c r="C78" i="13"/>
  <c r="C17" i="13"/>
  <c r="C29" i="13"/>
  <c r="C61" i="13"/>
  <c r="C46" i="13"/>
  <c r="C105" i="13"/>
  <c r="C229" i="13"/>
  <c r="C230" i="13"/>
  <c r="C166" i="13"/>
  <c r="C170" i="13"/>
  <c r="C275" i="13"/>
  <c r="C122" i="13"/>
  <c r="C86" i="13"/>
  <c r="C314" i="13"/>
  <c r="C346" i="13"/>
  <c r="C158" i="13"/>
  <c r="C161" i="13"/>
  <c r="C419" i="13"/>
  <c r="C422" i="13"/>
  <c r="C436" i="13"/>
  <c r="C270" i="13"/>
  <c r="C442" i="13"/>
  <c r="C466" i="13"/>
  <c r="C471" i="13"/>
  <c r="C477" i="13"/>
  <c r="C487" i="13"/>
  <c r="C495" i="13"/>
  <c r="C506" i="13"/>
  <c r="C198" i="13"/>
  <c r="C525" i="13"/>
  <c r="C538" i="13"/>
  <c r="C559" i="13"/>
  <c r="C92" i="13"/>
  <c r="C146" i="13"/>
  <c r="C37" i="13"/>
  <c r="C76" i="13"/>
  <c r="C85" i="13"/>
  <c r="C206" i="13"/>
  <c r="C51" i="13"/>
  <c r="C216" i="13"/>
  <c r="C239" i="13"/>
  <c r="C57" i="13"/>
  <c r="C77" i="13"/>
  <c r="C116" i="13"/>
  <c r="C268" i="13"/>
  <c r="C121" i="13"/>
  <c r="C83" i="13"/>
  <c r="C190" i="13"/>
  <c r="C297" i="13"/>
  <c r="C35" i="13"/>
  <c r="C329" i="13"/>
  <c r="C364" i="13"/>
  <c r="C366" i="13"/>
  <c r="C393" i="13"/>
  <c r="C394" i="13"/>
  <c r="C400" i="13"/>
  <c r="C251" i="13"/>
  <c r="C403" i="13"/>
  <c r="C252" i="13"/>
  <c r="C407" i="13"/>
  <c r="C265" i="13"/>
  <c r="C181" i="13"/>
  <c r="C451" i="13"/>
  <c r="C482" i="13"/>
  <c r="C496" i="13"/>
  <c r="C502" i="13"/>
  <c r="C510" i="13"/>
  <c r="C513" i="13"/>
  <c r="C516" i="13"/>
  <c r="C528" i="13"/>
  <c r="C93" i="13"/>
  <c r="C334" i="13"/>
  <c r="C219" i="13"/>
  <c r="C581" i="13"/>
  <c r="C583" i="13"/>
  <c r="C2" i="13"/>
  <c r="C7" i="13"/>
  <c r="C79" i="13"/>
  <c r="C21" i="13"/>
  <c r="C36" i="13"/>
  <c r="C104" i="13"/>
  <c r="C127" i="13"/>
  <c r="C180" i="13"/>
  <c r="C188" i="13"/>
  <c r="C215" i="13"/>
  <c r="C14" i="13"/>
  <c r="C80" i="13"/>
  <c r="C279" i="13"/>
  <c r="C183" i="13"/>
  <c r="C87" i="13"/>
  <c r="C295" i="13"/>
  <c r="C88" i="13"/>
  <c r="C197" i="13"/>
  <c r="C50" i="13"/>
  <c r="C348" i="13"/>
  <c r="C351" i="13"/>
  <c r="C359" i="13"/>
  <c r="C381" i="13"/>
  <c r="C385" i="13"/>
  <c r="C160" i="13"/>
  <c r="C249" i="13"/>
  <c r="C399" i="13"/>
  <c r="C417" i="13"/>
  <c r="C434" i="13"/>
  <c r="C447" i="13"/>
  <c r="C470" i="13"/>
  <c r="C305" i="13"/>
  <c r="C514" i="13"/>
  <c r="C522" i="13"/>
  <c r="C526" i="13"/>
  <c r="C547" i="13"/>
  <c r="C553" i="13"/>
  <c r="C565" i="13"/>
  <c r="C569" i="13"/>
  <c r="C572" i="13"/>
  <c r="C40" i="13"/>
  <c r="C52" i="13"/>
  <c r="C115" i="13"/>
  <c r="C84" i="13"/>
  <c r="C15" i="13"/>
  <c r="C54" i="13"/>
  <c r="C165" i="13"/>
  <c r="C169" i="13"/>
  <c r="C101" i="13"/>
  <c r="C221" i="13"/>
  <c r="C150" i="13"/>
  <c r="C247" i="13"/>
  <c r="C310" i="13"/>
  <c r="C205" i="13"/>
  <c r="C321" i="13"/>
  <c r="C345" i="13"/>
  <c r="C225" i="13"/>
  <c r="C148" i="13"/>
  <c r="C375" i="13"/>
  <c r="C418" i="13"/>
  <c r="C421" i="13"/>
  <c r="C435" i="13"/>
  <c r="C437" i="13"/>
  <c r="C186" i="13"/>
  <c r="C467" i="13"/>
  <c r="C478" i="13"/>
  <c r="C300" i="13"/>
  <c r="C484" i="13"/>
  <c r="C62" i="13"/>
  <c r="C505" i="13"/>
  <c r="C132" i="13"/>
  <c r="C535" i="13"/>
  <c r="C210" i="13"/>
  <c r="C560" i="13"/>
  <c r="C563" i="13"/>
  <c r="C338" i="13"/>
  <c r="C217" i="13"/>
  <c r="C585" i="13"/>
  <c r="C112" i="13"/>
  <c r="C47" i="13"/>
  <c r="C98" i="13"/>
  <c r="C103" i="13"/>
  <c r="C109" i="13"/>
  <c r="C71" i="13"/>
  <c r="C118" i="13"/>
  <c r="C171" i="13"/>
  <c r="C214" i="13"/>
  <c r="C238" i="13"/>
  <c r="C58" i="13"/>
  <c r="C119" i="13"/>
  <c r="C179" i="13"/>
  <c r="C285" i="13"/>
  <c r="C286" i="13"/>
  <c r="C287" i="13"/>
  <c r="C303" i="13"/>
  <c r="C320" i="13"/>
  <c r="C330" i="13"/>
  <c r="C141" i="13"/>
  <c r="C226" i="13"/>
  <c r="C373" i="13"/>
  <c r="C395" i="13"/>
  <c r="C402" i="13"/>
  <c r="C162" i="13"/>
  <c r="C81" i="13"/>
  <c r="C446" i="13"/>
  <c r="C177" i="13"/>
  <c r="C452" i="13"/>
  <c r="C453" i="13"/>
  <c r="C483" i="13"/>
  <c r="C485" i="13"/>
  <c r="C491" i="13"/>
  <c r="C504" i="13"/>
  <c r="C511" i="13"/>
  <c r="C539" i="13"/>
  <c r="C576" i="13"/>
  <c r="C584" i="13"/>
  <c r="N36" i="3"/>
  <c r="J9" i="3"/>
  <c r="E9" i="3"/>
  <c r="J18" i="12"/>
  <c r="E18" i="12"/>
  <c r="N28" i="3"/>
  <c r="N27" i="3"/>
  <c r="J26" i="3"/>
  <c r="E26" i="3"/>
  <c r="N18" i="5"/>
  <c r="N16" i="5"/>
  <c r="N25" i="8"/>
  <c r="N23" i="8"/>
  <c r="N25" i="14"/>
  <c r="N19" i="12"/>
  <c r="N18" i="12"/>
  <c r="N15" i="11"/>
  <c r="N16" i="11"/>
  <c r="J50" i="11"/>
  <c r="E50" i="11"/>
  <c r="N26" i="3"/>
  <c r="N17" i="4"/>
  <c r="P15" i="7"/>
  <c r="N17" i="10"/>
  <c r="N17" i="2"/>
  <c r="P18" i="1"/>
  <c r="N17" i="5"/>
  <c r="P14" i="9"/>
  <c r="P13" i="9"/>
  <c r="I33" i="13"/>
  <c r="J33" i="13"/>
  <c r="P7" i="1"/>
  <c r="L5" i="9"/>
  <c r="L13" i="9"/>
  <c r="L37" i="9"/>
  <c r="L8" i="9"/>
  <c r="L3" i="9"/>
  <c r="L4" i="9"/>
  <c r="L6" i="9"/>
  <c r="L7" i="9"/>
  <c r="L9" i="9"/>
  <c r="L10" i="9"/>
  <c r="L11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9" i="9"/>
  <c r="L40" i="9"/>
  <c r="L42" i="9"/>
  <c r="K43" i="9"/>
  <c r="I43" i="9"/>
  <c r="H43" i="9"/>
  <c r="F37" i="9"/>
  <c r="F8" i="9"/>
  <c r="F3" i="9"/>
  <c r="F4" i="9"/>
  <c r="F5" i="9"/>
  <c r="F6" i="9"/>
  <c r="F7" i="9"/>
  <c r="F9" i="9"/>
  <c r="F10" i="9"/>
  <c r="F11" i="9"/>
  <c r="F13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9" i="9"/>
  <c r="F40" i="9"/>
  <c r="F42" i="9"/>
  <c r="E43" i="9"/>
  <c r="C43" i="9"/>
  <c r="B43" i="9"/>
  <c r="I11" i="13"/>
  <c r="J11" i="13"/>
  <c r="J5" i="4"/>
  <c r="E5" i="4"/>
  <c r="J77" i="13"/>
  <c r="I77" i="13"/>
  <c r="N37" i="6"/>
  <c r="N33" i="6"/>
  <c r="G54" i="6"/>
  <c r="J54" i="6" s="1"/>
  <c r="H54" i="6"/>
  <c r="I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0" i="6"/>
  <c r="J29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1" i="6"/>
  <c r="J10" i="6"/>
  <c r="J9" i="6"/>
  <c r="J8" i="6"/>
  <c r="J7" i="6"/>
  <c r="J6" i="6"/>
  <c r="J5" i="6"/>
  <c r="J4" i="6"/>
  <c r="J3" i="6"/>
  <c r="B54" i="6"/>
  <c r="C54" i="6"/>
  <c r="D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0" i="6"/>
  <c r="E29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1" i="6"/>
  <c r="E10" i="6"/>
  <c r="E9" i="6"/>
  <c r="E8" i="6"/>
  <c r="E7" i="6"/>
  <c r="E6" i="6"/>
  <c r="E5" i="6"/>
  <c r="E4" i="6"/>
  <c r="E3" i="6"/>
  <c r="N25" i="12"/>
  <c r="J11" i="12"/>
  <c r="E11" i="12"/>
  <c r="I42" i="12"/>
  <c r="G42" i="12"/>
  <c r="H42" i="12"/>
  <c r="J41" i="12"/>
  <c r="J40" i="12"/>
  <c r="J39" i="12"/>
  <c r="J38" i="12"/>
  <c r="J37" i="12"/>
  <c r="J36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7" i="12"/>
  <c r="J16" i="12"/>
  <c r="J15" i="12"/>
  <c r="J14" i="12"/>
  <c r="J13" i="12"/>
  <c r="J12" i="12"/>
  <c r="J10" i="12"/>
  <c r="J9" i="12"/>
  <c r="J8" i="12"/>
  <c r="J7" i="12"/>
  <c r="J6" i="12"/>
  <c r="J5" i="12"/>
  <c r="J3" i="12"/>
  <c r="E41" i="12"/>
  <c r="E40" i="12"/>
  <c r="E39" i="12"/>
  <c r="E38" i="12"/>
  <c r="E37" i="12"/>
  <c r="E36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7" i="12"/>
  <c r="E16" i="12"/>
  <c r="E15" i="12"/>
  <c r="E14" i="12"/>
  <c r="E13" i="12"/>
  <c r="E12" i="12"/>
  <c r="E10" i="12"/>
  <c r="E9" i="12"/>
  <c r="E8" i="12"/>
  <c r="E7" i="12"/>
  <c r="E6" i="12"/>
  <c r="E5" i="12"/>
  <c r="E3" i="12"/>
  <c r="D42" i="12"/>
  <c r="B42" i="12"/>
  <c r="C42" i="12"/>
  <c r="N36" i="2"/>
  <c r="J35" i="2"/>
  <c r="E35" i="2"/>
  <c r="N39" i="3"/>
  <c r="J36" i="3"/>
  <c r="E36" i="3"/>
  <c r="J44" i="3"/>
  <c r="E44" i="3"/>
  <c r="J27" i="3"/>
  <c r="E27" i="3"/>
  <c r="N29" i="11"/>
  <c r="N40" i="10"/>
  <c r="J5" i="10"/>
  <c r="E5" i="10"/>
  <c r="J17" i="14"/>
  <c r="E17" i="14"/>
  <c r="J4" i="4"/>
  <c r="E4" i="4"/>
  <c r="N33" i="8"/>
  <c r="P31" i="9"/>
  <c r="J69" i="13"/>
  <c r="I69" i="13"/>
  <c r="P32" i="7"/>
  <c r="L18" i="7"/>
  <c r="F18" i="7"/>
  <c r="L38" i="7"/>
  <c r="F38" i="7"/>
  <c r="K48" i="7"/>
  <c r="E48" i="7"/>
  <c r="H48" i="7"/>
  <c r="I48" i="7"/>
  <c r="L47" i="7"/>
  <c r="L46" i="7"/>
  <c r="L45" i="7"/>
  <c r="L44" i="7"/>
  <c r="L43" i="7"/>
  <c r="L42" i="7"/>
  <c r="L40" i="7"/>
  <c r="L39" i="7"/>
  <c r="L35" i="7"/>
  <c r="L34" i="7"/>
  <c r="L33" i="7"/>
  <c r="L32" i="7"/>
  <c r="L31" i="7"/>
  <c r="L30" i="7"/>
  <c r="L29" i="7"/>
  <c r="L28" i="7"/>
  <c r="L27" i="7"/>
  <c r="L26" i="7"/>
  <c r="L25" i="7"/>
  <c r="L23" i="7"/>
  <c r="L22" i="7"/>
  <c r="L21" i="7"/>
  <c r="L20" i="7"/>
  <c r="L17" i="7"/>
  <c r="L15" i="7"/>
  <c r="L14" i="7"/>
  <c r="L13" i="7"/>
  <c r="L12" i="7"/>
  <c r="L11" i="7"/>
  <c r="L10" i="7"/>
  <c r="L9" i="7"/>
  <c r="L7" i="7"/>
  <c r="L6" i="7"/>
  <c r="L5" i="7"/>
  <c r="L4" i="7"/>
  <c r="L3" i="7"/>
  <c r="B48" i="7"/>
  <c r="C48" i="7"/>
  <c r="F47" i="7"/>
  <c r="F46" i="7"/>
  <c r="F45" i="7"/>
  <c r="F44" i="7"/>
  <c r="F43" i="7"/>
  <c r="F42" i="7"/>
  <c r="F40" i="7"/>
  <c r="F39" i="7"/>
  <c r="F35" i="7"/>
  <c r="F34" i="7"/>
  <c r="F33" i="7"/>
  <c r="F32" i="7"/>
  <c r="F31" i="7"/>
  <c r="F30" i="7"/>
  <c r="F29" i="7"/>
  <c r="F28" i="7"/>
  <c r="F27" i="7"/>
  <c r="F26" i="7"/>
  <c r="F25" i="7"/>
  <c r="F23" i="7"/>
  <c r="F22" i="7"/>
  <c r="F21" i="7"/>
  <c r="F20" i="7"/>
  <c r="F17" i="7"/>
  <c r="F15" i="7"/>
  <c r="F14" i="7"/>
  <c r="F13" i="7"/>
  <c r="F12" i="7"/>
  <c r="F11" i="7"/>
  <c r="F10" i="7"/>
  <c r="F9" i="7"/>
  <c r="F7" i="7"/>
  <c r="F6" i="7"/>
  <c r="F5" i="7"/>
  <c r="F4" i="7"/>
  <c r="F3" i="7"/>
  <c r="N30" i="11"/>
  <c r="N31" i="11"/>
  <c r="N38" i="10"/>
  <c r="J18" i="10"/>
  <c r="E18" i="10"/>
  <c r="N33" i="5"/>
  <c r="N32" i="5"/>
  <c r="N31" i="6"/>
  <c r="N32" i="2"/>
  <c r="I54" i="2"/>
  <c r="G54" i="2"/>
  <c r="H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4" i="2"/>
  <c r="J32" i="2"/>
  <c r="J31" i="2"/>
  <c r="J30" i="2"/>
  <c r="J28" i="2"/>
  <c r="J27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9" i="2"/>
  <c r="J8" i="2"/>
  <c r="J7" i="2"/>
  <c r="J6" i="2"/>
  <c r="J5" i="2"/>
  <c r="J4" i="2"/>
  <c r="J3" i="2"/>
  <c r="B54" i="2"/>
  <c r="C54" i="2"/>
  <c r="D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4" i="2"/>
  <c r="E32" i="2"/>
  <c r="E31" i="2"/>
  <c r="E30" i="2"/>
  <c r="E28" i="2"/>
  <c r="E27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9" i="2"/>
  <c r="E8" i="2"/>
  <c r="E7" i="2"/>
  <c r="E6" i="2"/>
  <c r="E5" i="2"/>
  <c r="E4" i="2"/>
  <c r="E3" i="2"/>
  <c r="J59" i="13"/>
  <c r="I59" i="13"/>
  <c r="N29" i="4"/>
  <c r="J6" i="4"/>
  <c r="E6" i="4"/>
  <c r="J23" i="4"/>
  <c r="E23" i="4"/>
  <c r="N33" i="14"/>
  <c r="P36" i="1"/>
  <c r="J78" i="13"/>
  <c r="I78" i="13"/>
  <c r="H51" i="1"/>
  <c r="I51" i="1"/>
  <c r="K51" i="1"/>
  <c r="L50" i="1"/>
  <c r="L49" i="1"/>
  <c r="L48" i="1"/>
  <c r="L47" i="1"/>
  <c r="L46" i="1"/>
  <c r="L45" i="1"/>
  <c r="L44" i="1"/>
  <c r="L43" i="1"/>
  <c r="L41" i="1"/>
  <c r="L40" i="1"/>
  <c r="L38" i="1"/>
  <c r="L37" i="1"/>
  <c r="L36" i="1"/>
  <c r="L34" i="1"/>
  <c r="L33" i="1"/>
  <c r="L31" i="1"/>
  <c r="L30" i="1"/>
  <c r="L29" i="1"/>
  <c r="L28" i="1"/>
  <c r="L27" i="1"/>
  <c r="L26" i="1"/>
  <c r="L25" i="1"/>
  <c r="L23" i="1"/>
  <c r="L22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B51" i="1"/>
  <c r="C51" i="1"/>
  <c r="E51" i="1"/>
  <c r="F50" i="1"/>
  <c r="F49" i="1"/>
  <c r="F48" i="1"/>
  <c r="F47" i="1"/>
  <c r="F46" i="1"/>
  <c r="F45" i="1"/>
  <c r="F44" i="1"/>
  <c r="F43" i="1"/>
  <c r="F41" i="1"/>
  <c r="F40" i="1"/>
  <c r="F38" i="1"/>
  <c r="F37" i="1"/>
  <c r="F36" i="1"/>
  <c r="F34" i="1"/>
  <c r="F33" i="1"/>
  <c r="F31" i="1"/>
  <c r="F30" i="1"/>
  <c r="F29" i="1"/>
  <c r="F28" i="1"/>
  <c r="F27" i="1"/>
  <c r="F26" i="1"/>
  <c r="F25" i="1"/>
  <c r="F23" i="1"/>
  <c r="F22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N35" i="3"/>
  <c r="I52" i="3"/>
  <c r="D52" i="3"/>
  <c r="J15" i="3"/>
  <c r="E15" i="3"/>
  <c r="G52" i="3"/>
  <c r="H52" i="3"/>
  <c r="J51" i="3"/>
  <c r="J50" i="3"/>
  <c r="J49" i="3"/>
  <c r="J48" i="3"/>
  <c r="J47" i="3"/>
  <c r="J46" i="3"/>
  <c r="J43" i="3"/>
  <c r="J42" i="3"/>
  <c r="J41" i="3"/>
  <c r="J40" i="3"/>
  <c r="J39" i="3"/>
  <c r="J38" i="3"/>
  <c r="J37" i="3"/>
  <c r="J35" i="3"/>
  <c r="J34" i="3"/>
  <c r="J33" i="3"/>
  <c r="J32" i="3"/>
  <c r="J31" i="3"/>
  <c r="J30" i="3"/>
  <c r="J29" i="3"/>
  <c r="J28" i="3"/>
  <c r="J25" i="3"/>
  <c r="J24" i="3"/>
  <c r="J23" i="3"/>
  <c r="J21" i="3"/>
  <c r="J20" i="3"/>
  <c r="J19" i="3"/>
  <c r="J18" i="3"/>
  <c r="J17" i="3"/>
  <c r="J14" i="3"/>
  <c r="J13" i="3"/>
  <c r="J12" i="3"/>
  <c r="J11" i="3"/>
  <c r="J10" i="3"/>
  <c r="J8" i="3"/>
  <c r="J6" i="3"/>
  <c r="J5" i="3"/>
  <c r="J4" i="3"/>
  <c r="J3" i="3"/>
  <c r="B52" i="3"/>
  <c r="C52" i="3"/>
  <c r="E51" i="3"/>
  <c r="E50" i="3"/>
  <c r="E49" i="3"/>
  <c r="E48" i="3"/>
  <c r="E47" i="3"/>
  <c r="E46" i="3"/>
  <c r="E43" i="3"/>
  <c r="E42" i="3"/>
  <c r="E41" i="3"/>
  <c r="E40" i="3"/>
  <c r="E39" i="3"/>
  <c r="E38" i="3"/>
  <c r="E37" i="3"/>
  <c r="E35" i="3"/>
  <c r="E34" i="3"/>
  <c r="E33" i="3"/>
  <c r="E32" i="3"/>
  <c r="E31" i="3"/>
  <c r="E30" i="3"/>
  <c r="E29" i="3"/>
  <c r="E28" i="3"/>
  <c r="E25" i="3"/>
  <c r="E24" i="3"/>
  <c r="E23" i="3"/>
  <c r="E21" i="3"/>
  <c r="E20" i="3"/>
  <c r="E19" i="3"/>
  <c r="E18" i="3"/>
  <c r="E17" i="3"/>
  <c r="E14" i="3"/>
  <c r="E13" i="3"/>
  <c r="E12" i="3"/>
  <c r="E11" i="3"/>
  <c r="E10" i="3"/>
  <c r="E8" i="3"/>
  <c r="E6" i="3"/>
  <c r="E5" i="3"/>
  <c r="E4" i="3"/>
  <c r="E3" i="3"/>
  <c r="I40" i="13"/>
  <c r="J40" i="13"/>
  <c r="N10" i="4"/>
  <c r="I42" i="13"/>
  <c r="J42" i="13"/>
  <c r="N7" i="8"/>
  <c r="J9" i="5"/>
  <c r="E9" i="5"/>
  <c r="I30" i="13"/>
  <c r="J30" i="13"/>
  <c r="N9" i="4"/>
  <c r="I22" i="13"/>
  <c r="J22" i="13"/>
  <c r="I29" i="13"/>
  <c r="J29" i="13"/>
  <c r="I34" i="13"/>
  <c r="J34" i="13"/>
  <c r="N6" i="11"/>
  <c r="N6" i="12"/>
  <c r="P5" i="9"/>
  <c r="I39" i="13"/>
  <c r="J39" i="13"/>
  <c r="N6" i="14"/>
  <c r="N6" i="6"/>
  <c r="I20" i="13"/>
  <c r="J20" i="13"/>
  <c r="I47" i="13"/>
  <c r="J47" i="13"/>
  <c r="P8" i="9"/>
  <c r="N8" i="10"/>
  <c r="J43" i="10"/>
  <c r="E43" i="10"/>
  <c r="J39" i="10"/>
  <c r="E39" i="10"/>
  <c r="N4" i="4"/>
  <c r="I3" i="13"/>
  <c r="J3" i="13"/>
  <c r="I4" i="13"/>
  <c r="J4" i="13"/>
  <c r="I10" i="13"/>
  <c r="J10" i="13"/>
  <c r="I23" i="13"/>
  <c r="J23" i="13"/>
  <c r="N6" i="2"/>
  <c r="J16" i="10"/>
  <c r="J13" i="10"/>
  <c r="J34" i="10"/>
  <c r="J35" i="10"/>
  <c r="J3" i="10"/>
  <c r="J4" i="10"/>
  <c r="J7" i="10"/>
  <c r="J8" i="10"/>
  <c r="J9" i="10"/>
  <c r="J10" i="10"/>
  <c r="J11" i="10"/>
  <c r="J12" i="10"/>
  <c r="J14" i="10"/>
  <c r="J15" i="10"/>
  <c r="J17" i="10"/>
  <c r="J19" i="10"/>
  <c r="J20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6" i="10"/>
  <c r="J37" i="10"/>
  <c r="J38" i="10"/>
  <c r="J41" i="10"/>
  <c r="J42" i="10"/>
  <c r="J44" i="10"/>
  <c r="J45" i="10"/>
  <c r="J46" i="10"/>
  <c r="J47" i="10"/>
  <c r="J40" i="10"/>
  <c r="I48" i="10"/>
  <c r="H48" i="10"/>
  <c r="G48" i="10"/>
  <c r="E13" i="10"/>
  <c r="E34" i="10"/>
  <c r="E35" i="10"/>
  <c r="E3" i="10"/>
  <c r="E4" i="10"/>
  <c r="E7" i="10"/>
  <c r="E8" i="10"/>
  <c r="E9" i="10"/>
  <c r="E10" i="10"/>
  <c r="E11" i="10"/>
  <c r="E12" i="10"/>
  <c r="E14" i="10"/>
  <c r="E15" i="10"/>
  <c r="E16" i="10"/>
  <c r="E17" i="10"/>
  <c r="E19" i="10"/>
  <c r="E20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6" i="10"/>
  <c r="E37" i="10"/>
  <c r="E38" i="10"/>
  <c r="E41" i="10"/>
  <c r="E42" i="10"/>
  <c r="E44" i="10"/>
  <c r="E45" i="10"/>
  <c r="E46" i="10"/>
  <c r="E47" i="10"/>
  <c r="E40" i="10"/>
  <c r="D48" i="10"/>
  <c r="C48" i="10"/>
  <c r="B48" i="10"/>
  <c r="N4" i="12"/>
  <c r="N4" i="14"/>
  <c r="N10" i="5"/>
  <c r="P4" i="9"/>
  <c r="I47" i="14"/>
  <c r="D47" i="14"/>
  <c r="G47" i="14"/>
  <c r="H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0" i="14"/>
  <c r="J19" i="14"/>
  <c r="J18" i="14"/>
  <c r="J16" i="14"/>
  <c r="J15" i="14"/>
  <c r="J14" i="14"/>
  <c r="J13" i="14"/>
  <c r="J12" i="14"/>
  <c r="J11" i="14"/>
  <c r="J10" i="14"/>
  <c r="J9" i="14"/>
  <c r="J8" i="14"/>
  <c r="J5" i="14"/>
  <c r="J3" i="14"/>
  <c r="B47" i="14"/>
  <c r="C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0" i="14"/>
  <c r="E19" i="14"/>
  <c r="E18" i="14"/>
  <c r="E16" i="14"/>
  <c r="E15" i="14"/>
  <c r="E14" i="14"/>
  <c r="E13" i="14"/>
  <c r="E12" i="14"/>
  <c r="E11" i="14"/>
  <c r="E10" i="14"/>
  <c r="E9" i="14"/>
  <c r="E8" i="14"/>
  <c r="E5" i="14"/>
  <c r="E3" i="14"/>
  <c r="I17" i="13"/>
  <c r="J17" i="13"/>
  <c r="I31" i="13"/>
  <c r="J31" i="13"/>
  <c r="I25" i="13"/>
  <c r="J25" i="13"/>
  <c r="I26" i="13"/>
  <c r="J26" i="13"/>
  <c r="N4" i="10"/>
  <c r="P8" i="7"/>
  <c r="P5" i="7"/>
  <c r="N5" i="12"/>
  <c r="N7" i="3"/>
  <c r="I18" i="13"/>
  <c r="J18" i="13"/>
  <c r="I5" i="13"/>
  <c r="J5" i="13"/>
  <c r="N5" i="4"/>
  <c r="I16" i="13"/>
  <c r="J16" i="13"/>
  <c r="N5" i="11"/>
  <c r="N4" i="11"/>
  <c r="J20" i="11"/>
  <c r="E20" i="11"/>
  <c r="V34" i="7"/>
  <c r="V33" i="7"/>
  <c r="AG16" i="7"/>
  <c r="AG15" i="7"/>
  <c r="S17" i="7"/>
  <c r="S15" i="7"/>
  <c r="S14" i="7"/>
  <c r="V25" i="7"/>
  <c r="AS23" i="7"/>
  <c r="V23" i="7"/>
  <c r="AG9" i="7"/>
  <c r="X8" i="7"/>
  <c r="X5" i="7"/>
  <c r="X4" i="7"/>
  <c r="I46" i="13"/>
  <c r="J46" i="13"/>
  <c r="I13" i="13"/>
  <c r="J13" i="13"/>
  <c r="I8" i="13"/>
  <c r="J8" i="13"/>
  <c r="I14" i="13"/>
  <c r="J14" i="13"/>
  <c r="I27" i="13"/>
  <c r="J27" i="13"/>
  <c r="I19" i="13"/>
  <c r="J19" i="13"/>
  <c r="I15" i="13"/>
  <c r="J15" i="13"/>
  <c r="I12" i="13"/>
  <c r="J12" i="13"/>
  <c r="P6" i="1"/>
  <c r="P5" i="1"/>
  <c r="N6" i="10"/>
  <c r="N10" i="10"/>
  <c r="T42" i="10"/>
  <c r="T40" i="10"/>
  <c r="T38" i="10"/>
  <c r="W32" i="10"/>
  <c r="W30" i="10"/>
  <c r="W29" i="10"/>
  <c r="AE32" i="10"/>
  <c r="T30" i="10"/>
  <c r="AE29" i="10"/>
  <c r="AK27" i="10"/>
  <c r="AE27" i="10"/>
  <c r="T27" i="10"/>
  <c r="Q20" i="10"/>
  <c r="Q17" i="10"/>
  <c r="AE12" i="10"/>
  <c r="AE8" i="10"/>
  <c r="AE7" i="10"/>
  <c r="AE6" i="10"/>
  <c r="AE5" i="10"/>
  <c r="AE4" i="10"/>
  <c r="V10" i="10"/>
  <c r="V6" i="10"/>
  <c r="V5" i="10"/>
  <c r="V4" i="10"/>
  <c r="N5" i="8"/>
  <c r="T32" i="8"/>
  <c r="AF22" i="8"/>
  <c r="Q23" i="8"/>
  <c r="Q22" i="8"/>
  <c r="V5" i="8"/>
  <c r="N7" i="12"/>
  <c r="AN28" i="12"/>
  <c r="AK28" i="12"/>
  <c r="AH28" i="12"/>
  <c r="AE28" i="12"/>
  <c r="W28" i="12"/>
  <c r="AQ12" i="12"/>
  <c r="AN12" i="12"/>
  <c r="AK12" i="12"/>
  <c r="AH12" i="12"/>
  <c r="W12" i="12"/>
  <c r="I9" i="13"/>
  <c r="J9" i="13"/>
  <c r="AH7" i="12"/>
  <c r="AT7" i="12"/>
  <c r="AQ7" i="12"/>
  <c r="AN7" i="12"/>
  <c r="AK7" i="12"/>
  <c r="AE26" i="12"/>
  <c r="T26" i="12"/>
  <c r="AE17" i="12"/>
  <c r="AE5" i="12"/>
  <c r="Q17" i="12"/>
  <c r="V6" i="12"/>
  <c r="V5" i="12"/>
  <c r="V4" i="12"/>
  <c r="N9" i="3"/>
  <c r="N6" i="3"/>
  <c r="AE39" i="3"/>
  <c r="AE35" i="3"/>
  <c r="AH35" i="3"/>
  <c r="T39" i="3"/>
  <c r="T36" i="3"/>
  <c r="T35" i="3"/>
  <c r="AE26" i="3"/>
  <c r="AE25" i="3"/>
  <c r="Q19" i="3"/>
  <c r="Q17" i="3"/>
  <c r="Q15" i="3"/>
  <c r="AH30" i="3"/>
  <c r="AK26" i="3"/>
  <c r="AH26" i="3"/>
  <c r="AN25" i="3"/>
  <c r="AK25" i="3"/>
  <c r="AH25" i="3"/>
  <c r="AE9" i="3"/>
  <c r="V9" i="3"/>
  <c r="V8" i="3"/>
  <c r="V6" i="3"/>
  <c r="V4" i="3"/>
  <c r="AG33" i="9"/>
  <c r="AG31" i="9"/>
  <c r="V32" i="9"/>
  <c r="V31" i="9"/>
  <c r="Y26" i="9"/>
  <c r="Y22" i="9"/>
  <c r="S25" i="9"/>
  <c r="S23" i="9"/>
  <c r="AG17" i="9"/>
  <c r="AG13" i="9"/>
  <c r="S16" i="9"/>
  <c r="S13" i="9"/>
  <c r="P7" i="9"/>
  <c r="P6" i="9"/>
  <c r="AG7" i="9"/>
  <c r="AG5" i="9"/>
  <c r="AG4" i="9"/>
  <c r="X8" i="9"/>
  <c r="X7" i="9"/>
  <c r="X5" i="9"/>
  <c r="X4" i="9"/>
  <c r="N8" i="2"/>
  <c r="N7" i="2"/>
  <c r="N4" i="5"/>
  <c r="N5" i="5"/>
  <c r="N5" i="14"/>
  <c r="N8" i="6"/>
  <c r="AB34" i="14"/>
  <c r="AB32" i="14"/>
  <c r="AB24" i="14"/>
  <c r="AB15" i="14"/>
  <c r="AB14" i="14"/>
  <c r="AB6" i="14"/>
  <c r="AB5" i="14"/>
  <c r="AB4" i="14"/>
  <c r="V5" i="14"/>
  <c r="T17" i="4"/>
  <c r="AE17" i="4"/>
  <c r="AE4" i="4"/>
  <c r="T32" i="4"/>
  <c r="W23" i="4"/>
  <c r="Q17" i="4"/>
  <c r="J60" i="13"/>
  <c r="I60" i="13"/>
  <c r="V11" i="4"/>
  <c r="V9" i="4"/>
  <c r="V4" i="4"/>
  <c r="J42" i="4"/>
  <c r="E42" i="4"/>
  <c r="J37" i="4"/>
  <c r="E37" i="4"/>
  <c r="J22" i="4"/>
  <c r="E22" i="4"/>
  <c r="J12" i="4"/>
  <c r="E12" i="4"/>
  <c r="AH29" i="11"/>
  <c r="W23" i="11"/>
  <c r="AE16" i="11"/>
  <c r="Q16" i="11"/>
  <c r="Q14" i="11"/>
  <c r="V6" i="11"/>
  <c r="V4" i="11"/>
  <c r="J41" i="11"/>
  <c r="E41" i="11"/>
  <c r="J29" i="11"/>
  <c r="E29" i="11"/>
  <c r="J28" i="11"/>
  <c r="E28" i="11"/>
  <c r="J24" i="11"/>
  <c r="E24" i="11"/>
  <c r="J23" i="11"/>
  <c r="E23" i="11"/>
  <c r="J17" i="11"/>
  <c r="E17" i="11"/>
  <c r="J13" i="11"/>
  <c r="E13" i="11"/>
  <c r="J8" i="11"/>
  <c r="E8" i="11"/>
  <c r="J7" i="11"/>
  <c r="J6" i="11"/>
  <c r="E7" i="11"/>
  <c r="E6" i="11"/>
  <c r="G52" i="11"/>
  <c r="H52" i="11"/>
  <c r="I52" i="11"/>
  <c r="J51" i="11"/>
  <c r="J49" i="11"/>
  <c r="J48" i="11"/>
  <c r="J47" i="11"/>
  <c r="J45" i="11"/>
  <c r="J44" i="11"/>
  <c r="J43" i="11"/>
  <c r="J42" i="11"/>
  <c r="J39" i="11"/>
  <c r="J38" i="11"/>
  <c r="J37" i="11"/>
  <c r="J36" i="11"/>
  <c r="J35" i="11"/>
  <c r="J34" i="11"/>
  <c r="J33" i="11"/>
  <c r="J32" i="11"/>
  <c r="J31" i="11"/>
  <c r="J30" i="11"/>
  <c r="J27" i="11"/>
  <c r="J26" i="11"/>
  <c r="J25" i="11"/>
  <c r="J22" i="11"/>
  <c r="J21" i="11"/>
  <c r="J19" i="11"/>
  <c r="J18" i="11"/>
  <c r="J16" i="11"/>
  <c r="J15" i="11"/>
  <c r="J14" i="11"/>
  <c r="J12" i="11"/>
  <c r="J11" i="11"/>
  <c r="J10" i="11"/>
  <c r="J9" i="11"/>
  <c r="J5" i="11"/>
  <c r="J4" i="11"/>
  <c r="J3" i="11"/>
  <c r="B52" i="11"/>
  <c r="E52" i="11" s="1"/>
  <c r="C52" i="11"/>
  <c r="D52" i="11"/>
  <c r="E51" i="11"/>
  <c r="E49" i="11"/>
  <c r="E48" i="11"/>
  <c r="E47" i="11"/>
  <c r="E45" i="11"/>
  <c r="E44" i="11"/>
  <c r="E43" i="11"/>
  <c r="E42" i="11"/>
  <c r="E39" i="11"/>
  <c r="E38" i="11"/>
  <c r="E37" i="11"/>
  <c r="E36" i="11"/>
  <c r="E35" i="11"/>
  <c r="E34" i="11"/>
  <c r="E33" i="11"/>
  <c r="E32" i="11"/>
  <c r="E31" i="11"/>
  <c r="E30" i="11"/>
  <c r="E27" i="11"/>
  <c r="E26" i="11"/>
  <c r="E25" i="11"/>
  <c r="E22" i="11"/>
  <c r="E21" i="11"/>
  <c r="E19" i="11"/>
  <c r="E18" i="11"/>
  <c r="E16" i="11"/>
  <c r="E15" i="11"/>
  <c r="E14" i="11"/>
  <c r="E12" i="11"/>
  <c r="E11" i="11"/>
  <c r="E10" i="11"/>
  <c r="E9" i="11"/>
  <c r="E5" i="11"/>
  <c r="E4" i="11"/>
  <c r="E3" i="11"/>
  <c r="Q18" i="2"/>
  <c r="Q17" i="2"/>
  <c r="J79" i="13"/>
  <c r="I79" i="13"/>
  <c r="J65" i="13"/>
  <c r="I65" i="13"/>
  <c r="Q24" i="5"/>
  <c r="AE17" i="5"/>
  <c r="AQ17" i="5"/>
  <c r="AN17" i="5"/>
  <c r="AK17" i="5"/>
  <c r="AH17" i="5"/>
  <c r="W17" i="5"/>
  <c r="T17" i="5"/>
  <c r="AE5" i="5"/>
  <c r="V5" i="5"/>
  <c r="J45" i="5"/>
  <c r="J44" i="5"/>
  <c r="E45" i="5"/>
  <c r="E44" i="5"/>
  <c r="J39" i="5"/>
  <c r="E39" i="5"/>
  <c r="J38" i="5"/>
  <c r="E38" i="5"/>
  <c r="J37" i="5"/>
  <c r="E37" i="5"/>
  <c r="J34" i="5"/>
  <c r="E34" i="5"/>
  <c r="J33" i="5"/>
  <c r="E33" i="5"/>
  <c r="J18" i="5"/>
  <c r="E18" i="5"/>
  <c r="J15" i="5"/>
  <c r="E15" i="5"/>
  <c r="J5" i="5"/>
  <c r="E5" i="5"/>
  <c r="D52" i="5"/>
  <c r="I52" i="5"/>
  <c r="G52" i="5"/>
  <c r="H52" i="5"/>
  <c r="J51" i="5"/>
  <c r="J50" i="5"/>
  <c r="J49" i="5"/>
  <c r="J48" i="5"/>
  <c r="J47" i="5"/>
  <c r="J46" i="5"/>
  <c r="J43" i="5"/>
  <c r="J41" i="5"/>
  <c r="J40" i="5"/>
  <c r="J36" i="5"/>
  <c r="J35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7" i="5"/>
  <c r="J16" i="5"/>
  <c r="J14" i="5"/>
  <c r="J13" i="5"/>
  <c r="J12" i="5"/>
  <c r="J10" i="5"/>
  <c r="J8" i="5"/>
  <c r="J7" i="5"/>
  <c r="J6" i="5"/>
  <c r="J4" i="5"/>
  <c r="J3" i="5"/>
  <c r="B52" i="5"/>
  <c r="C52" i="5"/>
  <c r="E51" i="5"/>
  <c r="E50" i="5"/>
  <c r="E49" i="5"/>
  <c r="E48" i="5"/>
  <c r="E47" i="5"/>
  <c r="E46" i="5"/>
  <c r="E43" i="5"/>
  <c r="E41" i="5"/>
  <c r="E40" i="5"/>
  <c r="E36" i="5"/>
  <c r="E35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7" i="5"/>
  <c r="E16" i="5"/>
  <c r="E14" i="5"/>
  <c r="E13" i="5"/>
  <c r="E12" i="5"/>
  <c r="E10" i="5"/>
  <c r="E8" i="5"/>
  <c r="E7" i="5"/>
  <c r="E6" i="5"/>
  <c r="E4" i="5"/>
  <c r="E3" i="5"/>
  <c r="AM25" i="2"/>
  <c r="AM24" i="2"/>
  <c r="AD33" i="2"/>
  <c r="AG33" i="2"/>
  <c r="T34" i="2"/>
  <c r="T33" i="2"/>
  <c r="AD17" i="2"/>
  <c r="T18" i="2"/>
  <c r="T17" i="2"/>
  <c r="AD7" i="2"/>
  <c r="V9" i="2"/>
  <c r="V8" i="2"/>
  <c r="V7" i="2"/>
  <c r="J35" i="13"/>
  <c r="I35" i="13"/>
  <c r="J67" i="13"/>
  <c r="I67" i="13"/>
  <c r="T27" i="14"/>
  <c r="AQ26" i="14"/>
  <c r="AN26" i="14"/>
  <c r="T26" i="14"/>
  <c r="T25" i="14"/>
  <c r="AN24" i="14"/>
  <c r="AH24" i="14"/>
  <c r="AH15" i="14"/>
  <c r="AH14" i="14"/>
  <c r="T18" i="14"/>
  <c r="T17" i="14"/>
  <c r="T16" i="14"/>
  <c r="T14" i="14"/>
  <c r="AE7" i="14"/>
  <c r="AE5" i="14"/>
  <c r="AE4" i="14"/>
  <c r="V8" i="14"/>
  <c r="V6" i="14"/>
  <c r="V4" i="14"/>
  <c r="AH34" i="14"/>
  <c r="AE34" i="14"/>
  <c r="T34" i="14"/>
  <c r="AE32" i="14"/>
  <c r="T32" i="14"/>
  <c r="AQ17" i="14"/>
  <c r="AN17" i="14"/>
  <c r="AN15" i="14"/>
  <c r="AQ14" i="14"/>
  <c r="AN14" i="14"/>
  <c r="AK14" i="14"/>
  <c r="AE14" i="14"/>
  <c r="AQ6" i="14"/>
  <c r="AN6" i="14"/>
  <c r="AK6" i="14"/>
  <c r="AH6" i="14"/>
  <c r="AN5" i="14"/>
  <c r="AK5" i="14"/>
  <c r="AH5" i="14"/>
  <c r="AQ4" i="14"/>
  <c r="AN4" i="14"/>
  <c r="AK4" i="14"/>
  <c r="AH4" i="14"/>
  <c r="AT5" i="6"/>
  <c r="AQ5" i="6"/>
  <c r="Y5" i="6"/>
  <c r="V5" i="6"/>
  <c r="T32" i="6"/>
  <c r="Q32" i="6"/>
  <c r="Q35" i="6"/>
  <c r="Q31" i="6"/>
  <c r="W26" i="6"/>
  <c r="T26" i="6"/>
  <c r="W23" i="6"/>
  <c r="Q18" i="6"/>
  <c r="AH8" i="6"/>
  <c r="V8" i="6"/>
  <c r="V6" i="6"/>
  <c r="V4" i="6"/>
  <c r="AG34" i="1"/>
  <c r="S27" i="1"/>
  <c r="AV11" i="1"/>
  <c r="AS11" i="1"/>
  <c r="AP11" i="1"/>
  <c r="AM11" i="1"/>
  <c r="AJ11" i="1"/>
  <c r="AG11" i="1"/>
  <c r="AA11" i="1"/>
  <c r="X11" i="1"/>
  <c r="X10" i="1"/>
  <c r="X5" i="1"/>
  <c r="N40" i="14"/>
  <c r="N39" i="14"/>
  <c r="N41" i="14"/>
  <c r="J19" i="4"/>
  <c r="E19" i="4"/>
  <c r="J14" i="4"/>
  <c r="E14" i="4"/>
  <c r="I68" i="13"/>
  <c r="J68" i="13"/>
  <c r="I43" i="13"/>
  <c r="J43" i="13"/>
  <c r="J24" i="4"/>
  <c r="E24" i="4"/>
  <c r="I46" i="4"/>
  <c r="J45" i="4"/>
  <c r="J44" i="4"/>
  <c r="J40" i="4"/>
  <c r="J39" i="4"/>
  <c r="J38" i="4"/>
  <c r="J36" i="4"/>
  <c r="J35" i="4"/>
  <c r="J34" i="4"/>
  <c r="J33" i="4"/>
  <c r="J32" i="4"/>
  <c r="J31" i="4"/>
  <c r="J30" i="4"/>
  <c r="J29" i="4"/>
  <c r="J28" i="4"/>
  <c r="J27" i="4"/>
  <c r="J26" i="4"/>
  <c r="J25" i="4"/>
  <c r="J21" i="4"/>
  <c r="J20" i="4"/>
  <c r="J17" i="4"/>
  <c r="J16" i="4"/>
  <c r="J15" i="4"/>
  <c r="J13" i="4"/>
  <c r="J11" i="4"/>
  <c r="J9" i="4"/>
  <c r="J8" i="4"/>
  <c r="J7" i="4"/>
  <c r="J3" i="4"/>
  <c r="D46" i="4"/>
  <c r="E45" i="4"/>
  <c r="E44" i="4"/>
  <c r="E40" i="4"/>
  <c r="E39" i="4"/>
  <c r="E38" i="4"/>
  <c r="E36" i="4"/>
  <c r="E35" i="4"/>
  <c r="E34" i="4"/>
  <c r="E33" i="4"/>
  <c r="E32" i="4"/>
  <c r="E31" i="4"/>
  <c r="E30" i="4"/>
  <c r="E29" i="4"/>
  <c r="E28" i="4"/>
  <c r="E27" i="4"/>
  <c r="E26" i="4"/>
  <c r="E25" i="4"/>
  <c r="E21" i="4"/>
  <c r="E20" i="4"/>
  <c r="E17" i="4"/>
  <c r="E16" i="4"/>
  <c r="E15" i="4"/>
  <c r="E13" i="4"/>
  <c r="E11" i="4"/>
  <c r="E9" i="4"/>
  <c r="E8" i="4"/>
  <c r="E7" i="4"/>
  <c r="E3" i="4"/>
  <c r="Y25" i="9"/>
  <c r="J74" i="13"/>
  <c r="I74" i="13"/>
  <c r="AA10" i="1"/>
  <c r="J76" i="13"/>
  <c r="I76" i="13"/>
  <c r="J71" i="13"/>
  <c r="I71" i="13"/>
  <c r="J64" i="13"/>
  <c r="J63" i="13"/>
  <c r="J61" i="13"/>
  <c r="J58" i="13"/>
  <c r="J55" i="13"/>
  <c r="Y7" i="2"/>
  <c r="AH18" i="12"/>
  <c r="W18" i="12"/>
  <c r="AK5" i="12"/>
  <c r="AH17" i="12"/>
  <c r="AH4" i="12"/>
  <c r="T17" i="12"/>
  <c r="Y5" i="12"/>
  <c r="AJ34" i="7"/>
  <c r="AJ31" i="7"/>
  <c r="Y16" i="7"/>
  <c r="AA9" i="7"/>
  <c r="AA8" i="7"/>
  <c r="AA5" i="7"/>
  <c r="AJ15" i="7"/>
  <c r="AJ9" i="7"/>
  <c r="AJ5" i="7"/>
  <c r="Y6" i="10"/>
  <c r="AH17" i="10"/>
  <c r="AH7" i="10"/>
  <c r="AH5" i="10"/>
  <c r="AH4" i="10"/>
  <c r="T17" i="10"/>
  <c r="Y5" i="10"/>
  <c r="Y4" i="10"/>
  <c r="AJ13" i="9"/>
  <c r="AJ7" i="9"/>
  <c r="AJ5" i="9"/>
  <c r="AJ4" i="9"/>
  <c r="AA7" i="9"/>
  <c r="V15" i="9"/>
  <c r="V13" i="9"/>
  <c r="AA5" i="9"/>
  <c r="AA4" i="9"/>
  <c r="AK6" i="11"/>
  <c r="AH6" i="11"/>
  <c r="AE6" i="11"/>
  <c r="J73" i="13"/>
  <c r="J72" i="13"/>
  <c r="I72" i="13"/>
  <c r="AH16" i="11"/>
  <c r="AH14" i="11"/>
  <c r="AE31" i="11"/>
  <c r="W31" i="11"/>
  <c r="W29" i="11"/>
  <c r="I73" i="13"/>
  <c r="J75" i="13"/>
  <c r="I75" i="13"/>
  <c r="T23" i="8"/>
  <c r="T22" i="8"/>
  <c r="Y9" i="8"/>
  <c r="Y5" i="8"/>
  <c r="Y4" i="8"/>
  <c r="AH5" i="5"/>
  <c r="T24" i="5"/>
  <c r="Y10" i="5"/>
  <c r="Y5" i="5"/>
  <c r="Y4" i="4"/>
  <c r="AH4" i="4"/>
  <c r="AH9" i="3"/>
  <c r="T17" i="3"/>
  <c r="T16" i="3"/>
  <c r="Y9" i="3"/>
  <c r="Y6" i="3"/>
  <c r="AG17" i="2"/>
  <c r="AG15" i="2"/>
  <c r="W17" i="2"/>
  <c r="W14" i="2"/>
  <c r="AG7" i="2"/>
  <c r="AG6" i="2"/>
  <c r="Y8" i="2"/>
  <c r="Y4" i="2"/>
  <c r="Y8" i="6"/>
  <c r="Y6" i="6"/>
  <c r="AJ20" i="1"/>
  <c r="AJ8" i="1"/>
  <c r="J62" i="13"/>
  <c r="I62" i="13"/>
  <c r="AJ34" i="1"/>
  <c r="Y20" i="1"/>
  <c r="AM15" i="7"/>
  <c r="AM13" i="9"/>
  <c r="AJ15" i="2"/>
  <c r="AM9" i="7"/>
  <c r="AM5" i="7"/>
  <c r="AK5" i="5"/>
  <c r="AK4" i="12"/>
  <c r="AK12" i="10"/>
  <c r="AK9" i="10"/>
  <c r="AK4" i="10"/>
  <c r="AJ7" i="2"/>
  <c r="AJ6" i="2"/>
  <c r="AK8" i="4"/>
  <c r="AK10" i="3"/>
  <c r="AK9" i="3"/>
  <c r="AM4" i="9"/>
  <c r="B46" i="4"/>
  <c r="G46" i="4"/>
  <c r="J46" i="4" s="1"/>
  <c r="H46" i="4"/>
  <c r="I70" i="13"/>
  <c r="I55" i="13"/>
  <c r="I64" i="13"/>
  <c r="I7" i="13"/>
  <c r="I56" i="13"/>
  <c r="I24" i="13"/>
  <c r="I21" i="13"/>
  <c r="I61" i="13"/>
  <c r="I6" i="13"/>
  <c r="I63" i="13"/>
  <c r="V32" i="1"/>
  <c r="W26" i="12"/>
  <c r="W17" i="12"/>
  <c r="W41" i="10"/>
  <c r="W40" i="10"/>
  <c r="W39" i="10"/>
  <c r="Y34" i="9"/>
  <c r="Y33" i="9"/>
  <c r="Y31" i="9"/>
  <c r="W32" i="4"/>
  <c r="W34" i="2"/>
  <c r="W33" i="2"/>
  <c r="W39" i="3"/>
  <c r="W37" i="3"/>
  <c r="W35" i="3"/>
  <c r="W16" i="3"/>
  <c r="W15" i="3"/>
  <c r="T35" i="6"/>
  <c r="I58" i="13"/>
  <c r="J6" i="13"/>
  <c r="AG34" i="7"/>
  <c r="AG33" i="7"/>
  <c r="AN17" i="10"/>
  <c r="AP13" i="9"/>
  <c r="AS13" i="9"/>
  <c r="AS4" i="9"/>
  <c r="AP4" i="9"/>
  <c r="J56" i="13"/>
  <c r="J24" i="13"/>
  <c r="J7" i="13"/>
  <c r="AN39" i="3"/>
  <c r="AQ15" i="3"/>
  <c r="AQ16" i="3"/>
  <c r="AM35" i="2"/>
  <c r="J21" i="13"/>
  <c r="AT5" i="5"/>
  <c r="AQ5" i="5"/>
  <c r="AN5" i="5"/>
  <c r="J70" i="13"/>
  <c r="C46" i="4"/>
  <c r="AP15" i="2"/>
  <c r="AP5" i="7"/>
  <c r="AN9" i="3"/>
  <c r="AM6" i="2"/>
  <c r="AS9" i="7"/>
  <c r="AQ9" i="3"/>
  <c r="AP6" i="2"/>
  <c r="AV4" i="9"/>
  <c r="AV5" i="7"/>
  <c r="AY5" i="7"/>
  <c r="AT9" i="3"/>
  <c r="AS6" i="2"/>
  <c r="K49" i="13" l="1"/>
  <c r="K35" i="13"/>
  <c r="K16" i="13"/>
  <c r="J52" i="11"/>
  <c r="E48" i="10"/>
  <c r="K3" i="13"/>
  <c r="K7" i="13"/>
  <c r="K46" i="13"/>
  <c r="K5" i="13"/>
  <c r="K10" i="13"/>
  <c r="K42" i="13"/>
  <c r="K43" i="13"/>
  <c r="K12" i="13"/>
  <c r="K19" i="13"/>
  <c r="K14" i="13"/>
  <c r="K13" i="13"/>
  <c r="K20" i="13"/>
  <c r="K39" i="13"/>
  <c r="K30" i="13"/>
  <c r="K40" i="13"/>
  <c r="K2" i="13"/>
  <c r="K48" i="13"/>
  <c r="E52" i="3"/>
  <c r="K28" i="13"/>
  <c r="K41" i="13"/>
  <c r="K23" i="13"/>
  <c r="K32" i="13"/>
  <c r="E54" i="2"/>
  <c r="J54" i="2"/>
  <c r="E47" i="14"/>
  <c r="J47" i="14"/>
  <c r="J42" i="12"/>
  <c r="E42" i="12"/>
  <c r="K25" i="13"/>
  <c r="K37" i="13"/>
  <c r="E52" i="5"/>
  <c r="J52" i="5"/>
  <c r="E46" i="4"/>
  <c r="K29" i="13"/>
  <c r="J52" i="3"/>
  <c r="E54" i="6"/>
  <c r="L48" i="7"/>
  <c r="K17" i="13"/>
  <c r="F48" i="7"/>
  <c r="F51" i="1"/>
  <c r="L51" i="1"/>
  <c r="K38" i="13"/>
  <c r="K9" i="13"/>
  <c r="K26" i="13"/>
  <c r="K31" i="13"/>
  <c r="K47" i="13"/>
  <c r="K22" i="13"/>
  <c r="K11" i="13"/>
  <c r="F602" i="13"/>
  <c r="K33" i="13"/>
  <c r="K15" i="13"/>
  <c r="C598" i="13"/>
  <c r="L43" i="9"/>
  <c r="C601" i="13"/>
  <c r="F43" i="9"/>
  <c r="C607" i="13"/>
  <c r="F599" i="13"/>
  <c r="F591" i="13"/>
  <c r="F603" i="13"/>
  <c r="K4" i="13"/>
  <c r="F596" i="13"/>
  <c r="F598" i="13"/>
  <c r="K34" i="13"/>
  <c r="E46" i="8"/>
  <c r="K21" i="13"/>
  <c r="K6" i="13"/>
  <c r="K27" i="13"/>
  <c r="K18" i="13"/>
  <c r="K44" i="13"/>
  <c r="C606" i="13"/>
  <c r="C605" i="13"/>
  <c r="C604" i="13"/>
  <c r="C603" i="13"/>
  <c r="C602" i="13"/>
  <c r="C591" i="13"/>
  <c r="C600" i="13"/>
  <c r="C599" i="13"/>
  <c r="C597" i="13"/>
  <c r="C595" i="13"/>
  <c r="C596" i="13"/>
  <c r="F597" i="13"/>
  <c r="F600" i="13"/>
  <c r="F595" i="13"/>
  <c r="F607" i="13"/>
  <c r="F604" i="13"/>
  <c r="F606" i="13"/>
  <c r="F601" i="13"/>
  <c r="F605" i="13"/>
  <c r="K24" i="13"/>
  <c r="J46" i="8"/>
  <c r="J48" i="10"/>
  <c r="K8" i="13"/>
  <c r="F608" i="13" l="1"/>
  <c r="C608" i="13"/>
</calcChain>
</file>

<file path=xl/sharedStrings.xml><?xml version="1.0" encoding="utf-8"?>
<sst xmlns="http://schemas.openxmlformats.org/spreadsheetml/2006/main" count="12732" uniqueCount="1229">
  <si>
    <t>TRIES</t>
  </si>
  <si>
    <t>Tot</t>
  </si>
  <si>
    <t>POINTS</t>
  </si>
  <si>
    <t>TOTALS</t>
  </si>
  <si>
    <t>Evans</t>
  </si>
  <si>
    <t>Wood</t>
  </si>
  <si>
    <t>Penalty Tries</t>
  </si>
  <si>
    <t>Williams</t>
  </si>
  <si>
    <t>Trinder</t>
  </si>
  <si>
    <t>Yarde</t>
  </si>
  <si>
    <t>Joseph</t>
  </si>
  <si>
    <t>Marler</t>
  </si>
  <si>
    <t>Brown</t>
  </si>
  <si>
    <t>Care</t>
  </si>
  <si>
    <t>Bassett</t>
  </si>
  <si>
    <t>Johnson</t>
  </si>
  <si>
    <t>Launchbury</t>
  </si>
  <si>
    <t>Slater</t>
  </si>
  <si>
    <t>Most Points</t>
  </si>
  <si>
    <t>Rokoduguni</t>
  </si>
  <si>
    <t>Youngs B</t>
  </si>
  <si>
    <t>May</t>
  </si>
  <si>
    <t>Twelvetrees</t>
  </si>
  <si>
    <t>Att</t>
  </si>
  <si>
    <t>%</t>
  </si>
  <si>
    <t>Goals</t>
  </si>
  <si>
    <t>Ordered</t>
  </si>
  <si>
    <t>ordered</t>
  </si>
  <si>
    <t>TOTAL</t>
  </si>
  <si>
    <t>This Season</t>
  </si>
  <si>
    <t>-</t>
  </si>
  <si>
    <t>Whitten</t>
  </si>
  <si>
    <t>Slade</t>
  </si>
  <si>
    <t>Simpson</t>
  </si>
  <si>
    <t>Prem</t>
  </si>
  <si>
    <t>na</t>
  </si>
  <si>
    <t>Ewers</t>
  </si>
  <si>
    <t>Miller</t>
  </si>
  <si>
    <t>n/a</t>
  </si>
  <si>
    <t>Hughes</t>
  </si>
  <si>
    <t>Harrison</t>
  </si>
  <si>
    <t>Walker</t>
  </si>
  <si>
    <t>Gaskell</t>
  </si>
  <si>
    <t>Earle</t>
  </si>
  <si>
    <t xml:space="preserve"> </t>
  </si>
  <si>
    <t>Holmes</t>
  </si>
  <si>
    <t xml:space="preserve">Twelvetrees </t>
  </si>
  <si>
    <t>Collins</t>
  </si>
  <si>
    <t>Smith</t>
  </si>
  <si>
    <t>Armand</t>
  </si>
  <si>
    <t>Woodburn</t>
  </si>
  <si>
    <t>Watson</t>
  </si>
  <si>
    <t>Lewis</t>
  </si>
  <si>
    <t>Young</t>
  </si>
  <si>
    <t>Morris</t>
  </si>
  <si>
    <t>Haywood</t>
  </si>
  <si>
    <t>Kvesic</t>
  </si>
  <si>
    <t>Clark</t>
  </si>
  <si>
    <t>Most Tries</t>
  </si>
  <si>
    <t>McGuigan</t>
  </si>
  <si>
    <t>Yeandle</t>
  </si>
  <si>
    <t>Hill</t>
  </si>
  <si>
    <t>Ellis</t>
  </si>
  <si>
    <t>CM</t>
  </si>
  <si>
    <t>CL</t>
  </si>
  <si>
    <t>Dunn</t>
  </si>
  <si>
    <t>Cowan-Dickie</t>
  </si>
  <si>
    <t>Francis</t>
  </si>
  <si>
    <t>Nowell</t>
  </si>
  <si>
    <t>Townsend</t>
  </si>
  <si>
    <t>Atkinson</t>
  </si>
  <si>
    <t>Afoa</t>
  </si>
  <si>
    <t>Chisholm R</t>
  </si>
  <si>
    <t>Sinckler</t>
  </si>
  <si>
    <t>Collier</t>
  </si>
  <si>
    <t>Matthews</t>
  </si>
  <si>
    <t>Cole</t>
  </si>
  <si>
    <t>Balmain</t>
  </si>
  <si>
    <t>Hepburn</t>
  </si>
  <si>
    <t>Lawes</t>
  </si>
  <si>
    <t>Beaumont</t>
  </si>
  <si>
    <t>© Hillsport Media Ltd</t>
  </si>
  <si>
    <t>Top Strike Rates*</t>
  </si>
  <si>
    <t>Tuala</t>
  </si>
  <si>
    <t>Ewels</t>
  </si>
  <si>
    <t>2013/14</t>
  </si>
  <si>
    <t>Last Match             (all comps)</t>
  </si>
  <si>
    <t>Atkins</t>
  </si>
  <si>
    <t>Hendrickson</t>
  </si>
  <si>
    <t>Moon</t>
  </si>
  <si>
    <t>Woolmore</t>
  </si>
  <si>
    <t>Heinz</t>
  </si>
  <si>
    <t>Marshall</t>
  </si>
  <si>
    <t>Last Match             (All Comps)</t>
  </si>
  <si>
    <t>Symons</t>
  </si>
  <si>
    <t>Gopperth</t>
  </si>
  <si>
    <t xml:space="preserve">2013/14 </t>
  </si>
  <si>
    <t xml:space="preserve">2012/13 </t>
  </si>
  <si>
    <t>Fish</t>
  </si>
  <si>
    <t>Hutchinson</t>
  </si>
  <si>
    <t>Ludlam</t>
  </si>
  <si>
    <t>Neild</t>
  </si>
  <si>
    <t>Nott</t>
  </si>
  <si>
    <t>Robson</t>
  </si>
  <si>
    <t>Annett</t>
  </si>
  <si>
    <t xml:space="preserve">This Season </t>
  </si>
  <si>
    <t>2012/13</t>
  </si>
  <si>
    <t>Gls</t>
  </si>
  <si>
    <t>Thacker H</t>
  </si>
  <si>
    <t>Ludlow</t>
  </si>
  <si>
    <t>Marchant</t>
  </si>
  <si>
    <t>Thorley</t>
  </si>
  <si>
    <t>Evans L</t>
  </si>
  <si>
    <t>2014/15</t>
  </si>
  <si>
    <t>MacGinty</t>
  </si>
  <si>
    <t>Phillips</t>
  </si>
  <si>
    <t>Devoto</t>
  </si>
  <si>
    <t>Genge</t>
  </si>
  <si>
    <t>Cruse</t>
  </si>
  <si>
    <t>Taylor</t>
  </si>
  <si>
    <t xml:space="preserve">Humphreys </t>
  </si>
  <si>
    <t>Humphreys</t>
  </si>
  <si>
    <t>2015/16</t>
  </si>
  <si>
    <t>Langdon</t>
  </si>
  <si>
    <t>Ratuniyarawa</t>
  </si>
  <si>
    <t>Shillcock</t>
  </si>
  <si>
    <t>Chisholm J</t>
  </si>
  <si>
    <t>Curry T</t>
  </si>
  <si>
    <t>Umaga</t>
  </si>
  <si>
    <t>Howe</t>
  </si>
  <si>
    <t>Simmonds J</t>
  </si>
  <si>
    <t>Simmonds S</t>
  </si>
  <si>
    <t>Singleton</t>
  </si>
  <si>
    <t>Faletau</t>
  </si>
  <si>
    <t>Curry B</t>
  </si>
  <si>
    <t>AC</t>
  </si>
  <si>
    <t xml:space="preserve">2014/15 </t>
  </si>
  <si>
    <t xml:space="preserve"> 2013/14</t>
  </si>
  <si>
    <t>Clarke</t>
  </si>
  <si>
    <t>Rapava-Ruskin</t>
  </si>
  <si>
    <t>Woodward</t>
  </si>
  <si>
    <t>O'Flaherty</t>
  </si>
  <si>
    <t>Eadie</t>
  </si>
  <si>
    <t xml:space="preserve">Francis </t>
  </si>
  <si>
    <t>Ribbans</t>
  </si>
  <si>
    <t>Cokanasiga</t>
  </si>
  <si>
    <t>Waller</t>
  </si>
  <si>
    <t>Ford G</t>
  </si>
  <si>
    <t>Obano</t>
  </si>
  <si>
    <t>Underhill</t>
  </si>
  <si>
    <t>Cliff</t>
  </si>
  <si>
    <t>de Klerk</t>
  </si>
  <si>
    <t>John</t>
  </si>
  <si>
    <t>Ross</t>
  </si>
  <si>
    <t>Stuart</t>
  </si>
  <si>
    <t>Willis J</t>
  </si>
  <si>
    <t>Ackermann</t>
  </si>
  <si>
    <t>Polledri</t>
  </si>
  <si>
    <t>Furbank</t>
  </si>
  <si>
    <t>Grayson</t>
  </si>
  <si>
    <t>Lawrence</t>
  </si>
  <si>
    <t>Mitchell</t>
  </si>
  <si>
    <t>White</t>
  </si>
  <si>
    <t>Lamb</t>
  </si>
  <si>
    <t>Vailanu</t>
  </si>
  <si>
    <t>James S</t>
  </si>
  <si>
    <t xml:space="preserve">James L </t>
  </si>
  <si>
    <t>James L</t>
  </si>
  <si>
    <t>Olowofela J</t>
  </si>
  <si>
    <t>Reffell</t>
  </si>
  <si>
    <t>*Woodward</t>
  </si>
  <si>
    <t>Simmons</t>
  </si>
  <si>
    <t>Reed</t>
  </si>
  <si>
    <t>Redpath</t>
  </si>
  <si>
    <t>Bayliss</t>
  </si>
  <si>
    <t>Vaughan</t>
  </si>
  <si>
    <t>Butler</t>
  </si>
  <si>
    <t>Seabrook</t>
  </si>
  <si>
    <t>2016/17</t>
  </si>
  <si>
    <t>PREM CUP</t>
  </si>
  <si>
    <t>GLO</t>
  </si>
  <si>
    <t>WOR</t>
  </si>
  <si>
    <t>SAL</t>
  </si>
  <si>
    <t>BTH</t>
  </si>
  <si>
    <t>NOR</t>
  </si>
  <si>
    <t xml:space="preserve">Atkins D </t>
  </si>
  <si>
    <t xml:space="preserve">Penalty Tries </t>
  </si>
  <si>
    <t xml:space="preserve">Watson A </t>
  </si>
  <si>
    <t xml:space="preserve">Evans L </t>
  </si>
  <si>
    <t xml:space="preserve">Chisholm J </t>
  </si>
  <si>
    <t xml:space="preserve">Chisholm R </t>
  </si>
  <si>
    <t xml:space="preserve">Ford G </t>
  </si>
  <si>
    <t xml:space="preserve">Youngs B </t>
  </si>
  <si>
    <t xml:space="preserve">Francis P </t>
  </si>
  <si>
    <t xml:space="preserve">Waller A </t>
  </si>
  <si>
    <t xml:space="preserve">Curry B </t>
  </si>
  <si>
    <t xml:space="preserve">Curry T </t>
  </si>
  <si>
    <t xml:space="preserve">James S </t>
  </si>
  <si>
    <t xml:space="preserve">Watson M </t>
  </si>
  <si>
    <t xml:space="preserve">Willis J </t>
  </si>
  <si>
    <t xml:space="preserve">Lewis S </t>
  </si>
  <si>
    <t xml:space="preserve">Waller E </t>
  </si>
  <si>
    <t xml:space="preserve">Hill J </t>
  </si>
  <si>
    <t xml:space="preserve">Simmonds J </t>
  </si>
  <si>
    <t xml:space="preserve">Simmonds S </t>
  </si>
  <si>
    <t xml:space="preserve">Williams H </t>
  </si>
  <si>
    <t>HAR</t>
  </si>
  <si>
    <t>EXE</t>
  </si>
  <si>
    <t>WAS</t>
  </si>
  <si>
    <t>LEIC</t>
  </si>
  <si>
    <t xml:space="preserve">Harris B </t>
  </si>
  <si>
    <t xml:space="preserve">Harrison R </t>
  </si>
  <si>
    <t xml:space="preserve">Harrison T </t>
  </si>
  <si>
    <t>McConnochie</t>
  </si>
  <si>
    <t>*Devoto</t>
  </si>
  <si>
    <t>BRI</t>
  </si>
  <si>
    <t>Faletau T</t>
  </si>
  <si>
    <t>Heenan</t>
  </si>
  <si>
    <t>Joyce</t>
  </si>
  <si>
    <t>Leiua</t>
  </si>
  <si>
    <t>Luatua</t>
  </si>
  <si>
    <t>Morahan</t>
  </si>
  <si>
    <t>O'Conor</t>
  </si>
  <si>
    <t>Piutau C</t>
  </si>
  <si>
    <t>Randall</t>
  </si>
  <si>
    <t>Sheedy</t>
  </si>
  <si>
    <t>Thacker</t>
  </si>
  <si>
    <t>Thomas D</t>
  </si>
  <si>
    <t>Thomas Y</t>
  </si>
  <si>
    <t>Uren</t>
  </si>
  <si>
    <t>Vui</t>
  </si>
  <si>
    <t>PREM  CUP</t>
  </si>
  <si>
    <t>Last Match            (All Comps)</t>
  </si>
  <si>
    <t>Gleave</t>
  </si>
  <si>
    <t>Dombrandt</t>
  </si>
  <si>
    <t>Symons M</t>
  </si>
  <si>
    <t>Spencer W</t>
  </si>
  <si>
    <t>Biggar</t>
  </si>
  <si>
    <t>Naiyaravoro</t>
  </si>
  <si>
    <t>*Biggar</t>
  </si>
  <si>
    <t>Shields</t>
  </si>
  <si>
    <t>Le Bourgeois</t>
  </si>
  <si>
    <t>Curtis</t>
  </si>
  <si>
    <t>West</t>
  </si>
  <si>
    <t>Willis T</t>
  </si>
  <si>
    <t>Beck</t>
  </si>
  <si>
    <t>Venter</t>
  </si>
  <si>
    <t>Miller I</t>
  </si>
  <si>
    <t>Atkinson M</t>
  </si>
  <si>
    <t>Clark M</t>
  </si>
  <si>
    <t>Hill P</t>
  </si>
  <si>
    <t>Holmes E</t>
  </si>
  <si>
    <t>Marshall R</t>
  </si>
  <si>
    <t>McGuigan B</t>
  </si>
  <si>
    <t>Miller R</t>
  </si>
  <si>
    <t>Morris A</t>
  </si>
  <si>
    <t>Phillips J</t>
  </si>
  <si>
    <t>Spencer B</t>
  </si>
  <si>
    <t>Stuart W</t>
  </si>
  <si>
    <t>Taylor T</t>
  </si>
  <si>
    <t>Young T</t>
  </si>
  <si>
    <t>Wright</t>
  </si>
  <si>
    <t>Ackermann R</t>
  </si>
  <si>
    <t>Afoa J</t>
  </si>
  <si>
    <t>Annett N</t>
  </si>
  <si>
    <t>Armand D</t>
  </si>
  <si>
    <t>Attwood D</t>
  </si>
  <si>
    <t>Balmain F</t>
  </si>
  <si>
    <t>Bassett J</t>
  </si>
  <si>
    <t>Bayliss J</t>
  </si>
  <si>
    <t>Beaumont J</t>
  </si>
  <si>
    <t>Beck A</t>
  </si>
  <si>
    <t>Biggar D</t>
  </si>
  <si>
    <t>Boyce L</t>
  </si>
  <si>
    <t>Brown M</t>
  </si>
  <si>
    <t>Butler W</t>
  </si>
  <si>
    <t>Care D</t>
  </si>
  <si>
    <t>Chudley W</t>
  </si>
  <si>
    <t>Clarke F</t>
  </si>
  <si>
    <t>Cliff W</t>
  </si>
  <si>
    <t>Cokanasiga J</t>
  </si>
  <si>
    <t>Cole D</t>
  </si>
  <si>
    <t>Collier W</t>
  </si>
  <si>
    <t>Collins T</t>
  </si>
  <si>
    <t>Cowan-Dickie L</t>
  </si>
  <si>
    <t>Cruse T</t>
  </si>
  <si>
    <t>de Klerk F</t>
  </si>
  <si>
    <t>Devoto O</t>
  </si>
  <si>
    <t>Dombrandt A</t>
  </si>
  <si>
    <t>Dunn T</t>
  </si>
  <si>
    <t>Eadie M</t>
  </si>
  <si>
    <t>Earl B</t>
  </si>
  <si>
    <t>Earle N</t>
  </si>
  <si>
    <t>Ellis T</t>
  </si>
  <si>
    <t>Ewels C</t>
  </si>
  <si>
    <t>Ewers D</t>
  </si>
  <si>
    <t>Fish J</t>
  </si>
  <si>
    <t>Ford-Robinson J</t>
  </si>
  <si>
    <t>Furbank G</t>
  </si>
  <si>
    <t>Gaskell J</t>
  </si>
  <si>
    <t>Genge E</t>
  </si>
  <si>
    <t>Gleave G</t>
  </si>
  <si>
    <t>Gopperth J</t>
  </si>
  <si>
    <t>Grayson J</t>
  </si>
  <si>
    <t>Haining N</t>
  </si>
  <si>
    <t>Haywood M</t>
  </si>
  <si>
    <t>Heenan J</t>
  </si>
  <si>
    <t>Heinz W</t>
  </si>
  <si>
    <t>Hendrickson T</t>
  </si>
  <si>
    <t>Hepburn A</t>
  </si>
  <si>
    <t>Howe T</t>
  </si>
  <si>
    <t>Hughes N</t>
  </si>
  <si>
    <t>Humphreys P</t>
  </si>
  <si>
    <t>Hutchinson R</t>
  </si>
  <si>
    <t>Innard J</t>
  </si>
  <si>
    <t>John W</t>
  </si>
  <si>
    <t>Joseph J</t>
  </si>
  <si>
    <t>Joyce J</t>
  </si>
  <si>
    <t>Kerrod S</t>
  </si>
  <si>
    <t>Kvesic M</t>
  </si>
  <si>
    <t>Lamb D</t>
  </si>
  <si>
    <t>Langdon C</t>
  </si>
  <si>
    <t>Launchbury J</t>
  </si>
  <si>
    <t>Lawday T</t>
  </si>
  <si>
    <t>Lawes C</t>
  </si>
  <si>
    <t>Lawrence O</t>
  </si>
  <si>
    <t>Le Bourgeois M</t>
  </si>
  <si>
    <t>Leiua A</t>
  </si>
  <si>
    <t>Luatua S</t>
  </si>
  <si>
    <t>Ludlam L</t>
  </si>
  <si>
    <t>Ludlow L</t>
  </si>
  <si>
    <t>MacGinty A</t>
  </si>
  <si>
    <t>Malins M</t>
  </si>
  <si>
    <t>Marchant J</t>
  </si>
  <si>
    <t>Marler J</t>
  </si>
  <si>
    <t>Maunder J</t>
  </si>
  <si>
    <t>May J</t>
  </si>
  <si>
    <t>McConnochie R</t>
  </si>
  <si>
    <t>Mitchell A</t>
  </si>
  <si>
    <t>Moon B</t>
  </si>
  <si>
    <t>Morahan L</t>
  </si>
  <si>
    <t>Morgan B</t>
  </si>
  <si>
    <t>Naiyaravoro T</t>
  </si>
  <si>
    <t>Neild C</t>
  </si>
  <si>
    <t>Nott G</t>
  </si>
  <si>
    <t>Nowell J</t>
  </si>
  <si>
    <t>Obano B</t>
  </si>
  <si>
    <t>O'Conor P</t>
  </si>
  <si>
    <t>O'Flaherty T</t>
  </si>
  <si>
    <t>Polledri J</t>
  </si>
  <si>
    <t>Purdy H</t>
  </si>
  <si>
    <t>Randall H</t>
  </si>
  <si>
    <t>Rapava Ruskin V</t>
  </si>
  <si>
    <t>Ratuniyarawa A</t>
  </si>
  <si>
    <t>Redpath C</t>
  </si>
  <si>
    <t>Reed A</t>
  </si>
  <si>
    <t>Ribbans D</t>
  </si>
  <si>
    <t>Robson D</t>
  </si>
  <si>
    <t>Rokoduguni S</t>
  </si>
  <si>
    <t>Ross J</t>
  </si>
  <si>
    <t>Seabrook T</t>
  </si>
  <si>
    <t>Searle B</t>
  </si>
  <si>
    <t>Sheedy C</t>
  </si>
  <si>
    <t>Shields B</t>
  </si>
  <si>
    <t>Shillcock J</t>
  </si>
  <si>
    <t>Simmons H</t>
  </si>
  <si>
    <t>Simpson J</t>
  </si>
  <si>
    <t>Sinckler K</t>
  </si>
  <si>
    <t>Skinner S</t>
  </si>
  <si>
    <t>Slade H</t>
  </si>
  <si>
    <t>Slater E</t>
  </si>
  <si>
    <t>Thorley O</t>
  </si>
  <si>
    <t>Townsend S</t>
  </si>
  <si>
    <t>Trinder H</t>
  </si>
  <si>
    <t>Tuala A</t>
  </si>
  <si>
    <t>Tuilagi M</t>
  </si>
  <si>
    <t>Twelvetrees B</t>
  </si>
  <si>
    <t>Umaga J</t>
  </si>
  <si>
    <t>Underhill S</t>
  </si>
  <si>
    <t>Uren A</t>
  </si>
  <si>
    <t>Vailanu S</t>
  </si>
  <si>
    <t>van Wyk F</t>
  </si>
  <si>
    <t>Vaughan W</t>
  </si>
  <si>
    <t>Venter F</t>
  </si>
  <si>
    <t>Vui C</t>
  </si>
  <si>
    <t>West T</t>
  </si>
  <si>
    <t>Whitten I</t>
  </si>
  <si>
    <t>Wright M</t>
  </si>
  <si>
    <t>Wood T</t>
  </si>
  <si>
    <t>Woodburn O</t>
  </si>
  <si>
    <t>Woodward J</t>
  </si>
  <si>
    <t>Woolmore J</t>
  </si>
  <si>
    <t>Yarde M</t>
  </si>
  <si>
    <t>Yeandle J</t>
  </si>
  <si>
    <t>Francis P</t>
  </si>
  <si>
    <t>Clegg</t>
  </si>
  <si>
    <t>Clegg J</t>
  </si>
  <si>
    <t>Smith M</t>
  </si>
  <si>
    <t>^regular season</t>
  </si>
  <si>
    <t>2013/14           (European Cup)</t>
  </si>
  <si>
    <t>Hill T</t>
  </si>
  <si>
    <t>Painter</t>
  </si>
  <si>
    <t>Painter E</t>
  </si>
  <si>
    <t>Janse van Rensburg</t>
  </si>
  <si>
    <t>Janse van Rensburg R</t>
  </si>
  <si>
    <t>Olowofela</t>
  </si>
  <si>
    <t>Wells</t>
  </si>
  <si>
    <t>Wells H</t>
  </si>
  <si>
    <t>Wilkinson</t>
  </si>
  <si>
    <t>Wilkinson K</t>
  </si>
  <si>
    <t>Chapman</t>
  </si>
  <si>
    <t>Chapman C</t>
  </si>
  <si>
    <t>Barbeary</t>
  </si>
  <si>
    <t>Barbeary A</t>
  </si>
  <si>
    <t>Skinner H</t>
  </si>
  <si>
    <t>Bedlow</t>
  </si>
  <si>
    <t>Bedlow S</t>
  </si>
  <si>
    <t>Eden</t>
  </si>
  <si>
    <t>Eden T</t>
  </si>
  <si>
    <t>Atkins D</t>
  </si>
  <si>
    <t>Reffell T</t>
  </si>
  <si>
    <t>du Preez R</t>
  </si>
  <si>
    <t>Capstick</t>
  </si>
  <si>
    <t>Capstick R</t>
  </si>
  <si>
    <t>Keast</t>
  </si>
  <si>
    <t>Keast B</t>
  </si>
  <si>
    <t>Dingwall</t>
  </si>
  <si>
    <t>Dingwall F</t>
  </si>
  <si>
    <t>Sleightholme</t>
  </si>
  <si>
    <t>Sleightholme O</t>
  </si>
  <si>
    <t>du Preez J-L</t>
  </si>
  <si>
    <t>Williams M</t>
  </si>
  <si>
    <t>Murley</t>
  </si>
  <si>
    <t>Murley C</t>
  </si>
  <si>
    <t>Powell</t>
  </si>
  <si>
    <t>Powell C</t>
  </si>
  <si>
    <t>Lonsdale</t>
  </si>
  <si>
    <t>Lonsdale S</t>
  </si>
  <si>
    <t>Coles</t>
  </si>
  <si>
    <t>Coles A</t>
  </si>
  <si>
    <t>David</t>
  </si>
  <si>
    <t>David N</t>
  </si>
  <si>
    <t>Top Try Scorer^</t>
  </si>
  <si>
    <t xml:space="preserve">Golden Boot^ </t>
  </si>
  <si>
    <t>Moon A</t>
  </si>
  <si>
    <t>Postlethwaite</t>
  </si>
  <si>
    <t>Postlethwaite M</t>
  </si>
  <si>
    <t>Hidalgo-Clyne S</t>
  </si>
  <si>
    <t>2017/18</t>
  </si>
  <si>
    <t>2013/14  (European Cup)</t>
  </si>
  <si>
    <t>LIR</t>
  </si>
  <si>
    <t>Chawatawa</t>
  </si>
  <si>
    <t>Goodrick-Clarke</t>
  </si>
  <si>
    <t>Hepetama</t>
  </si>
  <si>
    <t>Hoskins</t>
  </si>
  <si>
    <t>Jackson</t>
  </si>
  <si>
    <t>Loader</t>
  </si>
  <si>
    <t>Maddison</t>
  </si>
  <si>
    <t>Parton</t>
  </si>
  <si>
    <t>Rogerson</t>
  </si>
  <si>
    <t>Rona</t>
  </si>
  <si>
    <t>Steele</t>
  </si>
  <si>
    <t>Tuisue</t>
  </si>
  <si>
    <t>Atkins J</t>
  </si>
  <si>
    <t>Jackson P</t>
  </si>
  <si>
    <t>*Jackson</t>
  </si>
  <si>
    <t>Rees-Zammit</t>
  </si>
  <si>
    <t>Hinkley</t>
  </si>
  <si>
    <t>Barton</t>
  </si>
  <si>
    <t>Wyatt</t>
  </si>
  <si>
    <t>Hammersley</t>
  </si>
  <si>
    <t>Hammersley S</t>
  </si>
  <si>
    <t>Sirker C</t>
  </si>
  <si>
    <t>Montgomery C</t>
  </si>
  <si>
    <t>Hearle A</t>
  </si>
  <si>
    <t>Barton G</t>
  </si>
  <si>
    <t xml:space="preserve">Barton G </t>
  </si>
  <si>
    <t>Hinkley A</t>
  </si>
  <si>
    <t>Rees-Zammit L</t>
  </si>
  <si>
    <t>Wyatt T</t>
  </si>
  <si>
    <t>Vermeulen</t>
  </si>
  <si>
    <t>Vermeulen J</t>
  </si>
  <si>
    <t>Reid</t>
  </si>
  <si>
    <t>Cardall</t>
  </si>
  <si>
    <t>Cardall T</t>
  </si>
  <si>
    <t>du Preez D</t>
  </si>
  <si>
    <t>Roebuck</t>
  </si>
  <si>
    <t>Roebuck T</t>
  </si>
  <si>
    <t xml:space="preserve">Curtis </t>
  </si>
  <si>
    <t>Curtis T</t>
  </si>
  <si>
    <t>Williams J</t>
  </si>
  <si>
    <t>Van der Merwe A</t>
  </si>
  <si>
    <t>Wolstenholme</t>
  </si>
  <si>
    <t>Wolstenhome S</t>
  </si>
  <si>
    <t>Wolstenholme S</t>
  </si>
  <si>
    <t>Englefield</t>
  </si>
  <si>
    <t>Cooke</t>
  </si>
  <si>
    <t>Morris J</t>
  </si>
  <si>
    <t>Street</t>
  </si>
  <si>
    <t>Street M</t>
  </si>
  <si>
    <t>Bates</t>
  </si>
  <si>
    <t>Bates J</t>
  </si>
  <si>
    <t>Capon</t>
  </si>
  <si>
    <t>Capon W</t>
  </si>
  <si>
    <t>Lloyd I</t>
  </si>
  <si>
    <t>Hassell-Collins</t>
  </si>
  <si>
    <t>Hassell-Collins O</t>
  </si>
  <si>
    <t>van der Merwe A</t>
  </si>
  <si>
    <t>Seq</t>
  </si>
  <si>
    <t>PREM</t>
  </si>
  <si>
    <t>CHAMPS CUP</t>
  </si>
  <si>
    <t>CHALL CUP</t>
  </si>
  <si>
    <t>Kibirige</t>
  </si>
  <si>
    <t>Phipps</t>
  </si>
  <si>
    <t>Phipps N</t>
  </si>
  <si>
    <t>Kibirige Z</t>
  </si>
  <si>
    <t>Hamer-Webb</t>
  </si>
  <si>
    <t>Hamer-Webb G</t>
  </si>
  <si>
    <t>Oosthuizen</t>
  </si>
  <si>
    <t>Oosthuizen C</t>
  </si>
  <si>
    <t>Harris</t>
  </si>
  <si>
    <t>Proctor</t>
  </si>
  <si>
    <t>Proctor M</t>
  </si>
  <si>
    <t>Hogg</t>
  </si>
  <si>
    <t>Hogg S</t>
  </si>
  <si>
    <t>Fricker</t>
  </si>
  <si>
    <t>Fricker T</t>
  </si>
  <si>
    <t>Heward</t>
  </si>
  <si>
    <t>Heward N</t>
  </si>
  <si>
    <t>Palframan</t>
  </si>
  <si>
    <t>Palframan R</t>
  </si>
  <si>
    <t>Simpson G</t>
  </si>
  <si>
    <t>Ford</t>
  </si>
  <si>
    <t>*Ford</t>
  </si>
  <si>
    <t>Steward</t>
  </si>
  <si>
    <t>Steward F</t>
  </si>
  <si>
    <t>Leatigaga</t>
  </si>
  <si>
    <t>Leatigaga N</t>
  </si>
  <si>
    <t>Mafi</t>
  </si>
  <si>
    <t>Mafi S</t>
  </si>
  <si>
    <t>Harris C</t>
  </si>
  <si>
    <t>Kirsten</t>
  </si>
  <si>
    <t>Kirsten J</t>
  </si>
  <si>
    <t>Coleman</t>
  </si>
  <si>
    <t>Coleman A</t>
  </si>
  <si>
    <t>Lewies</t>
  </si>
  <si>
    <t>Lewies S</t>
  </si>
  <si>
    <t>Fekitoa</t>
  </si>
  <si>
    <t>Fekitoa M</t>
  </si>
  <si>
    <t>Minozzi</t>
  </si>
  <si>
    <t>Minozzi M</t>
  </si>
  <si>
    <t>Attwood</t>
  </si>
  <si>
    <t>Northmore</t>
  </si>
  <si>
    <t>Northmore L</t>
  </si>
  <si>
    <t>Purdy</t>
  </si>
  <si>
    <t>Alo</t>
  </si>
  <si>
    <t>Alo B</t>
  </si>
  <si>
    <t>Tuisue A</t>
  </si>
  <si>
    <t>Lawday</t>
  </si>
  <si>
    <t>McNally</t>
  </si>
  <si>
    <t>McNally J</t>
  </si>
  <si>
    <t>Rona C</t>
  </si>
  <si>
    <t>Oghre</t>
  </si>
  <si>
    <t>Oghre G</t>
  </si>
  <si>
    <t>Varney</t>
  </si>
  <si>
    <t>Varney S</t>
  </si>
  <si>
    <t>Cornish</t>
  </si>
  <si>
    <t>Radradra</t>
  </si>
  <si>
    <t>Radradra S</t>
  </si>
  <si>
    <t>Cutting</t>
  </si>
  <si>
    <t>Cutting B</t>
  </si>
  <si>
    <t>Steele S</t>
  </si>
  <si>
    <t>Boyce</t>
  </si>
  <si>
    <t>de Glanville</t>
  </si>
  <si>
    <t>de Glanville T</t>
  </si>
  <si>
    <t>*Spencer</t>
  </si>
  <si>
    <t>Hidalgo-Clyne</t>
  </si>
  <si>
    <t>Walker H</t>
  </si>
  <si>
    <t>Matavesi</t>
  </si>
  <si>
    <t>Henderson</t>
  </si>
  <si>
    <t>Henderson C</t>
  </si>
  <si>
    <t>Potter</t>
  </si>
  <si>
    <t>Potter H</t>
  </si>
  <si>
    <t>Creevy</t>
  </si>
  <si>
    <t>Creevy A</t>
  </si>
  <si>
    <t>Nanai</t>
  </si>
  <si>
    <t>Nanai M</t>
  </si>
  <si>
    <t>Liebenberg</t>
  </si>
  <si>
    <t>Liebenberg H</t>
  </si>
  <si>
    <t>Stanley</t>
  </si>
  <si>
    <t>Stanley J</t>
  </si>
  <si>
    <t>Gillespie</t>
  </si>
  <si>
    <t>Gillespie J</t>
  </si>
  <si>
    <t>Gray</t>
  </si>
  <si>
    <t>Gray J</t>
  </si>
  <si>
    <t>Spink</t>
  </si>
  <si>
    <t>Spink S</t>
  </si>
  <si>
    <t>Donnell</t>
  </si>
  <si>
    <t>Donnell B</t>
  </si>
  <si>
    <t>Cordero</t>
  </si>
  <si>
    <t>Witty</t>
  </si>
  <si>
    <t>Witty W</t>
  </si>
  <si>
    <t>Hodge</t>
  </si>
  <si>
    <t>Hodge J</t>
  </si>
  <si>
    <t>Alemanno</t>
  </si>
  <si>
    <t>Nadolo</t>
  </si>
  <si>
    <t>Nadolo N</t>
  </si>
  <si>
    <t>Byrne</t>
  </si>
  <si>
    <t>Byrne B</t>
  </si>
  <si>
    <t>Scott</t>
  </si>
  <si>
    <t>Scott M</t>
  </si>
  <si>
    <t>Southworth</t>
  </si>
  <si>
    <t>Southworth D</t>
  </si>
  <si>
    <t>Cordero F</t>
  </si>
  <si>
    <t>Alemanno M</t>
  </si>
  <si>
    <t>Hoskins O</t>
  </si>
  <si>
    <t>Parton T</t>
  </si>
  <si>
    <t>Rogerson M</t>
  </si>
  <si>
    <t>Cornish M</t>
  </si>
  <si>
    <t>Loader B</t>
  </si>
  <si>
    <t>GP</t>
  </si>
  <si>
    <t>2018/19</t>
  </si>
  <si>
    <t xml:space="preserve">2018/19 </t>
  </si>
  <si>
    <t>*Biggar for Ospreys (P14) before 2018/19</t>
  </si>
  <si>
    <t>Doughty</t>
  </si>
  <si>
    <t>Doughty T</t>
  </si>
  <si>
    <t>Fox</t>
  </si>
  <si>
    <t>Fox O</t>
  </si>
  <si>
    <t>Green</t>
  </si>
  <si>
    <t>Green M</t>
  </si>
  <si>
    <t>Reid M</t>
  </si>
  <si>
    <t>Muir</t>
  </si>
  <si>
    <t>Muir W</t>
  </si>
  <si>
    <t>Schoeman J</t>
  </si>
  <si>
    <t>Last Season</t>
  </si>
  <si>
    <t>Adeolokun</t>
  </si>
  <si>
    <t>Adeolokun N</t>
  </si>
  <si>
    <t>Armstrong</t>
  </si>
  <si>
    <t>Armstrong J</t>
  </si>
  <si>
    <t>Hawkins</t>
  </si>
  <si>
    <t>Hawkins J</t>
  </si>
  <si>
    <t>Lahiff</t>
  </si>
  <si>
    <t>Lahiff M</t>
  </si>
  <si>
    <t>Naulago</t>
  </si>
  <si>
    <t>Naulago S</t>
  </si>
  <si>
    <t>Innard</t>
  </si>
  <si>
    <t>Johnson M</t>
  </si>
  <si>
    <t>Walsh</t>
  </si>
  <si>
    <t>Walsh J</t>
  </si>
  <si>
    <t xml:space="preserve">Last Season </t>
  </si>
  <si>
    <t>Craig</t>
  </si>
  <si>
    <t>Craig A</t>
  </si>
  <si>
    <t>Ford-Robinson</t>
  </si>
  <si>
    <t>Moyle</t>
  </si>
  <si>
    <t>Moyle K</t>
  </si>
  <si>
    <t>Reid J</t>
  </si>
  <si>
    <t>*Woodward with Bristol in 2016/17</t>
  </si>
  <si>
    <t>2013/14   (European Cup)</t>
  </si>
  <si>
    <t>Els</t>
  </si>
  <si>
    <t>Els J</t>
  </si>
  <si>
    <t>Kerrod</t>
  </si>
  <si>
    <t>Louw</t>
  </si>
  <si>
    <t>Louw W</t>
  </si>
  <si>
    <t>White A</t>
  </si>
  <si>
    <t>Heyes</t>
  </si>
  <si>
    <t>Heyes J</t>
  </si>
  <si>
    <t>Taute</t>
  </si>
  <si>
    <t>Taute J</t>
  </si>
  <si>
    <t>*Ford played for Bath from 2013/14-2016/17</t>
  </si>
  <si>
    <t>NEW</t>
  </si>
  <si>
    <t>Blamire</t>
  </si>
  <si>
    <t>Blamire J</t>
  </si>
  <si>
    <t>Brocklebank</t>
  </si>
  <si>
    <t>Brocklebank A</t>
  </si>
  <si>
    <t>Chick</t>
  </si>
  <si>
    <t>Chick C</t>
  </si>
  <si>
    <t>Collett C</t>
  </si>
  <si>
    <t>Collett</t>
  </si>
  <si>
    <t>Cooper</t>
  </si>
  <si>
    <t>Cooper K</t>
  </si>
  <si>
    <t>Maddison C</t>
  </si>
  <si>
    <t>McGuigan G</t>
  </si>
  <si>
    <t>Mulipola</t>
  </si>
  <si>
    <t>Mulipola L</t>
  </si>
  <si>
    <t>Peterson</t>
  </si>
  <si>
    <t>Peterson G</t>
  </si>
  <si>
    <t>Robinson</t>
  </si>
  <si>
    <t>Robinson S</t>
  </si>
  <si>
    <t>Tampin</t>
  </si>
  <si>
    <t>Connon</t>
  </si>
  <si>
    <t>Hodgson</t>
  </si>
  <si>
    <t>Radwan</t>
  </si>
  <si>
    <t>Stuart S</t>
  </si>
  <si>
    <t>Tait</t>
  </si>
  <si>
    <t>Tait A</t>
  </si>
  <si>
    <t>Tampin M</t>
  </si>
  <si>
    <t>van der Walt</t>
  </si>
  <si>
    <t>van der Walt P</t>
  </si>
  <si>
    <t>Welch</t>
  </si>
  <si>
    <t>Welch W</t>
  </si>
  <si>
    <t>Young M</t>
  </si>
  <si>
    <t>Connon B</t>
  </si>
  <si>
    <t>Hodgson J</t>
  </si>
  <si>
    <t>Radwan A</t>
  </si>
  <si>
    <t>Penny</t>
  </si>
  <si>
    <t>Penny T</t>
  </si>
  <si>
    <t>Tuilagi</t>
  </si>
  <si>
    <t>Wiese</t>
  </si>
  <si>
    <t>Wiese C</t>
  </si>
  <si>
    <t>Owlett</t>
  </si>
  <si>
    <t>Owlett J</t>
  </si>
  <si>
    <t>Porter</t>
  </si>
  <si>
    <t>Porter W</t>
  </si>
  <si>
    <t>Sirker</t>
  </si>
  <si>
    <t xml:space="preserve">2017/18 </t>
  </si>
  <si>
    <t xml:space="preserve">2016/17 </t>
  </si>
  <si>
    <t xml:space="preserve">2015/16 </t>
  </si>
  <si>
    <t>Hearle</t>
  </si>
  <si>
    <t>Montgomery</t>
  </si>
  <si>
    <t xml:space="preserve">Searle </t>
  </si>
  <si>
    <t>Stevenson</t>
  </si>
  <si>
    <t>Stevenson B</t>
  </si>
  <si>
    <t>Clare</t>
  </si>
  <si>
    <t>Clare C</t>
  </si>
  <si>
    <t>van Wyk K</t>
  </si>
  <si>
    <t>Wigglesworth</t>
  </si>
  <si>
    <t>Wigglesworth R</t>
  </si>
  <si>
    <t>Graham</t>
  </si>
  <si>
    <t>Isiekwe</t>
  </si>
  <si>
    <t>Isiekwe N</t>
  </si>
  <si>
    <t>Odogwu</t>
  </si>
  <si>
    <t>Odogwu P</t>
  </si>
  <si>
    <t>Graham G</t>
  </si>
  <si>
    <t>Singleton J</t>
  </si>
  <si>
    <t>Green C</t>
  </si>
  <si>
    <t>Fuser</t>
  </si>
  <si>
    <t>Fuser M</t>
  </si>
  <si>
    <t>Wacokecoke</t>
  </si>
  <si>
    <t>Wacokecoke G</t>
  </si>
  <si>
    <t>Nagle-Taylor</t>
  </si>
  <si>
    <t>Nagle-Taylor S</t>
  </si>
  <si>
    <t>Atkinson C</t>
  </si>
  <si>
    <t>James</t>
  </si>
  <si>
    <t>James T</t>
  </si>
  <si>
    <t>Basham</t>
  </si>
  <si>
    <t>Basham J</t>
  </si>
  <si>
    <t>Brink</t>
  </si>
  <si>
    <t>Brink C</t>
  </si>
  <si>
    <t>Kelly</t>
  </si>
  <si>
    <t>Kelly D</t>
  </si>
  <si>
    <t>Murimurivalu</t>
  </si>
  <si>
    <t>Murimurivalu K</t>
  </si>
  <si>
    <t>Cokanasiga P</t>
  </si>
  <si>
    <t>Stokes</t>
  </si>
  <si>
    <t>Stokes J</t>
  </si>
  <si>
    <t xml:space="preserve">*Searle </t>
  </si>
  <si>
    <t>*Searle</t>
  </si>
  <si>
    <t>Spencer 7/8 in Prem, 3/5 Champs Cup &amp; 5/6 Prem Cup for Saracens in 2019/20</t>
  </si>
  <si>
    <t>Kloska</t>
  </si>
  <si>
    <t>Kloska G</t>
  </si>
  <si>
    <t>Orlando</t>
  </si>
  <si>
    <t>Orlando M</t>
  </si>
  <si>
    <t>Evans W</t>
  </si>
  <si>
    <t>Lynagh</t>
  </si>
  <si>
    <t>Lynagh L</t>
  </si>
  <si>
    <t>Matavesi S</t>
  </si>
  <si>
    <t>*Spencer for Saracens, Redpath for Sale &amp; Schoeman for Cheetahs (P14) in previous seasons</t>
  </si>
  <si>
    <t>Schoeman T</t>
  </si>
  <si>
    <t>Montoya</t>
  </si>
  <si>
    <t>Montoya J</t>
  </si>
  <si>
    <t>Wiese J</t>
  </si>
  <si>
    <t>Morris O</t>
  </si>
  <si>
    <t>Carreras</t>
  </si>
  <si>
    <t>Carreras S</t>
  </si>
  <si>
    <t>Esterhuizen</t>
  </si>
  <si>
    <t>Esterhuizen A</t>
  </si>
  <si>
    <t>van Poortvliet</t>
  </si>
  <si>
    <t>Martin</t>
  </si>
  <si>
    <t xml:space="preserve">van Poortvliet J </t>
  </si>
  <si>
    <t>Martin G</t>
  </si>
  <si>
    <t>Rodd</t>
  </si>
  <si>
    <t>Rodd B</t>
  </si>
  <si>
    <t>Green T</t>
  </si>
  <si>
    <t>Freeman</t>
  </si>
  <si>
    <t>Freeman T</t>
  </si>
  <si>
    <t>Chessum</t>
  </si>
  <si>
    <t>Chessum O</t>
  </si>
  <si>
    <t>de Jager</t>
  </si>
  <si>
    <t>de Jager L</t>
  </si>
  <si>
    <t>Socino</t>
  </si>
  <si>
    <t>Socino S</t>
  </si>
  <si>
    <t>Davison</t>
  </si>
  <si>
    <t>Davison T</t>
  </si>
  <si>
    <t>Bailey</t>
  </si>
  <si>
    <t>Bailey O</t>
  </si>
  <si>
    <t>Batley</t>
  </si>
  <si>
    <t>Batley J</t>
  </si>
  <si>
    <t>Smith F</t>
  </si>
  <si>
    <t>Harding</t>
  </si>
  <si>
    <t>Harding F</t>
  </si>
  <si>
    <t>Quirke</t>
  </si>
  <si>
    <t>Quirke R</t>
  </si>
  <si>
    <t>du Toit</t>
  </si>
  <si>
    <t>du Toit Q</t>
  </si>
  <si>
    <t>Porter G</t>
  </si>
  <si>
    <t>Moroni</t>
  </si>
  <si>
    <t>Moroni M</t>
  </si>
  <si>
    <t>Kenningham</t>
  </si>
  <si>
    <t>Kenningham J</t>
  </si>
  <si>
    <t>Doherty</t>
  </si>
  <si>
    <t>Doherty C</t>
  </si>
  <si>
    <t>Schreduer</t>
  </si>
  <si>
    <t>Schreuder</t>
  </si>
  <si>
    <t>Schreuder L</t>
  </si>
  <si>
    <t>du Preez, JP</t>
  </si>
  <si>
    <t>du Preez JP</t>
  </si>
  <si>
    <t>Edwards</t>
  </si>
  <si>
    <t>Edwards W</t>
  </si>
  <si>
    <t>Swinson</t>
  </si>
  <si>
    <t>Maitland</t>
  </si>
  <si>
    <t>Lewington</t>
  </si>
  <si>
    <t>Obatoyinbo</t>
  </si>
  <si>
    <t>Wray</t>
  </si>
  <si>
    <t>Segun</t>
  </si>
  <si>
    <t>George</t>
  </si>
  <si>
    <t>Hunter-Hill</t>
  </si>
  <si>
    <t>Adams-Hale</t>
  </si>
  <si>
    <t>Christie</t>
  </si>
  <si>
    <t>Itoje</t>
  </si>
  <si>
    <t>Vunipola B</t>
  </si>
  <si>
    <t>Davies</t>
  </si>
  <si>
    <t>Whiteley</t>
  </si>
  <si>
    <t>Woolstencroft</t>
  </si>
  <si>
    <t>Farrell</t>
  </si>
  <si>
    <t>Koch</t>
  </si>
  <si>
    <t>Tompkins</t>
  </si>
  <si>
    <t>Mawi</t>
  </si>
  <si>
    <t>Goode</t>
  </si>
  <si>
    <t>Daly</t>
  </si>
  <si>
    <t>Vunipola, Manu</t>
  </si>
  <si>
    <t>Vunipola, Mako</t>
  </si>
  <si>
    <t>BATH 2021/22 SCORERS</t>
  </si>
  <si>
    <t>BRISTOL 2021/22 SCORERS</t>
  </si>
  <si>
    <t>EXETER 2021/22 SCORERS</t>
  </si>
  <si>
    <t>GLOUCESTER 2021/22 SCORERS</t>
  </si>
  <si>
    <t>HARLEQUINS 2021/22 SCORERS</t>
  </si>
  <si>
    <t>LEICESTER 2021/22 SCORERS</t>
  </si>
  <si>
    <t>LONDON IRISH 2021/22 SCORERS</t>
  </si>
  <si>
    <t>NEWCASTLE 2021/22 SCORERS</t>
  </si>
  <si>
    <t>NORTHAMPTON 2021/22 SCORERS</t>
  </si>
  <si>
    <t>SALE 2021/22 SCORERS</t>
  </si>
  <si>
    <t>WASPS 2021/22 SCORERS</t>
  </si>
  <si>
    <t>WORCESTER 2021/22 SCORERS</t>
  </si>
  <si>
    <t>Butt</t>
  </si>
  <si>
    <t>Butt W</t>
  </si>
  <si>
    <t>Cipriani</t>
  </si>
  <si>
    <t>Cipriani D</t>
  </si>
  <si>
    <t>Coetzee</t>
  </si>
  <si>
    <t>Coetzee J</t>
  </si>
  <si>
    <t>Cordwell</t>
  </si>
  <si>
    <t>Cordwell A</t>
  </si>
  <si>
    <t>Verden</t>
  </si>
  <si>
    <t>Verden K</t>
  </si>
  <si>
    <t>2019/20</t>
  </si>
  <si>
    <t>*Spencer B</t>
  </si>
  <si>
    <t>*Cipriani</t>
  </si>
  <si>
    <t>*Cipriani previous seasons with Wasps, Sale &amp; Gloucester</t>
  </si>
  <si>
    <t>*Redpath</t>
  </si>
  <si>
    <t>Ascherl</t>
  </si>
  <si>
    <t>Ascherl H</t>
  </si>
  <si>
    <t>Frisch</t>
  </si>
  <si>
    <t>Frisch A</t>
  </si>
  <si>
    <t>Jeffries</t>
  </si>
  <si>
    <t>Jeffries S</t>
  </si>
  <si>
    <t>Kerr</t>
  </si>
  <si>
    <t>Kerr J</t>
  </si>
  <si>
    <t>Piutau</t>
  </si>
  <si>
    <t>Wilstead</t>
  </si>
  <si>
    <t>Whiteley T</t>
  </si>
  <si>
    <t>Wilstead T</t>
  </si>
  <si>
    <t>de Haas</t>
  </si>
  <si>
    <t>van Zyl</t>
  </si>
  <si>
    <t>Riccioni</t>
  </si>
  <si>
    <t>McFarland</t>
  </si>
  <si>
    <t>Clarey</t>
  </si>
  <si>
    <t>Lozowski</t>
  </si>
  <si>
    <t>Earl</t>
  </si>
  <si>
    <t>Pifeleti</t>
  </si>
  <si>
    <t>Malins</t>
  </si>
  <si>
    <t>Barrington</t>
  </si>
  <si>
    <t>SAR</t>
  </si>
  <si>
    <t>Adams-Hale R</t>
  </si>
  <si>
    <t>Barrington R</t>
  </si>
  <si>
    <t>Christie A</t>
  </si>
  <si>
    <t>Clarey A</t>
  </si>
  <si>
    <t>Daly E</t>
  </si>
  <si>
    <t>Davies A</t>
  </si>
  <si>
    <t>de Haas R</t>
  </si>
  <si>
    <t>Farrell O</t>
  </si>
  <si>
    <t>George J</t>
  </si>
  <si>
    <t>Goode A</t>
  </si>
  <si>
    <t>Hunter-Hill C</t>
  </si>
  <si>
    <t>Itoje M</t>
  </si>
  <si>
    <t>Koch V</t>
  </si>
  <si>
    <t>Lewington A</t>
  </si>
  <si>
    <t>Lewis E</t>
  </si>
  <si>
    <t>Lozowski A</t>
  </si>
  <si>
    <t>Maitland S</t>
  </si>
  <si>
    <t>Mawi E</t>
  </si>
  <si>
    <t>McFarland T</t>
  </si>
  <si>
    <t>Morris D</t>
  </si>
  <si>
    <t>Obatoyinbo E</t>
  </si>
  <si>
    <t>Pifeleti K</t>
  </si>
  <si>
    <t>Reffell S</t>
  </si>
  <si>
    <t>Riccioni M</t>
  </si>
  <si>
    <t>Segun R</t>
  </si>
  <si>
    <t>Swinson T</t>
  </si>
  <si>
    <t>Taylor D</t>
  </si>
  <si>
    <t>Tompkins N</t>
  </si>
  <si>
    <t>van Zyl I</t>
  </si>
  <si>
    <t>Venter J</t>
  </si>
  <si>
    <t>Woolstencroft T</t>
  </si>
  <si>
    <t>Wray J</t>
  </si>
  <si>
    <t>*Daly</t>
  </si>
  <si>
    <t>Vunipola, Mu</t>
  </si>
  <si>
    <t>PC</t>
  </si>
  <si>
    <t>Iosefa-Scott</t>
  </si>
  <si>
    <t>Iosefa-Scott J</t>
  </si>
  <si>
    <t>O'Brien</t>
  </si>
  <si>
    <t>O'Brien S</t>
  </si>
  <si>
    <t>Nixon</t>
  </si>
  <si>
    <t>Nixon S</t>
  </si>
  <si>
    <t>Burns</t>
  </si>
  <si>
    <t>Burns F</t>
  </si>
  <si>
    <t>Dolly</t>
  </si>
  <si>
    <t>Dolly N</t>
  </si>
  <si>
    <t>Hegarty</t>
  </si>
  <si>
    <t>Hegarty B</t>
  </si>
  <si>
    <t>Hurd</t>
  </si>
  <si>
    <t>Hurd W</t>
  </si>
  <si>
    <t>Lancaster</t>
  </si>
  <si>
    <t>Lancaster D</t>
  </si>
  <si>
    <t>Richardson</t>
  </si>
  <si>
    <t>Saumaki</t>
  </si>
  <si>
    <t>Richardson D</t>
  </si>
  <si>
    <t>Saumaki H</t>
  </si>
  <si>
    <t>Snyman</t>
  </si>
  <si>
    <t>Smith T</t>
  </si>
  <si>
    <t>Snyman E</t>
  </si>
  <si>
    <t>Socino J P</t>
  </si>
  <si>
    <t>van Staden</t>
  </si>
  <si>
    <t>van Staden M</t>
  </si>
  <si>
    <t>Whitcombe</t>
  </si>
  <si>
    <t>Whitcombe J</t>
  </si>
  <si>
    <t>*Burns</t>
  </si>
  <si>
    <t>*Burns for Bath (2017-20) &amp; Gloucester (2007-14)</t>
  </si>
  <si>
    <t>Burrell</t>
  </si>
  <si>
    <t>Burrell L</t>
  </si>
  <si>
    <t>Carreras M</t>
  </si>
  <si>
    <t>Dalton</t>
  </si>
  <si>
    <t>Dalton M</t>
  </si>
  <si>
    <t>Farrar</t>
  </si>
  <si>
    <t>Farrar R</t>
  </si>
  <si>
    <t>Fearns</t>
  </si>
  <si>
    <t>Fearns C</t>
  </si>
  <si>
    <t>Kenny</t>
  </si>
  <si>
    <t>Lindsay-Hague</t>
  </si>
  <si>
    <t>Lucock P</t>
  </si>
  <si>
    <t>Lucock</t>
  </si>
  <si>
    <t>Marshall T</t>
  </si>
  <si>
    <t>Merrick</t>
  </si>
  <si>
    <t>Merrick G</t>
  </si>
  <si>
    <t>Montgomery W</t>
  </si>
  <si>
    <t>Nordli-Kelemeti</t>
  </si>
  <si>
    <t>Nordli-Kelemeti C</t>
  </si>
  <si>
    <t>*Mulipola with Leicester before 2018/19</t>
  </si>
  <si>
    <t>*Mulipola</t>
  </si>
  <si>
    <t>Allan</t>
  </si>
  <si>
    <t>Allan T</t>
  </si>
  <si>
    <t>Jones</t>
  </si>
  <si>
    <t>Jones H</t>
  </si>
  <si>
    <t>Scotland-W'son</t>
  </si>
  <si>
    <t>Scotland-Williamson C</t>
  </si>
  <si>
    <t>*Allan</t>
  </si>
  <si>
    <t>*Allan for Benetton (PRO14) before this season</t>
  </si>
  <si>
    <t xml:space="preserve">*Daly for Wasps before last season </t>
  </si>
  <si>
    <t>*Devoto for Bath in 2014/15, Hogg for Glasgow before 2019/20</t>
  </si>
  <si>
    <t>Auterac</t>
  </si>
  <si>
    <t>*Williams</t>
  </si>
  <si>
    <t>*Williams for Leicester before 17/18, for Gloucester 18/19 &amp; 19/20</t>
  </si>
  <si>
    <t>*Searle for Wasps before 19/20</t>
  </si>
  <si>
    <t>Williams O</t>
  </si>
  <si>
    <t>*Jackson for Perpignan (Top 14) 2018/19 &amp; Ulster (PRO rugby) before 2018/19</t>
  </si>
  <si>
    <t>*Miller</t>
  </si>
  <si>
    <t>* Miller for Sale before 2013/14</t>
  </si>
  <si>
    <t>Stephens</t>
  </si>
  <si>
    <t>Haydon-Wood</t>
  </si>
  <si>
    <t>Stephens I</t>
  </si>
  <si>
    <t>Haydon-Wood W</t>
  </si>
  <si>
    <t>Auterac N</t>
  </si>
  <si>
    <t>Clement</t>
  </si>
  <si>
    <t>Clement J</t>
  </si>
  <si>
    <t>Hastings</t>
  </si>
  <si>
    <t>Hastings A</t>
  </si>
  <si>
    <t>*Hastings</t>
  </si>
  <si>
    <t>*Hastings for Glasgow (PRO14) 2017/18-2020/21 &amp; Bath 2016/17</t>
  </si>
  <si>
    <t>Ojomoh</t>
  </si>
  <si>
    <t>Tuima</t>
  </si>
  <si>
    <t>Tuima R</t>
  </si>
  <si>
    <t>Thomas</t>
  </si>
  <si>
    <t>Thomas M</t>
  </si>
  <si>
    <t>Chudley</t>
  </si>
  <si>
    <t>Crossdale</t>
  </si>
  <si>
    <t>Crossdale A</t>
  </si>
  <si>
    <t>Frost</t>
  </si>
  <si>
    <t>Frost D</t>
  </si>
  <si>
    <t>White B</t>
  </si>
  <si>
    <t>Ojomoh M</t>
  </si>
  <si>
    <t>CHAMPIONSHIP</t>
  </si>
  <si>
    <t>Hatherell</t>
  </si>
  <si>
    <t>Hatherell K</t>
  </si>
  <si>
    <t>Hastings got to 21 successful kcisk in a row in all comps between May &amp; Oct 2021</t>
  </si>
  <si>
    <t>Ashman</t>
  </si>
  <si>
    <t>Ashman E</t>
  </si>
  <si>
    <t>H'don-Wood</t>
  </si>
  <si>
    <t>Warr</t>
  </si>
  <si>
    <t>Warr G</t>
  </si>
  <si>
    <t>Curtis-Harris</t>
  </si>
  <si>
    <t>Curtis-Harris I</t>
  </si>
  <si>
    <t>*Qual 10 attempts</t>
  </si>
  <si>
    <t>Skosan</t>
  </si>
  <si>
    <t>Skosan C</t>
  </si>
  <si>
    <t>Janse v Rensburg</t>
  </si>
  <si>
    <t>Janse van Rensburg B</t>
  </si>
  <si>
    <t>Farrell slotted 22 consecutive kicks between Oct 2 &amp; 24</t>
  </si>
  <si>
    <t>van der Merwe</t>
  </si>
  <si>
    <t>van der Merwe D</t>
  </si>
  <si>
    <t>Willemse</t>
  </si>
  <si>
    <t>Willemse M</t>
  </si>
  <si>
    <t>Rowe</t>
  </si>
  <si>
    <t>Rowe K</t>
  </si>
  <si>
    <t>Fifita</t>
  </si>
  <si>
    <t>Fifita V</t>
  </si>
  <si>
    <t>Tizard</t>
  </si>
  <si>
    <t>Tizard H</t>
  </si>
  <si>
    <t>Cowan-Dickie T</t>
  </si>
  <si>
    <t>Jennings</t>
  </si>
  <si>
    <t>Jennings R</t>
  </si>
  <si>
    <t>*Jennings</t>
  </si>
  <si>
    <t>*Jennings for Clermont last season (Top 14) &amp; Bath in 2014/15</t>
  </si>
  <si>
    <t>Davidson</t>
  </si>
  <si>
    <t>Davidson A</t>
  </si>
  <si>
    <t>Worboys</t>
  </si>
  <si>
    <t>Worboys G</t>
  </si>
  <si>
    <t>Jurevicius</t>
  </si>
  <si>
    <t>Jurevicius M</t>
  </si>
  <si>
    <t>Benson</t>
  </si>
  <si>
    <t>Benson J</t>
  </si>
  <si>
    <t>Duncan</t>
  </si>
  <si>
    <t>Duncan M</t>
  </si>
  <si>
    <t>Dugdale</t>
  </si>
  <si>
    <t>Dugdale S</t>
  </si>
  <si>
    <t>Van Vuuren</t>
  </si>
  <si>
    <t>Van Vuuren M</t>
  </si>
  <si>
    <t>Tunney</t>
  </si>
  <si>
    <t>Tunney J</t>
  </si>
  <si>
    <t>Hartley</t>
  </si>
  <si>
    <t>Hartley O</t>
  </si>
  <si>
    <t>Mathews</t>
  </si>
  <si>
    <t>Mathews T</t>
  </si>
  <si>
    <t>Litchfield</t>
  </si>
  <si>
    <t>Hendy</t>
  </si>
  <si>
    <t>Litchfield T</t>
  </si>
  <si>
    <t>Hendy G</t>
  </si>
  <si>
    <t>Munga</t>
  </si>
  <si>
    <t>Munga C</t>
  </si>
  <si>
    <t>O'Sullivan</t>
  </si>
  <si>
    <t>O'Sullivan H</t>
  </si>
  <si>
    <t>Anyanwu</t>
  </si>
  <si>
    <t>Wallace</t>
  </si>
  <si>
    <t>Wallace L</t>
  </si>
  <si>
    <t>Redmond</t>
  </si>
  <si>
    <t>Redmond C</t>
  </si>
  <si>
    <t>Metcalf</t>
  </si>
  <si>
    <t>Metcalf J</t>
  </si>
  <si>
    <t>Birch</t>
  </si>
  <si>
    <t>Birch R</t>
  </si>
  <si>
    <t>Morgan A</t>
  </si>
  <si>
    <t>Taylor H</t>
  </si>
  <si>
    <t>Reeves</t>
  </si>
  <si>
    <t>Reeves J</t>
  </si>
  <si>
    <t>Relton</t>
  </si>
  <si>
    <t>Relton A</t>
  </si>
  <si>
    <t>Dodd</t>
  </si>
  <si>
    <t>Dodd T</t>
  </si>
  <si>
    <t>Johnson J</t>
  </si>
  <si>
    <t>Doel</t>
  </si>
  <si>
    <t>Doel H</t>
  </si>
  <si>
    <t>Strang</t>
  </si>
  <si>
    <t>Strang T</t>
  </si>
  <si>
    <t>Salomon</t>
  </si>
  <si>
    <t>Salomon J-B</t>
  </si>
  <si>
    <t>*Sch'man T</t>
  </si>
  <si>
    <t>Beard</t>
  </si>
  <si>
    <t>Beard O</t>
  </si>
  <si>
    <t>Simmons R</t>
  </si>
  <si>
    <t>Augustus</t>
  </si>
  <si>
    <t>Augustus J</t>
  </si>
  <si>
    <t>Jordan</t>
  </si>
  <si>
    <t>Jordan C</t>
  </si>
  <si>
    <t>Cracknell</t>
  </si>
  <si>
    <t>Cracknell O</t>
  </si>
  <si>
    <t>Meehan</t>
  </si>
  <si>
    <t>Meehan B</t>
  </si>
  <si>
    <t>McElroy</t>
  </si>
  <si>
    <t>McElroy T</t>
  </si>
  <si>
    <t>Owen</t>
  </si>
  <si>
    <t>Owen K</t>
  </si>
  <si>
    <t>Holsey L</t>
  </si>
  <si>
    <t>Holsey</t>
  </si>
  <si>
    <t>Blake</t>
  </si>
  <si>
    <t>Blake S</t>
  </si>
  <si>
    <t>Bailey 15 successful Prem kicks in a row (Oct 23 2021 - Jan 9 2022)</t>
  </si>
  <si>
    <t>Jonker</t>
  </si>
  <si>
    <t>Jonker J</t>
  </si>
  <si>
    <t>Taulani</t>
  </si>
  <si>
    <t>Taulani V</t>
  </si>
  <si>
    <t>Gonzalez</t>
  </si>
  <si>
    <t>Gonzalez J M</t>
  </si>
  <si>
    <t>Arundel H</t>
  </si>
  <si>
    <t>Beaton</t>
  </si>
  <si>
    <t>Beaton H</t>
  </si>
  <si>
    <t>Hammond</t>
  </si>
  <si>
    <t>Hammond G</t>
  </si>
  <si>
    <t>Schickerling</t>
  </si>
  <si>
    <t>Schickerling P</t>
  </si>
  <si>
    <t>Sutherland</t>
  </si>
  <si>
    <t>Sutherland R</t>
  </si>
  <si>
    <t>Biggar slotted 14 Prem &amp; 18 AC in a row Dec 4 - Jan 29</t>
  </si>
  <si>
    <t>Stooke</t>
  </si>
  <si>
    <t>Stooke E</t>
  </si>
  <si>
    <t>*Whiteley</t>
  </si>
  <si>
    <t>*Whiteley for Saracens before this season</t>
  </si>
  <si>
    <t>Pearson</t>
  </si>
  <si>
    <t>Pearson L</t>
  </si>
  <si>
    <t>Challenger</t>
  </si>
  <si>
    <t>Challenger A</t>
  </si>
  <si>
    <t>Pearson T</t>
  </si>
  <si>
    <t>Prydie</t>
  </si>
  <si>
    <t>Prydie T</t>
  </si>
  <si>
    <t>Wilkins</t>
  </si>
  <si>
    <t>Wilkins K</t>
  </si>
  <si>
    <t>Toomaga-Allen</t>
  </si>
  <si>
    <t>Englefield C</t>
  </si>
  <si>
    <t>Toomaga-Allen J</t>
  </si>
  <si>
    <t>Arundell</t>
  </si>
  <si>
    <t>Atkinson S</t>
  </si>
  <si>
    <t>Burns slotted 17 kicks in a row (Prem &amp; AC) Jan-Feb</t>
  </si>
  <si>
    <t>Elrington</t>
  </si>
  <si>
    <t>Elrington H</t>
  </si>
  <si>
    <t>Richards</t>
  </si>
  <si>
    <t>Richards E</t>
  </si>
  <si>
    <t>Cinti</t>
  </si>
  <si>
    <t>Cinti L</t>
  </si>
  <si>
    <t>Janse v Rensburg B</t>
  </si>
  <si>
    <t>Grondona</t>
  </si>
  <si>
    <t>Grondona S</t>
  </si>
  <si>
    <t>Norey</t>
  </si>
  <si>
    <t>Norey M</t>
  </si>
  <si>
    <t>Ashton</t>
  </si>
  <si>
    <t>Ashton C</t>
  </si>
  <si>
    <t>Hillman-Cooper</t>
  </si>
  <si>
    <t>Hillman-Cooper L</t>
  </si>
  <si>
    <t>Walker J</t>
  </si>
  <si>
    <t>Lane</t>
  </si>
  <si>
    <t>Lane R</t>
  </si>
  <si>
    <t>Lloyd J</t>
  </si>
  <si>
    <t>Graham M</t>
  </si>
  <si>
    <t>Reid N</t>
  </si>
  <si>
    <t>*Reid</t>
  </si>
  <si>
    <t>*Reid for Agen last season, Leicester 2019/20 &amp; 2018/19</t>
  </si>
  <si>
    <t>Gjaltema</t>
  </si>
  <si>
    <t>Gjaltema L</t>
  </si>
  <si>
    <t>Kerr Z</t>
  </si>
  <si>
    <t>Smith R</t>
  </si>
  <si>
    <t>Vanes</t>
  </si>
  <si>
    <t>Vanes A</t>
  </si>
  <si>
    <t>*Socino</t>
  </si>
  <si>
    <t>*Socino for Newcastle before 2018/19 &amp; Edinburgh (PRO14) 2018/19</t>
  </si>
  <si>
    <t>Vukasinovic</t>
  </si>
  <si>
    <t>Vukasinovic T</t>
  </si>
  <si>
    <t>Carr</t>
  </si>
  <si>
    <t>Chawatawa L</t>
  </si>
  <si>
    <t>Carr N</t>
  </si>
  <si>
    <t>Hougaard</t>
  </si>
  <si>
    <t>Hougaard F</t>
  </si>
  <si>
    <t>Jackson B</t>
  </si>
  <si>
    <t>Carpenter</t>
  </si>
  <si>
    <t>Harper</t>
  </si>
  <si>
    <t>Bryan</t>
  </si>
  <si>
    <t>Adejimi</t>
  </si>
  <si>
    <t>Bryan S</t>
  </si>
  <si>
    <t>Adejimi S</t>
  </si>
  <si>
    <t>Carpenter J</t>
  </si>
  <si>
    <t>Harper J</t>
  </si>
  <si>
    <t>Tonks</t>
  </si>
  <si>
    <t>Garside J</t>
  </si>
  <si>
    <t>Brooke</t>
  </si>
  <si>
    <t>Brooke L</t>
  </si>
  <si>
    <t>Cleaves</t>
  </si>
  <si>
    <t>Cleaves C</t>
  </si>
  <si>
    <t>Thomas F</t>
  </si>
  <si>
    <t>Bartlett</t>
  </si>
  <si>
    <t>Bartlett J</t>
  </si>
  <si>
    <t>Tiffen</t>
  </si>
  <si>
    <t>Tiffen M</t>
  </si>
  <si>
    <t>Maunder S</t>
  </si>
  <si>
    <t>Joseph W</t>
  </si>
  <si>
    <t>Stewart</t>
  </si>
  <si>
    <t>Stewart J</t>
  </si>
  <si>
    <t>Does not include 20 points allocated from a Cancelled match</t>
  </si>
  <si>
    <t>Edwards S</t>
  </si>
  <si>
    <t>Mehson</t>
  </si>
  <si>
    <t>Mehson L</t>
  </si>
  <si>
    <t>Harding B</t>
  </si>
  <si>
    <t>Youngs</t>
  </si>
  <si>
    <t>Kenny J</t>
  </si>
  <si>
    <t>Excludes Tries</t>
  </si>
  <si>
    <t>SARACENS 2021/22 SCORERS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</si>
</sst>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1"/>
      <color rgb="FFE2AC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7" tint="0.59999389629810485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2"/>
      <color theme="4" tint="0.3999755851924192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2"/>
      <color theme="6" tint="0.79998168889431442"/>
      <name val="Calibri"/>
      <family val="2"/>
      <scheme val="minor"/>
    </font>
    <font>
      <b/>
      <sz val="11"/>
      <color theme="6" tint="0.7999816888943144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b/>
      <sz val="11"/>
      <color theme="3" tint="0.79998168889431442"/>
      <name val="Calibri"/>
      <family val="2"/>
      <scheme val="minor"/>
    </font>
    <font>
      <b/>
      <sz val="12"/>
      <color rgb="FFA6A6A6"/>
      <name val="Calibri"/>
      <family val="2"/>
      <scheme val="minor"/>
    </font>
    <font>
      <b/>
      <sz val="11"/>
      <color rgb="FFA6A6A6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sz val="1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133926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6294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74999237037263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33">
    <xf numFmtId="0" fontId="0" fillId="0" borderId="0" xfId="0"/>
    <xf numFmtId="0" fontId="8" fillId="4" borderId="4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right" vertical="center" wrapText="1"/>
    </xf>
    <xf numFmtId="0" fontId="8" fillId="0" borderId="0" xfId="0" applyFont="1"/>
    <xf numFmtId="0" fontId="15" fillId="3" borderId="4" xfId="0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/>
    <xf numFmtId="0" fontId="10" fillId="7" borderId="3" xfId="0" applyFont="1" applyFill="1" applyBorder="1"/>
    <xf numFmtId="0" fontId="2" fillId="7" borderId="2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top" wrapText="1"/>
    </xf>
    <xf numFmtId="0" fontId="14" fillId="7" borderId="0" xfId="0" applyFont="1" applyFill="1" applyAlignment="1">
      <alignment vertical="center"/>
    </xf>
    <xf numFmtId="0" fontId="19" fillId="2" borderId="4" xfId="0" applyFont="1" applyFill="1" applyBorder="1" applyAlignment="1">
      <alignment horizontal="right" vertical="center" wrapText="1"/>
    </xf>
    <xf numFmtId="0" fontId="13" fillId="8" borderId="3" xfId="0" applyFont="1" applyFill="1" applyBorder="1" applyAlignment="1">
      <alignment vertical="center" wrapText="1"/>
    </xf>
    <xf numFmtId="0" fontId="10" fillId="4" borderId="4" xfId="0" applyFont="1" applyFill="1" applyBorder="1"/>
    <xf numFmtId="0" fontId="10" fillId="4" borderId="3" xfId="0" applyFont="1" applyFill="1" applyBorder="1"/>
    <xf numFmtId="0" fontId="10" fillId="4" borderId="1" xfId="0" applyFont="1" applyFill="1" applyBorder="1" applyAlignment="1">
      <alignment horizontal="right" vertical="center" wrapText="1"/>
    </xf>
    <xf numFmtId="0" fontId="10" fillId="4" borderId="1" xfId="0" applyFont="1" applyFill="1" applyBorder="1"/>
    <xf numFmtId="0" fontId="8" fillId="4" borderId="1" xfId="0" applyFont="1" applyFill="1" applyBorder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/>
    <xf numFmtId="0" fontId="10" fillId="4" borderId="6" xfId="0" applyFont="1" applyFill="1" applyBorder="1"/>
    <xf numFmtId="0" fontId="2" fillId="4" borderId="2" xfId="0" applyFont="1" applyFill="1" applyBorder="1" applyAlignment="1">
      <alignment vertical="center" wrapText="1"/>
    </xf>
    <xf numFmtId="1" fontId="15" fillId="2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7" fillId="4" borderId="2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horizontal="right" vertical="center" wrapText="1"/>
    </xf>
    <xf numFmtId="0" fontId="7" fillId="9" borderId="1" xfId="0" applyFont="1" applyFill="1" applyBorder="1" applyAlignment="1">
      <alignment horizontal="right" vertical="center" wrapText="1"/>
    </xf>
    <xf numFmtId="0" fontId="8" fillId="9" borderId="1" xfId="0" applyFont="1" applyFill="1" applyBorder="1"/>
    <xf numFmtId="1" fontId="8" fillId="9" borderId="1" xfId="0" applyNumberFormat="1" applyFont="1" applyFill="1" applyBorder="1"/>
    <xf numFmtId="0" fontId="7" fillId="7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5" fillId="7" borderId="0" xfId="0" applyFont="1" applyFill="1"/>
    <xf numFmtId="0" fontId="0" fillId="7" borderId="8" xfId="0" applyFill="1" applyBorder="1"/>
    <xf numFmtId="0" fontId="3" fillId="7" borderId="0" xfId="0" applyFont="1" applyFill="1"/>
    <xf numFmtId="0" fontId="0" fillId="7" borderId="0" xfId="0" applyFill="1"/>
    <xf numFmtId="0" fontId="5" fillId="7" borderId="8" xfId="0" applyFont="1" applyFill="1" applyBorder="1"/>
    <xf numFmtId="0" fontId="0" fillId="0" borderId="8" xfId="0" applyBorder="1"/>
    <xf numFmtId="0" fontId="1" fillId="7" borderId="8" xfId="0" applyFont="1" applyFill="1" applyBorder="1" applyAlignment="1">
      <alignment vertical="center" wrapText="1"/>
    </xf>
    <xf numFmtId="0" fontId="20" fillId="7" borderId="8" xfId="0" applyFont="1" applyFill="1" applyBorder="1" applyAlignment="1">
      <alignment horizontal="right" vertical="center" wrapText="1"/>
    </xf>
    <xf numFmtId="0" fontId="2" fillId="7" borderId="8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/>
    </xf>
    <xf numFmtId="1" fontId="13" fillId="3" borderId="4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0" fillId="7" borderId="0" xfId="0" applyFont="1" applyFill="1" applyAlignment="1">
      <alignment vertical="center" wrapText="1"/>
    </xf>
    <xf numFmtId="0" fontId="9" fillId="7" borderId="0" xfId="0" applyFont="1" applyFill="1" applyAlignment="1">
      <alignment horizontal="right" vertical="center" wrapText="1"/>
    </xf>
    <xf numFmtId="0" fontId="8" fillId="7" borderId="0" xfId="0" applyFont="1" applyFill="1" applyAlignment="1">
      <alignment horizontal="right" vertical="center" wrapText="1"/>
    </xf>
    <xf numFmtId="0" fontId="9" fillId="7" borderId="8" xfId="0" applyFont="1" applyFill="1" applyBorder="1" applyAlignment="1">
      <alignment horizontal="right" vertical="center" wrapText="1"/>
    </xf>
    <xf numFmtId="0" fontId="5" fillId="0" borderId="0" xfId="0" applyFont="1"/>
    <xf numFmtId="0" fontId="16" fillId="7" borderId="0" xfId="0" applyFont="1" applyFill="1" applyAlignment="1">
      <alignment vertical="center" wrapText="1"/>
    </xf>
    <xf numFmtId="0" fontId="21" fillId="3" borderId="3" xfId="0" applyFont="1" applyFill="1" applyBorder="1" applyAlignment="1">
      <alignment vertical="center" wrapText="1"/>
    </xf>
    <xf numFmtId="0" fontId="8" fillId="7" borderId="1" xfId="0" applyFont="1" applyFill="1" applyBorder="1"/>
    <xf numFmtId="0" fontId="10" fillId="9" borderId="1" xfId="0" applyFont="1" applyFill="1" applyBorder="1"/>
    <xf numFmtId="0" fontId="19" fillId="2" borderId="3" xfId="0" applyFont="1" applyFill="1" applyBorder="1" applyAlignment="1">
      <alignment vertical="center" wrapText="1"/>
    </xf>
    <xf numFmtId="0" fontId="18" fillId="7" borderId="0" xfId="0" applyFont="1" applyFill="1"/>
    <xf numFmtId="0" fontId="18" fillId="7" borderId="0" xfId="0" applyFont="1" applyFill="1" applyAlignment="1">
      <alignment horizontal="right" vertical="center" wrapText="1"/>
    </xf>
    <xf numFmtId="0" fontId="12" fillId="7" borderId="0" xfId="0" applyFont="1" applyFill="1" applyAlignment="1">
      <alignment horizontal="right" vertical="center" wrapText="1"/>
    </xf>
    <xf numFmtId="0" fontId="12" fillId="7" borderId="12" xfId="0" applyFont="1" applyFill="1" applyBorder="1" applyAlignment="1">
      <alignment horizontal="right" vertical="center" wrapText="1"/>
    </xf>
    <xf numFmtId="1" fontId="12" fillId="7" borderId="0" xfId="0" applyNumberFormat="1" applyFont="1" applyFill="1" applyAlignment="1">
      <alignment horizontal="right" vertical="center" wrapText="1"/>
    </xf>
    <xf numFmtId="0" fontId="3" fillId="7" borderId="8" xfId="0" applyFont="1" applyFill="1" applyBorder="1"/>
    <xf numFmtId="0" fontId="12" fillId="7" borderId="12" xfId="0" applyFont="1" applyFill="1" applyBorder="1" applyAlignment="1">
      <alignment vertical="center" wrapText="1"/>
    </xf>
    <xf numFmtId="0" fontId="18" fillId="7" borderId="5" xfId="0" applyFont="1" applyFill="1" applyBorder="1"/>
    <xf numFmtId="1" fontId="18" fillId="7" borderId="0" xfId="0" applyNumberFormat="1" applyFont="1" applyFill="1" applyAlignment="1">
      <alignment horizontal="right" vertical="center" wrapText="1"/>
    </xf>
    <xf numFmtId="0" fontId="0" fillId="0" borderId="12" xfId="0" applyBorder="1"/>
    <xf numFmtId="0" fontId="11" fillId="7" borderId="5" xfId="0" applyFont="1" applyFill="1" applyBorder="1" applyAlignment="1">
      <alignment vertical="center" wrapText="1"/>
    </xf>
    <xf numFmtId="0" fontId="11" fillId="7" borderId="5" xfId="0" applyFont="1" applyFill="1" applyBorder="1" applyAlignment="1">
      <alignment horizontal="right" vertical="center" wrapText="1"/>
    </xf>
    <xf numFmtId="1" fontId="11" fillId="7" borderId="5" xfId="0" applyNumberFormat="1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0" fillId="7" borderId="3" xfId="0" applyFont="1" applyFill="1" applyBorder="1" applyAlignment="1">
      <alignment vertical="center" wrapText="1"/>
    </xf>
    <xf numFmtId="0" fontId="16" fillId="7" borderId="8" xfId="0" applyFont="1" applyFill="1" applyBorder="1"/>
    <xf numFmtId="0" fontId="16" fillId="7" borderId="0" xfId="0" applyFont="1" applyFill="1"/>
    <xf numFmtId="0" fontId="15" fillId="10" borderId="4" xfId="0" applyFont="1" applyFill="1" applyBorder="1" applyAlignment="1">
      <alignment horizontal="right" vertical="center" wrapText="1"/>
    </xf>
    <xf numFmtId="0" fontId="21" fillId="10" borderId="4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vertical="center"/>
    </xf>
    <xf numFmtId="0" fontId="22" fillId="3" borderId="6" xfId="0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5" fillId="0" borderId="8" xfId="0" applyFont="1" applyBorder="1"/>
    <xf numFmtId="0" fontId="25" fillId="7" borderId="0" xfId="0" applyFont="1" applyFill="1"/>
    <xf numFmtId="0" fontId="23" fillId="7" borderId="0" xfId="0" applyFont="1" applyFill="1" applyAlignment="1">
      <alignment vertical="center"/>
    </xf>
    <xf numFmtId="0" fontId="2" fillId="7" borderId="13" xfId="0" applyFont="1" applyFill="1" applyBorder="1" applyAlignment="1">
      <alignment vertical="center"/>
    </xf>
    <xf numFmtId="0" fontId="16" fillId="0" borderId="0" xfId="0" applyFont="1"/>
    <xf numFmtId="0" fontId="4" fillId="7" borderId="0" xfId="0" applyFont="1" applyFill="1"/>
    <xf numFmtId="0" fontId="26" fillId="0" borderId="0" xfId="0" applyFont="1"/>
    <xf numFmtId="0" fontId="15" fillId="6" borderId="3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vertical="center" wrapText="1"/>
    </xf>
    <xf numFmtId="0" fontId="15" fillId="12" borderId="4" xfId="0" applyFont="1" applyFill="1" applyBorder="1" applyAlignment="1">
      <alignment horizontal="right" vertical="center" wrapText="1"/>
    </xf>
    <xf numFmtId="0" fontId="15" fillId="6" borderId="4" xfId="0" applyFont="1" applyFill="1" applyBorder="1" applyAlignment="1">
      <alignment horizontal="right" vertical="center" wrapText="1"/>
    </xf>
    <xf numFmtId="0" fontId="28" fillId="3" borderId="4" xfId="0" applyFont="1" applyFill="1" applyBorder="1" applyAlignment="1">
      <alignment horizontal="right" vertical="center" wrapText="1"/>
    </xf>
    <xf numFmtId="0" fontId="28" fillId="10" borderId="4" xfId="0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right" vertical="center" wrapText="1"/>
    </xf>
    <xf numFmtId="0" fontId="18" fillId="7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1" fontId="27" fillId="7" borderId="0" xfId="0" applyNumberFormat="1" applyFont="1" applyFill="1" applyAlignment="1">
      <alignment horizontal="right" vertical="center" wrapText="1"/>
    </xf>
    <xf numFmtId="0" fontId="27" fillId="7" borderId="0" xfId="0" applyFont="1" applyFill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vertical="center" wrapText="1"/>
    </xf>
    <xf numFmtId="0" fontId="1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right" vertical="center" wrapText="1"/>
    </xf>
    <xf numFmtId="0" fontId="13" fillId="7" borderId="0" xfId="0" applyFont="1" applyFill="1" applyAlignment="1">
      <alignment horizontal="right" vertical="center" wrapText="1"/>
    </xf>
    <xf numFmtId="0" fontId="22" fillId="3" borderId="9" xfId="0" applyFont="1" applyFill="1" applyBorder="1" applyAlignment="1">
      <alignment vertical="center"/>
    </xf>
    <xf numFmtId="0" fontId="13" fillId="8" borderId="4" xfId="0" applyFont="1" applyFill="1" applyBorder="1" applyAlignment="1">
      <alignment horizontal="right" vertical="center" wrapText="1"/>
    </xf>
    <xf numFmtId="1" fontId="13" fillId="8" borderId="4" xfId="0" applyNumberFormat="1" applyFont="1" applyFill="1" applyBorder="1" applyAlignment="1">
      <alignment horizontal="right" vertical="center" wrapText="1"/>
    </xf>
    <xf numFmtId="0" fontId="13" fillId="8" borderId="10" xfId="0" applyFont="1" applyFill="1" applyBorder="1" applyAlignment="1">
      <alignment vertical="center" wrapText="1"/>
    </xf>
    <xf numFmtId="0" fontId="0" fillId="0" borderId="13" xfId="0" applyBorder="1"/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0" fontId="31" fillId="0" borderId="0" xfId="0" applyFont="1"/>
    <xf numFmtId="0" fontId="31" fillId="0" borderId="8" xfId="0" applyFont="1" applyBorder="1"/>
    <xf numFmtId="0" fontId="31" fillId="7" borderId="0" xfId="0" applyFont="1" applyFill="1"/>
    <xf numFmtId="0" fontId="8" fillId="7" borderId="1" xfId="0" applyFont="1" applyFill="1" applyBorder="1" applyAlignment="1">
      <alignment horizontal="right" vertical="center" wrapText="1"/>
    </xf>
    <xf numFmtId="14" fontId="15" fillId="2" borderId="3" xfId="0" applyNumberFormat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right" vertical="center" wrapText="1"/>
    </xf>
    <xf numFmtId="0" fontId="0" fillId="0" borderId="5" xfId="0" applyBorder="1"/>
    <xf numFmtId="0" fontId="15" fillId="7" borderId="11" xfId="0" applyFont="1" applyFill="1" applyBorder="1" applyAlignment="1">
      <alignment vertical="center" wrapText="1"/>
    </xf>
    <xf numFmtId="0" fontId="29" fillId="7" borderId="9" xfId="0" applyFont="1" applyFill="1" applyBorder="1" applyAlignment="1">
      <alignment vertical="center" wrapText="1"/>
    </xf>
    <xf numFmtId="0" fontId="15" fillId="15" borderId="4" xfId="0" applyFont="1" applyFill="1" applyBorder="1" applyAlignment="1">
      <alignment horizontal="right" vertical="center" wrapText="1"/>
    </xf>
    <xf numFmtId="0" fontId="33" fillId="15" borderId="3" xfId="0" applyFont="1" applyFill="1" applyBorder="1" applyAlignment="1">
      <alignment vertical="center" wrapText="1"/>
    </xf>
    <xf numFmtId="0" fontId="33" fillId="12" borderId="3" xfId="0" applyFont="1" applyFill="1" applyBorder="1" applyAlignment="1">
      <alignment vertical="center" wrapText="1"/>
    </xf>
    <xf numFmtId="0" fontId="34" fillId="0" borderId="8" xfId="0" applyFont="1" applyBorder="1"/>
    <xf numFmtId="0" fontId="34" fillId="7" borderId="0" xfId="0" applyFont="1" applyFill="1"/>
    <xf numFmtId="0" fontId="33" fillId="15" borderId="4" xfId="0" applyFont="1" applyFill="1" applyBorder="1" applyAlignment="1">
      <alignment horizontal="right" vertical="center" wrapText="1"/>
    </xf>
    <xf numFmtId="1" fontId="33" fillId="15" borderId="4" xfId="0" applyNumberFormat="1" applyFont="1" applyFill="1" applyBorder="1" applyAlignment="1">
      <alignment horizontal="right" vertical="center" wrapText="1"/>
    </xf>
    <xf numFmtId="14" fontId="33" fillId="15" borderId="3" xfId="0" applyNumberFormat="1" applyFont="1" applyFill="1" applyBorder="1" applyAlignment="1">
      <alignment horizontal="left" vertical="center" wrapText="1"/>
    </xf>
    <xf numFmtId="0" fontId="8" fillId="7" borderId="13" xfId="0" applyFont="1" applyFill="1" applyBorder="1"/>
    <xf numFmtId="0" fontId="0" fillId="0" borderId="8" xfId="0" applyBorder="1" applyAlignment="1">
      <alignment vertical="center" wrapText="1"/>
    </xf>
    <xf numFmtId="0" fontId="15" fillId="6" borderId="2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right" vertical="center" wrapText="1"/>
    </xf>
    <xf numFmtId="0" fontId="15" fillId="3" borderId="2" xfId="0" applyFont="1" applyFill="1" applyBorder="1" applyAlignment="1">
      <alignment horizontal="right" vertical="center" wrapText="1"/>
    </xf>
    <xf numFmtId="0" fontId="33" fillId="15" borderId="1" xfId="0" applyFont="1" applyFill="1" applyBorder="1" applyAlignment="1">
      <alignment vertical="center" wrapText="1"/>
    </xf>
    <xf numFmtId="0" fontId="15" fillId="15" borderId="2" xfId="0" applyFont="1" applyFill="1" applyBorder="1" applyAlignment="1">
      <alignment horizontal="right" vertical="center" wrapText="1"/>
    </xf>
    <xf numFmtId="0" fontId="33" fillId="12" borderId="2" xfId="0" applyFont="1" applyFill="1" applyBorder="1" applyAlignment="1">
      <alignment vertical="center" wrapText="1"/>
    </xf>
    <xf numFmtId="0" fontId="15" fillId="12" borderId="2" xfId="0" applyFont="1" applyFill="1" applyBorder="1" applyAlignment="1">
      <alignment horizontal="right" vertical="center" wrapText="1"/>
    </xf>
    <xf numFmtId="0" fontId="28" fillId="10" borderId="2" xfId="0" applyFont="1" applyFill="1" applyBorder="1" applyAlignment="1">
      <alignment horizontal="right" vertical="center" wrapText="1"/>
    </xf>
    <xf numFmtId="0" fontId="15" fillId="10" borderId="2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vertical="center" wrapText="1"/>
    </xf>
    <xf numFmtId="0" fontId="21" fillId="10" borderId="2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5" fillId="6" borderId="2" xfId="0" applyFont="1" applyFill="1" applyBorder="1" applyAlignment="1">
      <alignment vertical="center" wrapText="1"/>
    </xf>
    <xf numFmtId="0" fontId="28" fillId="3" borderId="2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7" fillId="7" borderId="2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35" fillId="7" borderId="0" xfId="0" applyFont="1" applyFill="1" applyAlignment="1">
      <alignment horizontal="right" vertical="center" wrapText="1"/>
    </xf>
    <xf numFmtId="0" fontId="15" fillId="7" borderId="0" xfId="0" applyFont="1" applyFill="1"/>
    <xf numFmtId="14" fontId="13" fillId="3" borderId="3" xfId="0" applyNumberFormat="1" applyFont="1" applyFill="1" applyBorder="1" applyAlignment="1">
      <alignment horizontal="left" vertical="center" wrapText="1"/>
    </xf>
    <xf numFmtId="0" fontId="37" fillId="0" borderId="0" xfId="0" applyFont="1"/>
    <xf numFmtId="0" fontId="39" fillId="3" borderId="1" xfId="0" applyFont="1" applyFill="1" applyBorder="1" applyAlignment="1">
      <alignment vertical="center" wrapText="1"/>
    </xf>
    <xf numFmtId="0" fontId="39" fillId="3" borderId="3" xfId="0" applyFont="1" applyFill="1" applyBorder="1" applyAlignment="1">
      <alignment vertical="center" wrapText="1"/>
    </xf>
    <xf numFmtId="0" fontId="39" fillId="16" borderId="2" xfId="0" applyFont="1" applyFill="1" applyBorder="1" applyAlignment="1">
      <alignment vertical="center" wrapText="1"/>
    </xf>
    <xf numFmtId="0" fontId="39" fillId="16" borderId="4" xfId="0" applyFont="1" applyFill="1" applyBorder="1" applyAlignment="1">
      <alignment vertical="center" wrapText="1"/>
    </xf>
    <xf numFmtId="0" fontId="39" fillId="16" borderId="3" xfId="0" applyFont="1" applyFill="1" applyBorder="1" applyAlignment="1">
      <alignment vertical="center" wrapText="1"/>
    </xf>
    <xf numFmtId="0" fontId="39" fillId="16" borderId="2" xfId="0" applyFont="1" applyFill="1" applyBorder="1" applyAlignment="1">
      <alignment horizontal="right" vertical="center" wrapText="1"/>
    </xf>
    <xf numFmtId="0" fontId="39" fillId="16" borderId="4" xfId="0" applyFont="1" applyFill="1" applyBorder="1" applyAlignment="1">
      <alignment horizontal="right" vertical="center" wrapText="1"/>
    </xf>
    <xf numFmtId="0" fontId="39" fillId="16" borderId="1" xfId="0" applyFont="1" applyFill="1" applyBorder="1" applyAlignment="1">
      <alignment horizontal="right" vertical="center" wrapText="1"/>
    </xf>
    <xf numFmtId="0" fontId="39" fillId="16" borderId="3" xfId="0" applyFont="1" applyFill="1" applyBorder="1" applyAlignment="1">
      <alignment horizontal="right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39" fillId="3" borderId="4" xfId="0" applyFont="1" applyFill="1" applyBorder="1" applyAlignment="1">
      <alignment horizontal="right" vertical="center" wrapText="1"/>
    </xf>
    <xf numFmtId="1" fontId="39" fillId="3" borderId="4" xfId="0" applyNumberFormat="1" applyFont="1" applyFill="1" applyBorder="1" applyAlignment="1">
      <alignment horizontal="right" vertical="center" wrapText="1"/>
    </xf>
    <xf numFmtId="14" fontId="39" fillId="3" borderId="3" xfId="0" applyNumberFormat="1" applyFont="1" applyFill="1" applyBorder="1" applyAlignment="1">
      <alignment horizontal="left" vertical="center" wrapText="1"/>
    </xf>
    <xf numFmtId="0" fontId="40" fillId="0" borderId="0" xfId="0" applyFont="1"/>
    <xf numFmtId="0" fontId="41" fillId="7" borderId="8" xfId="0" applyFont="1" applyFill="1" applyBorder="1" applyAlignment="1">
      <alignment horizontal="right" vertical="center" wrapText="1"/>
    </xf>
    <xf numFmtId="0" fontId="40" fillId="7" borderId="0" xfId="0" applyFont="1" applyFill="1"/>
    <xf numFmtId="0" fontId="40" fillId="0" borderId="8" xfId="0" applyFont="1" applyBorder="1"/>
    <xf numFmtId="0" fontId="28" fillId="18" borderId="4" xfId="0" applyFont="1" applyFill="1" applyBorder="1" applyAlignment="1">
      <alignment horizontal="right" vertical="center" wrapText="1"/>
    </xf>
    <xf numFmtId="0" fontId="40" fillId="7" borderId="8" xfId="0" applyFont="1" applyFill="1" applyBorder="1"/>
    <xf numFmtId="0" fontId="12" fillId="16" borderId="3" xfId="0" applyFont="1" applyFill="1" applyBorder="1" applyAlignment="1">
      <alignment vertical="center" wrapText="1"/>
    </xf>
    <xf numFmtId="0" fontId="28" fillId="16" borderId="4" xfId="0" applyFont="1" applyFill="1" applyBorder="1" applyAlignment="1">
      <alignment horizontal="right" vertical="center" wrapText="1"/>
    </xf>
    <xf numFmtId="0" fontId="15" fillId="16" borderId="4" xfId="0" applyFont="1" applyFill="1" applyBorder="1" applyAlignment="1">
      <alignment horizontal="right" vertical="center" wrapText="1"/>
    </xf>
    <xf numFmtId="0" fontId="12" fillId="16" borderId="1" xfId="0" applyFont="1" applyFill="1" applyBorder="1" applyAlignment="1">
      <alignment vertical="center" wrapText="1"/>
    </xf>
    <xf numFmtId="0" fontId="28" fillId="16" borderId="2" xfId="0" applyFont="1" applyFill="1" applyBorder="1" applyAlignment="1">
      <alignment horizontal="right" vertical="center" wrapText="1"/>
    </xf>
    <xf numFmtId="0" fontId="15" fillId="16" borderId="2" xfId="0" applyFont="1" applyFill="1" applyBorder="1" applyAlignment="1">
      <alignment horizontal="right" vertical="center" wrapText="1"/>
    </xf>
    <xf numFmtId="0" fontId="15" fillId="16" borderId="5" xfId="0" applyFont="1" applyFill="1" applyBorder="1" applyAlignment="1">
      <alignment horizontal="right" vertical="center" wrapText="1"/>
    </xf>
    <xf numFmtId="0" fontId="41" fillId="7" borderId="0" xfId="0" applyFont="1" applyFill="1" applyAlignment="1">
      <alignment vertical="center"/>
    </xf>
    <xf numFmtId="0" fontId="28" fillId="14" borderId="2" xfId="0" applyFont="1" applyFill="1" applyBorder="1" applyAlignment="1">
      <alignment horizontal="right" vertical="center" wrapText="1"/>
    </xf>
    <xf numFmtId="0" fontId="28" fillId="14" borderId="4" xfId="0" applyFont="1" applyFill="1" applyBorder="1" applyAlignment="1">
      <alignment horizontal="right" vertical="center" wrapText="1"/>
    </xf>
    <xf numFmtId="0" fontId="28" fillId="17" borderId="2" xfId="0" applyFont="1" applyFill="1" applyBorder="1" applyAlignment="1">
      <alignment horizontal="right" vertical="center" wrapText="1"/>
    </xf>
    <xf numFmtId="0" fontId="28" fillId="17" borderId="4" xfId="0" applyFont="1" applyFill="1" applyBorder="1" applyAlignment="1">
      <alignment horizontal="right" vertical="center" wrapText="1"/>
    </xf>
    <xf numFmtId="0" fontId="28" fillId="15" borderId="2" xfId="0" applyFont="1" applyFill="1" applyBorder="1" applyAlignment="1">
      <alignment horizontal="right" vertical="center" wrapText="1"/>
    </xf>
    <xf numFmtId="0" fontId="28" fillId="15" borderId="4" xfId="0" applyFont="1" applyFill="1" applyBorder="1" applyAlignment="1">
      <alignment horizontal="right" vertical="center" wrapText="1"/>
    </xf>
    <xf numFmtId="0" fontId="28" fillId="12" borderId="2" xfId="0" applyFont="1" applyFill="1" applyBorder="1" applyAlignment="1">
      <alignment horizontal="right" vertical="center" wrapText="1"/>
    </xf>
    <xf numFmtId="0" fontId="28" fillId="12" borderId="4" xfId="0" applyFont="1" applyFill="1" applyBorder="1" applyAlignment="1">
      <alignment horizontal="right" vertical="center" wrapText="1"/>
    </xf>
    <xf numFmtId="0" fontId="28" fillId="7" borderId="8" xfId="0" applyFont="1" applyFill="1" applyBorder="1" applyAlignment="1">
      <alignment horizontal="right" vertical="center" wrapText="1"/>
    </xf>
    <xf numFmtId="0" fontId="28" fillId="7" borderId="0" xfId="0" applyFont="1" applyFill="1" applyAlignment="1">
      <alignment horizontal="right" vertical="center" wrapText="1"/>
    </xf>
    <xf numFmtId="0" fontId="42" fillId="0" borderId="0" xfId="0" applyFont="1"/>
    <xf numFmtId="0" fontId="33" fillId="7" borderId="0" xfId="0" applyFont="1" applyFill="1" applyAlignment="1">
      <alignment horizontal="right" vertical="center" wrapText="1"/>
    </xf>
    <xf numFmtId="0" fontId="28" fillId="18" borderId="2" xfId="0" applyFont="1" applyFill="1" applyBorder="1" applyAlignment="1">
      <alignment horizontal="right" vertical="center" wrapText="1"/>
    </xf>
    <xf numFmtId="0" fontId="13" fillId="10" borderId="4" xfId="0" applyFont="1" applyFill="1" applyBorder="1" applyAlignment="1">
      <alignment horizontal="right" vertical="center" wrapText="1"/>
    </xf>
    <xf numFmtId="0" fontId="13" fillId="10" borderId="2" xfId="0" applyFont="1" applyFill="1" applyBorder="1" applyAlignment="1">
      <alignment horizontal="right" vertical="center" wrapText="1"/>
    </xf>
    <xf numFmtId="0" fontId="13" fillId="10" borderId="2" xfId="0" applyFont="1" applyFill="1" applyBorder="1" applyAlignment="1">
      <alignment vertical="center" wrapText="1"/>
    </xf>
    <xf numFmtId="0" fontId="13" fillId="10" borderId="4" xfId="0" applyFont="1" applyFill="1" applyBorder="1" applyAlignment="1">
      <alignment vertical="center" wrapText="1"/>
    </xf>
    <xf numFmtId="0" fontId="13" fillId="10" borderId="3" xfId="0" applyFont="1" applyFill="1" applyBorder="1" applyAlignment="1">
      <alignment vertical="center" wrapText="1"/>
    </xf>
    <xf numFmtId="0" fontId="36" fillId="0" borderId="0" xfId="0" applyFont="1"/>
    <xf numFmtId="1" fontId="19" fillId="2" borderId="4" xfId="0" applyNumberFormat="1" applyFont="1" applyFill="1" applyBorder="1" applyAlignment="1">
      <alignment horizontal="right" vertical="center" wrapText="1"/>
    </xf>
    <xf numFmtId="0" fontId="10" fillId="7" borderId="3" xfId="0" applyFont="1" applyFill="1" applyBorder="1" applyAlignment="1">
      <alignment horizontal="right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" fontId="10" fillId="7" borderId="2" xfId="0" applyNumberFormat="1" applyFont="1" applyFill="1" applyBorder="1" applyAlignment="1">
      <alignment horizontal="right" vertical="center" wrapText="1"/>
    </xf>
    <xf numFmtId="0" fontId="10" fillId="7" borderId="2" xfId="0" applyFont="1" applyFill="1" applyBorder="1" applyAlignment="1">
      <alignment horizontal="right" vertical="center" wrapText="1"/>
    </xf>
    <xf numFmtId="1" fontId="10" fillId="7" borderId="4" xfId="0" applyNumberFormat="1" applyFont="1" applyFill="1" applyBorder="1" applyAlignment="1">
      <alignment horizontal="right" vertical="center" wrapText="1"/>
    </xf>
    <xf numFmtId="0" fontId="10" fillId="7" borderId="15" xfId="0" applyFont="1" applyFill="1" applyBorder="1" applyAlignment="1">
      <alignment horizontal="right" vertical="center" wrapText="1"/>
    </xf>
    <xf numFmtId="0" fontId="10" fillId="7" borderId="16" xfId="0" applyFont="1" applyFill="1" applyBorder="1" applyAlignment="1">
      <alignment horizontal="right" vertical="center" wrapText="1"/>
    </xf>
    <xf numFmtId="0" fontId="37" fillId="7" borderId="0" xfId="0" applyFont="1" applyFill="1"/>
    <xf numFmtId="0" fontId="10" fillId="7" borderId="14" xfId="0" applyFont="1" applyFill="1" applyBorder="1" applyAlignment="1">
      <alignment horizontal="right" vertical="center" wrapText="1"/>
    </xf>
    <xf numFmtId="1" fontId="10" fillId="7" borderId="1" xfId="0" applyNumberFormat="1" applyFont="1" applyFill="1" applyBorder="1" applyAlignment="1">
      <alignment horizontal="right" vertical="center" wrapText="1"/>
    </xf>
    <xf numFmtId="0" fontId="8" fillId="5" borderId="3" xfId="0" applyFont="1" applyFill="1" applyBorder="1" applyAlignment="1">
      <alignment horizontal="right" vertical="center" wrapText="1"/>
    </xf>
    <xf numFmtId="0" fontId="16" fillId="0" borderId="12" xfId="0" applyFont="1" applyBorder="1"/>
    <xf numFmtId="0" fontId="2" fillId="7" borderId="0" xfId="0" applyFont="1" applyFill="1" applyAlignment="1">
      <alignment horizontal="center" vertical="center" wrapText="1"/>
    </xf>
    <xf numFmtId="0" fontId="10" fillId="7" borderId="13" xfId="0" applyFont="1" applyFill="1" applyBorder="1" applyAlignment="1">
      <alignment horizontal="right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center" vertical="center" wrapText="1"/>
    </xf>
    <xf numFmtId="1" fontId="10" fillId="7" borderId="3" xfId="0" applyNumberFormat="1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horizontal="right" vertical="center" wrapText="1"/>
    </xf>
    <xf numFmtId="0" fontId="13" fillId="15" borderId="2" xfId="0" applyFont="1" applyFill="1" applyBorder="1" applyAlignment="1">
      <alignment horizontal="right" vertical="center" wrapText="1"/>
    </xf>
    <xf numFmtId="0" fontId="13" fillId="15" borderId="4" xfId="0" applyFont="1" applyFill="1" applyBorder="1" applyAlignment="1">
      <alignment horizontal="right" vertical="center" wrapText="1"/>
    </xf>
    <xf numFmtId="0" fontId="13" fillId="12" borderId="2" xfId="0" applyFont="1" applyFill="1" applyBorder="1" applyAlignment="1">
      <alignment horizontal="right" vertical="center" wrapText="1"/>
    </xf>
    <xf numFmtId="0" fontId="13" fillId="12" borderId="4" xfId="0" applyFont="1" applyFill="1" applyBorder="1" applyAlignment="1">
      <alignment horizontal="right" vertical="center" wrapText="1"/>
    </xf>
    <xf numFmtId="0" fontId="13" fillId="16" borderId="2" xfId="0" applyFont="1" applyFill="1" applyBorder="1" applyAlignment="1">
      <alignment horizontal="right" vertical="center" wrapText="1"/>
    </xf>
    <xf numFmtId="0" fontId="13" fillId="16" borderId="4" xfId="0" applyFont="1" applyFill="1" applyBorder="1" applyAlignment="1">
      <alignment horizontal="right" vertical="center" wrapText="1"/>
    </xf>
    <xf numFmtId="0" fontId="10" fillId="7" borderId="7" xfId="0" applyFont="1" applyFill="1" applyBorder="1" applyAlignment="1">
      <alignment horizontal="right" vertical="center" wrapText="1"/>
    </xf>
    <xf numFmtId="0" fontId="10" fillId="20" borderId="2" xfId="0" applyFont="1" applyFill="1" applyBorder="1" applyAlignment="1">
      <alignment horizontal="right" vertical="center" wrapText="1"/>
    </xf>
    <xf numFmtId="0" fontId="10" fillId="20" borderId="4" xfId="0" applyFont="1" applyFill="1" applyBorder="1" applyAlignment="1">
      <alignment horizontal="right" vertical="center" wrapText="1"/>
    </xf>
    <xf numFmtId="0" fontId="10" fillId="5" borderId="4" xfId="0" applyFont="1" applyFill="1" applyBorder="1" applyAlignment="1">
      <alignment horizontal="right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vertical="center" wrapText="1"/>
    </xf>
    <xf numFmtId="0" fontId="44" fillId="0" borderId="0" xfId="0" applyFont="1"/>
    <xf numFmtId="0" fontId="45" fillId="0" borderId="0" xfId="0" applyFont="1"/>
    <xf numFmtId="0" fontId="15" fillId="14" borderId="1" xfId="0" applyFont="1" applyFill="1" applyBorder="1" applyAlignment="1">
      <alignment vertical="center" wrapText="1"/>
    </xf>
    <xf numFmtId="0" fontId="15" fillId="14" borderId="3" xfId="0" applyFont="1" applyFill="1" applyBorder="1" applyAlignment="1">
      <alignment vertical="center" wrapText="1"/>
    </xf>
    <xf numFmtId="0" fontId="15" fillId="14" borderId="2" xfId="0" applyFont="1" applyFill="1" applyBorder="1" applyAlignment="1">
      <alignment horizontal="right" vertical="center" wrapText="1"/>
    </xf>
    <xf numFmtId="0" fontId="15" fillId="17" borderId="2" xfId="0" applyFont="1" applyFill="1" applyBorder="1" applyAlignment="1">
      <alignment vertical="center" wrapText="1"/>
    </xf>
    <xf numFmtId="0" fontId="15" fillId="14" borderId="4" xfId="0" applyFont="1" applyFill="1" applyBorder="1" applyAlignment="1">
      <alignment horizontal="right" vertical="center" wrapText="1"/>
    </xf>
    <xf numFmtId="0" fontId="15" fillId="17" borderId="4" xfId="0" applyFont="1" applyFill="1" applyBorder="1" applyAlignment="1">
      <alignment vertical="center" wrapText="1"/>
    </xf>
    <xf numFmtId="0" fontId="15" fillId="17" borderId="3" xfId="0" applyFont="1" applyFill="1" applyBorder="1" applyAlignment="1">
      <alignment vertical="center" wrapText="1"/>
    </xf>
    <xf numFmtId="0" fontId="15" fillId="17" borderId="2" xfId="0" applyFont="1" applyFill="1" applyBorder="1" applyAlignment="1">
      <alignment horizontal="right" vertical="center" wrapText="1"/>
    </xf>
    <xf numFmtId="0" fontId="15" fillId="17" borderId="4" xfId="0" applyFont="1" applyFill="1" applyBorder="1" applyAlignment="1">
      <alignment horizontal="right" vertical="center" wrapText="1"/>
    </xf>
    <xf numFmtId="1" fontId="15" fillId="14" borderId="4" xfId="0" applyNumberFormat="1" applyFont="1" applyFill="1" applyBorder="1" applyAlignment="1">
      <alignment horizontal="right" vertical="center" wrapText="1"/>
    </xf>
    <xf numFmtId="0" fontId="47" fillId="20" borderId="1" xfId="0" applyFont="1" applyFill="1" applyBorder="1" applyAlignment="1">
      <alignment vertical="center" wrapText="1"/>
    </xf>
    <xf numFmtId="0" fontId="47" fillId="20" borderId="3" xfId="0" applyFont="1" applyFill="1" applyBorder="1" applyAlignment="1">
      <alignment vertical="center" wrapText="1"/>
    </xf>
    <xf numFmtId="0" fontId="47" fillId="10" borderId="2" xfId="0" applyFont="1" applyFill="1" applyBorder="1" applyAlignment="1">
      <alignment vertical="center" wrapText="1"/>
    </xf>
    <xf numFmtId="0" fontId="47" fillId="10" borderId="4" xfId="0" applyFont="1" applyFill="1" applyBorder="1" applyAlignment="1">
      <alignment vertical="center" wrapText="1"/>
    </xf>
    <xf numFmtId="0" fontId="47" fillId="10" borderId="3" xfId="0" applyFont="1" applyFill="1" applyBorder="1" applyAlignment="1">
      <alignment vertical="center" wrapText="1"/>
    </xf>
    <xf numFmtId="0" fontId="47" fillId="10" borderId="2" xfId="0" applyFont="1" applyFill="1" applyBorder="1" applyAlignment="1">
      <alignment horizontal="right" vertical="center" wrapText="1"/>
    </xf>
    <xf numFmtId="0" fontId="47" fillId="10" borderId="4" xfId="0" applyFont="1" applyFill="1" applyBorder="1" applyAlignment="1">
      <alignment horizontal="right" vertical="center" wrapText="1"/>
    </xf>
    <xf numFmtId="14" fontId="47" fillId="20" borderId="3" xfId="0" applyNumberFormat="1" applyFont="1" applyFill="1" applyBorder="1" applyAlignment="1">
      <alignment horizontal="left" vertical="center" wrapText="1"/>
    </xf>
    <xf numFmtId="0" fontId="47" fillId="20" borderId="4" xfId="0" applyFont="1" applyFill="1" applyBorder="1" applyAlignment="1">
      <alignment horizontal="right" vertical="center" wrapText="1"/>
    </xf>
    <xf numFmtId="1" fontId="47" fillId="20" borderId="4" xfId="0" applyNumberFormat="1" applyFont="1" applyFill="1" applyBorder="1" applyAlignment="1">
      <alignment horizontal="right" vertical="center" wrapText="1"/>
    </xf>
    <xf numFmtId="0" fontId="10" fillId="7" borderId="17" xfId="0" applyFont="1" applyFill="1" applyBorder="1" applyAlignment="1">
      <alignment horizontal="right" vertical="center" wrapText="1"/>
    </xf>
    <xf numFmtId="0" fontId="10" fillId="7" borderId="8" xfId="0" applyFont="1" applyFill="1" applyBorder="1" applyAlignment="1">
      <alignment horizontal="right" vertical="center" wrapText="1"/>
    </xf>
    <xf numFmtId="0" fontId="12" fillId="22" borderId="1" xfId="0" applyFont="1" applyFill="1" applyBorder="1" applyAlignment="1">
      <alignment vertical="center" wrapText="1"/>
    </xf>
    <xf numFmtId="0" fontId="28" fillId="22" borderId="2" xfId="0" applyFont="1" applyFill="1" applyBorder="1" applyAlignment="1">
      <alignment horizontal="center" vertical="center" wrapText="1"/>
    </xf>
    <xf numFmtId="0" fontId="15" fillId="22" borderId="2" xfId="0" applyFont="1" applyFill="1" applyBorder="1" applyAlignment="1">
      <alignment horizontal="right" vertical="center" wrapText="1"/>
    </xf>
    <xf numFmtId="0" fontId="12" fillId="22" borderId="3" xfId="0" applyFont="1" applyFill="1" applyBorder="1" applyAlignment="1">
      <alignment vertical="center" wrapText="1"/>
    </xf>
    <xf numFmtId="0" fontId="28" fillId="22" borderId="4" xfId="0" applyFont="1" applyFill="1" applyBorder="1" applyAlignment="1">
      <alignment horizontal="right" vertical="center" wrapText="1"/>
    </xf>
    <xf numFmtId="0" fontId="15" fillId="22" borderId="4" xfId="0" applyFont="1" applyFill="1" applyBorder="1" applyAlignment="1">
      <alignment horizontal="right" vertical="center" wrapText="1"/>
    </xf>
    <xf numFmtId="0" fontId="12" fillId="22" borderId="16" xfId="0" applyFont="1" applyFill="1" applyBorder="1" applyAlignment="1">
      <alignment horizontal="right" vertical="center" wrapText="1"/>
    </xf>
    <xf numFmtId="1" fontId="12" fillId="22" borderId="4" xfId="0" applyNumberFormat="1" applyFont="1" applyFill="1" applyBorder="1" applyAlignment="1">
      <alignment horizontal="right" vertical="center" wrapText="1"/>
    </xf>
    <xf numFmtId="0" fontId="12" fillId="22" borderId="1" xfId="0" applyFont="1" applyFill="1" applyBorder="1" applyAlignment="1">
      <alignment horizontal="right" vertical="center" wrapText="1"/>
    </xf>
    <xf numFmtId="1" fontId="12" fillId="22" borderId="1" xfId="0" applyNumberFormat="1" applyFont="1" applyFill="1" applyBorder="1" applyAlignment="1">
      <alignment horizontal="right" vertical="center" wrapText="1"/>
    </xf>
    <xf numFmtId="0" fontId="12" fillId="22" borderId="2" xfId="0" applyFont="1" applyFill="1" applyBorder="1" applyAlignment="1">
      <alignment horizontal="right" vertical="center" wrapText="1"/>
    </xf>
    <xf numFmtId="14" fontId="12" fillId="22" borderId="1" xfId="0" applyNumberFormat="1" applyFont="1" applyFill="1" applyBorder="1" applyAlignment="1">
      <alignment horizontal="left" vertical="center" wrapText="1"/>
    </xf>
    <xf numFmtId="0" fontId="48" fillId="0" borderId="0" xfId="0" applyFont="1"/>
    <xf numFmtId="0" fontId="49" fillId="0" borderId="0" xfId="0" applyFont="1"/>
    <xf numFmtId="1" fontId="8" fillId="7" borderId="4" xfId="0" applyNumberFormat="1" applyFont="1" applyFill="1" applyBorder="1" applyAlignment="1">
      <alignment horizontal="right" vertical="center" wrapText="1"/>
    </xf>
    <xf numFmtId="0" fontId="13" fillId="22" borderId="2" xfId="0" applyFont="1" applyFill="1" applyBorder="1" applyAlignment="1">
      <alignment horizontal="right" vertical="center" wrapText="1"/>
    </xf>
    <xf numFmtId="0" fontId="13" fillId="22" borderId="4" xfId="0" applyFont="1" applyFill="1" applyBorder="1" applyAlignment="1">
      <alignment horizontal="right" vertical="center" wrapText="1"/>
    </xf>
    <xf numFmtId="0" fontId="10" fillId="7" borderId="12" xfId="0" applyFont="1" applyFill="1" applyBorder="1" applyAlignment="1">
      <alignment horizontal="right" vertical="center" wrapText="1"/>
    </xf>
    <xf numFmtId="0" fontId="10" fillId="7" borderId="11" xfId="0" applyFont="1" applyFill="1" applyBorder="1" applyAlignment="1">
      <alignment horizontal="right" vertical="center" wrapText="1"/>
    </xf>
    <xf numFmtId="1" fontId="10" fillId="7" borderId="0" xfId="0" applyNumberFormat="1" applyFont="1" applyFill="1" applyAlignment="1">
      <alignment horizontal="right" vertical="center" wrapText="1"/>
    </xf>
    <xf numFmtId="0" fontId="0" fillId="0" borderId="14" xfId="0" applyBorder="1"/>
    <xf numFmtId="0" fontId="50" fillId="6" borderId="2" xfId="0" applyFont="1" applyFill="1" applyBorder="1" applyAlignment="1">
      <alignment horizontal="right" vertical="center" wrapText="1"/>
    </xf>
    <xf numFmtId="0" fontId="50" fillId="6" borderId="4" xfId="0" applyFont="1" applyFill="1" applyBorder="1" applyAlignment="1">
      <alignment horizontal="right" vertical="center" wrapText="1"/>
    </xf>
    <xf numFmtId="0" fontId="50" fillId="2" borderId="2" xfId="0" applyFont="1" applyFill="1" applyBorder="1" applyAlignment="1">
      <alignment horizontal="right" vertical="center" wrapText="1"/>
    </xf>
    <xf numFmtId="0" fontId="50" fillId="2" borderId="4" xfId="0" applyFont="1" applyFill="1" applyBorder="1" applyAlignment="1">
      <alignment horizontal="right" vertical="center" wrapText="1"/>
    </xf>
    <xf numFmtId="0" fontId="51" fillId="20" borderId="2" xfId="0" applyFont="1" applyFill="1" applyBorder="1" applyAlignment="1">
      <alignment horizontal="right" vertical="center" wrapText="1"/>
    </xf>
    <xf numFmtId="0" fontId="51" fillId="20" borderId="4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5" fillId="10" borderId="2" xfId="0" applyFont="1" applyFill="1" applyBorder="1" applyAlignment="1">
      <alignment vertical="center" wrapText="1"/>
    </xf>
    <xf numFmtId="0" fontId="15" fillId="10" borderId="4" xfId="0" applyFont="1" applyFill="1" applyBorder="1" applyAlignment="1">
      <alignment vertical="center" wrapText="1"/>
    </xf>
    <xf numFmtId="0" fontId="15" fillId="10" borderId="3" xfId="0" applyFont="1" applyFill="1" applyBorder="1" applyAlignment="1">
      <alignment vertical="center" wrapText="1"/>
    </xf>
    <xf numFmtId="1" fontId="15" fillId="3" borderId="4" xfId="0" applyNumberFormat="1" applyFont="1" applyFill="1" applyBorder="1" applyAlignment="1">
      <alignment horizontal="right" vertical="center" wrapText="1"/>
    </xf>
    <xf numFmtId="0" fontId="28" fillId="23" borderId="2" xfId="0" applyFont="1" applyFill="1" applyBorder="1" applyAlignment="1">
      <alignment horizontal="right" vertical="center" wrapText="1"/>
    </xf>
    <xf numFmtId="0" fontId="13" fillId="23" borderId="2" xfId="0" applyFont="1" applyFill="1" applyBorder="1" applyAlignment="1">
      <alignment horizontal="right" vertical="center" wrapText="1"/>
    </xf>
    <xf numFmtId="0" fontId="28" fillId="23" borderId="4" xfId="0" applyFont="1" applyFill="1" applyBorder="1" applyAlignment="1">
      <alignment horizontal="right" vertical="center" wrapText="1"/>
    </xf>
    <xf numFmtId="0" fontId="13" fillId="23" borderId="4" xfId="0" applyFont="1" applyFill="1" applyBorder="1" applyAlignment="1">
      <alignment horizontal="right" vertical="center" wrapText="1"/>
    </xf>
    <xf numFmtId="0" fontId="53" fillId="23" borderId="1" xfId="0" applyFont="1" applyFill="1" applyBorder="1" applyAlignment="1">
      <alignment vertical="center" wrapText="1"/>
    </xf>
    <xf numFmtId="0" fontId="53" fillId="23" borderId="3" xfId="0" applyFont="1" applyFill="1" applyBorder="1" applyAlignment="1">
      <alignment vertical="center" wrapText="1"/>
    </xf>
    <xf numFmtId="0" fontId="53" fillId="23" borderId="2" xfId="0" applyFont="1" applyFill="1" applyBorder="1" applyAlignment="1">
      <alignment horizontal="right" vertical="center" wrapText="1"/>
    </xf>
    <xf numFmtId="0" fontId="53" fillId="10" borderId="1" xfId="0" applyFont="1" applyFill="1" applyBorder="1" applyAlignment="1">
      <alignment vertical="center" wrapText="1"/>
    </xf>
    <xf numFmtId="0" fontId="53" fillId="23" borderId="4" xfId="0" applyFont="1" applyFill="1" applyBorder="1" applyAlignment="1">
      <alignment horizontal="right" vertical="center" wrapText="1"/>
    </xf>
    <xf numFmtId="0" fontId="53" fillId="10" borderId="3" xfId="0" applyFont="1" applyFill="1" applyBorder="1" applyAlignment="1">
      <alignment vertical="center" wrapText="1"/>
    </xf>
    <xf numFmtId="0" fontId="53" fillId="10" borderId="2" xfId="0" applyFont="1" applyFill="1" applyBorder="1" applyAlignment="1">
      <alignment horizontal="right" vertical="center" wrapText="1"/>
    </xf>
    <xf numFmtId="0" fontId="53" fillId="10" borderId="4" xfId="0" applyFont="1" applyFill="1" applyBorder="1" applyAlignment="1">
      <alignment horizontal="right" vertical="center" wrapText="1"/>
    </xf>
    <xf numFmtId="1" fontId="53" fillId="23" borderId="4" xfId="0" applyNumberFormat="1" applyFont="1" applyFill="1" applyBorder="1" applyAlignment="1">
      <alignment horizontal="right" vertical="center" wrapText="1"/>
    </xf>
    <xf numFmtId="14" fontId="15" fillId="14" borderId="3" xfId="0" applyNumberFormat="1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vertical="top" wrapText="1"/>
    </xf>
    <xf numFmtId="0" fontId="10" fillId="7" borderId="0" xfId="0" applyFont="1" applyFill="1"/>
    <xf numFmtId="0" fontId="13" fillId="8" borderId="5" xfId="0" applyFont="1" applyFill="1" applyBorder="1" applyAlignment="1">
      <alignment vertical="center" wrapText="1"/>
    </xf>
    <xf numFmtId="0" fontId="13" fillId="8" borderId="0" xfId="0" applyFont="1" applyFill="1" applyAlignment="1">
      <alignment horizontal="right" vertical="center" wrapText="1"/>
    </xf>
    <xf numFmtId="1" fontId="13" fillId="8" borderId="0" xfId="0" applyNumberFormat="1" applyFont="1" applyFill="1" applyAlignment="1">
      <alignment horizontal="right" vertical="center" wrapText="1"/>
    </xf>
    <xf numFmtId="0" fontId="8" fillId="9" borderId="1" xfId="0" applyFont="1" applyFill="1" applyBorder="1" applyAlignment="1">
      <alignment horizontal="right"/>
    </xf>
    <xf numFmtId="0" fontId="12" fillId="9" borderId="1" xfId="0" applyFont="1" applyFill="1" applyBorder="1" applyAlignment="1">
      <alignment horizontal="right"/>
    </xf>
    <xf numFmtId="0" fontId="10" fillId="9" borderId="1" xfId="0" applyFont="1" applyFill="1" applyBorder="1" applyAlignment="1">
      <alignment horizontal="right"/>
    </xf>
    <xf numFmtId="0" fontId="13" fillId="18" borderId="1" xfId="0" applyFont="1" applyFill="1" applyBorder="1" applyAlignment="1">
      <alignment vertical="center" wrapText="1"/>
    </xf>
    <xf numFmtId="0" fontId="13" fillId="18" borderId="2" xfId="0" applyFont="1" applyFill="1" applyBorder="1" applyAlignment="1">
      <alignment horizontal="right" vertical="center" wrapText="1"/>
    </xf>
    <xf numFmtId="0" fontId="13" fillId="18" borderId="3" xfId="0" applyFont="1" applyFill="1" applyBorder="1" applyAlignment="1">
      <alignment vertical="center" wrapText="1"/>
    </xf>
    <xf numFmtId="0" fontId="4" fillId="0" borderId="0" xfId="0" applyFont="1"/>
    <xf numFmtId="0" fontId="13" fillId="7" borderId="8" xfId="0" applyFont="1" applyFill="1" applyBorder="1" applyAlignment="1">
      <alignment vertical="center" wrapText="1"/>
    </xf>
    <xf numFmtId="0" fontId="13" fillId="7" borderId="0" xfId="0" applyFont="1" applyFill="1" applyAlignment="1">
      <alignment vertical="center" wrapText="1"/>
    </xf>
    <xf numFmtId="0" fontId="13" fillId="7" borderId="8" xfId="0" applyFont="1" applyFill="1" applyBorder="1" applyAlignment="1">
      <alignment horizontal="right" vertical="center" wrapText="1"/>
    </xf>
    <xf numFmtId="0" fontId="13" fillId="18" borderId="4" xfId="0" applyFont="1" applyFill="1" applyBorder="1" applyAlignment="1">
      <alignment horizontal="right" vertical="center" wrapText="1"/>
    </xf>
    <xf numFmtId="1" fontId="13" fillId="18" borderId="4" xfId="0" applyNumberFormat="1" applyFont="1" applyFill="1" applyBorder="1" applyAlignment="1">
      <alignment horizontal="right" vertical="center" wrapText="1"/>
    </xf>
    <xf numFmtId="14" fontId="13" fillId="18" borderId="3" xfId="0" applyNumberFormat="1" applyFont="1" applyFill="1" applyBorder="1" applyAlignment="1">
      <alignment horizontal="left" vertical="center" wrapText="1"/>
    </xf>
    <xf numFmtId="0" fontId="28" fillId="24" borderId="2" xfId="0" applyFont="1" applyFill="1" applyBorder="1" applyAlignment="1">
      <alignment horizontal="right" vertical="center" wrapText="1"/>
    </xf>
    <xf numFmtId="0" fontId="13" fillId="24" borderId="2" xfId="0" applyFont="1" applyFill="1" applyBorder="1" applyAlignment="1">
      <alignment horizontal="right" vertical="center" wrapText="1"/>
    </xf>
    <xf numFmtId="0" fontId="28" fillId="24" borderId="4" xfId="0" applyFont="1" applyFill="1" applyBorder="1" applyAlignment="1">
      <alignment horizontal="right" vertical="center" wrapText="1"/>
    </xf>
    <xf numFmtId="0" fontId="13" fillId="24" borderId="4" xfId="0" applyFont="1" applyFill="1" applyBorder="1" applyAlignment="1">
      <alignment horizontal="right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8" fillId="7" borderId="8" xfId="0" applyFont="1" applyFill="1" applyBorder="1" applyAlignment="1">
      <alignment horizontal="right" vertical="center" wrapText="1"/>
    </xf>
    <xf numFmtId="14" fontId="10" fillId="7" borderId="9" xfId="0" applyNumberFormat="1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right" vertical="center" wrapText="1"/>
    </xf>
    <xf numFmtId="1" fontId="12" fillId="3" borderId="4" xfId="0" applyNumberFormat="1" applyFont="1" applyFill="1" applyBorder="1" applyAlignment="1">
      <alignment horizontal="right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vertical="center" wrapText="1"/>
    </xf>
    <xf numFmtId="0" fontId="33" fillId="10" borderId="2" xfId="0" applyFont="1" applyFill="1" applyBorder="1" applyAlignment="1">
      <alignment vertical="center" wrapText="1"/>
    </xf>
    <xf numFmtId="0" fontId="33" fillId="10" borderId="4" xfId="0" applyFont="1" applyFill="1" applyBorder="1" applyAlignment="1">
      <alignment vertical="center" wrapText="1"/>
    </xf>
    <xf numFmtId="0" fontId="33" fillId="10" borderId="3" xfId="0" applyFont="1" applyFill="1" applyBorder="1" applyAlignment="1">
      <alignment vertical="center" wrapText="1"/>
    </xf>
    <xf numFmtId="0" fontId="33" fillId="10" borderId="2" xfId="0" applyFont="1" applyFill="1" applyBorder="1" applyAlignment="1">
      <alignment horizontal="right" vertical="center" wrapText="1"/>
    </xf>
    <xf numFmtId="0" fontId="33" fillId="10" borderId="4" xfId="0" applyFont="1" applyFill="1" applyBorder="1" applyAlignment="1">
      <alignment horizontal="right" vertical="center" wrapText="1"/>
    </xf>
    <xf numFmtId="0" fontId="35" fillId="24" borderId="1" xfId="0" applyFont="1" applyFill="1" applyBorder="1" applyAlignment="1">
      <alignment vertical="center" wrapText="1"/>
    </xf>
    <xf numFmtId="0" fontId="35" fillId="24" borderId="3" xfId="0" applyFont="1" applyFill="1" applyBorder="1" applyAlignment="1">
      <alignment vertical="center" wrapText="1"/>
    </xf>
    <xf numFmtId="0" fontId="35" fillId="24" borderId="2" xfId="0" applyFont="1" applyFill="1" applyBorder="1" applyAlignment="1">
      <alignment horizontal="right" vertical="center" wrapText="1"/>
    </xf>
    <xf numFmtId="0" fontId="35" fillId="24" borderId="4" xfId="0" applyFont="1" applyFill="1" applyBorder="1" applyAlignment="1">
      <alignment horizontal="right" vertical="center" wrapText="1"/>
    </xf>
    <xf numFmtId="14" fontId="35" fillId="24" borderId="1" xfId="0" applyNumberFormat="1" applyFont="1" applyFill="1" applyBorder="1" applyAlignment="1">
      <alignment horizontal="left" vertical="center" wrapText="1"/>
    </xf>
    <xf numFmtId="1" fontId="35" fillId="24" borderId="4" xfId="0" applyNumberFormat="1" applyFont="1" applyFill="1" applyBorder="1" applyAlignment="1">
      <alignment horizontal="right" vertical="center" wrapText="1"/>
    </xf>
    <xf numFmtId="0" fontId="35" fillId="24" borderId="1" xfId="0" applyFont="1" applyFill="1" applyBorder="1" applyAlignment="1">
      <alignment horizontal="right" vertical="center" wrapText="1"/>
    </xf>
    <xf numFmtId="14" fontId="35" fillId="24" borderId="17" xfId="0" applyNumberFormat="1" applyFont="1" applyFill="1" applyBorder="1" applyAlignment="1">
      <alignment horizontal="left" vertical="center" wrapText="1"/>
    </xf>
    <xf numFmtId="0" fontId="35" fillId="24" borderId="14" xfId="0" applyFont="1" applyFill="1" applyBorder="1" applyAlignment="1">
      <alignment horizontal="righ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3" fillId="24" borderId="4" xfId="0" applyFont="1" applyFill="1" applyBorder="1" applyAlignment="1">
      <alignment horizontal="right" vertical="center" wrapText="1"/>
    </xf>
    <xf numFmtId="1" fontId="33" fillId="24" borderId="4" xfId="0" applyNumberFormat="1" applyFont="1" applyFill="1" applyBorder="1" applyAlignment="1">
      <alignment horizontal="right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6" fillId="7" borderId="13" xfId="0" applyFont="1" applyFill="1" applyBorder="1"/>
    <xf numFmtId="0" fontId="50" fillId="3" borderId="2" xfId="0" applyFont="1" applyFill="1" applyBorder="1" applyAlignment="1">
      <alignment horizontal="right" vertical="center" wrapText="1"/>
    </xf>
    <xf numFmtId="0" fontId="50" fillId="3" borderId="4" xfId="0" applyFont="1" applyFill="1" applyBorder="1" applyAlignment="1">
      <alignment horizontal="right" vertical="center" wrapText="1"/>
    </xf>
    <xf numFmtId="0" fontId="12" fillId="7" borderId="0" xfId="0" applyFont="1" applyFill="1" applyAlignment="1">
      <alignment vertical="center" wrapText="1"/>
    </xf>
    <xf numFmtId="0" fontId="50" fillId="7" borderId="0" xfId="0" applyFont="1" applyFill="1" applyAlignment="1">
      <alignment horizontal="right" vertical="center" wrapText="1"/>
    </xf>
    <xf numFmtId="0" fontId="43" fillId="7" borderId="0" xfId="0" applyFont="1" applyFill="1" applyAlignment="1">
      <alignment horizontal="right" vertical="center" wrapText="1"/>
    </xf>
    <xf numFmtId="0" fontId="54" fillId="7" borderId="0" xfId="0" applyFont="1" applyFill="1" applyAlignment="1">
      <alignment horizontal="right" vertical="center" wrapText="1"/>
    </xf>
    <xf numFmtId="0" fontId="12" fillId="3" borderId="1" xfId="0" applyFont="1" applyFill="1" applyBorder="1"/>
    <xf numFmtId="1" fontId="10" fillId="7" borderId="1" xfId="0" applyNumberFormat="1" applyFont="1" applyFill="1" applyBorder="1"/>
    <xf numFmtId="0" fontId="12" fillId="7" borderId="4" xfId="0" applyFont="1" applyFill="1" applyBorder="1" applyAlignment="1">
      <alignment horizontal="right" vertical="center" wrapText="1"/>
    </xf>
    <xf numFmtId="1" fontId="12" fillId="7" borderId="4" xfId="0" applyNumberFormat="1" applyFont="1" applyFill="1" applyBorder="1" applyAlignment="1">
      <alignment horizontal="right" vertical="center" wrapText="1"/>
    </xf>
    <xf numFmtId="0" fontId="55" fillId="10" borderId="2" xfId="0" applyFont="1" applyFill="1" applyBorder="1" applyAlignment="1">
      <alignment horizontal="right" vertical="center" wrapText="1"/>
    </xf>
    <xf numFmtId="0" fontId="55" fillId="10" borderId="4" xfId="0" applyFont="1" applyFill="1" applyBorder="1" applyAlignment="1">
      <alignment horizontal="right" vertical="center" wrapText="1"/>
    </xf>
    <xf numFmtId="0" fontId="55" fillId="22" borderId="2" xfId="0" applyFont="1" applyFill="1" applyBorder="1" applyAlignment="1">
      <alignment horizontal="right" vertical="center" wrapText="1"/>
    </xf>
    <xf numFmtId="0" fontId="55" fillId="22" borderId="4" xfId="0" applyFont="1" applyFill="1" applyBorder="1" applyAlignment="1">
      <alignment horizontal="right" vertical="center" wrapText="1"/>
    </xf>
    <xf numFmtId="0" fontId="55" fillId="16" borderId="2" xfId="0" applyFont="1" applyFill="1" applyBorder="1" applyAlignment="1">
      <alignment horizontal="right" vertical="center" wrapText="1"/>
    </xf>
    <xf numFmtId="0" fontId="55" fillId="16" borderId="4" xfId="0" applyFont="1" applyFill="1" applyBorder="1" applyAlignment="1">
      <alignment horizontal="right" vertical="center" wrapText="1"/>
    </xf>
    <xf numFmtId="0" fontId="55" fillId="16" borderId="5" xfId="0" applyFont="1" applyFill="1" applyBorder="1" applyAlignment="1">
      <alignment horizontal="right" vertical="center" wrapText="1"/>
    </xf>
    <xf numFmtId="0" fontId="56" fillId="24" borderId="2" xfId="0" applyFont="1" applyFill="1" applyBorder="1" applyAlignment="1">
      <alignment horizontal="right" vertical="center" wrapText="1"/>
    </xf>
    <xf numFmtId="0" fontId="56" fillId="24" borderId="4" xfId="0" applyFont="1" applyFill="1" applyBorder="1" applyAlignment="1">
      <alignment horizontal="right" vertical="center" wrapText="1"/>
    </xf>
    <xf numFmtId="0" fontId="8" fillId="9" borderId="3" xfId="0" applyFont="1" applyFill="1" applyBorder="1"/>
    <xf numFmtId="0" fontId="13" fillId="14" borderId="2" xfId="0" applyFont="1" applyFill="1" applyBorder="1" applyAlignment="1">
      <alignment horizontal="right" vertical="center" wrapText="1"/>
    </xf>
    <xf numFmtId="0" fontId="13" fillId="14" borderId="4" xfId="0" applyFont="1" applyFill="1" applyBorder="1" applyAlignment="1">
      <alignment horizontal="right" vertical="center" wrapText="1"/>
    </xf>
    <xf numFmtId="0" fontId="13" fillId="17" borderId="2" xfId="0" applyFont="1" applyFill="1" applyBorder="1" applyAlignment="1">
      <alignment horizontal="right" vertical="center" wrapText="1"/>
    </xf>
    <xf numFmtId="0" fontId="13" fillId="17" borderId="4" xfId="0" applyFont="1" applyFill="1" applyBorder="1" applyAlignment="1">
      <alignment horizontal="right" vertical="center" wrapText="1"/>
    </xf>
    <xf numFmtId="0" fontId="55" fillId="14" borderId="2" xfId="0" applyFont="1" applyFill="1" applyBorder="1" applyAlignment="1">
      <alignment horizontal="right" vertical="center" wrapText="1"/>
    </xf>
    <xf numFmtId="0" fontId="55" fillId="14" borderId="4" xfId="0" applyFont="1" applyFill="1" applyBorder="1" applyAlignment="1">
      <alignment horizontal="right" vertical="center" wrapText="1"/>
    </xf>
    <xf numFmtId="0" fontId="55" fillId="17" borderId="2" xfId="0" applyFont="1" applyFill="1" applyBorder="1" applyAlignment="1">
      <alignment horizontal="right" vertical="center" wrapText="1"/>
    </xf>
    <xf numFmtId="0" fontId="55" fillId="17" borderId="4" xfId="0" applyFont="1" applyFill="1" applyBorder="1" applyAlignment="1">
      <alignment horizontal="right" vertical="center" wrapText="1"/>
    </xf>
    <xf numFmtId="0" fontId="2" fillId="7" borderId="9" xfId="0" applyFont="1" applyFill="1" applyBorder="1" applyAlignment="1">
      <alignment horizontal="center" vertical="center" wrapText="1"/>
    </xf>
    <xf numFmtId="1" fontId="10" fillId="7" borderId="5" xfId="0" applyNumberFormat="1" applyFont="1" applyFill="1" applyBorder="1" applyAlignment="1">
      <alignment horizontal="right" vertical="center" wrapText="1"/>
    </xf>
    <xf numFmtId="14" fontId="16" fillId="13" borderId="3" xfId="0" applyNumberFormat="1" applyFont="1" applyFill="1" applyBorder="1" applyAlignment="1">
      <alignment horizontal="left" vertical="center" wrapText="1"/>
    </xf>
    <xf numFmtId="14" fontId="0" fillId="13" borderId="3" xfId="0" applyNumberFormat="1" applyFill="1" applyBorder="1" applyAlignment="1">
      <alignment horizontal="left" vertical="center" wrapText="1"/>
    </xf>
    <xf numFmtId="14" fontId="16" fillId="21" borderId="3" xfId="0" applyNumberFormat="1" applyFont="1" applyFill="1" applyBorder="1" applyAlignment="1">
      <alignment horizontal="left" vertical="center" wrapText="1"/>
    </xf>
    <xf numFmtId="14" fontId="16" fillId="21" borderId="1" xfId="0" applyNumberFormat="1" applyFont="1" applyFill="1" applyBorder="1" applyAlignment="1">
      <alignment horizontal="left" vertical="center" wrapText="1"/>
    </xf>
    <xf numFmtId="14" fontId="0" fillId="21" borderId="3" xfId="0" applyNumberFormat="1" applyFill="1" applyBorder="1" applyAlignment="1">
      <alignment horizontal="left" vertical="center" wrapText="1"/>
    </xf>
    <xf numFmtId="14" fontId="16" fillId="11" borderId="3" xfId="0" applyNumberFormat="1" applyFont="1" applyFill="1" applyBorder="1" applyAlignment="1">
      <alignment horizontal="left" vertical="center" wrapText="1"/>
    </xf>
    <xf numFmtId="14" fontId="57" fillId="19" borderId="1" xfId="0" applyNumberFormat="1" applyFont="1" applyFill="1" applyBorder="1" applyAlignment="1">
      <alignment horizontal="left" vertical="center" wrapText="1"/>
    </xf>
    <xf numFmtId="14" fontId="16" fillId="19" borderId="3" xfId="0" applyNumberFormat="1" applyFont="1" applyFill="1" applyBorder="1" applyAlignment="1">
      <alignment horizontal="left" vertical="center" wrapText="1"/>
    </xf>
    <xf numFmtId="14" fontId="0" fillId="19" borderId="3" xfId="0" applyNumberFormat="1" applyFill="1" applyBorder="1" applyAlignment="1">
      <alignment horizontal="left" vertical="center" wrapText="1"/>
    </xf>
    <xf numFmtId="14" fontId="16" fillId="3" borderId="3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55" fillId="23" borderId="2" xfId="0" applyFont="1" applyFill="1" applyBorder="1" applyAlignment="1">
      <alignment horizontal="right" vertical="center" wrapText="1"/>
    </xf>
    <xf numFmtId="0" fontId="55" fillId="23" borderId="4" xfId="0" applyFont="1" applyFill="1" applyBorder="1" applyAlignment="1">
      <alignment horizontal="right" vertical="center" wrapText="1"/>
    </xf>
    <xf numFmtId="0" fontId="39" fillId="3" borderId="10" xfId="0" applyFont="1" applyFill="1" applyBorder="1" applyAlignment="1">
      <alignment vertical="center" wrapText="1"/>
    </xf>
    <xf numFmtId="1" fontId="10" fillId="7" borderId="14" xfId="0" applyNumberFormat="1" applyFont="1" applyFill="1" applyBorder="1" applyAlignment="1">
      <alignment horizontal="right" vertical="center" wrapText="1"/>
    </xf>
    <xf numFmtId="1" fontId="10" fillId="7" borderId="11" xfId="0" applyNumberFormat="1" applyFont="1" applyFill="1" applyBorder="1" applyAlignment="1">
      <alignment horizontal="right" vertical="center" wrapText="1"/>
    </xf>
    <xf numFmtId="0" fontId="39" fillId="3" borderId="1" xfId="0" applyFont="1" applyFill="1" applyBorder="1" applyAlignment="1">
      <alignment horizontal="right" vertical="center" wrapText="1"/>
    </xf>
    <xf numFmtId="0" fontId="39" fillId="3" borderId="2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3" fillId="18" borderId="1" xfId="0" applyFont="1" applyFill="1" applyBorder="1" applyAlignment="1">
      <alignment horizontal="right" vertical="center" wrapText="1"/>
    </xf>
    <xf numFmtId="1" fontId="13" fillId="18" borderId="1" xfId="0" applyNumberFormat="1" applyFont="1" applyFill="1" applyBorder="1" applyAlignment="1">
      <alignment horizontal="right" vertical="center" wrapText="1"/>
    </xf>
    <xf numFmtId="14" fontId="10" fillId="21" borderId="3" xfId="0" applyNumberFormat="1" applyFont="1" applyFill="1" applyBorder="1" applyAlignment="1">
      <alignment horizontal="left" vertical="center" wrapText="1"/>
    </xf>
    <xf numFmtId="0" fontId="15" fillId="20" borderId="4" xfId="0" applyFont="1" applyFill="1" applyBorder="1" applyAlignment="1">
      <alignment horizontal="right" vertical="center" wrapText="1"/>
    </xf>
    <xf numFmtId="1" fontId="15" fillId="20" borderId="4" xfId="0" applyNumberFormat="1" applyFont="1" applyFill="1" applyBorder="1" applyAlignment="1">
      <alignment horizontal="right" vertical="center" wrapText="1"/>
    </xf>
    <xf numFmtId="1" fontId="10" fillId="9" borderId="1" xfId="0" applyNumberFormat="1" applyFont="1" applyFill="1" applyBorder="1" applyAlignment="1">
      <alignment horizontal="right"/>
    </xf>
    <xf numFmtId="0" fontId="13" fillId="8" borderId="1" xfId="0" applyFont="1" applyFill="1" applyBorder="1" applyAlignment="1">
      <alignment vertical="center" wrapText="1"/>
    </xf>
    <xf numFmtId="0" fontId="56" fillId="15" borderId="2" xfId="0" applyFont="1" applyFill="1" applyBorder="1" applyAlignment="1">
      <alignment horizontal="right" vertical="center" wrapText="1"/>
    </xf>
    <xf numFmtId="0" fontId="56" fillId="15" borderId="4" xfId="0" applyFont="1" applyFill="1" applyBorder="1" applyAlignment="1">
      <alignment horizontal="right" vertical="center" wrapText="1"/>
    </xf>
    <xf numFmtId="0" fontId="56" fillId="12" borderId="2" xfId="0" applyFont="1" applyFill="1" applyBorder="1" applyAlignment="1">
      <alignment horizontal="right" vertical="center" wrapText="1"/>
    </xf>
    <xf numFmtId="0" fontId="56" fillId="12" borderId="4" xfId="0" applyFont="1" applyFill="1" applyBorder="1" applyAlignment="1">
      <alignment horizontal="right" vertical="center" wrapText="1"/>
    </xf>
    <xf numFmtId="0" fontId="59" fillId="10" borderId="2" xfId="0" applyFont="1" applyFill="1" applyBorder="1" applyAlignment="1">
      <alignment horizontal="right" vertical="center" wrapText="1"/>
    </xf>
    <xf numFmtId="0" fontId="59" fillId="10" borderId="4" xfId="0" applyFont="1" applyFill="1" applyBorder="1" applyAlignment="1">
      <alignment horizontal="right" vertical="center" wrapText="1"/>
    </xf>
    <xf numFmtId="14" fontId="57" fillId="25" borderId="3" xfId="0" applyNumberFormat="1" applyFont="1" applyFill="1" applyBorder="1" applyAlignment="1">
      <alignment horizontal="left" vertical="center" wrapText="1"/>
    </xf>
    <xf numFmtId="0" fontId="56" fillId="3" borderId="2" xfId="0" applyFont="1" applyFill="1" applyBorder="1" applyAlignment="1">
      <alignment horizontal="right" vertical="center" wrapText="1"/>
    </xf>
    <xf numFmtId="0" fontId="56" fillId="3" borderId="4" xfId="0" applyFont="1" applyFill="1" applyBorder="1" applyAlignment="1">
      <alignment horizontal="right" vertical="center" wrapText="1"/>
    </xf>
    <xf numFmtId="0" fontId="56" fillId="10" borderId="2" xfId="0" applyFont="1" applyFill="1" applyBorder="1" applyAlignment="1">
      <alignment horizontal="right" vertical="center" wrapText="1"/>
    </xf>
    <xf numFmtId="0" fontId="56" fillId="10" borderId="4" xfId="0" applyFont="1" applyFill="1" applyBorder="1" applyAlignment="1">
      <alignment horizontal="right" vertical="center" wrapText="1"/>
    </xf>
    <xf numFmtId="14" fontId="16" fillId="25" borderId="3" xfId="0" applyNumberFormat="1" applyFont="1" applyFill="1" applyBorder="1" applyAlignment="1">
      <alignment horizontal="left" vertical="center" wrapText="1"/>
    </xf>
    <xf numFmtId="14" fontId="16" fillId="26" borderId="3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0" fontId="10" fillId="4" borderId="1" xfId="0" applyFont="1" applyFill="1" applyBorder="1" applyAlignment="1">
      <alignment vertical="top" wrapText="1"/>
    </xf>
    <xf numFmtId="0" fontId="10" fillId="9" borderId="12" xfId="0" applyFont="1" applyFill="1" applyBorder="1" applyAlignment="1">
      <alignment horizontal="right"/>
    </xf>
    <xf numFmtId="0" fontId="56" fillId="7" borderId="0" xfId="0" applyFont="1" applyFill="1" applyAlignment="1">
      <alignment horizontal="right" vertical="center" wrapText="1"/>
    </xf>
    <xf numFmtId="0" fontId="16" fillId="7" borderId="5" xfId="0" applyFont="1" applyFill="1" applyBorder="1" applyAlignment="1">
      <alignment vertical="center" wrapText="1"/>
    </xf>
    <xf numFmtId="0" fontId="33" fillId="12" borderId="4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60" fillId="2" borderId="2" xfId="0" applyFont="1" applyFill="1" applyBorder="1" applyAlignment="1">
      <alignment horizontal="right" vertical="center" wrapText="1"/>
    </xf>
    <xf numFmtId="0" fontId="60" fillId="6" borderId="2" xfId="0" applyFont="1" applyFill="1" applyBorder="1" applyAlignment="1">
      <alignment horizontal="right" vertical="center" wrapText="1"/>
    </xf>
    <xf numFmtId="0" fontId="60" fillId="2" borderId="4" xfId="0" applyFont="1" applyFill="1" applyBorder="1" applyAlignment="1">
      <alignment horizontal="right" vertical="center" wrapText="1"/>
    </xf>
    <xf numFmtId="0" fontId="60" fillId="6" borderId="4" xfId="0" applyFont="1" applyFill="1" applyBorder="1" applyAlignment="1">
      <alignment horizontal="right" vertical="center" wrapText="1"/>
    </xf>
    <xf numFmtId="0" fontId="55" fillId="3" borderId="2" xfId="0" applyFont="1" applyFill="1" applyBorder="1" applyAlignment="1">
      <alignment horizontal="right" vertical="center" wrapText="1"/>
    </xf>
    <xf numFmtId="0" fontId="55" fillId="3" borderId="4" xfId="0" applyFont="1" applyFill="1" applyBorder="1" applyAlignment="1">
      <alignment horizontal="right" vertical="center" wrapText="1"/>
    </xf>
    <xf numFmtId="0" fontId="56" fillId="20" borderId="2" xfId="0" applyFont="1" applyFill="1" applyBorder="1" applyAlignment="1">
      <alignment horizontal="right" vertical="center" wrapText="1"/>
    </xf>
    <xf numFmtId="0" fontId="56" fillId="20" borderId="4" xfId="0" applyFont="1" applyFill="1" applyBorder="1" applyAlignment="1">
      <alignment horizontal="right" vertical="center" wrapText="1"/>
    </xf>
    <xf numFmtId="1" fontId="39" fillId="3" borderId="2" xfId="0" applyNumberFormat="1" applyFont="1" applyFill="1" applyBorder="1" applyAlignment="1">
      <alignment horizontal="right" vertical="center" wrapText="1"/>
    </xf>
    <xf numFmtId="0" fontId="55" fillId="4" borderId="2" xfId="0" applyFont="1" applyFill="1" applyBorder="1" applyAlignment="1">
      <alignment horizontal="right" vertical="center" wrapText="1"/>
    </xf>
    <xf numFmtId="0" fontId="12" fillId="4" borderId="2" xfId="0" applyFont="1" applyFill="1" applyBorder="1" applyAlignment="1">
      <alignment horizontal="right" vertical="center" wrapText="1"/>
    </xf>
    <xf numFmtId="0" fontId="48" fillId="4" borderId="2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48" fillId="4" borderId="4" xfId="0" applyFont="1" applyFill="1" applyBorder="1" applyAlignment="1">
      <alignment horizontal="right" vertical="center" wrapText="1"/>
    </xf>
    <xf numFmtId="0" fontId="55" fillId="4" borderId="4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55" fillId="18" borderId="2" xfId="0" applyFont="1" applyFill="1" applyBorder="1" applyAlignment="1">
      <alignment horizontal="right" vertical="center" wrapText="1"/>
    </xf>
    <xf numFmtId="0" fontId="55" fillId="18" borderId="4" xfId="0" applyFont="1" applyFill="1" applyBorder="1" applyAlignment="1">
      <alignment horizontal="right" vertical="center" wrapText="1"/>
    </xf>
    <xf numFmtId="0" fontId="9" fillId="7" borderId="1" xfId="0" applyFont="1" applyFill="1" applyBorder="1" applyAlignment="1">
      <alignment horizontal="right" vertical="center" wrapText="1"/>
    </xf>
    <xf numFmtId="0" fontId="12" fillId="22" borderId="11" xfId="0" applyFont="1" applyFill="1" applyBorder="1" applyAlignment="1">
      <alignment vertical="center" wrapText="1"/>
    </xf>
    <xf numFmtId="0" fontId="12" fillId="22" borderId="12" xfId="0" applyFont="1" applyFill="1" applyBorder="1" applyAlignment="1">
      <alignment horizontal="right" vertical="center" wrapText="1"/>
    </xf>
    <xf numFmtId="0" fontId="10" fillId="4" borderId="2" xfId="0" applyFont="1" applyFill="1" applyBorder="1" applyAlignment="1">
      <alignment horizontal="right" vertical="center" wrapText="1"/>
    </xf>
    <xf numFmtId="0" fontId="10" fillId="6" borderId="2" xfId="0" applyFont="1" applyFill="1" applyBorder="1" applyAlignment="1">
      <alignment horizontal="right" vertical="center" wrapText="1"/>
    </xf>
    <xf numFmtId="0" fontId="10" fillId="6" borderId="4" xfId="0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14" fontId="5" fillId="3" borderId="3" xfId="0" applyNumberFormat="1" applyFont="1" applyFill="1" applyBorder="1" applyAlignment="1">
      <alignment horizontal="left" vertical="center" wrapText="1"/>
    </xf>
    <xf numFmtId="0" fontId="35" fillId="3" borderId="2" xfId="0" applyFont="1" applyFill="1" applyBorder="1" applyAlignment="1">
      <alignment horizontal="right" vertical="center" wrapText="1"/>
    </xf>
    <xf numFmtId="0" fontId="35" fillId="3" borderId="4" xfId="0" applyFont="1" applyFill="1" applyBorder="1" applyAlignment="1">
      <alignment horizontal="right" vertical="center" wrapText="1"/>
    </xf>
    <xf numFmtId="0" fontId="10" fillId="10" borderId="2" xfId="0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horizontal="right" vertical="center" wrapText="1"/>
    </xf>
    <xf numFmtId="14" fontId="15" fillId="3" borderId="3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right" vertical="center" wrapText="1"/>
    </xf>
    <xf numFmtId="0" fontId="47" fillId="20" borderId="1" xfId="0" applyFont="1" applyFill="1" applyBorder="1" applyAlignment="1">
      <alignment horizontal="right" vertical="center" wrapText="1"/>
    </xf>
    <xf numFmtId="1" fontId="47" fillId="20" borderId="1" xfId="0" applyNumberFormat="1" applyFont="1" applyFill="1" applyBorder="1" applyAlignment="1">
      <alignment horizontal="right" vertical="center" wrapText="1"/>
    </xf>
    <xf numFmtId="0" fontId="15" fillId="14" borderId="1" xfId="0" applyFont="1" applyFill="1" applyBorder="1" applyAlignment="1">
      <alignment horizontal="right" vertical="center" wrapText="1"/>
    </xf>
    <xf numFmtId="1" fontId="15" fillId="14" borderId="1" xfId="0" applyNumberFormat="1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vertical="center" wrapText="1"/>
    </xf>
    <xf numFmtId="1" fontId="35" fillId="24" borderId="1" xfId="0" applyNumberFormat="1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0" fontId="61" fillId="7" borderId="0" xfId="0" applyFont="1" applyFill="1" applyAlignment="1">
      <alignment horizontal="center" vertical="center" wrapText="1"/>
    </xf>
    <xf numFmtId="0" fontId="10" fillId="7" borderId="6" xfId="0" applyFont="1" applyFill="1" applyBorder="1" applyAlignment="1">
      <alignment horizontal="right" vertical="center" wrapText="1"/>
    </xf>
    <xf numFmtId="0" fontId="56" fillId="7" borderId="8" xfId="0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vertical="center" wrapText="1"/>
    </xf>
    <xf numFmtId="0" fontId="47" fillId="7" borderId="4" xfId="0" applyFont="1" applyFill="1" applyBorder="1" applyAlignment="1">
      <alignment horizontal="right" vertical="center" wrapText="1"/>
    </xf>
    <xf numFmtId="1" fontId="47" fillId="7" borderId="4" xfId="0" applyNumberFormat="1" applyFont="1" applyFill="1" applyBorder="1" applyAlignment="1">
      <alignment horizontal="right" vertical="center" wrapText="1"/>
    </xf>
    <xf numFmtId="0" fontId="13" fillId="27" borderId="1" xfId="0" applyFont="1" applyFill="1" applyBorder="1" applyAlignment="1">
      <alignment vertical="center" wrapText="1"/>
    </xf>
    <xf numFmtId="0" fontId="28" fillId="27" borderId="2" xfId="0" applyFont="1" applyFill="1" applyBorder="1" applyAlignment="1">
      <alignment horizontal="right" vertical="center" wrapText="1"/>
    </xf>
    <xf numFmtId="0" fontId="55" fillId="27" borderId="2" xfId="0" applyFont="1" applyFill="1" applyBorder="1" applyAlignment="1">
      <alignment horizontal="right" vertical="center" wrapText="1"/>
    </xf>
    <xf numFmtId="0" fontId="13" fillId="27" borderId="2" xfId="0" applyFont="1" applyFill="1" applyBorder="1" applyAlignment="1">
      <alignment horizontal="right" vertical="center" wrapText="1"/>
    </xf>
    <xf numFmtId="0" fontId="13" fillId="27" borderId="3" xfId="0" applyFont="1" applyFill="1" applyBorder="1" applyAlignment="1">
      <alignment vertical="center" wrapText="1"/>
    </xf>
    <xf numFmtId="0" fontId="28" fillId="27" borderId="4" xfId="0" applyFont="1" applyFill="1" applyBorder="1" applyAlignment="1">
      <alignment horizontal="right" vertical="center" wrapText="1"/>
    </xf>
    <xf numFmtId="0" fontId="55" fillId="27" borderId="4" xfId="0" applyFont="1" applyFill="1" applyBorder="1" applyAlignment="1">
      <alignment horizontal="right" vertical="center" wrapText="1"/>
    </xf>
    <xf numFmtId="0" fontId="13" fillId="27" borderId="4" xfId="0" applyFont="1" applyFill="1" applyBorder="1" applyAlignment="1">
      <alignment horizontal="right" vertical="center" wrapText="1"/>
    </xf>
    <xf numFmtId="0" fontId="33" fillId="27" borderId="2" xfId="0" applyFont="1" applyFill="1" applyBorder="1" applyAlignment="1">
      <alignment horizontal="right" vertical="center" wrapText="1"/>
    </xf>
    <xf numFmtId="0" fontId="33" fillId="27" borderId="4" xfId="0" applyFont="1" applyFill="1" applyBorder="1" applyAlignment="1">
      <alignment horizontal="right" vertical="center" wrapText="1"/>
    </xf>
    <xf numFmtId="0" fontId="33" fillId="18" borderId="2" xfId="0" applyFont="1" applyFill="1" applyBorder="1" applyAlignment="1">
      <alignment horizontal="right" vertical="center" wrapText="1"/>
    </xf>
    <xf numFmtId="0" fontId="33" fillId="18" borderId="4" xfId="0" applyFont="1" applyFill="1" applyBorder="1" applyAlignment="1">
      <alignment horizontal="right" vertical="center" wrapText="1"/>
    </xf>
    <xf numFmtId="0" fontId="10" fillId="9" borderId="3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35" fillId="16" borderId="2" xfId="0" applyFont="1" applyFill="1" applyBorder="1" applyAlignment="1">
      <alignment horizontal="right" vertical="center" wrapText="1"/>
    </xf>
    <xf numFmtId="0" fontId="35" fillId="16" borderId="4" xfId="0" applyFont="1" applyFill="1" applyBorder="1" applyAlignment="1">
      <alignment horizontal="right" vertical="center" wrapText="1"/>
    </xf>
    <xf numFmtId="0" fontId="10" fillId="24" borderId="2" xfId="0" applyFont="1" applyFill="1" applyBorder="1" applyAlignment="1">
      <alignment horizontal="right" vertical="center" wrapText="1"/>
    </xf>
    <xf numFmtId="0" fontId="10" fillId="24" borderId="4" xfId="0" applyFont="1" applyFill="1" applyBorder="1" applyAlignment="1">
      <alignment horizontal="right" vertical="center" wrapText="1"/>
    </xf>
    <xf numFmtId="0" fontId="8" fillId="7" borderId="17" xfId="0" applyFont="1" applyFill="1" applyBorder="1" applyAlignment="1">
      <alignment horizontal="right" vertical="center" wrapText="1"/>
    </xf>
    <xf numFmtId="0" fontId="12" fillId="7" borderId="0" xfId="0" applyFont="1" applyFill="1"/>
    <xf numFmtId="0" fontId="8" fillId="4" borderId="4" xfId="0" applyFont="1" applyFill="1" applyBorder="1"/>
    <xf numFmtId="0" fontId="8" fillId="4" borderId="6" xfId="0" applyFont="1" applyFill="1" applyBorder="1"/>
    <xf numFmtId="0" fontId="8" fillId="4" borderId="2" xfId="0" applyFont="1" applyFill="1" applyBorder="1"/>
    <xf numFmtId="0" fontId="12" fillId="7" borderId="13" xfId="0" applyFont="1" applyFill="1" applyBorder="1" applyAlignment="1">
      <alignment vertical="center" wrapText="1"/>
    </xf>
    <xf numFmtId="0" fontId="8" fillId="4" borderId="3" xfId="0" applyFont="1" applyFill="1" applyBorder="1"/>
    <xf numFmtId="0" fontId="8" fillId="0" borderId="1" xfId="0" applyFont="1" applyBorder="1"/>
    <xf numFmtId="0" fontId="1" fillId="7" borderId="9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vertical="center" wrapText="1"/>
    </xf>
    <xf numFmtId="0" fontId="0" fillId="0" borderId="0" xfId="0"/>
    <xf numFmtId="0" fontId="2" fillId="7" borderId="9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vertical="center" wrapText="1"/>
    </xf>
    <xf numFmtId="0" fontId="2" fillId="24" borderId="11" xfId="0" applyFont="1" applyFill="1" applyBorder="1" applyAlignment="1">
      <alignment horizontal="left"/>
    </xf>
    <xf numFmtId="0" fontId="2" fillId="24" borderId="12" xfId="0" applyFont="1" applyFill="1" applyBorder="1" applyAlignment="1">
      <alignment horizontal="left"/>
    </xf>
    <xf numFmtId="0" fontId="2" fillId="24" borderId="2" xfId="0" applyFont="1" applyFill="1" applyBorder="1" applyAlignment="1">
      <alignment horizontal="left"/>
    </xf>
    <xf numFmtId="0" fontId="10" fillId="25" borderId="7" xfId="0" applyFont="1" applyFill="1" applyBorder="1" applyAlignment="1">
      <alignment vertical="center" wrapText="1"/>
    </xf>
    <xf numFmtId="0" fontId="10" fillId="25" borderId="3" xfId="0" applyFont="1" applyFill="1" applyBorder="1" applyAlignment="1">
      <alignment vertical="center" wrapText="1"/>
    </xf>
    <xf numFmtId="0" fontId="10" fillId="21" borderId="7" xfId="0" applyFont="1" applyFill="1" applyBorder="1" applyAlignment="1">
      <alignment vertical="center" wrapText="1"/>
    </xf>
    <xf numFmtId="0" fontId="10" fillId="21" borderId="3" xfId="0" applyFont="1" applyFill="1" applyBorder="1" applyAlignment="1">
      <alignment vertical="center" wrapText="1"/>
    </xf>
    <xf numFmtId="0" fontId="10" fillId="13" borderId="7" xfId="0" applyFont="1" applyFill="1" applyBorder="1" applyAlignment="1">
      <alignment vertical="center" wrapText="1"/>
    </xf>
    <xf numFmtId="0" fontId="10" fillId="13" borderId="3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30" fillId="22" borderId="9" xfId="0" applyFont="1" applyFill="1" applyBorder="1" applyAlignment="1">
      <alignment horizontal="left" vertical="center"/>
    </xf>
    <xf numFmtId="0" fontId="30" fillId="22" borderId="8" xfId="0" applyFont="1" applyFill="1" applyBorder="1" applyAlignment="1">
      <alignment horizontal="left" vertical="center"/>
    </xf>
    <xf numFmtId="0" fontId="30" fillId="22" borderId="6" xfId="0" applyFont="1" applyFill="1" applyBorder="1" applyAlignment="1">
      <alignment horizontal="left" vertical="center"/>
    </xf>
    <xf numFmtId="0" fontId="10" fillId="19" borderId="7" xfId="0" applyFont="1" applyFill="1" applyBorder="1" applyAlignment="1">
      <alignment vertical="center" wrapText="1"/>
    </xf>
    <xf numFmtId="0" fontId="10" fillId="19" borderId="3" xfId="0" applyFont="1" applyFill="1" applyBorder="1" applyAlignment="1">
      <alignment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14" fontId="16" fillId="7" borderId="13" xfId="0" applyNumberFormat="1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16" fillId="7" borderId="9" xfId="0" applyFont="1" applyFill="1" applyBorder="1" applyAlignment="1">
      <alignment vertical="center" wrapText="1"/>
    </xf>
    <xf numFmtId="0" fontId="16" fillId="7" borderId="8" xfId="0" applyFont="1" applyFill="1" applyBorder="1"/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" fillId="7" borderId="0" xfId="0" applyFont="1" applyFill="1" applyAlignment="1">
      <alignment horizontal="center" vertical="center" wrapText="1"/>
    </xf>
    <xf numFmtId="0" fontId="0" fillId="7" borderId="13" xfId="0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vertical="center" wrapText="1"/>
    </xf>
    <xf numFmtId="0" fontId="52" fillId="23" borderId="11" xfId="0" applyFont="1" applyFill="1" applyBorder="1" applyAlignment="1">
      <alignment horizontal="left" vertical="center"/>
    </xf>
    <xf numFmtId="0" fontId="52" fillId="23" borderId="12" xfId="0" applyFont="1" applyFill="1" applyBorder="1" applyAlignment="1">
      <alignment horizontal="left" vertical="center"/>
    </xf>
    <xf numFmtId="0" fontId="52" fillId="23" borderId="2" xfId="0" applyFont="1" applyFill="1" applyBorder="1" applyAlignment="1">
      <alignment horizontal="left" vertical="center"/>
    </xf>
    <xf numFmtId="0" fontId="10" fillId="21" borderId="6" xfId="0" applyFont="1" applyFill="1" applyBorder="1" applyAlignment="1">
      <alignment vertical="center" wrapText="1"/>
    </xf>
    <xf numFmtId="0" fontId="10" fillId="21" borderId="4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vertical="center" wrapText="1"/>
    </xf>
    <xf numFmtId="0" fontId="0" fillId="0" borderId="8" xfId="0" applyBorder="1"/>
    <xf numFmtId="0" fontId="16" fillId="7" borderId="0" xfId="0" applyFont="1" applyFill="1"/>
    <xf numFmtId="0" fontId="6" fillId="14" borderId="11" xfId="0" applyFont="1" applyFill="1" applyBorder="1" applyAlignment="1">
      <alignment vertical="center"/>
    </xf>
    <xf numFmtId="0" fontId="5" fillId="14" borderId="12" xfId="0" applyFont="1" applyFill="1" applyBorder="1"/>
    <xf numFmtId="0" fontId="5" fillId="14" borderId="2" xfId="0" applyFont="1" applyFill="1" applyBorder="1"/>
    <xf numFmtId="0" fontId="0" fillId="0" borderId="13" xfId="0" applyBorder="1"/>
    <xf numFmtId="0" fontId="46" fillId="20" borderId="9" xfId="0" applyFont="1" applyFill="1" applyBorder="1" applyAlignment="1">
      <alignment horizontal="left" vertical="center"/>
    </xf>
    <xf numFmtId="0" fontId="46" fillId="20" borderId="8" xfId="0" applyFont="1" applyFill="1" applyBorder="1" applyAlignment="1">
      <alignment horizontal="left" vertical="center"/>
    </xf>
    <xf numFmtId="0" fontId="46" fillId="20" borderId="6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38" fillId="3" borderId="9" xfId="0" applyFont="1" applyFill="1" applyBorder="1" applyAlignment="1">
      <alignment horizontal="left" vertical="center"/>
    </xf>
    <xf numFmtId="0" fontId="38" fillId="3" borderId="8" xfId="0" applyFont="1" applyFill="1" applyBorder="1" applyAlignment="1">
      <alignment horizontal="left" vertical="center"/>
    </xf>
    <xf numFmtId="0" fontId="38" fillId="3" borderId="6" xfId="0" applyFont="1" applyFill="1" applyBorder="1" applyAlignment="1">
      <alignment horizontal="left" vertical="center"/>
    </xf>
    <xf numFmtId="0" fontId="32" fillId="15" borderId="9" xfId="0" applyFont="1" applyFill="1" applyBorder="1" applyAlignment="1">
      <alignment horizontal="left" vertical="center"/>
    </xf>
    <xf numFmtId="0" fontId="32" fillId="15" borderId="8" xfId="0" applyFont="1" applyFill="1" applyBorder="1" applyAlignment="1">
      <alignment horizontal="left" vertical="center"/>
    </xf>
    <xf numFmtId="0" fontId="32" fillId="15" borderId="6" xfId="0" applyFont="1" applyFill="1" applyBorder="1" applyAlignment="1">
      <alignment horizontal="left" vertical="center"/>
    </xf>
    <xf numFmtId="0" fontId="10" fillId="26" borderId="7" xfId="0" applyFont="1" applyFill="1" applyBorder="1" applyAlignment="1">
      <alignment vertical="center" wrapText="1"/>
    </xf>
    <xf numFmtId="0" fontId="10" fillId="26" borderId="3" xfId="0" applyFont="1" applyFill="1" applyBorder="1" applyAlignment="1">
      <alignment vertical="center" wrapText="1"/>
    </xf>
    <xf numFmtId="0" fontId="10" fillId="11" borderId="6" xfId="0" applyFont="1" applyFill="1" applyBorder="1" applyAlignment="1">
      <alignment vertical="center" wrapText="1"/>
    </xf>
    <xf numFmtId="0" fontId="10" fillId="11" borderId="4" xfId="0" applyFont="1" applyFill="1" applyBorder="1" applyAlignment="1">
      <alignment vertical="center" wrapText="1"/>
    </xf>
    <xf numFmtId="0" fontId="16" fillId="0" borderId="0" xfId="0" applyFont="1"/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0" fillId="3" borderId="9" xfId="0" applyFont="1" applyFill="1" applyBorder="1" applyAlignment="1">
      <alignment horizontal="left" vertical="center"/>
    </xf>
    <xf numFmtId="0" fontId="30" fillId="3" borderId="8" xfId="0" applyFont="1" applyFill="1" applyBorder="1" applyAlignment="1">
      <alignment horizontal="left" vertical="center"/>
    </xf>
    <xf numFmtId="0" fontId="30" fillId="3" borderId="6" xfId="0" applyFont="1" applyFill="1" applyBorder="1" applyAlignment="1">
      <alignment horizontal="left" vertical="center"/>
    </xf>
    <xf numFmtId="0" fontId="58" fillId="0" borderId="13" xfId="0" applyFont="1" applyBorder="1"/>
    <xf numFmtId="0" fontId="12" fillId="7" borderId="1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left" vertical="center"/>
    </xf>
    <xf numFmtId="0" fontId="22" fillId="3" borderId="8" xfId="0" applyFont="1" applyFill="1" applyBorder="1" applyAlignment="1">
      <alignment horizontal="left" vertical="center"/>
    </xf>
    <xf numFmtId="0" fontId="22" fillId="3" borderId="6" xfId="0" applyFont="1" applyFill="1" applyBorder="1" applyAlignment="1">
      <alignment horizontal="left" vertical="center"/>
    </xf>
    <xf numFmtId="0" fontId="22" fillId="18" borderId="9" xfId="0" applyFont="1" applyFill="1" applyBorder="1" applyAlignment="1">
      <alignment horizontal="left" vertical="center"/>
    </xf>
    <xf numFmtId="0" fontId="22" fillId="18" borderId="8" xfId="0" applyFont="1" applyFill="1" applyBorder="1" applyAlignment="1">
      <alignment horizontal="left" vertical="center"/>
    </xf>
    <xf numFmtId="0" fontId="22" fillId="18" borderId="6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2" fillId="7" borderId="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A6A6"/>
      <color rgb="FF762949"/>
      <color rgb="FF133926"/>
      <color rgb="FF008000"/>
      <color rgb="FF682300"/>
      <color rgb="FFFF80FF"/>
      <color rgb="FFE2AC00"/>
      <color rgb="FFC09200"/>
      <color rgb="FFBC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anhill/Documents/WORK/RWC%202019%20Databases/Pro%2014/2019:20/2019-10-15%20Round%203/PRO14%2019-10-15%20Scor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"/>
      <sheetName val="CBL"/>
      <sheetName val="CHE"/>
      <sheetName val="CON"/>
      <sheetName val="DRA"/>
      <sheetName val="EDI"/>
      <sheetName val="GLA"/>
      <sheetName val="LEIN"/>
      <sheetName val="MUN"/>
      <sheetName val="OSP"/>
      <sheetName val="SCA"/>
      <sheetName val="SKG"/>
      <sheetName val="ULS"/>
      <sheetName val="ZEB"/>
      <sheetName val="OVERALL"/>
    </sheetNames>
    <sheetDataSet>
      <sheetData sheetId="0">
        <row r="54">
          <cell r="B54">
            <v>6</v>
          </cell>
          <cell r="F54">
            <v>52</v>
          </cell>
        </row>
      </sheetData>
      <sheetData sheetId="1">
        <row r="50">
          <cell r="B50">
            <v>7</v>
          </cell>
          <cell r="F50">
            <v>55</v>
          </cell>
        </row>
      </sheetData>
      <sheetData sheetId="2">
        <row r="62">
          <cell r="B62">
            <v>22</v>
          </cell>
          <cell r="E62">
            <v>151</v>
          </cell>
        </row>
      </sheetData>
      <sheetData sheetId="3">
        <row r="51">
          <cell r="B51">
            <v>12</v>
          </cell>
          <cell r="F51">
            <v>89</v>
          </cell>
        </row>
      </sheetData>
      <sheetData sheetId="4">
        <row r="55">
          <cell r="B55">
            <v>9</v>
          </cell>
          <cell r="F55">
            <v>75</v>
          </cell>
        </row>
      </sheetData>
      <sheetData sheetId="5">
        <row r="51">
          <cell r="B51">
            <v>10</v>
          </cell>
          <cell r="F51">
            <v>83</v>
          </cell>
        </row>
      </sheetData>
      <sheetData sheetId="6">
        <row r="58">
          <cell r="B58">
            <v>6</v>
          </cell>
          <cell r="F58">
            <v>52</v>
          </cell>
        </row>
      </sheetData>
      <sheetData sheetId="7">
        <row r="58">
          <cell r="B58">
            <v>18</v>
          </cell>
          <cell r="F58">
            <v>125</v>
          </cell>
        </row>
      </sheetData>
      <sheetData sheetId="8">
        <row r="55">
          <cell r="B55">
            <v>10</v>
          </cell>
          <cell r="F55">
            <v>86</v>
          </cell>
        </row>
      </sheetData>
      <sheetData sheetId="9">
        <row r="50">
          <cell r="B50">
            <v>6</v>
          </cell>
          <cell r="F50">
            <v>43</v>
          </cell>
        </row>
      </sheetData>
      <sheetData sheetId="10">
        <row r="56">
          <cell r="B56">
            <v>13</v>
          </cell>
          <cell r="F56">
            <v>97</v>
          </cell>
        </row>
      </sheetData>
      <sheetData sheetId="11">
        <row r="47">
          <cell r="B47">
            <v>7</v>
          </cell>
          <cell r="E47">
            <v>64</v>
          </cell>
        </row>
      </sheetData>
      <sheetData sheetId="12">
        <row r="59">
          <cell r="B59">
            <v>15</v>
          </cell>
          <cell r="F59">
            <v>106</v>
          </cell>
        </row>
      </sheetData>
      <sheetData sheetId="13">
        <row r="49">
          <cell r="B49">
            <v>7</v>
          </cell>
          <cell r="F49">
            <v>53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04"/>
  <sheetViews>
    <sheetView workbookViewId="0">
      <selection activeCell="AE10" sqref="AE10:AG10"/>
    </sheetView>
  </sheetViews>
  <sheetFormatPr defaultColWidth="8.875" defaultRowHeight="14.3" x14ac:dyDescent="0.25"/>
  <cols>
    <col min="1" max="1" width="16.375" customWidth="1"/>
    <col min="2" max="2" width="3.75" customWidth="1"/>
    <col min="3" max="5" width="4.125" customWidth="1"/>
    <col min="6" max="6" width="4.75" customWidth="1"/>
    <col min="7" max="7" width="16.375" customWidth="1"/>
    <col min="8" max="12" width="5.25" customWidth="1"/>
    <col min="13" max="13" width="16.375" bestFit="1" customWidth="1"/>
    <col min="14" max="19" width="4.75" customWidth="1"/>
    <col min="20" max="21" width="5.75" customWidth="1"/>
    <col min="22" max="36" width="4.75" customWidth="1"/>
    <col min="37" max="39" width="5.375" customWidth="1"/>
    <col min="40" max="51" width="5.75" customWidth="1"/>
  </cols>
  <sheetData>
    <row r="1" spans="1:59" ht="16" customHeight="1" thickBot="1" x14ac:dyDescent="0.35">
      <c r="A1" s="533" t="s">
        <v>841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5"/>
      <c r="M1" s="540" t="s">
        <v>509</v>
      </c>
      <c r="N1" s="526" t="s">
        <v>29</v>
      </c>
      <c r="O1" s="527"/>
      <c r="P1" s="528"/>
      <c r="Q1" s="526" t="s">
        <v>86</v>
      </c>
      <c r="R1" s="527"/>
      <c r="S1" s="528"/>
      <c r="T1" s="526" t="s">
        <v>508</v>
      </c>
      <c r="U1" s="528"/>
      <c r="V1" s="512" t="s">
        <v>634</v>
      </c>
      <c r="W1" s="513"/>
      <c r="X1" s="514"/>
      <c r="Y1" s="512" t="s">
        <v>863</v>
      </c>
      <c r="Z1" s="513"/>
      <c r="AA1" s="514"/>
      <c r="AB1" s="337"/>
      <c r="AC1" s="353"/>
      <c r="AD1" s="354"/>
      <c r="AE1" s="512" t="s">
        <v>621</v>
      </c>
      <c r="AF1" s="513"/>
      <c r="AG1" s="514"/>
      <c r="AH1" s="512" t="s">
        <v>448</v>
      </c>
      <c r="AI1" s="513"/>
      <c r="AJ1" s="514"/>
      <c r="AK1" s="512" t="s">
        <v>178</v>
      </c>
      <c r="AL1" s="513"/>
      <c r="AM1" s="514"/>
      <c r="AN1" s="512" t="s">
        <v>122</v>
      </c>
      <c r="AO1" s="513"/>
      <c r="AP1" s="514"/>
      <c r="AQ1" s="512" t="s">
        <v>113</v>
      </c>
      <c r="AR1" s="513"/>
      <c r="AS1" s="514"/>
      <c r="AT1" s="512" t="s">
        <v>85</v>
      </c>
      <c r="AU1" s="513"/>
      <c r="AV1" s="514"/>
      <c r="AW1" s="512" t="s">
        <v>106</v>
      </c>
      <c r="AX1" s="513"/>
      <c r="AY1" s="514"/>
      <c r="AZ1" s="100"/>
      <c r="BA1" s="4"/>
      <c r="BB1" s="4"/>
      <c r="BC1" s="4"/>
      <c r="BE1" s="4"/>
    </row>
    <row r="2" spans="1:59" ht="14.95" customHeight="1" thickBot="1" x14ac:dyDescent="0.3">
      <c r="A2" s="344" t="s">
        <v>0</v>
      </c>
      <c r="B2" s="321" t="s">
        <v>620</v>
      </c>
      <c r="C2" s="322" t="s">
        <v>63</v>
      </c>
      <c r="D2" s="502" t="s">
        <v>64</v>
      </c>
      <c r="E2" s="380" t="s">
        <v>925</v>
      </c>
      <c r="F2" s="346" t="s">
        <v>1</v>
      </c>
      <c r="G2" s="339" t="s">
        <v>2</v>
      </c>
      <c r="H2" s="138" t="s">
        <v>620</v>
      </c>
      <c r="I2" s="195" t="s">
        <v>63</v>
      </c>
      <c r="J2" s="469" t="s">
        <v>64</v>
      </c>
      <c r="K2" s="423" t="s">
        <v>925</v>
      </c>
      <c r="L2" s="342" t="s">
        <v>1</v>
      </c>
      <c r="M2" s="541"/>
      <c r="N2" s="529"/>
      <c r="O2" s="530"/>
      <c r="P2" s="531"/>
      <c r="Q2" s="529"/>
      <c r="R2" s="530"/>
      <c r="S2" s="531"/>
      <c r="T2" s="529"/>
      <c r="U2" s="531"/>
      <c r="V2" s="515"/>
      <c r="W2" s="516"/>
      <c r="X2" s="517"/>
      <c r="Y2" s="515"/>
      <c r="Z2" s="516"/>
      <c r="AA2" s="517"/>
      <c r="AB2" s="355"/>
      <c r="AC2" s="356"/>
      <c r="AD2" s="357"/>
      <c r="AE2" s="515"/>
      <c r="AF2" s="516"/>
      <c r="AG2" s="517"/>
      <c r="AH2" s="515"/>
      <c r="AI2" s="516"/>
      <c r="AJ2" s="517"/>
      <c r="AK2" s="515"/>
      <c r="AL2" s="516"/>
      <c r="AM2" s="517"/>
      <c r="AN2" s="515"/>
      <c r="AO2" s="516"/>
      <c r="AP2" s="517"/>
      <c r="AQ2" s="515"/>
      <c r="AR2" s="516"/>
      <c r="AS2" s="517"/>
      <c r="AT2" s="515"/>
      <c r="AU2" s="516"/>
      <c r="AV2" s="517"/>
      <c r="AW2" s="515"/>
      <c r="AX2" s="516"/>
      <c r="AY2" s="517"/>
      <c r="AZ2" s="100"/>
      <c r="BE2" s="4"/>
      <c r="BF2" s="4"/>
      <c r="BG2" s="4"/>
    </row>
    <row r="3" spans="1:59" ht="14.95" customHeight="1" thickBot="1" x14ac:dyDescent="0.3">
      <c r="A3" s="345" t="s">
        <v>87</v>
      </c>
      <c r="B3" s="323">
        <v>0</v>
      </c>
      <c r="C3" s="324">
        <v>0</v>
      </c>
      <c r="D3" s="503">
        <v>0</v>
      </c>
      <c r="E3" s="381">
        <v>0</v>
      </c>
      <c r="F3" s="347">
        <f>SUM(B3:E3)</f>
        <v>0</v>
      </c>
      <c r="G3" s="340" t="s">
        <v>87</v>
      </c>
      <c r="H3" s="92">
        <v>0</v>
      </c>
      <c r="I3" s="194">
        <v>0</v>
      </c>
      <c r="J3" s="470">
        <v>0</v>
      </c>
      <c r="K3" s="424">
        <v>0</v>
      </c>
      <c r="L3" s="343">
        <f>SUM(H3:K3)</f>
        <v>0</v>
      </c>
      <c r="M3" s="393" t="s">
        <v>44</v>
      </c>
      <c r="N3" s="3" t="s">
        <v>107</v>
      </c>
      <c r="O3" s="3" t="s">
        <v>23</v>
      </c>
      <c r="P3" s="3" t="s">
        <v>24</v>
      </c>
      <c r="Q3" s="3" t="s">
        <v>107</v>
      </c>
      <c r="R3" s="3" t="s">
        <v>23</v>
      </c>
      <c r="S3" s="3" t="s">
        <v>24</v>
      </c>
      <c r="T3" s="3" t="s">
        <v>34</v>
      </c>
      <c r="U3" s="3" t="s">
        <v>135</v>
      </c>
      <c r="V3" s="93" t="s">
        <v>107</v>
      </c>
      <c r="W3" s="93" t="s">
        <v>23</v>
      </c>
      <c r="X3" s="93" t="s">
        <v>24</v>
      </c>
      <c r="Y3" s="98" t="s">
        <v>107</v>
      </c>
      <c r="Z3" s="93" t="s">
        <v>23</v>
      </c>
      <c r="AA3" s="93" t="s">
        <v>24</v>
      </c>
      <c r="AB3" s="108"/>
      <c r="AC3" s="109"/>
      <c r="AD3" s="327"/>
      <c r="AE3" s="98" t="s">
        <v>107</v>
      </c>
      <c r="AF3" s="93" t="s">
        <v>23</v>
      </c>
      <c r="AG3" s="93" t="s">
        <v>24</v>
      </c>
      <c r="AH3" s="98" t="s">
        <v>107</v>
      </c>
      <c r="AI3" s="93" t="s">
        <v>23</v>
      </c>
      <c r="AJ3" s="93" t="s">
        <v>24</v>
      </c>
      <c r="AK3" s="98" t="s">
        <v>107</v>
      </c>
      <c r="AL3" s="93" t="s">
        <v>23</v>
      </c>
      <c r="AM3" s="114" t="s">
        <v>24</v>
      </c>
      <c r="AN3" s="114" t="s">
        <v>107</v>
      </c>
      <c r="AO3" s="93" t="s">
        <v>23</v>
      </c>
      <c r="AP3" s="93" t="s">
        <v>24</v>
      </c>
      <c r="AQ3" s="93" t="s">
        <v>107</v>
      </c>
      <c r="AR3" s="93" t="s">
        <v>23</v>
      </c>
      <c r="AS3" s="93" t="s">
        <v>24</v>
      </c>
      <c r="AT3" s="93" t="s">
        <v>107</v>
      </c>
      <c r="AU3" s="93" t="s">
        <v>23</v>
      </c>
      <c r="AV3" s="93" t="s">
        <v>24</v>
      </c>
      <c r="AW3" s="93" t="s">
        <v>107</v>
      </c>
      <c r="AX3" s="93" t="s">
        <v>23</v>
      </c>
      <c r="AY3" s="93" t="s">
        <v>24</v>
      </c>
      <c r="AZ3" s="49"/>
      <c r="BA3" s="4"/>
      <c r="BB3" s="4"/>
      <c r="BC3" s="4"/>
    </row>
    <row r="4" spans="1:59" ht="14.95" customHeight="1" thickBot="1" x14ac:dyDescent="0.3">
      <c r="A4" s="345" t="s">
        <v>793</v>
      </c>
      <c r="B4" s="323">
        <v>0</v>
      </c>
      <c r="C4" s="324">
        <v>0</v>
      </c>
      <c r="D4" s="503">
        <v>0</v>
      </c>
      <c r="E4" s="381">
        <v>0</v>
      </c>
      <c r="F4" s="347">
        <f t="shared" ref="F4:F51" si="0">SUM(B4:E4)</f>
        <v>0</v>
      </c>
      <c r="G4" s="340" t="s">
        <v>793</v>
      </c>
      <c r="H4" s="92">
        <v>101</v>
      </c>
      <c r="I4" s="194">
        <v>12</v>
      </c>
      <c r="J4" s="470">
        <v>2</v>
      </c>
      <c r="K4" s="424">
        <v>4</v>
      </c>
      <c r="L4" s="343">
        <f t="shared" ref="L4:L51" si="1">SUM(H4:K4)</f>
        <v>119</v>
      </c>
      <c r="M4" s="348" t="s">
        <v>87</v>
      </c>
      <c r="N4" s="347" t="s">
        <v>30</v>
      </c>
      <c r="O4" s="347" t="s">
        <v>30</v>
      </c>
      <c r="P4" s="349" t="s">
        <v>30</v>
      </c>
      <c r="Q4" s="347" t="s">
        <v>30</v>
      </c>
      <c r="R4" s="347" t="s">
        <v>30</v>
      </c>
      <c r="S4" s="349" t="s">
        <v>30</v>
      </c>
      <c r="T4" s="350">
        <v>1</v>
      </c>
      <c r="U4" s="350">
        <v>1</v>
      </c>
      <c r="V4" s="7" t="s">
        <v>30</v>
      </c>
      <c r="W4" s="7" t="s">
        <v>30</v>
      </c>
      <c r="X4" s="206" t="s">
        <v>30</v>
      </c>
      <c r="Y4" s="98" t="s">
        <v>30</v>
      </c>
      <c r="Z4" s="93" t="s">
        <v>30</v>
      </c>
      <c r="AA4" s="270" t="s">
        <v>30</v>
      </c>
      <c r="AB4" s="108"/>
      <c r="AC4" s="109"/>
      <c r="AD4" s="327"/>
      <c r="AE4" s="6">
        <v>1</v>
      </c>
      <c r="AF4" s="6">
        <v>2</v>
      </c>
      <c r="AG4" s="210">
        <v>50</v>
      </c>
      <c r="AH4" s="254" t="s">
        <v>30</v>
      </c>
      <c r="AI4" s="210" t="s">
        <v>30</v>
      </c>
      <c r="AJ4" s="210" t="s">
        <v>30</v>
      </c>
      <c r="AK4" s="254" t="s">
        <v>30</v>
      </c>
      <c r="AL4" s="210" t="s">
        <v>30</v>
      </c>
      <c r="AM4" s="210" t="s">
        <v>30</v>
      </c>
      <c r="AN4" s="6" t="s">
        <v>30</v>
      </c>
      <c r="AO4" s="210" t="s">
        <v>30</v>
      </c>
      <c r="AP4" s="210" t="s">
        <v>30</v>
      </c>
      <c r="AQ4" s="210" t="s">
        <v>30</v>
      </c>
      <c r="AR4" s="210" t="s">
        <v>30</v>
      </c>
      <c r="AS4" s="210" t="s">
        <v>30</v>
      </c>
      <c r="AT4" s="210" t="s">
        <v>30</v>
      </c>
      <c r="AU4" s="210" t="s">
        <v>30</v>
      </c>
      <c r="AV4" s="210" t="s">
        <v>30</v>
      </c>
      <c r="AW4" s="6" t="s">
        <v>30</v>
      </c>
      <c r="AX4" s="6" t="s">
        <v>30</v>
      </c>
      <c r="AY4" s="6" t="s">
        <v>30</v>
      </c>
      <c r="AZ4" s="96"/>
    </row>
    <row r="5" spans="1:59" ht="14.95" customHeight="1" thickBot="1" x14ac:dyDescent="0.3">
      <c r="A5" s="345" t="s">
        <v>174</v>
      </c>
      <c r="B5" s="323">
        <v>2</v>
      </c>
      <c r="C5" s="324">
        <v>0</v>
      </c>
      <c r="D5" s="503">
        <v>0</v>
      </c>
      <c r="E5" s="381">
        <v>0</v>
      </c>
      <c r="F5" s="347">
        <f t="shared" si="0"/>
        <v>2</v>
      </c>
      <c r="G5" s="341" t="s">
        <v>174</v>
      </c>
      <c r="H5" s="92">
        <v>10</v>
      </c>
      <c r="I5" s="194">
        <v>0</v>
      </c>
      <c r="J5" s="470">
        <v>0</v>
      </c>
      <c r="K5" s="424">
        <v>0</v>
      </c>
      <c r="L5" s="343">
        <f t="shared" si="1"/>
        <v>10</v>
      </c>
      <c r="M5" s="351" t="s">
        <v>793</v>
      </c>
      <c r="N5" s="347">
        <v>41</v>
      </c>
      <c r="O5" s="347">
        <v>53</v>
      </c>
      <c r="P5" s="349">
        <f t="shared" ref="P5:P7" si="2">SUM(N5/O5)*100</f>
        <v>77.358490566037744</v>
      </c>
      <c r="Q5" s="347">
        <v>3</v>
      </c>
      <c r="R5" s="347">
        <v>5</v>
      </c>
      <c r="S5" s="349">
        <f>SUM(Q5/R5)*100</f>
        <v>60</v>
      </c>
      <c r="T5" s="352">
        <v>-1</v>
      </c>
      <c r="U5" s="352">
        <v>-1</v>
      </c>
      <c r="V5" s="7">
        <v>5</v>
      </c>
      <c r="W5" s="7">
        <v>6</v>
      </c>
      <c r="X5" s="206">
        <f>SUM(V5/W5)*100</f>
        <v>83.333333333333343</v>
      </c>
      <c r="Y5" s="98" t="s">
        <v>30</v>
      </c>
      <c r="Z5" s="93" t="s">
        <v>30</v>
      </c>
      <c r="AA5" s="270" t="s">
        <v>30</v>
      </c>
      <c r="AB5" s="108"/>
      <c r="AC5" s="109"/>
      <c r="AD5" s="327"/>
      <c r="AE5" s="201" t="s">
        <v>30</v>
      </c>
      <c r="AF5" s="7" t="s">
        <v>30</v>
      </c>
      <c r="AG5" s="6" t="s">
        <v>30</v>
      </c>
      <c r="AH5" s="6" t="s">
        <v>30</v>
      </c>
      <c r="AI5" s="6" t="s">
        <v>30</v>
      </c>
      <c r="AJ5" s="6" t="s">
        <v>30</v>
      </c>
      <c r="AK5" s="6" t="s">
        <v>30</v>
      </c>
      <c r="AL5" s="6" t="s">
        <v>30</v>
      </c>
      <c r="AM5" s="6" t="s">
        <v>30</v>
      </c>
      <c r="AN5" s="6" t="s">
        <v>30</v>
      </c>
      <c r="AO5" s="6" t="s">
        <v>30</v>
      </c>
      <c r="AP5" s="6" t="s">
        <v>30</v>
      </c>
      <c r="AQ5" s="6" t="s">
        <v>30</v>
      </c>
      <c r="AR5" s="6" t="s">
        <v>30</v>
      </c>
      <c r="AS5" s="6" t="s">
        <v>30</v>
      </c>
      <c r="AT5" s="6" t="s">
        <v>30</v>
      </c>
      <c r="AU5" s="6" t="s">
        <v>30</v>
      </c>
      <c r="AV5" s="6" t="s">
        <v>30</v>
      </c>
      <c r="AW5" s="210" t="s">
        <v>30</v>
      </c>
      <c r="AX5" s="210" t="s">
        <v>30</v>
      </c>
      <c r="AY5" s="210" t="s">
        <v>30</v>
      </c>
      <c r="AZ5" s="97"/>
      <c r="BE5" s="4"/>
      <c r="BF5" s="4"/>
      <c r="BG5" s="4"/>
    </row>
    <row r="6" spans="1:59" ht="14.95" customHeight="1" thickBot="1" x14ac:dyDescent="0.3">
      <c r="A6" s="345" t="s">
        <v>572</v>
      </c>
      <c r="B6" s="323">
        <v>2</v>
      </c>
      <c r="C6" s="324">
        <v>0</v>
      </c>
      <c r="D6" s="503">
        <v>0</v>
      </c>
      <c r="E6" s="381">
        <v>0</v>
      </c>
      <c r="F6" s="347">
        <f t="shared" si="0"/>
        <v>2</v>
      </c>
      <c r="G6" s="341" t="s">
        <v>572</v>
      </c>
      <c r="H6" s="92">
        <v>10</v>
      </c>
      <c r="I6" s="194">
        <v>0</v>
      </c>
      <c r="J6" s="470">
        <v>0</v>
      </c>
      <c r="K6" s="424">
        <v>0</v>
      </c>
      <c r="L6" s="343">
        <f t="shared" si="1"/>
        <v>10</v>
      </c>
      <c r="M6" s="344" t="s">
        <v>865</v>
      </c>
      <c r="N6" s="347">
        <v>22</v>
      </c>
      <c r="O6" s="347">
        <v>29</v>
      </c>
      <c r="P6" s="349">
        <f t="shared" si="2"/>
        <v>75.862068965517238</v>
      </c>
      <c r="Q6" s="347" t="s">
        <v>30</v>
      </c>
      <c r="R6" s="347" t="s">
        <v>30</v>
      </c>
      <c r="S6" s="349" t="s">
        <v>30</v>
      </c>
      <c r="T6" s="346">
        <v>7</v>
      </c>
      <c r="U6" s="346">
        <v>7</v>
      </c>
      <c r="V6" s="7" t="s">
        <v>30</v>
      </c>
      <c r="W6" s="7" t="s">
        <v>30</v>
      </c>
      <c r="X6" s="206" t="s">
        <v>30</v>
      </c>
      <c r="Y6" s="98">
        <v>14</v>
      </c>
      <c r="Z6" s="93">
        <v>22</v>
      </c>
      <c r="AA6" s="270">
        <v>63.636363636363633</v>
      </c>
      <c r="AB6" s="108"/>
      <c r="AC6" s="109"/>
      <c r="AD6" s="327"/>
      <c r="AE6" s="201">
        <v>16</v>
      </c>
      <c r="AF6" s="7">
        <v>25</v>
      </c>
      <c r="AG6" s="206">
        <v>64</v>
      </c>
      <c r="AH6" s="6">
        <v>31</v>
      </c>
      <c r="AI6" s="7">
        <v>41</v>
      </c>
      <c r="AJ6" s="206">
        <v>75.609756097560975</v>
      </c>
      <c r="AK6" s="201">
        <v>4</v>
      </c>
      <c r="AL6" s="7">
        <v>8</v>
      </c>
      <c r="AM6" s="206">
        <v>50</v>
      </c>
      <c r="AN6" s="201">
        <v>64</v>
      </c>
      <c r="AO6" s="7">
        <v>103</v>
      </c>
      <c r="AP6" s="206">
        <v>62.135922330097081</v>
      </c>
      <c r="AQ6" s="7">
        <v>60</v>
      </c>
      <c r="AR6" s="7">
        <v>84</v>
      </c>
      <c r="AS6" s="206">
        <v>71.428571428571431</v>
      </c>
      <c r="AT6" s="7">
        <v>50</v>
      </c>
      <c r="AU6" s="7">
        <v>72</v>
      </c>
      <c r="AV6" s="206">
        <v>69.444444444444443</v>
      </c>
      <c r="AW6" s="205">
        <v>24</v>
      </c>
      <c r="AX6" s="205">
        <v>38</v>
      </c>
      <c r="AY6" s="205">
        <v>73</v>
      </c>
      <c r="AZ6" s="97"/>
    </row>
    <row r="7" spans="1:59" ht="14.95" customHeight="1" thickBot="1" x14ac:dyDescent="0.3">
      <c r="A7" s="345" t="s">
        <v>853</v>
      </c>
      <c r="B7" s="323">
        <v>0</v>
      </c>
      <c r="C7" s="324">
        <v>0</v>
      </c>
      <c r="D7" s="503">
        <v>0</v>
      </c>
      <c r="E7" s="381">
        <v>0</v>
      </c>
      <c r="F7" s="347">
        <f t="shared" si="0"/>
        <v>0</v>
      </c>
      <c r="G7" s="341" t="s">
        <v>853</v>
      </c>
      <c r="H7" s="92">
        <v>0</v>
      </c>
      <c r="I7" s="194">
        <v>0</v>
      </c>
      <c r="J7" s="470">
        <v>0</v>
      </c>
      <c r="K7" s="424">
        <v>0</v>
      </c>
      <c r="L7" s="343">
        <f t="shared" si="1"/>
        <v>0</v>
      </c>
      <c r="M7" s="345" t="s">
        <v>573</v>
      </c>
      <c r="N7" s="347">
        <v>2</v>
      </c>
      <c r="O7" s="347">
        <v>2</v>
      </c>
      <c r="P7" s="349">
        <f t="shared" si="2"/>
        <v>100</v>
      </c>
      <c r="Q7" s="347" t="s">
        <v>30</v>
      </c>
      <c r="R7" s="347" t="s">
        <v>30</v>
      </c>
      <c r="S7" s="349" t="s">
        <v>30</v>
      </c>
      <c r="T7" s="347">
        <v>2</v>
      </c>
      <c r="U7" s="347">
        <v>2</v>
      </c>
      <c r="V7" s="7" t="s">
        <v>30</v>
      </c>
      <c r="W7" s="7" t="s">
        <v>30</v>
      </c>
      <c r="X7" s="206" t="s">
        <v>30</v>
      </c>
      <c r="Y7" s="98" t="s">
        <v>30</v>
      </c>
      <c r="Z7" s="93" t="s">
        <v>30</v>
      </c>
      <c r="AA7" s="270" t="s">
        <v>30</v>
      </c>
      <c r="AB7" s="108"/>
      <c r="AC7" s="109"/>
      <c r="AD7" s="327"/>
      <c r="AE7" s="7" t="s">
        <v>30</v>
      </c>
      <c r="AF7" s="7" t="s">
        <v>30</v>
      </c>
      <c r="AG7" s="206" t="s">
        <v>30</v>
      </c>
      <c r="AH7" s="98" t="s">
        <v>30</v>
      </c>
      <c r="AI7" s="93" t="s">
        <v>30</v>
      </c>
      <c r="AJ7" s="270" t="s">
        <v>30</v>
      </c>
      <c r="AK7" s="7" t="s">
        <v>30</v>
      </c>
      <c r="AL7" s="7" t="s">
        <v>30</v>
      </c>
      <c r="AM7" s="7" t="s">
        <v>30</v>
      </c>
      <c r="AN7" s="7" t="s">
        <v>30</v>
      </c>
      <c r="AO7" s="7" t="s">
        <v>30</v>
      </c>
      <c r="AP7" s="7" t="s">
        <v>30</v>
      </c>
      <c r="AQ7" s="7" t="s">
        <v>30</v>
      </c>
      <c r="AR7" s="7" t="s">
        <v>30</v>
      </c>
      <c r="AS7" s="7" t="s">
        <v>30</v>
      </c>
      <c r="AT7" s="7" t="s">
        <v>30</v>
      </c>
      <c r="AU7" s="7" t="s">
        <v>30</v>
      </c>
      <c r="AV7" s="7" t="s">
        <v>30</v>
      </c>
      <c r="AW7" s="7" t="s">
        <v>30</v>
      </c>
      <c r="AX7" s="7" t="s">
        <v>30</v>
      </c>
      <c r="AY7" s="7" t="s">
        <v>30</v>
      </c>
      <c r="AZ7" s="97"/>
    </row>
    <row r="8" spans="1:59" ht="14.95" customHeight="1" thickBot="1" x14ac:dyDescent="0.3">
      <c r="A8" s="345" t="s">
        <v>855</v>
      </c>
      <c r="B8" s="323">
        <v>0</v>
      </c>
      <c r="C8" s="324">
        <v>0</v>
      </c>
      <c r="D8" s="503">
        <v>0</v>
      </c>
      <c r="E8" s="381">
        <v>0</v>
      </c>
      <c r="F8" s="347">
        <f t="shared" si="0"/>
        <v>0</v>
      </c>
      <c r="G8" s="341" t="s">
        <v>855</v>
      </c>
      <c r="H8" s="92">
        <v>53</v>
      </c>
      <c r="I8" s="194">
        <v>0</v>
      </c>
      <c r="J8" s="470">
        <v>0</v>
      </c>
      <c r="K8" s="424">
        <v>0</v>
      </c>
      <c r="L8" s="343">
        <f t="shared" si="1"/>
        <v>53</v>
      </c>
      <c r="M8" s="345" t="s">
        <v>10</v>
      </c>
      <c r="N8" s="347" t="s">
        <v>30</v>
      </c>
      <c r="O8" s="347" t="s">
        <v>30</v>
      </c>
      <c r="P8" s="349" t="s">
        <v>30</v>
      </c>
      <c r="Q8" s="347" t="s">
        <v>30</v>
      </c>
      <c r="R8" s="347" t="s">
        <v>30</v>
      </c>
      <c r="S8" s="349" t="s">
        <v>30</v>
      </c>
      <c r="T8" s="347">
        <v>1</v>
      </c>
      <c r="U8" s="347">
        <v>1</v>
      </c>
      <c r="V8" s="7" t="s">
        <v>30</v>
      </c>
      <c r="W8" s="7" t="s">
        <v>30</v>
      </c>
      <c r="X8" s="206" t="s">
        <v>30</v>
      </c>
      <c r="Y8" s="98" t="s">
        <v>30</v>
      </c>
      <c r="Z8" s="93" t="s">
        <v>30</v>
      </c>
      <c r="AA8" s="270" t="s">
        <v>30</v>
      </c>
      <c r="AB8" s="108"/>
      <c r="AC8" s="109"/>
      <c r="AD8" s="327"/>
      <c r="AE8" s="201" t="s">
        <v>30</v>
      </c>
      <c r="AF8" s="7" t="s">
        <v>30</v>
      </c>
      <c r="AG8" s="7" t="s">
        <v>30</v>
      </c>
      <c r="AH8" s="6">
        <v>1</v>
      </c>
      <c r="AI8" s="205">
        <v>1</v>
      </c>
      <c r="AJ8" s="204">
        <f>SUM(AH8/AI8)*100</f>
        <v>100</v>
      </c>
      <c r="AK8" s="201" t="s">
        <v>30</v>
      </c>
      <c r="AL8" s="7" t="s">
        <v>30</v>
      </c>
      <c r="AM8" s="7" t="s">
        <v>30</v>
      </c>
      <c r="AN8" s="201" t="s">
        <v>30</v>
      </c>
      <c r="AO8" s="7" t="s">
        <v>30</v>
      </c>
      <c r="AP8" s="7" t="s">
        <v>30</v>
      </c>
      <c r="AQ8" s="7" t="s">
        <v>30</v>
      </c>
      <c r="AR8" s="7" t="s">
        <v>30</v>
      </c>
      <c r="AS8" s="7" t="s">
        <v>30</v>
      </c>
      <c r="AT8" s="7" t="s">
        <v>30</v>
      </c>
      <c r="AU8" s="7" t="s">
        <v>30</v>
      </c>
      <c r="AV8" s="7" t="s">
        <v>30</v>
      </c>
      <c r="AW8" s="7" t="s">
        <v>30</v>
      </c>
      <c r="AX8" s="7" t="s">
        <v>30</v>
      </c>
      <c r="AY8" s="7" t="s">
        <v>30</v>
      </c>
    </row>
    <row r="9" spans="1:59" ht="14.95" customHeight="1" thickBot="1" x14ac:dyDescent="0.3">
      <c r="A9" s="345" t="s">
        <v>57</v>
      </c>
      <c r="B9" s="323">
        <v>2</v>
      </c>
      <c r="C9" s="324">
        <v>1</v>
      </c>
      <c r="D9" s="503">
        <v>0</v>
      </c>
      <c r="E9" s="381">
        <v>0</v>
      </c>
      <c r="F9" s="347">
        <f t="shared" si="0"/>
        <v>3</v>
      </c>
      <c r="G9" s="341" t="s">
        <v>57</v>
      </c>
      <c r="H9" s="92">
        <v>10</v>
      </c>
      <c r="I9" s="194">
        <v>5</v>
      </c>
      <c r="J9" s="470">
        <v>0</v>
      </c>
      <c r="K9" s="424">
        <v>0</v>
      </c>
      <c r="L9" s="343">
        <f t="shared" si="1"/>
        <v>15</v>
      </c>
      <c r="M9" s="345" t="s">
        <v>867</v>
      </c>
      <c r="N9" s="347" t="s">
        <v>30</v>
      </c>
      <c r="O9" s="347" t="s">
        <v>30</v>
      </c>
      <c r="P9" s="349" t="s">
        <v>30</v>
      </c>
      <c r="Q9" s="347" t="s">
        <v>30</v>
      </c>
      <c r="R9" s="347" t="s">
        <v>30</v>
      </c>
      <c r="S9" s="349" t="s">
        <v>30</v>
      </c>
      <c r="T9" s="347">
        <v>-1</v>
      </c>
      <c r="U9" s="347">
        <v>-1</v>
      </c>
      <c r="V9" s="7" t="s">
        <v>30</v>
      </c>
      <c r="W9" s="7" t="s">
        <v>30</v>
      </c>
      <c r="X9" s="206" t="s">
        <v>30</v>
      </c>
      <c r="Y9" s="98" t="s">
        <v>30</v>
      </c>
      <c r="Z9" s="93" t="s">
        <v>30</v>
      </c>
      <c r="AA9" s="270" t="s">
        <v>30</v>
      </c>
      <c r="AB9" s="108"/>
      <c r="AC9" s="109"/>
      <c r="AD9" s="327"/>
      <c r="AE9" s="201">
        <v>0</v>
      </c>
      <c r="AF9" s="7">
        <v>1</v>
      </c>
      <c r="AG9" s="7">
        <v>0</v>
      </c>
      <c r="AH9" s="6" t="s">
        <v>30</v>
      </c>
      <c r="AI9" s="7" t="s">
        <v>30</v>
      </c>
      <c r="AJ9" s="7" t="s">
        <v>30</v>
      </c>
      <c r="AK9" s="7" t="s">
        <v>30</v>
      </c>
      <c r="AL9" s="7" t="s">
        <v>30</v>
      </c>
      <c r="AM9" s="7" t="s">
        <v>30</v>
      </c>
      <c r="AN9" s="7" t="s">
        <v>30</v>
      </c>
      <c r="AO9" s="7" t="s">
        <v>30</v>
      </c>
      <c r="AP9" s="7" t="s">
        <v>30</v>
      </c>
      <c r="AQ9" s="7" t="s">
        <v>30</v>
      </c>
      <c r="AR9" s="7" t="s">
        <v>30</v>
      </c>
      <c r="AS9" s="7" t="s">
        <v>30</v>
      </c>
      <c r="AT9" s="7" t="s">
        <v>30</v>
      </c>
      <c r="AU9" s="7" t="s">
        <v>30</v>
      </c>
      <c r="AV9" s="7" t="s">
        <v>30</v>
      </c>
      <c r="AW9" s="7" t="s">
        <v>30</v>
      </c>
      <c r="AX9" s="7" t="s">
        <v>30</v>
      </c>
      <c r="AY9" s="7" t="s">
        <v>30</v>
      </c>
    </row>
    <row r="10" spans="1:59" ht="14.95" customHeight="1" thickBot="1" x14ac:dyDescent="0.3">
      <c r="A10" s="345" t="s">
        <v>857</v>
      </c>
      <c r="B10" s="323">
        <v>0</v>
      </c>
      <c r="C10" s="324">
        <v>0</v>
      </c>
      <c r="D10" s="503">
        <v>0</v>
      </c>
      <c r="E10" s="381">
        <v>0</v>
      </c>
      <c r="F10" s="347">
        <f t="shared" si="0"/>
        <v>0</v>
      </c>
      <c r="G10" s="341" t="s">
        <v>857</v>
      </c>
      <c r="H10" s="92">
        <v>0</v>
      </c>
      <c r="I10" s="194">
        <v>0</v>
      </c>
      <c r="J10" s="470">
        <v>0</v>
      </c>
      <c r="K10" s="424">
        <v>0</v>
      </c>
      <c r="L10" s="343">
        <f t="shared" si="1"/>
        <v>0</v>
      </c>
      <c r="M10" s="345" t="s">
        <v>1102</v>
      </c>
      <c r="N10" s="347" t="s">
        <v>30</v>
      </c>
      <c r="O10" s="347" t="s">
        <v>30</v>
      </c>
      <c r="P10" s="349" t="s">
        <v>30</v>
      </c>
      <c r="Q10" s="347" t="s">
        <v>30</v>
      </c>
      <c r="R10" s="347" t="s">
        <v>30</v>
      </c>
      <c r="S10" s="349" t="s">
        <v>30</v>
      </c>
      <c r="T10" s="347">
        <v>1</v>
      </c>
      <c r="U10" s="347">
        <v>1</v>
      </c>
      <c r="V10" s="7">
        <v>2</v>
      </c>
      <c r="W10" s="7">
        <v>5</v>
      </c>
      <c r="X10" s="206">
        <f>SUM(V10/W10)*100</f>
        <v>40</v>
      </c>
      <c r="Y10" s="98">
        <v>11</v>
      </c>
      <c r="Z10" s="93">
        <v>13</v>
      </c>
      <c r="AA10" s="270">
        <f>SUM(Y10/Z10)*100</f>
        <v>84.615384615384613</v>
      </c>
      <c r="AB10" s="108"/>
      <c r="AC10" s="109"/>
      <c r="AD10" s="327"/>
      <c r="AE10" s="201">
        <v>61</v>
      </c>
      <c r="AF10" s="7">
        <v>79</v>
      </c>
      <c r="AG10" s="7">
        <v>77</v>
      </c>
      <c r="AH10" s="6" t="s">
        <v>30</v>
      </c>
      <c r="AI10" s="7" t="s">
        <v>30</v>
      </c>
      <c r="AJ10" s="7" t="s">
        <v>30</v>
      </c>
      <c r="AK10" s="7" t="s">
        <v>30</v>
      </c>
      <c r="AL10" s="7" t="s">
        <v>30</v>
      </c>
      <c r="AM10" s="7" t="s">
        <v>30</v>
      </c>
      <c r="AN10" s="7" t="s">
        <v>30</v>
      </c>
      <c r="AO10" s="7" t="s">
        <v>30</v>
      </c>
      <c r="AP10" s="7" t="s">
        <v>30</v>
      </c>
      <c r="AQ10" s="7" t="s">
        <v>30</v>
      </c>
      <c r="AR10" s="7" t="s">
        <v>30</v>
      </c>
      <c r="AS10" s="7" t="s">
        <v>30</v>
      </c>
      <c r="AT10" s="7" t="s">
        <v>30</v>
      </c>
      <c r="AU10" s="7" t="s">
        <v>30</v>
      </c>
      <c r="AV10" s="7" t="s">
        <v>30</v>
      </c>
      <c r="AW10" s="7" t="s">
        <v>30</v>
      </c>
      <c r="AX10" s="7" t="s">
        <v>30</v>
      </c>
      <c r="AY10" s="7" t="s">
        <v>30</v>
      </c>
      <c r="BA10" s="4"/>
      <c r="BB10" s="4"/>
      <c r="BC10" s="4"/>
    </row>
    <row r="11" spans="1:59" ht="14.95" customHeight="1" thickBot="1" x14ac:dyDescent="0.3">
      <c r="A11" s="345" t="s">
        <v>145</v>
      </c>
      <c r="B11" s="323">
        <v>5</v>
      </c>
      <c r="C11" s="324">
        <v>0</v>
      </c>
      <c r="D11" s="503">
        <v>0</v>
      </c>
      <c r="E11" s="381">
        <v>0</v>
      </c>
      <c r="F11" s="347">
        <f t="shared" si="0"/>
        <v>5</v>
      </c>
      <c r="G11" s="341" t="s">
        <v>145</v>
      </c>
      <c r="H11" s="92">
        <v>25</v>
      </c>
      <c r="I11" s="194">
        <v>0</v>
      </c>
      <c r="J11" s="470">
        <v>0</v>
      </c>
      <c r="K11" s="424">
        <v>0</v>
      </c>
      <c r="L11" s="343">
        <f t="shared" si="1"/>
        <v>25</v>
      </c>
      <c r="M11" s="344" t="s">
        <v>864</v>
      </c>
      <c r="N11" s="347">
        <v>7</v>
      </c>
      <c r="O11" s="347">
        <v>9</v>
      </c>
      <c r="P11" s="349">
        <f>SUM(N11/O11)*100</f>
        <v>77.777777777777786</v>
      </c>
      <c r="Q11" s="347" t="s">
        <v>30</v>
      </c>
      <c r="R11" s="347" t="s">
        <v>30</v>
      </c>
      <c r="S11" s="349" t="s">
        <v>30</v>
      </c>
      <c r="T11" s="346">
        <v>4</v>
      </c>
      <c r="U11" s="346">
        <v>2</v>
      </c>
      <c r="V11" s="7">
        <v>18</v>
      </c>
      <c r="W11" s="7">
        <v>26</v>
      </c>
      <c r="X11" s="206">
        <f>SUM(V11/W11)*100</f>
        <v>69.230769230769226</v>
      </c>
      <c r="Y11" s="98">
        <v>1</v>
      </c>
      <c r="Z11" s="93">
        <v>1</v>
      </c>
      <c r="AA11" s="270">
        <f>SUM(Y11/Z11)*100</f>
        <v>100</v>
      </c>
      <c r="AB11" s="108"/>
      <c r="AC11" s="109"/>
      <c r="AD11" s="327"/>
      <c r="AE11" s="201">
        <v>14</v>
      </c>
      <c r="AF11" s="7">
        <v>20</v>
      </c>
      <c r="AG11" s="206">
        <f t="shared" ref="AG11" si="3">SUM(AE11/AF11)*100</f>
        <v>70</v>
      </c>
      <c r="AH11" s="6">
        <v>15</v>
      </c>
      <c r="AI11" s="7">
        <v>20</v>
      </c>
      <c r="AJ11" s="206">
        <f>SUM(AH11/AI11)*100</f>
        <v>75</v>
      </c>
      <c r="AK11" s="201">
        <v>7</v>
      </c>
      <c r="AL11" s="7">
        <v>8</v>
      </c>
      <c r="AM11" s="206">
        <f>SUM(AK11/AL11)*100</f>
        <v>87.5</v>
      </c>
      <c r="AN11" s="201">
        <v>7</v>
      </c>
      <c r="AO11" s="7">
        <v>9</v>
      </c>
      <c r="AP11" s="206">
        <f>SUM(AN11/AO11)*100</f>
        <v>77.777777777777786</v>
      </c>
      <c r="AQ11" s="7">
        <v>3</v>
      </c>
      <c r="AR11" s="7">
        <v>3</v>
      </c>
      <c r="AS11" s="206">
        <f>SUM(AQ11/AR11)*100</f>
        <v>100</v>
      </c>
      <c r="AT11" s="7">
        <v>3</v>
      </c>
      <c r="AU11" s="7">
        <v>4</v>
      </c>
      <c r="AV11" s="206">
        <f>SUM(AT11/AU11)*100</f>
        <v>75</v>
      </c>
      <c r="AW11" s="205" t="s">
        <v>30</v>
      </c>
      <c r="AX11" s="205" t="s">
        <v>30</v>
      </c>
      <c r="AY11" s="205" t="s">
        <v>30</v>
      </c>
    </row>
    <row r="12" spans="1:59" ht="14.95" customHeight="1" thickBot="1" x14ac:dyDescent="0.3">
      <c r="A12" s="345" t="s">
        <v>859</v>
      </c>
      <c r="B12" s="323">
        <v>0</v>
      </c>
      <c r="C12" s="324">
        <v>0</v>
      </c>
      <c r="D12" s="503">
        <v>0</v>
      </c>
      <c r="E12" s="381">
        <v>0</v>
      </c>
      <c r="F12" s="347">
        <f t="shared" si="0"/>
        <v>0</v>
      </c>
      <c r="G12" s="341" t="s">
        <v>859</v>
      </c>
      <c r="H12" s="92">
        <v>0</v>
      </c>
      <c r="I12" s="194">
        <v>0</v>
      </c>
      <c r="J12" s="470">
        <v>0</v>
      </c>
      <c r="K12" s="424">
        <v>0</v>
      </c>
      <c r="L12" s="343">
        <f t="shared" si="1"/>
        <v>0</v>
      </c>
      <c r="M12" s="344" t="s">
        <v>1052</v>
      </c>
      <c r="N12" s="347" t="s">
        <v>30</v>
      </c>
      <c r="O12" s="347" t="s">
        <v>30</v>
      </c>
      <c r="P12" s="349" t="s">
        <v>30</v>
      </c>
      <c r="Q12" s="347" t="s">
        <v>30</v>
      </c>
      <c r="R12" s="347" t="s">
        <v>30</v>
      </c>
      <c r="S12" s="349" t="s">
        <v>30</v>
      </c>
      <c r="T12" s="347" t="s">
        <v>38</v>
      </c>
      <c r="U12" s="347">
        <v>3</v>
      </c>
      <c r="V12" s="7" t="s">
        <v>30</v>
      </c>
      <c r="W12" s="7" t="s">
        <v>30</v>
      </c>
      <c r="X12" s="206" t="s">
        <v>30</v>
      </c>
      <c r="Y12" s="98" t="s">
        <v>30</v>
      </c>
      <c r="Z12" s="93" t="s">
        <v>30</v>
      </c>
      <c r="AA12" s="270" t="s">
        <v>30</v>
      </c>
      <c r="AB12" s="108"/>
      <c r="AC12" s="109"/>
      <c r="AD12" s="327"/>
      <c r="AE12" s="6" t="s">
        <v>30</v>
      </c>
      <c r="AF12" s="7" t="s">
        <v>30</v>
      </c>
      <c r="AG12" s="7" t="s">
        <v>30</v>
      </c>
      <c r="AH12" s="6" t="s">
        <v>30</v>
      </c>
      <c r="AI12" s="7" t="s">
        <v>30</v>
      </c>
      <c r="AJ12" s="7" t="s">
        <v>30</v>
      </c>
      <c r="AK12" s="7" t="s">
        <v>30</v>
      </c>
      <c r="AL12" s="7" t="s">
        <v>30</v>
      </c>
      <c r="AM12" s="7" t="s">
        <v>30</v>
      </c>
      <c r="AN12" s="7" t="s">
        <v>30</v>
      </c>
      <c r="AO12" s="7" t="s">
        <v>30</v>
      </c>
      <c r="AP12" s="7" t="s">
        <v>30</v>
      </c>
      <c r="AQ12" s="7" t="s">
        <v>30</v>
      </c>
      <c r="AR12" s="7" t="s">
        <v>30</v>
      </c>
      <c r="AS12" s="7" t="s">
        <v>30</v>
      </c>
      <c r="AT12" s="7" t="s">
        <v>30</v>
      </c>
      <c r="AU12" s="7" t="s">
        <v>30</v>
      </c>
      <c r="AV12" s="7" t="s">
        <v>30</v>
      </c>
      <c r="AW12" s="7" t="s">
        <v>30</v>
      </c>
      <c r="AX12" s="7" t="s">
        <v>30</v>
      </c>
      <c r="AY12" s="7" t="s">
        <v>30</v>
      </c>
    </row>
    <row r="13" spans="1:59" ht="14.95" customHeight="1" thickBot="1" x14ac:dyDescent="0.3">
      <c r="A13" s="345" t="s">
        <v>573</v>
      </c>
      <c r="B13" s="323">
        <v>5</v>
      </c>
      <c r="C13" s="324">
        <v>0</v>
      </c>
      <c r="D13" s="503">
        <v>0</v>
      </c>
      <c r="E13" s="381">
        <v>0</v>
      </c>
      <c r="F13" s="347">
        <f t="shared" si="0"/>
        <v>5</v>
      </c>
      <c r="G13" s="341" t="s">
        <v>573</v>
      </c>
      <c r="H13" s="92">
        <v>29</v>
      </c>
      <c r="I13" s="194">
        <v>0</v>
      </c>
      <c r="J13" s="470">
        <v>0</v>
      </c>
      <c r="K13" s="424">
        <v>0</v>
      </c>
      <c r="L13" s="343">
        <f t="shared" si="1"/>
        <v>29</v>
      </c>
    </row>
    <row r="14" spans="1:59" ht="14.95" customHeight="1" thickBot="1" x14ac:dyDescent="0.3">
      <c r="A14" s="345" t="s">
        <v>624</v>
      </c>
      <c r="B14" s="323">
        <v>0</v>
      </c>
      <c r="C14" s="324">
        <v>0</v>
      </c>
      <c r="D14" s="503">
        <v>0</v>
      </c>
      <c r="E14" s="381">
        <v>0</v>
      </c>
      <c r="F14" s="347">
        <f t="shared" si="0"/>
        <v>0</v>
      </c>
      <c r="G14" s="341" t="s">
        <v>624</v>
      </c>
      <c r="H14" s="92">
        <v>0</v>
      </c>
      <c r="I14" s="194">
        <v>0</v>
      </c>
      <c r="J14" s="470">
        <v>0</v>
      </c>
      <c r="K14" s="424">
        <v>0</v>
      </c>
      <c r="L14" s="343">
        <f t="shared" si="1"/>
        <v>0</v>
      </c>
      <c r="M14" s="538" t="s">
        <v>510</v>
      </c>
      <c r="N14" s="526" t="s">
        <v>29</v>
      </c>
      <c r="O14" s="527"/>
      <c r="P14" s="528"/>
      <c r="Q14" s="512" t="s">
        <v>634</v>
      </c>
      <c r="R14" s="513"/>
      <c r="S14" s="514"/>
      <c r="T14" s="512" t="s">
        <v>863</v>
      </c>
      <c r="U14" s="513"/>
      <c r="V14" s="514"/>
      <c r="W14" s="512" t="s">
        <v>621</v>
      </c>
      <c r="X14" s="513"/>
      <c r="Y14" s="514"/>
      <c r="Z14" s="230"/>
      <c r="AA14" s="100"/>
      <c r="AB14" s="100"/>
      <c r="AD14" s="276"/>
      <c r="AE14" s="512" t="s">
        <v>448</v>
      </c>
      <c r="AF14" s="513"/>
      <c r="AG14" s="514"/>
      <c r="AH14" s="512" t="s">
        <v>178</v>
      </c>
      <c r="AI14" s="513"/>
      <c r="AJ14" s="514"/>
      <c r="AK14" s="512" t="s">
        <v>122</v>
      </c>
      <c r="AL14" s="513"/>
      <c r="AM14" s="514"/>
      <c r="AN14" s="512" t="s">
        <v>113</v>
      </c>
      <c r="AO14" s="513"/>
      <c r="AP14" s="514"/>
      <c r="AQ14" s="512" t="s">
        <v>85</v>
      </c>
      <c r="AR14" s="513"/>
      <c r="AS14" s="514"/>
      <c r="AV14" s="4"/>
      <c r="AW14" s="4"/>
      <c r="AX14" s="4"/>
      <c r="AY14" s="4"/>
      <c r="AZ14" s="4"/>
    </row>
    <row r="15" spans="1:59" ht="14.95" customHeight="1" thickBot="1" x14ac:dyDescent="0.3">
      <c r="A15" s="345" t="s">
        <v>65</v>
      </c>
      <c r="B15" s="323">
        <v>1</v>
      </c>
      <c r="C15" s="324">
        <v>0</v>
      </c>
      <c r="D15" s="503">
        <v>0</v>
      </c>
      <c r="E15" s="381">
        <v>0</v>
      </c>
      <c r="F15" s="347">
        <f t="shared" si="0"/>
        <v>1</v>
      </c>
      <c r="G15" s="341" t="s">
        <v>65</v>
      </c>
      <c r="H15" s="92">
        <v>5</v>
      </c>
      <c r="I15" s="194">
        <v>0</v>
      </c>
      <c r="J15" s="470">
        <v>0</v>
      </c>
      <c r="K15" s="424">
        <v>0</v>
      </c>
      <c r="L15" s="343">
        <f t="shared" si="1"/>
        <v>5</v>
      </c>
      <c r="M15" s="539"/>
      <c r="N15" s="529"/>
      <c r="O15" s="530"/>
      <c r="P15" s="531"/>
      <c r="Q15" s="515"/>
      <c r="R15" s="516"/>
      <c r="S15" s="517"/>
      <c r="T15" s="515"/>
      <c r="U15" s="516"/>
      <c r="V15" s="517"/>
      <c r="W15" s="515"/>
      <c r="X15" s="516"/>
      <c r="Y15" s="517"/>
      <c r="Z15" s="230"/>
      <c r="AA15" s="100"/>
      <c r="AB15" s="100"/>
      <c r="AD15" s="276"/>
      <c r="AE15" s="515"/>
      <c r="AF15" s="516"/>
      <c r="AG15" s="517"/>
      <c r="AH15" s="515"/>
      <c r="AI15" s="516"/>
      <c r="AJ15" s="517"/>
      <c r="AK15" s="515"/>
      <c r="AL15" s="516"/>
      <c r="AM15" s="517"/>
      <c r="AN15" s="515"/>
      <c r="AO15" s="516"/>
      <c r="AP15" s="517"/>
      <c r="AQ15" s="515"/>
      <c r="AR15" s="516"/>
      <c r="AS15" s="517"/>
      <c r="BA15" s="4"/>
      <c r="BB15" s="4"/>
      <c r="BC15" s="4"/>
    </row>
    <row r="16" spans="1:59" ht="14.95" customHeight="1" thickBot="1" x14ac:dyDescent="0.3">
      <c r="A16" s="345" t="s">
        <v>802</v>
      </c>
      <c r="B16" s="323">
        <v>0</v>
      </c>
      <c r="C16" s="324">
        <v>1</v>
      </c>
      <c r="D16" s="503">
        <v>0</v>
      </c>
      <c r="E16" s="381">
        <v>0</v>
      </c>
      <c r="F16" s="347">
        <f t="shared" si="0"/>
        <v>1</v>
      </c>
      <c r="G16" s="341" t="s">
        <v>802</v>
      </c>
      <c r="H16" s="92">
        <v>0</v>
      </c>
      <c r="I16" s="194">
        <v>5</v>
      </c>
      <c r="J16" s="470">
        <v>0</v>
      </c>
      <c r="K16" s="424">
        <v>0</v>
      </c>
      <c r="L16" s="343">
        <f t="shared" si="1"/>
        <v>5</v>
      </c>
      <c r="M16" s="395"/>
      <c r="N16" s="3" t="s">
        <v>107</v>
      </c>
      <c r="O16" s="3" t="s">
        <v>23</v>
      </c>
      <c r="P16" s="3" t="s">
        <v>24</v>
      </c>
      <c r="Q16" s="93" t="s">
        <v>107</v>
      </c>
      <c r="R16" s="93" t="s">
        <v>23</v>
      </c>
      <c r="S16" s="93" t="s">
        <v>24</v>
      </c>
      <c r="T16" s="93" t="s">
        <v>107</v>
      </c>
      <c r="U16" s="93" t="s">
        <v>23</v>
      </c>
      <c r="V16" s="93" t="s">
        <v>24</v>
      </c>
      <c r="W16" s="98" t="s">
        <v>107</v>
      </c>
      <c r="X16" s="93" t="s">
        <v>23</v>
      </c>
      <c r="Y16" s="93" t="s">
        <v>24</v>
      </c>
      <c r="Z16" s="107"/>
      <c r="AD16" s="276"/>
      <c r="AE16" s="98" t="s">
        <v>107</v>
      </c>
      <c r="AF16" s="93" t="s">
        <v>23</v>
      </c>
      <c r="AG16" s="93" t="s">
        <v>24</v>
      </c>
      <c r="AH16" s="98" t="s">
        <v>107</v>
      </c>
      <c r="AI16" s="93" t="s">
        <v>23</v>
      </c>
      <c r="AJ16" s="93" t="s">
        <v>24</v>
      </c>
      <c r="AK16" s="98" t="s">
        <v>107</v>
      </c>
      <c r="AL16" s="93" t="s">
        <v>23</v>
      </c>
      <c r="AM16" s="93" t="s">
        <v>24</v>
      </c>
      <c r="AN16" s="98" t="s">
        <v>107</v>
      </c>
      <c r="AO16" s="93" t="s">
        <v>23</v>
      </c>
      <c r="AP16" s="93" t="s">
        <v>24</v>
      </c>
      <c r="AQ16" s="114" t="s">
        <v>107</v>
      </c>
      <c r="AR16" s="93" t="s">
        <v>23</v>
      </c>
      <c r="AS16" s="93" t="s">
        <v>24</v>
      </c>
    </row>
    <row r="17" spans="1:52" ht="15.8" thickBot="1" x14ac:dyDescent="0.3">
      <c r="A17" s="345" t="s">
        <v>62</v>
      </c>
      <c r="B17" s="323">
        <v>1</v>
      </c>
      <c r="C17" s="324">
        <v>0</v>
      </c>
      <c r="D17" s="503">
        <v>0</v>
      </c>
      <c r="E17" s="381">
        <v>0</v>
      </c>
      <c r="F17" s="347">
        <f t="shared" si="0"/>
        <v>1</v>
      </c>
      <c r="G17" s="341" t="s">
        <v>62</v>
      </c>
      <c r="H17" s="92">
        <v>5</v>
      </c>
      <c r="I17" s="194">
        <v>0</v>
      </c>
      <c r="J17" s="470">
        <v>0</v>
      </c>
      <c r="K17" s="424">
        <v>0</v>
      </c>
      <c r="L17" s="343">
        <f t="shared" si="1"/>
        <v>5</v>
      </c>
      <c r="M17" s="348" t="s">
        <v>87</v>
      </c>
      <c r="N17" s="350" t="s">
        <v>30</v>
      </c>
      <c r="O17" s="350" t="s">
        <v>30</v>
      </c>
      <c r="P17" s="478" t="s">
        <v>30</v>
      </c>
      <c r="Q17" s="114" t="s">
        <v>30</v>
      </c>
      <c r="R17" s="114" t="s">
        <v>30</v>
      </c>
      <c r="S17" s="114" t="s">
        <v>30</v>
      </c>
      <c r="T17" s="114" t="s">
        <v>30</v>
      </c>
      <c r="U17" s="114" t="s">
        <v>30</v>
      </c>
      <c r="V17" s="114" t="s">
        <v>30</v>
      </c>
      <c r="W17" s="6" t="s">
        <v>30</v>
      </c>
      <c r="X17" s="6" t="s">
        <v>30</v>
      </c>
      <c r="Y17" s="6" t="s">
        <v>30</v>
      </c>
      <c r="Z17" s="107"/>
      <c r="AD17" s="276"/>
      <c r="AE17" s="6" t="s">
        <v>30</v>
      </c>
      <c r="AF17" s="6" t="s">
        <v>30</v>
      </c>
      <c r="AG17" s="6" t="s">
        <v>30</v>
      </c>
      <c r="AH17" s="6" t="s">
        <v>30</v>
      </c>
      <c r="AI17" s="6" t="s">
        <v>30</v>
      </c>
      <c r="AJ17" s="6" t="s">
        <v>30</v>
      </c>
      <c r="AK17" s="6" t="s">
        <v>30</v>
      </c>
      <c r="AL17" s="6" t="s">
        <v>30</v>
      </c>
      <c r="AM17" s="6" t="s">
        <v>30</v>
      </c>
      <c r="AN17" s="226" t="s">
        <v>30</v>
      </c>
      <c r="AO17" s="6" t="s">
        <v>30</v>
      </c>
      <c r="AP17" s="205" t="s">
        <v>30</v>
      </c>
      <c r="AQ17" s="6" t="s">
        <v>30</v>
      </c>
      <c r="AR17" s="205" t="s">
        <v>30</v>
      </c>
      <c r="AS17" s="205" t="s">
        <v>30</v>
      </c>
    </row>
    <row r="18" spans="1:52" ht="15.8" thickBot="1" x14ac:dyDescent="0.3">
      <c r="A18" s="345" t="s">
        <v>84</v>
      </c>
      <c r="B18" s="323">
        <v>0</v>
      </c>
      <c r="C18" s="324">
        <v>0</v>
      </c>
      <c r="D18" s="503">
        <v>0</v>
      </c>
      <c r="E18" s="381">
        <v>0</v>
      </c>
      <c r="F18" s="347">
        <f t="shared" si="0"/>
        <v>0</v>
      </c>
      <c r="G18" s="341" t="s">
        <v>84</v>
      </c>
      <c r="H18" s="92">
        <v>0</v>
      </c>
      <c r="I18" s="194">
        <v>0</v>
      </c>
      <c r="J18" s="470">
        <v>0</v>
      </c>
      <c r="K18" s="424">
        <v>0</v>
      </c>
      <c r="L18" s="343">
        <f t="shared" si="1"/>
        <v>0</v>
      </c>
      <c r="M18" s="348" t="s">
        <v>793</v>
      </c>
      <c r="N18" s="350">
        <v>5</v>
      </c>
      <c r="O18" s="350">
        <v>6</v>
      </c>
      <c r="P18" s="478">
        <f t="shared" ref="P18" si="4">SUM(N18/O18)*100</f>
        <v>83.333333333333343</v>
      </c>
      <c r="Q18" s="114" t="s">
        <v>30</v>
      </c>
      <c r="R18" s="114" t="s">
        <v>30</v>
      </c>
      <c r="S18" s="114" t="s">
        <v>30</v>
      </c>
      <c r="T18" s="114" t="s">
        <v>30</v>
      </c>
      <c r="U18" s="114" t="s">
        <v>30</v>
      </c>
      <c r="V18" s="114" t="s">
        <v>30</v>
      </c>
      <c r="W18" s="6" t="s">
        <v>30</v>
      </c>
      <c r="X18" s="6" t="s">
        <v>30</v>
      </c>
      <c r="Y18" s="6" t="s">
        <v>30</v>
      </c>
      <c r="Z18" s="107"/>
      <c r="AD18" s="276"/>
      <c r="AE18" s="6" t="s">
        <v>30</v>
      </c>
      <c r="AF18" s="6" t="s">
        <v>30</v>
      </c>
      <c r="AG18" s="6" t="s">
        <v>30</v>
      </c>
      <c r="AH18" s="6" t="s">
        <v>30</v>
      </c>
      <c r="AI18" s="6" t="s">
        <v>30</v>
      </c>
      <c r="AJ18" s="6" t="s">
        <v>30</v>
      </c>
      <c r="AK18" s="6" t="s">
        <v>30</v>
      </c>
      <c r="AL18" s="6" t="s">
        <v>30</v>
      </c>
      <c r="AM18" s="6" t="s">
        <v>30</v>
      </c>
      <c r="AN18" s="226" t="s">
        <v>30</v>
      </c>
      <c r="AO18" s="6" t="s">
        <v>30</v>
      </c>
      <c r="AP18" s="205" t="s">
        <v>30</v>
      </c>
      <c r="AQ18" s="6" t="s">
        <v>30</v>
      </c>
      <c r="AR18" s="205" t="s">
        <v>30</v>
      </c>
      <c r="AS18" s="205" t="s">
        <v>30</v>
      </c>
    </row>
    <row r="19" spans="1:52" ht="15.8" thickBot="1" x14ac:dyDescent="0.3">
      <c r="A19" s="345" t="s">
        <v>133</v>
      </c>
      <c r="B19" s="323">
        <v>2</v>
      </c>
      <c r="C19" s="324">
        <v>0</v>
      </c>
      <c r="D19" s="503">
        <v>0</v>
      </c>
      <c r="E19" s="381">
        <v>0</v>
      </c>
      <c r="F19" s="347">
        <f t="shared" si="0"/>
        <v>2</v>
      </c>
      <c r="G19" s="340" t="s">
        <v>133</v>
      </c>
      <c r="H19" s="92">
        <v>10</v>
      </c>
      <c r="I19" s="194">
        <v>0</v>
      </c>
      <c r="J19" s="470">
        <v>0</v>
      </c>
      <c r="K19" s="424">
        <v>0</v>
      </c>
      <c r="L19" s="343">
        <f t="shared" si="1"/>
        <v>10</v>
      </c>
      <c r="M19" s="348" t="s">
        <v>865</v>
      </c>
      <c r="N19" s="350" t="s">
        <v>30</v>
      </c>
      <c r="O19" s="350" t="s">
        <v>30</v>
      </c>
      <c r="P19" s="478" t="s">
        <v>30</v>
      </c>
      <c r="Q19" s="114" t="s">
        <v>30</v>
      </c>
      <c r="R19" s="114" t="s">
        <v>30</v>
      </c>
      <c r="S19" s="114" t="s">
        <v>30</v>
      </c>
      <c r="T19" s="114" t="s">
        <v>30</v>
      </c>
      <c r="U19" s="114" t="s">
        <v>30</v>
      </c>
      <c r="V19" s="114" t="s">
        <v>30</v>
      </c>
      <c r="W19" s="114" t="s">
        <v>30</v>
      </c>
      <c r="X19" s="114" t="s">
        <v>30</v>
      </c>
      <c r="Y19" s="114" t="s">
        <v>30</v>
      </c>
      <c r="Z19" s="107"/>
      <c r="AD19" s="276"/>
      <c r="AE19" s="6" t="s">
        <v>30</v>
      </c>
      <c r="AF19" s="6" t="s">
        <v>30</v>
      </c>
      <c r="AG19" s="6" t="s">
        <v>30</v>
      </c>
      <c r="AH19" s="6" t="s">
        <v>30</v>
      </c>
      <c r="AI19" s="6" t="s">
        <v>30</v>
      </c>
      <c r="AJ19" s="6" t="s">
        <v>30</v>
      </c>
      <c r="AK19" s="6" t="s">
        <v>30</v>
      </c>
      <c r="AL19" s="6" t="s">
        <v>30</v>
      </c>
      <c r="AM19" s="6" t="s">
        <v>30</v>
      </c>
      <c r="AN19" s="226" t="s">
        <v>30</v>
      </c>
      <c r="AO19" s="6" t="s">
        <v>30</v>
      </c>
      <c r="AP19" s="205" t="s">
        <v>30</v>
      </c>
      <c r="AQ19" s="201">
        <v>15</v>
      </c>
      <c r="AR19" s="7">
        <v>21</v>
      </c>
      <c r="AS19" s="7">
        <v>71</v>
      </c>
    </row>
    <row r="20" spans="1:52" ht="15.8" thickBot="1" x14ac:dyDescent="0.3">
      <c r="A20" s="345" t="s">
        <v>626</v>
      </c>
      <c r="B20" s="323">
        <v>1</v>
      </c>
      <c r="C20" s="324">
        <v>0</v>
      </c>
      <c r="D20" s="503">
        <v>0</v>
      </c>
      <c r="E20" s="381">
        <v>0</v>
      </c>
      <c r="F20" s="347">
        <f t="shared" si="0"/>
        <v>1</v>
      </c>
      <c r="G20" s="340" t="s">
        <v>626</v>
      </c>
      <c r="H20" s="92">
        <v>5</v>
      </c>
      <c r="I20" s="194">
        <v>0</v>
      </c>
      <c r="J20" s="470">
        <v>0</v>
      </c>
      <c r="K20" s="424">
        <v>0</v>
      </c>
      <c r="L20" s="343">
        <f t="shared" si="1"/>
        <v>5</v>
      </c>
      <c r="M20" s="344" t="s">
        <v>575</v>
      </c>
      <c r="N20" s="350">
        <v>3</v>
      </c>
      <c r="O20" s="350">
        <v>4</v>
      </c>
      <c r="P20" s="478">
        <f t="shared" ref="P20" si="5">SUM(N20/O20)*100</f>
        <v>75</v>
      </c>
      <c r="Q20" s="114">
        <v>3</v>
      </c>
      <c r="R20" s="114">
        <v>5</v>
      </c>
      <c r="S20" s="114">
        <v>60</v>
      </c>
      <c r="T20" s="114" t="s">
        <v>30</v>
      </c>
      <c r="U20" s="114" t="s">
        <v>30</v>
      </c>
      <c r="V20" s="114" t="s">
        <v>30</v>
      </c>
      <c r="W20" s="6">
        <v>4</v>
      </c>
      <c r="X20" s="6">
        <v>4</v>
      </c>
      <c r="Y20" s="6">
        <f>SUM(W20/X20)*100</f>
        <v>100</v>
      </c>
      <c r="Z20" s="107"/>
      <c r="AD20" s="276"/>
      <c r="AE20" s="6" t="s">
        <v>30</v>
      </c>
      <c r="AF20" s="6" t="s">
        <v>30</v>
      </c>
      <c r="AG20" s="6" t="s">
        <v>30</v>
      </c>
      <c r="AH20" s="6">
        <v>7</v>
      </c>
      <c r="AI20" s="6">
        <v>9</v>
      </c>
      <c r="AJ20" s="211">
        <f>SUM(AH20/AI20)*100</f>
        <v>77.777777777777786</v>
      </c>
      <c r="AK20" s="6" t="s">
        <v>30</v>
      </c>
      <c r="AL20" s="6" t="s">
        <v>30</v>
      </c>
      <c r="AM20" s="6" t="s">
        <v>30</v>
      </c>
      <c r="AN20" s="6" t="s">
        <v>30</v>
      </c>
      <c r="AO20" s="7" t="s">
        <v>30</v>
      </c>
      <c r="AP20" s="7" t="s">
        <v>30</v>
      </c>
      <c r="AQ20" s="201" t="s">
        <v>30</v>
      </c>
      <c r="AR20" s="7" t="s">
        <v>30</v>
      </c>
      <c r="AS20" s="7" t="s">
        <v>30</v>
      </c>
      <c r="AZ20" s="4"/>
    </row>
    <row r="21" spans="1:52" ht="14.95" customHeight="1" thickBot="1" x14ac:dyDescent="0.3">
      <c r="A21" s="345" t="s">
        <v>727</v>
      </c>
      <c r="B21" s="323">
        <v>0</v>
      </c>
      <c r="C21" s="324">
        <v>0</v>
      </c>
      <c r="D21" s="503">
        <v>0</v>
      </c>
      <c r="E21" s="381">
        <v>1</v>
      </c>
      <c r="F21" s="347">
        <f t="shared" si="0"/>
        <v>1</v>
      </c>
      <c r="G21" s="340" t="s">
        <v>727</v>
      </c>
      <c r="H21" s="92">
        <v>0</v>
      </c>
      <c r="I21" s="194">
        <v>0</v>
      </c>
      <c r="J21" s="470">
        <v>0</v>
      </c>
      <c r="K21" s="424">
        <v>5</v>
      </c>
      <c r="L21" s="343">
        <f t="shared" si="1"/>
        <v>5</v>
      </c>
      <c r="AH21" s="37"/>
      <c r="AI21" s="37"/>
      <c r="AJ21" s="37"/>
      <c r="AN21" s="4"/>
      <c r="AZ21" s="4"/>
    </row>
    <row r="22" spans="1:52" ht="14.95" customHeight="1" thickBot="1" x14ac:dyDescent="0.3">
      <c r="A22" s="345" t="s">
        <v>628</v>
      </c>
      <c r="B22" s="323">
        <v>0</v>
      </c>
      <c r="C22" s="324">
        <v>0</v>
      </c>
      <c r="D22" s="503">
        <v>0</v>
      </c>
      <c r="E22" s="381">
        <v>0</v>
      </c>
      <c r="F22" s="347">
        <f t="shared" si="0"/>
        <v>0</v>
      </c>
      <c r="G22" s="341" t="s">
        <v>628</v>
      </c>
      <c r="H22" s="92">
        <v>0</v>
      </c>
      <c r="I22" s="194">
        <v>0</v>
      </c>
      <c r="J22" s="470">
        <v>0</v>
      </c>
      <c r="K22" s="424">
        <v>0</v>
      </c>
      <c r="L22" s="343">
        <f t="shared" si="1"/>
        <v>0</v>
      </c>
      <c r="M22" s="542" t="s">
        <v>511</v>
      </c>
      <c r="N22" s="526" t="s">
        <v>29</v>
      </c>
      <c r="O22" s="527"/>
      <c r="P22" s="528"/>
      <c r="Q22" s="520" t="s">
        <v>634</v>
      </c>
      <c r="R22" s="521"/>
      <c r="S22" s="522"/>
      <c r="T22" s="512" t="s">
        <v>863</v>
      </c>
      <c r="U22" s="513"/>
      <c r="V22" s="514"/>
      <c r="W22" s="512" t="s">
        <v>621</v>
      </c>
      <c r="X22" s="513"/>
      <c r="Y22" s="514"/>
      <c r="Z22" s="100"/>
      <c r="AA22" s="356"/>
      <c r="AB22" s="356"/>
      <c r="AE22" s="512" t="s">
        <v>448</v>
      </c>
      <c r="AF22" s="513"/>
      <c r="AG22" s="514"/>
      <c r="AH22" s="512" t="s">
        <v>178</v>
      </c>
      <c r="AI22" s="513"/>
      <c r="AJ22" s="514"/>
      <c r="AK22" s="512" t="s">
        <v>122</v>
      </c>
      <c r="AL22" s="513"/>
      <c r="AM22" s="514"/>
      <c r="AN22" s="512" t="s">
        <v>113</v>
      </c>
      <c r="AO22" s="513"/>
      <c r="AP22" s="514"/>
      <c r="AQ22" s="512" t="s">
        <v>96</v>
      </c>
      <c r="AR22" s="513"/>
      <c r="AS22" s="514"/>
    </row>
    <row r="23" spans="1:52" ht="14.95" customHeight="1" thickBot="1" x14ac:dyDescent="0.3">
      <c r="A23" s="345" t="s">
        <v>516</v>
      </c>
      <c r="B23" s="323">
        <v>0</v>
      </c>
      <c r="C23" s="324">
        <v>1</v>
      </c>
      <c r="D23" s="503">
        <v>0</v>
      </c>
      <c r="E23" s="381">
        <v>0</v>
      </c>
      <c r="F23" s="347">
        <f t="shared" si="0"/>
        <v>1</v>
      </c>
      <c r="G23" s="341" t="s">
        <v>516</v>
      </c>
      <c r="H23" s="92">
        <v>0</v>
      </c>
      <c r="I23" s="194">
        <v>5</v>
      </c>
      <c r="J23" s="470">
        <v>0</v>
      </c>
      <c r="K23" s="424">
        <v>0</v>
      </c>
      <c r="L23" s="343">
        <f t="shared" si="1"/>
        <v>5</v>
      </c>
      <c r="M23" s="543"/>
      <c r="N23" s="529"/>
      <c r="O23" s="530"/>
      <c r="P23" s="531"/>
      <c r="Q23" s="523"/>
      <c r="R23" s="524"/>
      <c r="S23" s="525"/>
      <c r="T23" s="515"/>
      <c r="U23" s="516"/>
      <c r="V23" s="517"/>
      <c r="W23" s="515"/>
      <c r="X23" s="516"/>
      <c r="Y23" s="517"/>
      <c r="Z23" s="356"/>
      <c r="AA23" s="356"/>
      <c r="AB23" s="356"/>
      <c r="AE23" s="515"/>
      <c r="AF23" s="516"/>
      <c r="AG23" s="517"/>
      <c r="AH23" s="515"/>
      <c r="AI23" s="516"/>
      <c r="AJ23" s="517"/>
      <c r="AK23" s="515"/>
      <c r="AL23" s="516"/>
      <c r="AM23" s="517"/>
      <c r="AN23" s="515"/>
      <c r="AO23" s="516"/>
      <c r="AP23" s="517"/>
      <c r="AQ23" s="515"/>
      <c r="AR23" s="516"/>
      <c r="AS23" s="517"/>
      <c r="AX23" s="4"/>
      <c r="AY23" s="4"/>
    </row>
    <row r="24" spans="1:52" ht="14.95" customHeight="1" thickBot="1" x14ac:dyDescent="0.3">
      <c r="A24" s="345" t="s">
        <v>1123</v>
      </c>
      <c r="B24" s="323">
        <v>0</v>
      </c>
      <c r="C24" s="324">
        <v>1</v>
      </c>
      <c r="D24" s="503">
        <v>0</v>
      </c>
      <c r="E24" s="381">
        <v>0</v>
      </c>
      <c r="F24" s="347">
        <f t="shared" si="0"/>
        <v>1</v>
      </c>
      <c r="G24" s="341" t="s">
        <v>1123</v>
      </c>
      <c r="H24" s="92">
        <v>0</v>
      </c>
      <c r="I24" s="194">
        <v>5</v>
      </c>
      <c r="J24" s="470">
        <v>0</v>
      </c>
      <c r="K24" s="424">
        <v>0</v>
      </c>
      <c r="L24" s="343">
        <f t="shared" si="1"/>
        <v>5</v>
      </c>
      <c r="M24" s="466"/>
      <c r="N24" s="3" t="s">
        <v>107</v>
      </c>
      <c r="O24" s="3" t="s">
        <v>23</v>
      </c>
      <c r="P24" s="3" t="s">
        <v>24</v>
      </c>
      <c r="Q24" s="7" t="s">
        <v>107</v>
      </c>
      <c r="R24" s="7" t="s">
        <v>23</v>
      </c>
      <c r="S24" s="7" t="s">
        <v>24</v>
      </c>
      <c r="T24" s="93" t="s">
        <v>107</v>
      </c>
      <c r="U24" s="93" t="s">
        <v>23</v>
      </c>
      <c r="V24" s="93" t="s">
        <v>24</v>
      </c>
      <c r="W24" s="98" t="s">
        <v>107</v>
      </c>
      <c r="X24" s="93" t="s">
        <v>23</v>
      </c>
      <c r="Y24" s="93" t="s">
        <v>24</v>
      </c>
      <c r="AE24" s="98" t="s">
        <v>107</v>
      </c>
      <c r="AF24" s="93" t="s">
        <v>23</v>
      </c>
      <c r="AG24" s="93" t="s">
        <v>24</v>
      </c>
      <c r="AH24" s="98" t="s">
        <v>107</v>
      </c>
      <c r="AI24" s="93" t="s">
        <v>23</v>
      </c>
      <c r="AJ24" s="93" t="s">
        <v>24</v>
      </c>
      <c r="AK24" s="98" t="s">
        <v>107</v>
      </c>
      <c r="AL24" s="93" t="s">
        <v>23</v>
      </c>
      <c r="AM24" s="93" t="s">
        <v>24</v>
      </c>
      <c r="AN24" s="98" t="s">
        <v>107</v>
      </c>
      <c r="AO24" s="93" t="s">
        <v>23</v>
      </c>
      <c r="AP24" s="93" t="s">
        <v>24</v>
      </c>
      <c r="AQ24" s="114" t="s">
        <v>107</v>
      </c>
      <c r="AR24" s="93" t="s">
        <v>23</v>
      </c>
      <c r="AS24" s="93" t="s">
        <v>24</v>
      </c>
    </row>
    <row r="25" spans="1:52" ht="15.8" thickBot="1" x14ac:dyDescent="0.3">
      <c r="A25" s="345" t="s">
        <v>10</v>
      </c>
      <c r="B25" s="323">
        <v>1</v>
      </c>
      <c r="C25" s="324">
        <v>0</v>
      </c>
      <c r="D25" s="503">
        <v>0</v>
      </c>
      <c r="E25" s="381">
        <v>0</v>
      </c>
      <c r="F25" s="347">
        <f t="shared" si="0"/>
        <v>1</v>
      </c>
      <c r="G25" s="341" t="s">
        <v>10</v>
      </c>
      <c r="H25" s="92">
        <v>5</v>
      </c>
      <c r="I25" s="194">
        <v>0</v>
      </c>
      <c r="J25" s="470">
        <v>0</v>
      </c>
      <c r="K25" s="424">
        <v>0</v>
      </c>
      <c r="L25" s="343">
        <f t="shared" si="1"/>
        <v>5</v>
      </c>
      <c r="M25" s="348" t="s">
        <v>793</v>
      </c>
      <c r="N25" s="350">
        <v>1</v>
      </c>
      <c r="O25" s="350">
        <v>4</v>
      </c>
      <c r="P25" s="350">
        <f>SUM(N25/O25)*100</f>
        <v>25</v>
      </c>
      <c r="Q25" s="7"/>
      <c r="R25" s="7"/>
      <c r="S25" s="7"/>
      <c r="T25" s="93"/>
      <c r="U25" s="93"/>
      <c r="V25" s="93"/>
      <c r="W25" s="98"/>
      <c r="X25" s="93"/>
      <c r="Y25" s="93"/>
      <c r="AE25" s="98"/>
      <c r="AF25" s="93"/>
      <c r="AG25" s="93"/>
      <c r="AH25" s="504"/>
      <c r="AI25" s="93"/>
      <c r="AJ25" s="93"/>
      <c r="AK25" s="98"/>
      <c r="AL25" s="93"/>
      <c r="AM25" s="93"/>
      <c r="AN25" s="504"/>
      <c r="AO25" s="93"/>
      <c r="AP25" s="93"/>
      <c r="AQ25" s="114"/>
      <c r="AR25" s="93"/>
      <c r="AS25" s="93"/>
    </row>
    <row r="26" spans="1:52" ht="15.8" thickBot="1" x14ac:dyDescent="0.3">
      <c r="A26" s="345" t="s">
        <v>213</v>
      </c>
      <c r="B26" s="323">
        <v>0</v>
      </c>
      <c r="C26" s="324">
        <v>1</v>
      </c>
      <c r="D26" s="503">
        <v>0</v>
      </c>
      <c r="E26" s="381">
        <v>0</v>
      </c>
      <c r="F26" s="347">
        <f t="shared" si="0"/>
        <v>1</v>
      </c>
      <c r="G26" s="341" t="s">
        <v>213</v>
      </c>
      <c r="H26" s="92">
        <v>0</v>
      </c>
      <c r="I26" s="194">
        <v>5</v>
      </c>
      <c r="J26" s="470">
        <v>0</v>
      </c>
      <c r="K26" s="424">
        <v>0</v>
      </c>
      <c r="L26" s="343">
        <f t="shared" si="1"/>
        <v>5</v>
      </c>
      <c r="M26" s="348" t="s">
        <v>865</v>
      </c>
      <c r="N26" s="350" t="s">
        <v>30</v>
      </c>
      <c r="O26" s="350" t="s">
        <v>30</v>
      </c>
      <c r="P26" s="350" t="s">
        <v>30</v>
      </c>
      <c r="Q26" s="114" t="s">
        <v>30</v>
      </c>
      <c r="R26" s="114" t="s">
        <v>30</v>
      </c>
      <c r="S26" s="114" t="s">
        <v>30</v>
      </c>
      <c r="T26" s="114" t="s">
        <v>30</v>
      </c>
      <c r="U26" s="114" t="s">
        <v>30</v>
      </c>
      <c r="V26" s="114" t="s">
        <v>30</v>
      </c>
      <c r="W26" s="6" t="s">
        <v>30</v>
      </c>
      <c r="X26" s="6" t="s">
        <v>30</v>
      </c>
      <c r="Y26" s="6" t="s">
        <v>30</v>
      </c>
      <c r="AE26" s="6">
        <v>8</v>
      </c>
      <c r="AF26" s="6">
        <v>10</v>
      </c>
      <c r="AG26" s="6">
        <v>80</v>
      </c>
      <c r="AH26" s="254">
        <v>11</v>
      </c>
      <c r="AI26" s="6">
        <v>14</v>
      </c>
      <c r="AJ26" s="6">
        <v>79</v>
      </c>
      <c r="AK26" s="6">
        <v>13</v>
      </c>
      <c r="AL26" s="6">
        <v>18</v>
      </c>
      <c r="AM26" s="6">
        <v>72</v>
      </c>
      <c r="AN26" s="226">
        <v>9</v>
      </c>
      <c r="AO26" s="7">
        <v>9</v>
      </c>
      <c r="AP26" s="7">
        <v>100</v>
      </c>
      <c r="AQ26" s="6" t="s">
        <v>30</v>
      </c>
      <c r="AR26" s="205" t="s">
        <v>30</v>
      </c>
      <c r="AS26" s="205" t="s">
        <v>30</v>
      </c>
    </row>
    <row r="27" spans="1:52" ht="15.8" thickBot="1" x14ac:dyDescent="0.3">
      <c r="A27" s="345" t="s">
        <v>559</v>
      </c>
      <c r="B27" s="323">
        <v>1</v>
      </c>
      <c r="C27" s="324">
        <v>0</v>
      </c>
      <c r="D27" s="503">
        <v>0</v>
      </c>
      <c r="E27" s="381">
        <v>0</v>
      </c>
      <c r="F27" s="347">
        <f t="shared" si="0"/>
        <v>1</v>
      </c>
      <c r="G27" s="341" t="s">
        <v>559</v>
      </c>
      <c r="H27" s="92">
        <v>5</v>
      </c>
      <c r="I27" s="194">
        <v>0</v>
      </c>
      <c r="J27" s="470">
        <v>0</v>
      </c>
      <c r="K27" s="424">
        <v>0</v>
      </c>
      <c r="L27" s="343">
        <f t="shared" si="1"/>
        <v>5</v>
      </c>
      <c r="M27" s="348" t="s">
        <v>257</v>
      </c>
      <c r="N27" s="350">
        <v>1</v>
      </c>
      <c r="O27" s="350">
        <v>2</v>
      </c>
      <c r="P27" s="350">
        <f>SUM(N27/O27)*100</f>
        <v>50</v>
      </c>
      <c r="Q27" s="6">
        <v>10</v>
      </c>
      <c r="R27" s="6">
        <v>12</v>
      </c>
      <c r="S27" s="211">
        <f>SUM(Q27/R27)*100</f>
        <v>83.333333333333343</v>
      </c>
      <c r="T27" s="114" t="s">
        <v>30</v>
      </c>
      <c r="U27" s="114" t="s">
        <v>30</v>
      </c>
      <c r="V27" s="114" t="s">
        <v>30</v>
      </c>
      <c r="W27" s="6" t="s">
        <v>30</v>
      </c>
      <c r="X27" s="6" t="s">
        <v>30</v>
      </c>
      <c r="Y27" s="6" t="s">
        <v>30</v>
      </c>
      <c r="AE27" s="6" t="s">
        <v>30</v>
      </c>
      <c r="AF27" s="6" t="s">
        <v>30</v>
      </c>
      <c r="AG27" s="6" t="s">
        <v>30</v>
      </c>
      <c r="AH27" s="6" t="s">
        <v>30</v>
      </c>
      <c r="AI27" s="6" t="s">
        <v>30</v>
      </c>
      <c r="AJ27" s="6" t="s">
        <v>30</v>
      </c>
      <c r="AK27" s="6" t="s">
        <v>30</v>
      </c>
      <c r="AL27" s="6" t="s">
        <v>30</v>
      </c>
      <c r="AM27" s="6" t="s">
        <v>30</v>
      </c>
      <c r="AN27" s="6" t="s">
        <v>30</v>
      </c>
      <c r="AO27" s="6" t="s">
        <v>30</v>
      </c>
      <c r="AP27" s="205" t="s">
        <v>30</v>
      </c>
      <c r="AQ27" s="6" t="s">
        <v>30</v>
      </c>
      <c r="AR27" s="205" t="s">
        <v>30</v>
      </c>
      <c r="AS27" s="205" t="s">
        <v>30</v>
      </c>
    </row>
    <row r="28" spans="1:52" ht="15.8" thickBot="1" x14ac:dyDescent="0.3">
      <c r="A28" s="345" t="s">
        <v>631</v>
      </c>
      <c r="B28" s="323">
        <v>10</v>
      </c>
      <c r="C28" s="324">
        <v>0</v>
      </c>
      <c r="D28" s="503">
        <v>0</v>
      </c>
      <c r="E28" s="381">
        <v>0</v>
      </c>
      <c r="F28" s="347">
        <f t="shared" si="0"/>
        <v>10</v>
      </c>
      <c r="G28" s="341" t="s">
        <v>631</v>
      </c>
      <c r="H28" s="92">
        <v>50</v>
      </c>
      <c r="I28" s="194">
        <v>0</v>
      </c>
      <c r="J28" s="470">
        <v>0</v>
      </c>
      <c r="K28" s="424">
        <v>0</v>
      </c>
      <c r="L28" s="343">
        <f t="shared" si="1"/>
        <v>50</v>
      </c>
      <c r="M28" s="329"/>
      <c r="N28" s="273"/>
      <c r="O28" s="255"/>
      <c r="P28" s="255"/>
      <c r="Q28" s="330"/>
      <c r="R28" s="328"/>
      <c r="S28" s="330"/>
      <c r="T28" s="255"/>
      <c r="U28" s="255"/>
      <c r="V28" s="255"/>
      <c r="W28" s="273"/>
      <c r="X28" s="255"/>
      <c r="Y28" s="273"/>
      <c r="AE28" s="255"/>
      <c r="AF28" s="255"/>
      <c r="AG28" s="255"/>
      <c r="AH28" s="273"/>
      <c r="AI28" s="255"/>
      <c r="AJ28" s="255"/>
      <c r="AK28" s="255"/>
      <c r="AL28" s="101"/>
      <c r="AM28" s="101"/>
      <c r="AN28" s="101"/>
      <c r="AO28" s="101"/>
      <c r="AP28" s="101"/>
      <c r="AQ28" s="37"/>
      <c r="AR28" s="37"/>
      <c r="AS28" s="37"/>
      <c r="AU28" s="4"/>
      <c r="AV28" s="4"/>
      <c r="AW28" s="4"/>
    </row>
    <row r="29" spans="1:52" ht="14.95" thickBot="1" x14ac:dyDescent="0.3">
      <c r="A29" s="345" t="s">
        <v>148</v>
      </c>
      <c r="B29" s="323">
        <v>0</v>
      </c>
      <c r="C29" s="324">
        <v>0</v>
      </c>
      <c r="D29" s="503">
        <v>0</v>
      </c>
      <c r="E29" s="381">
        <v>0</v>
      </c>
      <c r="F29" s="347">
        <f t="shared" si="0"/>
        <v>0</v>
      </c>
      <c r="G29" s="341" t="s">
        <v>148</v>
      </c>
      <c r="H29" s="92">
        <v>0</v>
      </c>
      <c r="I29" s="194">
        <v>0</v>
      </c>
      <c r="J29" s="470">
        <v>0</v>
      </c>
      <c r="K29" s="424">
        <v>0</v>
      </c>
      <c r="L29" s="343">
        <f t="shared" si="1"/>
        <v>0</v>
      </c>
      <c r="M29" s="536" t="s">
        <v>179</v>
      </c>
      <c r="N29" s="526" t="s">
        <v>29</v>
      </c>
      <c r="O29" s="527"/>
      <c r="P29" s="528"/>
      <c r="Q29" s="512" t="s">
        <v>863</v>
      </c>
      <c r="R29" s="513"/>
      <c r="S29" s="514"/>
      <c r="T29" s="512" t="s">
        <v>621</v>
      </c>
      <c r="U29" s="513"/>
      <c r="V29" s="514"/>
      <c r="W29" s="512" t="s">
        <v>448</v>
      </c>
      <c r="X29" s="513"/>
      <c r="Y29" s="514"/>
      <c r="AE29" s="512" t="s">
        <v>178</v>
      </c>
      <c r="AF29" s="513"/>
      <c r="AG29" s="514"/>
      <c r="AH29" s="512" t="s">
        <v>113</v>
      </c>
      <c r="AI29" s="513"/>
      <c r="AJ29" s="514"/>
      <c r="AK29" s="512" t="s">
        <v>85</v>
      </c>
      <c r="AL29" s="513"/>
      <c r="AM29" s="514"/>
      <c r="AN29" s="37"/>
      <c r="AO29" s="37"/>
      <c r="AP29" s="37"/>
    </row>
    <row r="30" spans="1:52" ht="14.95" thickBot="1" x14ac:dyDescent="0.3">
      <c r="A30" s="345" t="s">
        <v>1006</v>
      </c>
      <c r="B30" s="323">
        <v>3</v>
      </c>
      <c r="C30" s="324">
        <v>0</v>
      </c>
      <c r="D30" s="503">
        <v>0</v>
      </c>
      <c r="E30" s="381">
        <v>0</v>
      </c>
      <c r="F30" s="347">
        <f t="shared" si="0"/>
        <v>3</v>
      </c>
      <c r="G30" s="341" t="s">
        <v>1006</v>
      </c>
      <c r="H30" s="92">
        <v>15</v>
      </c>
      <c r="I30" s="194">
        <v>0</v>
      </c>
      <c r="J30" s="470">
        <v>0</v>
      </c>
      <c r="K30" s="424">
        <v>0</v>
      </c>
      <c r="L30" s="343">
        <f t="shared" si="1"/>
        <v>15</v>
      </c>
      <c r="M30" s="537"/>
      <c r="N30" s="529"/>
      <c r="O30" s="530"/>
      <c r="P30" s="531"/>
      <c r="Q30" s="515"/>
      <c r="R30" s="516"/>
      <c r="S30" s="517"/>
      <c r="T30" s="515"/>
      <c r="U30" s="516"/>
      <c r="V30" s="517"/>
      <c r="W30" s="515"/>
      <c r="X30" s="516"/>
      <c r="Y30" s="517"/>
      <c r="AE30" s="515"/>
      <c r="AF30" s="516"/>
      <c r="AG30" s="517"/>
      <c r="AH30" s="515"/>
      <c r="AI30" s="516"/>
      <c r="AJ30" s="517"/>
      <c r="AK30" s="515"/>
      <c r="AL30" s="516"/>
      <c r="AM30" s="517"/>
      <c r="AN30" s="37"/>
      <c r="AO30" s="37"/>
      <c r="AP30" s="37"/>
    </row>
    <row r="31" spans="1:52" ht="15.8" thickBot="1" x14ac:dyDescent="0.3">
      <c r="A31" s="345" t="s">
        <v>6</v>
      </c>
      <c r="B31" s="323">
        <v>0</v>
      </c>
      <c r="C31" s="324">
        <v>0</v>
      </c>
      <c r="D31" s="503">
        <v>0</v>
      </c>
      <c r="E31" s="381">
        <v>0</v>
      </c>
      <c r="F31" s="347">
        <f t="shared" si="0"/>
        <v>0</v>
      </c>
      <c r="G31" s="341" t="s">
        <v>6</v>
      </c>
      <c r="H31" s="92">
        <v>0</v>
      </c>
      <c r="I31" s="194">
        <v>0</v>
      </c>
      <c r="J31" s="470">
        <v>0</v>
      </c>
      <c r="K31" s="424">
        <v>0</v>
      </c>
      <c r="L31" s="343">
        <f t="shared" si="1"/>
        <v>0</v>
      </c>
      <c r="M31" s="425" t="s">
        <v>44</v>
      </c>
      <c r="N31" s="3" t="s">
        <v>107</v>
      </c>
      <c r="O31" s="3" t="s">
        <v>23</v>
      </c>
      <c r="P31" s="3" t="s">
        <v>24</v>
      </c>
      <c r="Q31" s="93" t="s">
        <v>107</v>
      </c>
      <c r="R31" s="93" t="s">
        <v>23</v>
      </c>
      <c r="S31" s="93" t="s">
        <v>24</v>
      </c>
      <c r="T31" s="93" t="s">
        <v>107</v>
      </c>
      <c r="U31" s="93" t="s">
        <v>23</v>
      </c>
      <c r="V31" s="93" t="s">
        <v>24</v>
      </c>
      <c r="W31" s="93" t="s">
        <v>107</v>
      </c>
      <c r="X31" s="93" t="s">
        <v>23</v>
      </c>
      <c r="Y31" s="93" t="s">
        <v>24</v>
      </c>
      <c r="AE31" s="98" t="s">
        <v>107</v>
      </c>
      <c r="AF31" s="93" t="s">
        <v>23</v>
      </c>
      <c r="AG31" s="93" t="s">
        <v>24</v>
      </c>
      <c r="AH31" s="98" t="s">
        <v>107</v>
      </c>
      <c r="AI31" s="93" t="s">
        <v>23</v>
      </c>
      <c r="AJ31" s="93" t="s">
        <v>24</v>
      </c>
      <c r="AK31" s="98" t="s">
        <v>107</v>
      </c>
      <c r="AL31" s="93" t="s">
        <v>23</v>
      </c>
      <c r="AM31" s="93" t="s">
        <v>24</v>
      </c>
      <c r="AN31" s="37"/>
      <c r="AO31" s="37"/>
      <c r="AP31" s="37"/>
    </row>
    <row r="32" spans="1:52" ht="14.95" thickBot="1" x14ac:dyDescent="0.3">
      <c r="A32" s="345" t="s">
        <v>1148</v>
      </c>
      <c r="B32" s="323">
        <v>1</v>
      </c>
      <c r="C32" s="324">
        <v>0</v>
      </c>
      <c r="D32" s="503">
        <v>0</v>
      </c>
      <c r="E32" s="381">
        <v>1</v>
      </c>
      <c r="F32" s="347">
        <f t="shared" si="0"/>
        <v>2</v>
      </c>
      <c r="G32" s="341" t="s">
        <v>1148</v>
      </c>
      <c r="H32" s="92">
        <v>5</v>
      </c>
      <c r="I32" s="194">
        <v>0</v>
      </c>
      <c r="J32" s="470">
        <v>0</v>
      </c>
      <c r="K32" s="424">
        <v>5</v>
      </c>
      <c r="L32" s="343">
        <f t="shared" si="1"/>
        <v>10</v>
      </c>
      <c r="M32" s="348" t="s">
        <v>87</v>
      </c>
      <c r="N32" s="358" t="s">
        <v>30</v>
      </c>
      <c r="O32" s="358" t="s">
        <v>30</v>
      </c>
      <c r="P32" s="359" t="s">
        <v>30</v>
      </c>
      <c r="Q32" s="93" t="s">
        <v>30</v>
      </c>
      <c r="R32" s="93" t="s">
        <v>30</v>
      </c>
      <c r="S32" s="270" t="s">
        <v>30</v>
      </c>
      <c r="T32" s="6">
        <v>0</v>
      </c>
      <c r="U32" s="6">
        <v>1</v>
      </c>
      <c r="V32" s="204">
        <f>SUM(T32/U32)*100</f>
        <v>0</v>
      </c>
      <c r="W32" s="6" t="s">
        <v>30</v>
      </c>
      <c r="X32" s="6" t="s">
        <v>30</v>
      </c>
      <c r="Y32" s="6" t="s">
        <v>30</v>
      </c>
      <c r="AE32" s="6" t="s">
        <v>30</v>
      </c>
      <c r="AF32" s="6" t="s">
        <v>30</v>
      </c>
      <c r="AG32" s="6" t="s">
        <v>30</v>
      </c>
      <c r="AH32" s="6" t="s">
        <v>30</v>
      </c>
      <c r="AI32" s="6" t="s">
        <v>30</v>
      </c>
      <c r="AJ32" s="6" t="s">
        <v>30</v>
      </c>
      <c r="AK32" s="6" t="s">
        <v>30</v>
      </c>
      <c r="AL32" s="6" t="s">
        <v>30</v>
      </c>
      <c r="AM32" s="6" t="s">
        <v>30</v>
      </c>
      <c r="AN32" s="37"/>
      <c r="AO32" s="37"/>
      <c r="AP32" s="37"/>
      <c r="AW32" s="4"/>
    </row>
    <row r="33" spans="1:49" ht="15.8" customHeight="1" thickBot="1" x14ac:dyDescent="0.3">
      <c r="A33" s="345" t="s">
        <v>173</v>
      </c>
      <c r="B33" s="323">
        <v>0</v>
      </c>
      <c r="C33" s="324">
        <v>0</v>
      </c>
      <c r="D33" s="503">
        <v>0</v>
      </c>
      <c r="E33" s="381">
        <v>0</v>
      </c>
      <c r="F33" s="347">
        <f t="shared" si="0"/>
        <v>0</v>
      </c>
      <c r="G33" s="341" t="s">
        <v>173</v>
      </c>
      <c r="H33" s="92">
        <v>0</v>
      </c>
      <c r="I33" s="194">
        <v>0</v>
      </c>
      <c r="J33" s="470">
        <v>0</v>
      </c>
      <c r="K33" s="424">
        <v>0</v>
      </c>
      <c r="L33" s="343">
        <f t="shared" si="1"/>
        <v>0</v>
      </c>
      <c r="M33" s="351" t="s">
        <v>793</v>
      </c>
      <c r="N33" s="358">
        <v>2</v>
      </c>
      <c r="O33" s="358">
        <v>3</v>
      </c>
      <c r="P33" s="359">
        <f>SUM(N33/O33)*100</f>
        <v>66.666666666666657</v>
      </c>
      <c r="Q33" s="93" t="s">
        <v>30</v>
      </c>
      <c r="R33" s="93" t="s">
        <v>30</v>
      </c>
      <c r="S33" s="270" t="s">
        <v>30</v>
      </c>
      <c r="T33" s="93" t="s">
        <v>30</v>
      </c>
      <c r="U33" s="93" t="s">
        <v>30</v>
      </c>
      <c r="V33" s="270" t="s">
        <v>30</v>
      </c>
      <c r="W33" s="93" t="s">
        <v>30</v>
      </c>
      <c r="X33" s="93" t="s">
        <v>30</v>
      </c>
      <c r="Y33" s="270" t="s">
        <v>30</v>
      </c>
      <c r="AE33" s="93" t="s">
        <v>30</v>
      </c>
      <c r="AF33" s="93" t="s">
        <v>30</v>
      </c>
      <c r="AG33" s="270" t="s">
        <v>30</v>
      </c>
      <c r="AH33" s="93" t="s">
        <v>30</v>
      </c>
      <c r="AI33" s="93" t="s">
        <v>30</v>
      </c>
      <c r="AJ33" s="270" t="s">
        <v>30</v>
      </c>
      <c r="AK33" s="93" t="s">
        <v>30</v>
      </c>
      <c r="AL33" s="93" t="s">
        <v>30</v>
      </c>
      <c r="AM33" s="270" t="s">
        <v>30</v>
      </c>
      <c r="AN33" s="37"/>
      <c r="AO33" s="37"/>
      <c r="AP33" s="37"/>
      <c r="AW33" s="4"/>
    </row>
    <row r="34" spans="1:49" ht="15.8" customHeight="1" thickBot="1" x14ac:dyDescent="0.3">
      <c r="A34" s="345" t="s">
        <v>482</v>
      </c>
      <c r="B34" s="323">
        <v>1</v>
      </c>
      <c r="C34" s="324">
        <v>0</v>
      </c>
      <c r="D34" s="503">
        <v>0</v>
      </c>
      <c r="E34" s="381">
        <v>0</v>
      </c>
      <c r="F34" s="347">
        <f t="shared" si="0"/>
        <v>1</v>
      </c>
      <c r="G34" s="341" t="s">
        <v>482</v>
      </c>
      <c r="H34" s="92">
        <v>5</v>
      </c>
      <c r="I34" s="194">
        <v>0</v>
      </c>
      <c r="J34" s="470">
        <v>0</v>
      </c>
      <c r="K34" s="424">
        <v>0</v>
      </c>
      <c r="L34" s="343">
        <f t="shared" si="1"/>
        <v>5</v>
      </c>
      <c r="M34" s="344" t="s">
        <v>575</v>
      </c>
      <c r="N34" s="358" t="s">
        <v>30</v>
      </c>
      <c r="O34" s="358" t="s">
        <v>30</v>
      </c>
      <c r="P34" s="359" t="s">
        <v>30</v>
      </c>
      <c r="Q34" s="93" t="s">
        <v>30</v>
      </c>
      <c r="R34" s="93" t="s">
        <v>30</v>
      </c>
      <c r="S34" s="270" t="s">
        <v>30</v>
      </c>
      <c r="T34" s="6" t="s">
        <v>30</v>
      </c>
      <c r="U34" s="205" t="s">
        <v>30</v>
      </c>
      <c r="V34" s="205" t="s">
        <v>30</v>
      </c>
      <c r="W34" s="6" t="s">
        <v>30</v>
      </c>
      <c r="X34" s="205" t="s">
        <v>30</v>
      </c>
      <c r="Y34" s="205" t="s">
        <v>30</v>
      </c>
      <c r="AE34" s="201">
        <v>3</v>
      </c>
      <c r="AF34" s="7">
        <v>4</v>
      </c>
      <c r="AG34" s="206">
        <f>SUM(AE34/AF34)*100</f>
        <v>75</v>
      </c>
      <c r="AH34" s="201">
        <v>27</v>
      </c>
      <c r="AI34" s="7">
        <v>36</v>
      </c>
      <c r="AJ34" s="206">
        <f>SUM(AH34/AI34)*100</f>
        <v>75</v>
      </c>
      <c r="AK34" s="6" t="s">
        <v>30</v>
      </c>
      <c r="AL34" s="205" t="s">
        <v>30</v>
      </c>
      <c r="AM34" s="205" t="s">
        <v>30</v>
      </c>
      <c r="AN34" s="209"/>
      <c r="AO34" s="209"/>
      <c r="AP34" s="209"/>
      <c r="AQ34" s="153"/>
      <c r="AR34" s="153"/>
      <c r="AS34" s="153"/>
    </row>
    <row r="35" spans="1:49" ht="14.95" thickBot="1" x14ac:dyDescent="0.3">
      <c r="A35" s="345" t="s">
        <v>1160</v>
      </c>
      <c r="B35" s="323">
        <v>1</v>
      </c>
      <c r="C35" s="324">
        <v>0</v>
      </c>
      <c r="D35" s="503">
        <v>0</v>
      </c>
      <c r="E35" s="381">
        <v>0</v>
      </c>
      <c r="F35" s="347">
        <f t="shared" si="0"/>
        <v>1</v>
      </c>
      <c r="G35" s="341" t="s">
        <v>1160</v>
      </c>
      <c r="H35" s="92">
        <v>5</v>
      </c>
      <c r="I35" s="194">
        <v>0</v>
      </c>
      <c r="J35" s="470">
        <v>0</v>
      </c>
      <c r="K35" s="424">
        <v>0</v>
      </c>
      <c r="L35" s="343">
        <f t="shared" si="1"/>
        <v>5</v>
      </c>
      <c r="M35" s="344" t="s">
        <v>867</v>
      </c>
      <c r="N35" s="358" t="s">
        <v>30</v>
      </c>
      <c r="O35" s="358" t="s">
        <v>30</v>
      </c>
      <c r="P35" s="359" t="s">
        <v>30</v>
      </c>
      <c r="Q35" s="93" t="s">
        <v>30</v>
      </c>
      <c r="R35" s="93" t="s">
        <v>30</v>
      </c>
      <c r="S35" s="270" t="s">
        <v>30</v>
      </c>
      <c r="T35" s="93" t="s">
        <v>30</v>
      </c>
      <c r="U35" s="93" t="s">
        <v>30</v>
      </c>
      <c r="V35" s="270" t="s">
        <v>30</v>
      </c>
      <c r="W35" s="6">
        <v>1</v>
      </c>
      <c r="X35" s="205">
        <v>1</v>
      </c>
      <c r="Y35" s="205">
        <v>100</v>
      </c>
      <c r="AE35" s="201" t="s">
        <v>30</v>
      </c>
      <c r="AF35" s="7" t="s">
        <v>30</v>
      </c>
      <c r="AG35" s="7" t="s">
        <v>30</v>
      </c>
      <c r="AH35" s="6" t="s">
        <v>30</v>
      </c>
      <c r="AI35" s="7" t="s">
        <v>30</v>
      </c>
      <c r="AJ35" s="7" t="s">
        <v>30</v>
      </c>
      <c r="AK35" s="6" t="s">
        <v>30</v>
      </c>
      <c r="AL35" s="7" t="s">
        <v>30</v>
      </c>
      <c r="AM35" s="7" t="s">
        <v>30</v>
      </c>
      <c r="AN35" s="209"/>
      <c r="AO35" s="209"/>
      <c r="AP35" s="209"/>
      <c r="AQ35" s="153"/>
      <c r="AR35" s="153"/>
      <c r="AS35" s="153"/>
    </row>
    <row r="36" spans="1:49" ht="14.95" thickBot="1" x14ac:dyDescent="0.3">
      <c r="A36" s="345" t="s">
        <v>19</v>
      </c>
      <c r="B36" s="323">
        <v>4</v>
      </c>
      <c r="C36" s="324">
        <v>0</v>
      </c>
      <c r="D36" s="503">
        <v>0</v>
      </c>
      <c r="E36" s="381">
        <v>0</v>
      </c>
      <c r="F36" s="347">
        <f t="shared" si="0"/>
        <v>4</v>
      </c>
      <c r="G36" s="341" t="s">
        <v>19</v>
      </c>
      <c r="H36" s="92">
        <v>20</v>
      </c>
      <c r="I36" s="194">
        <v>0</v>
      </c>
      <c r="J36" s="470">
        <v>0</v>
      </c>
      <c r="K36" s="424">
        <v>0</v>
      </c>
      <c r="L36" s="343">
        <f t="shared" si="1"/>
        <v>20</v>
      </c>
      <c r="M36" s="344" t="s">
        <v>1052</v>
      </c>
      <c r="N36" s="358">
        <v>3</v>
      </c>
      <c r="O36" s="358">
        <v>3</v>
      </c>
      <c r="P36" s="359">
        <f t="shared" ref="P36" si="6">SUM(N36/O36)*100</f>
        <v>100</v>
      </c>
      <c r="Q36" s="93" t="s">
        <v>30</v>
      </c>
      <c r="R36" s="93" t="s">
        <v>30</v>
      </c>
      <c r="S36" s="270" t="s">
        <v>30</v>
      </c>
      <c r="T36" s="93" t="s">
        <v>30</v>
      </c>
      <c r="U36" s="93" t="s">
        <v>30</v>
      </c>
      <c r="V36" s="270" t="s">
        <v>30</v>
      </c>
      <c r="W36" s="93" t="s">
        <v>30</v>
      </c>
      <c r="X36" s="93" t="s">
        <v>30</v>
      </c>
      <c r="Y36" s="270" t="s">
        <v>30</v>
      </c>
      <c r="AE36" s="201" t="s">
        <v>30</v>
      </c>
      <c r="AF36" s="7" t="s">
        <v>30</v>
      </c>
      <c r="AG36" s="7" t="s">
        <v>30</v>
      </c>
      <c r="AH36" s="6" t="s">
        <v>30</v>
      </c>
      <c r="AI36" s="7" t="s">
        <v>30</v>
      </c>
      <c r="AJ36" s="7" t="s">
        <v>30</v>
      </c>
      <c r="AK36" s="6" t="s">
        <v>30</v>
      </c>
      <c r="AL36" s="7" t="s">
        <v>30</v>
      </c>
      <c r="AM36" s="7" t="s">
        <v>30</v>
      </c>
      <c r="AN36" s="209"/>
      <c r="AO36" s="209"/>
      <c r="AP36" s="209"/>
      <c r="AQ36" s="153"/>
      <c r="AR36" s="153"/>
      <c r="AS36" s="153"/>
    </row>
    <row r="37" spans="1:49" ht="14.95" thickBot="1" x14ac:dyDescent="0.3">
      <c r="A37" s="345" t="s">
        <v>633</v>
      </c>
      <c r="B37" s="323">
        <v>1</v>
      </c>
      <c r="C37" s="324">
        <v>0</v>
      </c>
      <c r="D37" s="503">
        <v>0</v>
      </c>
      <c r="E37" s="381">
        <v>0</v>
      </c>
      <c r="F37" s="347">
        <f t="shared" si="0"/>
        <v>1</v>
      </c>
      <c r="G37" s="341" t="s">
        <v>633</v>
      </c>
      <c r="H37" s="92">
        <v>5</v>
      </c>
      <c r="I37" s="194">
        <v>0</v>
      </c>
      <c r="J37" s="470">
        <v>0</v>
      </c>
      <c r="K37" s="424">
        <v>0</v>
      </c>
      <c r="L37" s="343">
        <f t="shared" si="1"/>
        <v>5</v>
      </c>
      <c r="M37" s="518" t="s">
        <v>766</v>
      </c>
      <c r="N37" s="519"/>
      <c r="O37" s="519"/>
      <c r="P37" s="519"/>
      <c r="Q37" s="519"/>
      <c r="R37" s="519"/>
      <c r="S37" s="519"/>
      <c r="T37" s="519"/>
      <c r="U37" s="519"/>
      <c r="V37" s="519"/>
      <c r="W37" s="519"/>
      <c r="X37" s="519"/>
      <c r="Y37" s="519"/>
      <c r="Z37" s="519"/>
      <c r="AA37" s="519"/>
      <c r="AR37" s="4"/>
      <c r="AS37" s="4"/>
      <c r="AT37" s="4"/>
    </row>
    <row r="38" spans="1:49" ht="14.95" thickBot="1" x14ac:dyDescent="0.3">
      <c r="A38" s="345" t="s">
        <v>767</v>
      </c>
      <c r="B38" s="323">
        <v>0</v>
      </c>
      <c r="C38" s="324">
        <v>0</v>
      </c>
      <c r="D38" s="503">
        <v>0</v>
      </c>
      <c r="E38" s="381">
        <v>0</v>
      </c>
      <c r="F38" s="347">
        <f t="shared" si="0"/>
        <v>0</v>
      </c>
      <c r="G38" s="341" t="s">
        <v>767</v>
      </c>
      <c r="H38" s="92">
        <v>0</v>
      </c>
      <c r="I38" s="194">
        <v>0</v>
      </c>
      <c r="J38" s="470">
        <v>0</v>
      </c>
      <c r="K38" s="424">
        <v>0</v>
      </c>
      <c r="L38" s="343">
        <f t="shared" si="1"/>
        <v>0</v>
      </c>
      <c r="M38" s="518" t="s">
        <v>866</v>
      </c>
      <c r="N38" s="519"/>
      <c r="O38" s="519"/>
      <c r="P38" s="519"/>
      <c r="Q38" s="519"/>
      <c r="R38" s="519"/>
      <c r="S38" s="519"/>
      <c r="T38" s="519"/>
      <c r="U38" s="519"/>
      <c r="V38" s="519"/>
      <c r="W38" s="519"/>
      <c r="X38" s="519"/>
      <c r="Y38" s="519"/>
      <c r="Z38" s="519"/>
      <c r="AA38" s="519"/>
    </row>
    <row r="39" spans="1:49" ht="14.95" thickBot="1" x14ac:dyDescent="0.3">
      <c r="A39" s="345" t="s">
        <v>33</v>
      </c>
      <c r="B39" s="323">
        <v>0</v>
      </c>
      <c r="C39" s="324">
        <v>1</v>
      </c>
      <c r="D39" s="503">
        <v>0</v>
      </c>
      <c r="E39" s="381">
        <v>1</v>
      </c>
      <c r="F39" s="347">
        <f t="shared" si="0"/>
        <v>2</v>
      </c>
      <c r="G39" s="341" t="s">
        <v>33</v>
      </c>
      <c r="H39" s="92">
        <v>0</v>
      </c>
      <c r="I39" s="194">
        <v>5</v>
      </c>
      <c r="J39" s="470">
        <v>0</v>
      </c>
      <c r="K39" s="424">
        <v>5</v>
      </c>
      <c r="L39" s="343">
        <f t="shared" si="1"/>
        <v>10</v>
      </c>
      <c r="M39" s="518" t="s">
        <v>757</v>
      </c>
      <c r="N39" s="519"/>
      <c r="O39" s="519"/>
      <c r="P39" s="519"/>
      <c r="Q39" s="519"/>
      <c r="R39" s="519"/>
      <c r="S39" s="519"/>
      <c r="T39" s="519"/>
      <c r="U39" s="519"/>
      <c r="V39" s="519"/>
      <c r="W39" s="519"/>
      <c r="X39" s="519"/>
      <c r="Y39" s="519"/>
      <c r="Z39" s="519"/>
      <c r="AA39" s="519"/>
    </row>
    <row r="40" spans="1:49" ht="14.95" thickBot="1" x14ac:dyDescent="0.3">
      <c r="A40" s="345" t="s">
        <v>257</v>
      </c>
      <c r="B40" s="323">
        <v>5</v>
      </c>
      <c r="C40" s="324">
        <v>0</v>
      </c>
      <c r="D40" s="503">
        <v>1</v>
      </c>
      <c r="E40" s="381">
        <v>0</v>
      </c>
      <c r="F40" s="347">
        <f t="shared" si="0"/>
        <v>6</v>
      </c>
      <c r="G40" s="341" t="s">
        <v>257</v>
      </c>
      <c r="H40" s="92">
        <v>43</v>
      </c>
      <c r="I40" s="194">
        <v>6</v>
      </c>
      <c r="J40" s="470">
        <v>7</v>
      </c>
      <c r="K40" s="424">
        <v>0</v>
      </c>
      <c r="L40" s="343">
        <f t="shared" si="1"/>
        <v>56</v>
      </c>
      <c r="M40" s="518" t="s">
        <v>1122</v>
      </c>
      <c r="N40" s="519"/>
      <c r="O40" s="519"/>
      <c r="P40" s="519"/>
      <c r="Q40" s="519"/>
      <c r="R40" s="519"/>
      <c r="S40" s="519"/>
      <c r="T40" s="519"/>
      <c r="U40" s="519"/>
      <c r="V40" s="519"/>
      <c r="W40" s="519"/>
      <c r="X40" s="519"/>
      <c r="Y40" s="519"/>
      <c r="Z40" s="519"/>
      <c r="AA40" s="519"/>
    </row>
    <row r="41" spans="1:49" ht="14.95" customHeight="1" thickBot="1" x14ac:dyDescent="0.3">
      <c r="A41" s="345" t="s">
        <v>236</v>
      </c>
      <c r="B41" s="323">
        <v>0</v>
      </c>
      <c r="C41" s="324">
        <v>0</v>
      </c>
      <c r="D41" s="503">
        <v>0</v>
      </c>
      <c r="E41" s="381">
        <v>0</v>
      </c>
      <c r="F41" s="347">
        <f t="shared" si="0"/>
        <v>0</v>
      </c>
      <c r="G41" s="341" t="s">
        <v>236</v>
      </c>
      <c r="H41" s="92">
        <v>0</v>
      </c>
      <c r="I41" s="194">
        <v>0</v>
      </c>
      <c r="J41" s="470">
        <v>0</v>
      </c>
      <c r="K41" s="424">
        <v>0</v>
      </c>
      <c r="L41" s="343">
        <f t="shared" si="1"/>
        <v>0</v>
      </c>
      <c r="M41" s="338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1:49" ht="14.95" customHeight="1" thickBot="1" x14ac:dyDescent="0.3">
      <c r="A42" s="345" t="s">
        <v>1218</v>
      </c>
      <c r="B42" s="323">
        <v>0</v>
      </c>
      <c r="C42" s="324">
        <v>0</v>
      </c>
      <c r="D42" s="503">
        <v>0</v>
      </c>
      <c r="E42" s="381">
        <v>1</v>
      </c>
      <c r="F42" s="347">
        <f t="shared" si="0"/>
        <v>1</v>
      </c>
      <c r="G42" s="341" t="s">
        <v>1218</v>
      </c>
      <c r="H42" s="92">
        <v>0</v>
      </c>
      <c r="I42" s="194">
        <v>0</v>
      </c>
      <c r="J42" s="470">
        <v>0</v>
      </c>
      <c r="K42" s="424">
        <v>5</v>
      </c>
      <c r="L42" s="343">
        <f t="shared" si="1"/>
        <v>5</v>
      </c>
    </row>
    <row r="43" spans="1:49" ht="14.95" customHeight="1" thickBot="1" x14ac:dyDescent="0.3">
      <c r="A43" s="345" t="s">
        <v>154</v>
      </c>
      <c r="B43" s="323">
        <v>3</v>
      </c>
      <c r="C43" s="324">
        <v>0</v>
      </c>
      <c r="D43" s="503">
        <v>0</v>
      </c>
      <c r="E43" s="381">
        <v>0</v>
      </c>
      <c r="F43" s="347">
        <f t="shared" si="0"/>
        <v>3</v>
      </c>
      <c r="G43" s="341" t="s">
        <v>154</v>
      </c>
      <c r="H43" s="92">
        <v>15</v>
      </c>
      <c r="I43" s="194">
        <v>0</v>
      </c>
      <c r="J43" s="470">
        <v>0</v>
      </c>
      <c r="K43" s="424">
        <v>0</v>
      </c>
      <c r="L43" s="343">
        <f t="shared" si="1"/>
        <v>15</v>
      </c>
      <c r="AL43" s="4"/>
      <c r="AM43" s="4"/>
      <c r="AN43" s="4"/>
      <c r="AO43" s="4"/>
      <c r="AP43" s="4"/>
    </row>
    <row r="44" spans="1:49" ht="14.95" customHeight="1" thickBot="1" x14ac:dyDescent="0.3">
      <c r="A44" s="345" t="s">
        <v>149</v>
      </c>
      <c r="B44" s="323">
        <v>4</v>
      </c>
      <c r="C44" s="324">
        <v>0</v>
      </c>
      <c r="D44" s="503">
        <v>2</v>
      </c>
      <c r="E44" s="381">
        <v>0</v>
      </c>
      <c r="F44" s="347">
        <f t="shared" si="0"/>
        <v>6</v>
      </c>
      <c r="G44" s="341" t="s">
        <v>149</v>
      </c>
      <c r="H44" s="92">
        <v>20</v>
      </c>
      <c r="I44" s="194">
        <v>0</v>
      </c>
      <c r="J44" s="470">
        <v>10</v>
      </c>
      <c r="K44" s="424">
        <v>0</v>
      </c>
      <c r="L44" s="343">
        <f t="shared" si="1"/>
        <v>30</v>
      </c>
    </row>
    <row r="45" spans="1:49" ht="14.95" thickBot="1" x14ac:dyDescent="0.3">
      <c r="A45" s="345" t="s">
        <v>175</v>
      </c>
      <c r="B45" s="323">
        <v>0</v>
      </c>
      <c r="C45" s="324">
        <v>0</v>
      </c>
      <c r="D45" s="503">
        <v>0</v>
      </c>
      <c r="E45" s="381">
        <v>0</v>
      </c>
      <c r="F45" s="347">
        <f t="shared" si="0"/>
        <v>0</v>
      </c>
      <c r="G45" s="341" t="s">
        <v>175</v>
      </c>
      <c r="H45" s="92">
        <v>0</v>
      </c>
      <c r="I45" s="194">
        <v>0</v>
      </c>
      <c r="J45" s="470">
        <v>0</v>
      </c>
      <c r="K45" s="424">
        <v>0</v>
      </c>
      <c r="L45" s="343">
        <f t="shared" si="1"/>
        <v>0</v>
      </c>
      <c r="AQ45" s="4"/>
    </row>
    <row r="46" spans="1:49" ht="14.95" thickBot="1" x14ac:dyDescent="0.3">
      <c r="A46" s="345" t="s">
        <v>861</v>
      </c>
      <c r="B46" s="323">
        <v>0</v>
      </c>
      <c r="C46" s="324">
        <v>0</v>
      </c>
      <c r="D46" s="503">
        <v>0</v>
      </c>
      <c r="E46" s="381">
        <v>0</v>
      </c>
      <c r="F46" s="347">
        <f t="shared" si="0"/>
        <v>0</v>
      </c>
      <c r="G46" s="341" t="s">
        <v>861</v>
      </c>
      <c r="H46" s="92">
        <v>0</v>
      </c>
      <c r="I46" s="194">
        <v>0</v>
      </c>
      <c r="J46" s="470">
        <v>0</v>
      </c>
      <c r="K46" s="424">
        <v>0</v>
      </c>
      <c r="L46" s="343">
        <f t="shared" si="1"/>
        <v>0</v>
      </c>
    </row>
    <row r="47" spans="1:49" ht="14.95" thickBot="1" x14ac:dyDescent="0.3">
      <c r="A47" s="345" t="s">
        <v>51</v>
      </c>
      <c r="B47" s="323">
        <v>0</v>
      </c>
      <c r="C47" s="324">
        <v>0</v>
      </c>
      <c r="D47" s="503">
        <v>0</v>
      </c>
      <c r="E47" s="381">
        <v>0</v>
      </c>
      <c r="F47" s="347">
        <f t="shared" si="0"/>
        <v>0</v>
      </c>
      <c r="G47" s="341" t="s">
        <v>51</v>
      </c>
      <c r="H47" s="92">
        <v>0</v>
      </c>
      <c r="I47" s="194">
        <v>0</v>
      </c>
      <c r="J47" s="470">
        <v>0</v>
      </c>
      <c r="K47" s="424">
        <v>0</v>
      </c>
      <c r="L47" s="343">
        <f t="shared" si="1"/>
        <v>0</v>
      </c>
    </row>
    <row r="48" spans="1:49" ht="14.95" thickBot="1" x14ac:dyDescent="0.3">
      <c r="A48" s="345" t="s">
        <v>7</v>
      </c>
      <c r="B48" s="323">
        <v>1</v>
      </c>
      <c r="C48" s="324">
        <v>0</v>
      </c>
      <c r="D48" s="503">
        <v>0</v>
      </c>
      <c r="E48" s="381">
        <v>0</v>
      </c>
      <c r="F48" s="347">
        <f t="shared" si="0"/>
        <v>1</v>
      </c>
      <c r="G48" s="340" t="s">
        <v>7</v>
      </c>
      <c r="H48" s="92">
        <v>5</v>
      </c>
      <c r="I48" s="194">
        <v>0</v>
      </c>
      <c r="J48" s="470">
        <v>0</v>
      </c>
      <c r="K48" s="424">
        <v>0</v>
      </c>
      <c r="L48" s="343">
        <f t="shared" si="1"/>
        <v>5</v>
      </c>
    </row>
    <row r="49" spans="1:12" ht="14.95" thickBot="1" x14ac:dyDescent="0.3">
      <c r="A49" s="345" t="s">
        <v>1052</v>
      </c>
      <c r="B49" s="323">
        <v>0</v>
      </c>
      <c r="C49" s="324">
        <v>0</v>
      </c>
      <c r="D49" s="503">
        <v>0</v>
      </c>
      <c r="E49" s="381">
        <v>1</v>
      </c>
      <c r="F49" s="347">
        <f t="shared" si="0"/>
        <v>1</v>
      </c>
      <c r="G49" s="340" t="s">
        <v>1052</v>
      </c>
      <c r="H49" s="92">
        <v>0</v>
      </c>
      <c r="I49" s="194">
        <v>0</v>
      </c>
      <c r="J49" s="470">
        <v>0</v>
      </c>
      <c r="K49" s="424">
        <v>12</v>
      </c>
      <c r="L49" s="343">
        <f t="shared" si="1"/>
        <v>12</v>
      </c>
    </row>
    <row r="50" spans="1:12" ht="14.95" thickBot="1" x14ac:dyDescent="0.3">
      <c r="A50" s="345" t="s">
        <v>261</v>
      </c>
      <c r="B50" s="323">
        <v>0</v>
      </c>
      <c r="C50" s="324">
        <v>0</v>
      </c>
      <c r="D50" s="503">
        <v>0</v>
      </c>
      <c r="E50" s="381">
        <v>0</v>
      </c>
      <c r="F50" s="347">
        <f t="shared" si="0"/>
        <v>0</v>
      </c>
      <c r="G50" s="340" t="s">
        <v>261</v>
      </c>
      <c r="H50" s="92">
        <v>0</v>
      </c>
      <c r="I50" s="194">
        <v>0</v>
      </c>
      <c r="J50" s="470">
        <v>0</v>
      </c>
      <c r="K50" s="424">
        <v>0</v>
      </c>
      <c r="L50" s="343">
        <f t="shared" si="1"/>
        <v>0</v>
      </c>
    </row>
    <row r="51" spans="1:12" ht="14.95" thickBot="1" x14ac:dyDescent="0.3">
      <c r="A51" s="345" t="s">
        <v>3</v>
      </c>
      <c r="B51" s="323">
        <f>SUM(B3:B50)</f>
        <v>57</v>
      </c>
      <c r="C51" s="324">
        <f>SUM(C3:C50)</f>
        <v>6</v>
      </c>
      <c r="D51" s="503">
        <f>SUM(D3:D50)</f>
        <v>3</v>
      </c>
      <c r="E51" s="381">
        <f>SUM(E3:E50)</f>
        <v>5</v>
      </c>
      <c r="F51" s="347">
        <f t="shared" si="0"/>
        <v>71</v>
      </c>
      <c r="G51" s="340" t="s">
        <v>3</v>
      </c>
      <c r="H51" s="92">
        <f>SUM(H3:H50)</f>
        <v>461</v>
      </c>
      <c r="I51" s="194">
        <f>SUM(I3:I50)</f>
        <v>48</v>
      </c>
      <c r="J51" s="470">
        <f>SUM(J3:J50)</f>
        <v>19</v>
      </c>
      <c r="K51" s="424">
        <f>SUM(K3:K50)</f>
        <v>36</v>
      </c>
      <c r="L51" s="343">
        <f t="shared" si="1"/>
        <v>564</v>
      </c>
    </row>
    <row r="52" spans="1:12" x14ac:dyDescent="0.25">
      <c r="B52" s="167"/>
      <c r="C52" s="111"/>
      <c r="D52" s="111"/>
      <c r="E52" s="111"/>
      <c r="F52" s="78"/>
      <c r="G52" s="39"/>
      <c r="H52" s="170"/>
      <c r="I52" s="112"/>
      <c r="J52" s="111"/>
      <c r="K52" s="111"/>
    </row>
    <row r="53" spans="1:12" ht="14.95" thickBot="1" x14ac:dyDescent="0.3">
      <c r="A53" t="s">
        <v>26</v>
      </c>
      <c r="B53" s="167"/>
      <c r="C53" s="111"/>
      <c r="D53" s="111"/>
      <c r="E53" s="111"/>
      <c r="F53" s="78"/>
      <c r="G53" s="37"/>
      <c r="H53" s="169"/>
      <c r="I53" s="113"/>
      <c r="J53" s="113"/>
      <c r="K53" s="113"/>
      <c r="L53" s="37"/>
    </row>
    <row r="54" spans="1:12" ht="14.95" thickBot="1" x14ac:dyDescent="0.3">
      <c r="A54" s="344" t="s">
        <v>0</v>
      </c>
      <c r="B54" s="321" t="s">
        <v>620</v>
      </c>
      <c r="C54" s="322" t="s">
        <v>63</v>
      </c>
      <c r="D54" s="502" t="s">
        <v>64</v>
      </c>
      <c r="E54" s="380" t="s">
        <v>925</v>
      </c>
      <c r="F54" s="346" t="s">
        <v>1</v>
      </c>
      <c r="G54" s="339" t="s">
        <v>2</v>
      </c>
      <c r="H54" s="138" t="s">
        <v>620</v>
      </c>
      <c r="I54" s="195" t="s">
        <v>63</v>
      </c>
      <c r="J54" s="469" t="s">
        <v>64</v>
      </c>
      <c r="K54" s="423" t="s">
        <v>925</v>
      </c>
      <c r="L54" s="342" t="s">
        <v>1</v>
      </c>
    </row>
    <row r="55" spans="1:12" ht="14.95" thickBot="1" x14ac:dyDescent="0.3">
      <c r="A55" s="345" t="s">
        <v>631</v>
      </c>
      <c r="B55" s="323">
        <v>10</v>
      </c>
      <c r="C55" s="324">
        <v>0</v>
      </c>
      <c r="D55" s="503">
        <v>0</v>
      </c>
      <c r="E55" s="381">
        <v>0</v>
      </c>
      <c r="F55" s="347">
        <f t="shared" ref="F55:F102" si="7">SUM(B55:E55)</f>
        <v>10</v>
      </c>
      <c r="G55" s="340" t="s">
        <v>793</v>
      </c>
      <c r="H55" s="92">
        <v>101</v>
      </c>
      <c r="I55" s="194">
        <v>12</v>
      </c>
      <c r="J55" s="470">
        <v>2</v>
      </c>
      <c r="K55" s="424">
        <v>4</v>
      </c>
      <c r="L55" s="343">
        <f t="shared" ref="L55:L102" si="8">SUM(H55:K55)</f>
        <v>119</v>
      </c>
    </row>
    <row r="56" spans="1:12" ht="14.95" thickBot="1" x14ac:dyDescent="0.3">
      <c r="A56" s="345" t="s">
        <v>257</v>
      </c>
      <c r="B56" s="323">
        <v>5</v>
      </c>
      <c r="C56" s="324">
        <v>0</v>
      </c>
      <c r="D56" s="503">
        <v>1</v>
      </c>
      <c r="E56" s="381">
        <v>0</v>
      </c>
      <c r="F56" s="347">
        <f t="shared" si="7"/>
        <v>6</v>
      </c>
      <c r="G56" s="340" t="s">
        <v>257</v>
      </c>
      <c r="H56" s="92">
        <v>43</v>
      </c>
      <c r="I56" s="194">
        <v>6</v>
      </c>
      <c r="J56" s="470">
        <v>7</v>
      </c>
      <c r="K56" s="424">
        <v>0</v>
      </c>
      <c r="L56" s="343">
        <f t="shared" si="8"/>
        <v>56</v>
      </c>
    </row>
    <row r="57" spans="1:12" ht="14.95" thickBot="1" x14ac:dyDescent="0.3">
      <c r="A57" s="345" t="s">
        <v>149</v>
      </c>
      <c r="B57" s="323">
        <v>4</v>
      </c>
      <c r="C57" s="324">
        <v>0</v>
      </c>
      <c r="D57" s="503">
        <v>2</v>
      </c>
      <c r="E57" s="381">
        <v>0</v>
      </c>
      <c r="F57" s="347">
        <f t="shared" si="7"/>
        <v>6</v>
      </c>
      <c r="G57" s="341" t="s">
        <v>855</v>
      </c>
      <c r="H57" s="92">
        <v>53</v>
      </c>
      <c r="I57" s="194">
        <v>0</v>
      </c>
      <c r="J57" s="470">
        <v>0</v>
      </c>
      <c r="K57" s="424">
        <v>0</v>
      </c>
      <c r="L57" s="343">
        <f t="shared" si="8"/>
        <v>53</v>
      </c>
    </row>
    <row r="58" spans="1:12" ht="14.95" thickBot="1" x14ac:dyDescent="0.3">
      <c r="A58" s="345" t="s">
        <v>145</v>
      </c>
      <c r="B58" s="323">
        <v>5</v>
      </c>
      <c r="C58" s="324">
        <v>0</v>
      </c>
      <c r="D58" s="503">
        <v>0</v>
      </c>
      <c r="E58" s="381">
        <v>0</v>
      </c>
      <c r="F58" s="347">
        <f t="shared" si="7"/>
        <v>5</v>
      </c>
      <c r="G58" s="341" t="s">
        <v>631</v>
      </c>
      <c r="H58" s="92">
        <v>50</v>
      </c>
      <c r="I58" s="194">
        <v>0</v>
      </c>
      <c r="J58" s="470">
        <v>0</v>
      </c>
      <c r="K58" s="424">
        <v>0</v>
      </c>
      <c r="L58" s="343">
        <f t="shared" si="8"/>
        <v>50</v>
      </c>
    </row>
    <row r="59" spans="1:12" ht="14.95" thickBot="1" x14ac:dyDescent="0.3">
      <c r="A59" s="345" t="s">
        <v>573</v>
      </c>
      <c r="B59" s="323">
        <v>5</v>
      </c>
      <c r="C59" s="324">
        <v>0</v>
      </c>
      <c r="D59" s="503">
        <v>0</v>
      </c>
      <c r="E59" s="381">
        <v>0</v>
      </c>
      <c r="F59" s="347">
        <f t="shared" si="7"/>
        <v>5</v>
      </c>
      <c r="G59" s="341" t="s">
        <v>149</v>
      </c>
      <c r="H59" s="92">
        <v>20</v>
      </c>
      <c r="I59" s="194">
        <v>0</v>
      </c>
      <c r="J59" s="470">
        <v>10</v>
      </c>
      <c r="K59" s="424">
        <v>0</v>
      </c>
      <c r="L59" s="343">
        <f t="shared" si="8"/>
        <v>30</v>
      </c>
    </row>
    <row r="60" spans="1:12" ht="14.95" thickBot="1" x14ac:dyDescent="0.3">
      <c r="A60" s="345" t="s">
        <v>19</v>
      </c>
      <c r="B60" s="323">
        <v>4</v>
      </c>
      <c r="C60" s="324">
        <v>0</v>
      </c>
      <c r="D60" s="503">
        <v>0</v>
      </c>
      <c r="E60" s="381">
        <v>0</v>
      </c>
      <c r="F60" s="347">
        <f t="shared" si="7"/>
        <v>4</v>
      </c>
      <c r="G60" s="341" t="s">
        <v>573</v>
      </c>
      <c r="H60" s="92">
        <v>29</v>
      </c>
      <c r="I60" s="194">
        <v>0</v>
      </c>
      <c r="J60" s="470">
        <v>0</v>
      </c>
      <c r="K60" s="424">
        <v>0</v>
      </c>
      <c r="L60" s="343">
        <f t="shared" si="8"/>
        <v>29</v>
      </c>
    </row>
    <row r="61" spans="1:12" ht="14.95" thickBot="1" x14ac:dyDescent="0.3">
      <c r="A61" s="345" t="s">
        <v>57</v>
      </c>
      <c r="B61" s="323">
        <v>2</v>
      </c>
      <c r="C61" s="324">
        <v>1</v>
      </c>
      <c r="D61" s="503">
        <v>0</v>
      </c>
      <c r="E61" s="381">
        <v>0</v>
      </c>
      <c r="F61" s="347">
        <f t="shared" si="7"/>
        <v>3</v>
      </c>
      <c r="G61" s="341" t="s">
        <v>145</v>
      </c>
      <c r="H61" s="92">
        <v>25</v>
      </c>
      <c r="I61" s="194">
        <v>0</v>
      </c>
      <c r="J61" s="470">
        <v>0</v>
      </c>
      <c r="K61" s="424">
        <v>0</v>
      </c>
      <c r="L61" s="343">
        <f t="shared" si="8"/>
        <v>25</v>
      </c>
    </row>
    <row r="62" spans="1:12" ht="14.95" thickBot="1" x14ac:dyDescent="0.3">
      <c r="A62" s="345" t="s">
        <v>1006</v>
      </c>
      <c r="B62" s="323">
        <v>3</v>
      </c>
      <c r="C62" s="324">
        <v>0</v>
      </c>
      <c r="D62" s="503">
        <v>0</v>
      </c>
      <c r="E62" s="381">
        <v>0</v>
      </c>
      <c r="F62" s="347">
        <f t="shared" si="7"/>
        <v>3</v>
      </c>
      <c r="G62" s="341" t="s">
        <v>19</v>
      </c>
      <c r="H62" s="92">
        <v>20</v>
      </c>
      <c r="I62" s="194">
        <v>0</v>
      </c>
      <c r="J62" s="470">
        <v>0</v>
      </c>
      <c r="K62" s="424">
        <v>0</v>
      </c>
      <c r="L62" s="343">
        <f t="shared" si="8"/>
        <v>20</v>
      </c>
    </row>
    <row r="63" spans="1:12" ht="14.95" thickBot="1" x14ac:dyDescent="0.3">
      <c r="A63" s="345" t="s">
        <v>154</v>
      </c>
      <c r="B63" s="323">
        <v>3</v>
      </c>
      <c r="C63" s="324">
        <v>0</v>
      </c>
      <c r="D63" s="503">
        <v>0</v>
      </c>
      <c r="E63" s="381">
        <v>0</v>
      </c>
      <c r="F63" s="347">
        <f t="shared" si="7"/>
        <v>3</v>
      </c>
      <c r="G63" s="341" t="s">
        <v>57</v>
      </c>
      <c r="H63" s="92">
        <v>10</v>
      </c>
      <c r="I63" s="194">
        <v>5</v>
      </c>
      <c r="J63" s="470">
        <v>0</v>
      </c>
      <c r="K63" s="424">
        <v>0</v>
      </c>
      <c r="L63" s="343">
        <f t="shared" si="8"/>
        <v>15</v>
      </c>
    </row>
    <row r="64" spans="1:12" ht="14.95" thickBot="1" x14ac:dyDescent="0.3">
      <c r="A64" s="345" t="s">
        <v>174</v>
      </c>
      <c r="B64" s="323">
        <v>2</v>
      </c>
      <c r="C64" s="324">
        <v>0</v>
      </c>
      <c r="D64" s="503">
        <v>0</v>
      </c>
      <c r="E64" s="381">
        <v>0</v>
      </c>
      <c r="F64" s="347">
        <f t="shared" si="7"/>
        <v>2</v>
      </c>
      <c r="G64" s="341" t="s">
        <v>1006</v>
      </c>
      <c r="H64" s="92">
        <v>15</v>
      </c>
      <c r="I64" s="194">
        <v>0</v>
      </c>
      <c r="J64" s="470">
        <v>0</v>
      </c>
      <c r="K64" s="424">
        <v>0</v>
      </c>
      <c r="L64" s="343">
        <f t="shared" si="8"/>
        <v>15</v>
      </c>
    </row>
    <row r="65" spans="1:12" ht="14.95" thickBot="1" x14ac:dyDescent="0.3">
      <c r="A65" s="345" t="s">
        <v>572</v>
      </c>
      <c r="B65" s="323">
        <v>2</v>
      </c>
      <c r="C65" s="324">
        <v>0</v>
      </c>
      <c r="D65" s="503">
        <v>0</v>
      </c>
      <c r="E65" s="381">
        <v>0</v>
      </c>
      <c r="F65" s="347">
        <f t="shared" si="7"/>
        <v>2</v>
      </c>
      <c r="G65" s="341" t="s">
        <v>154</v>
      </c>
      <c r="H65" s="92">
        <v>15</v>
      </c>
      <c r="I65" s="194">
        <v>0</v>
      </c>
      <c r="J65" s="470">
        <v>0</v>
      </c>
      <c r="K65" s="424">
        <v>0</v>
      </c>
      <c r="L65" s="343">
        <f t="shared" si="8"/>
        <v>15</v>
      </c>
    </row>
    <row r="66" spans="1:12" ht="14.95" thickBot="1" x14ac:dyDescent="0.3">
      <c r="A66" s="345" t="s">
        <v>133</v>
      </c>
      <c r="B66" s="323">
        <v>2</v>
      </c>
      <c r="C66" s="324">
        <v>0</v>
      </c>
      <c r="D66" s="503">
        <v>0</v>
      </c>
      <c r="E66" s="381">
        <v>0</v>
      </c>
      <c r="F66" s="347">
        <f t="shared" si="7"/>
        <v>2</v>
      </c>
      <c r="G66" s="341" t="s">
        <v>1052</v>
      </c>
      <c r="H66" s="92">
        <v>0</v>
      </c>
      <c r="I66" s="194">
        <v>0</v>
      </c>
      <c r="J66" s="470">
        <v>0</v>
      </c>
      <c r="K66" s="424">
        <v>12</v>
      </c>
      <c r="L66" s="343">
        <f t="shared" si="8"/>
        <v>12</v>
      </c>
    </row>
    <row r="67" spans="1:12" ht="14.95" thickBot="1" x14ac:dyDescent="0.3">
      <c r="A67" s="345" t="s">
        <v>1148</v>
      </c>
      <c r="B67" s="323">
        <v>1</v>
      </c>
      <c r="C67" s="324">
        <v>0</v>
      </c>
      <c r="D67" s="503">
        <v>0</v>
      </c>
      <c r="E67" s="381">
        <v>1</v>
      </c>
      <c r="F67" s="347">
        <f t="shared" si="7"/>
        <v>2</v>
      </c>
      <c r="G67" s="341" t="s">
        <v>174</v>
      </c>
      <c r="H67" s="92">
        <v>10</v>
      </c>
      <c r="I67" s="194">
        <v>0</v>
      </c>
      <c r="J67" s="470">
        <v>0</v>
      </c>
      <c r="K67" s="424">
        <v>0</v>
      </c>
      <c r="L67" s="343">
        <f t="shared" si="8"/>
        <v>10</v>
      </c>
    </row>
    <row r="68" spans="1:12" ht="14.95" thickBot="1" x14ac:dyDescent="0.3">
      <c r="A68" s="345" t="s">
        <v>33</v>
      </c>
      <c r="B68" s="323">
        <v>0</v>
      </c>
      <c r="C68" s="324">
        <v>1</v>
      </c>
      <c r="D68" s="503">
        <v>0</v>
      </c>
      <c r="E68" s="381">
        <v>1</v>
      </c>
      <c r="F68" s="347">
        <f t="shared" si="7"/>
        <v>2</v>
      </c>
      <c r="G68" s="341" t="s">
        <v>572</v>
      </c>
      <c r="H68" s="92">
        <v>10</v>
      </c>
      <c r="I68" s="194">
        <v>0</v>
      </c>
      <c r="J68" s="470">
        <v>0</v>
      </c>
      <c r="K68" s="424">
        <v>0</v>
      </c>
      <c r="L68" s="343">
        <f t="shared" si="8"/>
        <v>10</v>
      </c>
    </row>
    <row r="69" spans="1:12" ht="14.95" thickBot="1" x14ac:dyDescent="0.3">
      <c r="A69" s="345" t="s">
        <v>65</v>
      </c>
      <c r="B69" s="323">
        <v>1</v>
      </c>
      <c r="C69" s="324">
        <v>0</v>
      </c>
      <c r="D69" s="503">
        <v>0</v>
      </c>
      <c r="E69" s="381">
        <v>0</v>
      </c>
      <c r="F69" s="347">
        <f t="shared" si="7"/>
        <v>1</v>
      </c>
      <c r="G69" s="341" t="s">
        <v>133</v>
      </c>
      <c r="H69" s="92">
        <v>10</v>
      </c>
      <c r="I69" s="194">
        <v>0</v>
      </c>
      <c r="J69" s="470">
        <v>0</v>
      </c>
      <c r="K69" s="424">
        <v>0</v>
      </c>
      <c r="L69" s="343">
        <f t="shared" si="8"/>
        <v>10</v>
      </c>
    </row>
    <row r="70" spans="1:12" ht="14.95" thickBot="1" x14ac:dyDescent="0.3">
      <c r="A70" s="345" t="s">
        <v>802</v>
      </c>
      <c r="B70" s="323">
        <v>0</v>
      </c>
      <c r="C70" s="324">
        <v>1</v>
      </c>
      <c r="D70" s="503">
        <v>0</v>
      </c>
      <c r="E70" s="381">
        <v>0</v>
      </c>
      <c r="F70" s="347">
        <f t="shared" si="7"/>
        <v>1</v>
      </c>
      <c r="G70" s="341" t="s">
        <v>1148</v>
      </c>
      <c r="H70" s="92">
        <v>5</v>
      </c>
      <c r="I70" s="194">
        <v>0</v>
      </c>
      <c r="J70" s="470">
        <v>0</v>
      </c>
      <c r="K70" s="424">
        <v>5</v>
      </c>
      <c r="L70" s="343">
        <f t="shared" si="8"/>
        <v>10</v>
      </c>
    </row>
    <row r="71" spans="1:12" ht="14.95" thickBot="1" x14ac:dyDescent="0.3">
      <c r="A71" s="345" t="s">
        <v>62</v>
      </c>
      <c r="B71" s="323">
        <v>1</v>
      </c>
      <c r="C71" s="324">
        <v>0</v>
      </c>
      <c r="D71" s="503">
        <v>0</v>
      </c>
      <c r="E71" s="381">
        <v>0</v>
      </c>
      <c r="F71" s="347">
        <f t="shared" si="7"/>
        <v>1</v>
      </c>
      <c r="G71" s="340" t="s">
        <v>33</v>
      </c>
      <c r="H71" s="92">
        <v>0</v>
      </c>
      <c r="I71" s="194">
        <v>5</v>
      </c>
      <c r="J71" s="470">
        <v>0</v>
      </c>
      <c r="K71" s="424">
        <v>5</v>
      </c>
      <c r="L71" s="343">
        <f t="shared" si="8"/>
        <v>10</v>
      </c>
    </row>
    <row r="72" spans="1:12" ht="14.95" thickBot="1" x14ac:dyDescent="0.3">
      <c r="A72" s="345" t="s">
        <v>626</v>
      </c>
      <c r="B72" s="323">
        <v>1</v>
      </c>
      <c r="C72" s="324">
        <v>0</v>
      </c>
      <c r="D72" s="503">
        <v>0</v>
      </c>
      <c r="E72" s="381">
        <v>0</v>
      </c>
      <c r="F72" s="347">
        <f t="shared" si="7"/>
        <v>1</v>
      </c>
      <c r="G72" s="340" t="s">
        <v>65</v>
      </c>
      <c r="H72" s="92">
        <v>5</v>
      </c>
      <c r="I72" s="194">
        <v>0</v>
      </c>
      <c r="J72" s="470">
        <v>0</v>
      </c>
      <c r="K72" s="424">
        <v>0</v>
      </c>
      <c r="L72" s="343">
        <f t="shared" si="8"/>
        <v>5</v>
      </c>
    </row>
    <row r="73" spans="1:12" ht="14.95" thickBot="1" x14ac:dyDescent="0.3">
      <c r="A73" s="345" t="s">
        <v>727</v>
      </c>
      <c r="B73" s="323">
        <v>0</v>
      </c>
      <c r="C73" s="324">
        <v>0</v>
      </c>
      <c r="D73" s="503">
        <v>0</v>
      </c>
      <c r="E73" s="381">
        <v>1</v>
      </c>
      <c r="F73" s="347">
        <f t="shared" si="7"/>
        <v>1</v>
      </c>
      <c r="G73" s="340" t="s">
        <v>802</v>
      </c>
      <c r="H73" s="92">
        <v>0</v>
      </c>
      <c r="I73" s="194">
        <v>5</v>
      </c>
      <c r="J73" s="470">
        <v>0</v>
      </c>
      <c r="K73" s="424">
        <v>0</v>
      </c>
      <c r="L73" s="343">
        <f t="shared" si="8"/>
        <v>5</v>
      </c>
    </row>
    <row r="74" spans="1:12" ht="14.95" thickBot="1" x14ac:dyDescent="0.3">
      <c r="A74" s="345" t="s">
        <v>516</v>
      </c>
      <c r="B74" s="323">
        <v>0</v>
      </c>
      <c r="C74" s="324">
        <v>1</v>
      </c>
      <c r="D74" s="503">
        <v>0</v>
      </c>
      <c r="E74" s="381">
        <v>0</v>
      </c>
      <c r="F74" s="347">
        <f t="shared" si="7"/>
        <v>1</v>
      </c>
      <c r="G74" s="341" t="s">
        <v>62</v>
      </c>
      <c r="H74" s="92">
        <v>5</v>
      </c>
      <c r="I74" s="194">
        <v>0</v>
      </c>
      <c r="J74" s="470">
        <v>0</v>
      </c>
      <c r="K74" s="424">
        <v>0</v>
      </c>
      <c r="L74" s="343">
        <f t="shared" si="8"/>
        <v>5</v>
      </c>
    </row>
    <row r="75" spans="1:12" ht="14.95" thickBot="1" x14ac:dyDescent="0.3">
      <c r="A75" s="345" t="s">
        <v>1123</v>
      </c>
      <c r="B75" s="323">
        <v>0</v>
      </c>
      <c r="C75" s="324">
        <v>1</v>
      </c>
      <c r="D75" s="503">
        <v>0</v>
      </c>
      <c r="E75" s="381">
        <v>0</v>
      </c>
      <c r="F75" s="347">
        <f t="shared" si="7"/>
        <v>1</v>
      </c>
      <c r="G75" s="341" t="s">
        <v>626</v>
      </c>
      <c r="H75" s="92">
        <v>5</v>
      </c>
      <c r="I75" s="194">
        <v>0</v>
      </c>
      <c r="J75" s="470">
        <v>0</v>
      </c>
      <c r="K75" s="424">
        <v>0</v>
      </c>
      <c r="L75" s="343">
        <f t="shared" si="8"/>
        <v>5</v>
      </c>
    </row>
    <row r="76" spans="1:12" ht="14.95" thickBot="1" x14ac:dyDescent="0.3">
      <c r="A76" s="345" t="s">
        <v>10</v>
      </c>
      <c r="B76" s="323">
        <v>1</v>
      </c>
      <c r="C76" s="324">
        <v>0</v>
      </c>
      <c r="D76" s="503">
        <v>0</v>
      </c>
      <c r="E76" s="381">
        <v>0</v>
      </c>
      <c r="F76" s="347">
        <f t="shared" si="7"/>
        <v>1</v>
      </c>
      <c r="G76" s="341" t="s">
        <v>727</v>
      </c>
      <c r="H76" s="92">
        <v>0</v>
      </c>
      <c r="I76" s="194">
        <v>0</v>
      </c>
      <c r="J76" s="470">
        <v>0</v>
      </c>
      <c r="K76" s="424">
        <v>5</v>
      </c>
      <c r="L76" s="343">
        <f t="shared" si="8"/>
        <v>5</v>
      </c>
    </row>
    <row r="77" spans="1:12" ht="14.95" thickBot="1" x14ac:dyDescent="0.3">
      <c r="A77" s="345" t="s">
        <v>213</v>
      </c>
      <c r="B77" s="323">
        <v>0</v>
      </c>
      <c r="C77" s="324">
        <v>1</v>
      </c>
      <c r="D77" s="503">
        <v>0</v>
      </c>
      <c r="E77" s="381">
        <v>0</v>
      </c>
      <c r="F77" s="347">
        <f t="shared" si="7"/>
        <v>1</v>
      </c>
      <c r="G77" s="341" t="s">
        <v>516</v>
      </c>
      <c r="H77" s="92">
        <v>0</v>
      </c>
      <c r="I77" s="194">
        <v>5</v>
      </c>
      <c r="J77" s="470">
        <v>0</v>
      </c>
      <c r="K77" s="424">
        <v>0</v>
      </c>
      <c r="L77" s="343">
        <f t="shared" si="8"/>
        <v>5</v>
      </c>
    </row>
    <row r="78" spans="1:12" ht="14.95" thickBot="1" x14ac:dyDescent="0.3">
      <c r="A78" s="345" t="s">
        <v>559</v>
      </c>
      <c r="B78" s="323">
        <v>1</v>
      </c>
      <c r="C78" s="324">
        <v>0</v>
      </c>
      <c r="D78" s="503">
        <v>0</v>
      </c>
      <c r="E78" s="381">
        <v>0</v>
      </c>
      <c r="F78" s="347">
        <f t="shared" si="7"/>
        <v>1</v>
      </c>
      <c r="G78" s="341" t="s">
        <v>1123</v>
      </c>
      <c r="H78" s="92">
        <v>0</v>
      </c>
      <c r="I78" s="194">
        <v>5</v>
      </c>
      <c r="J78" s="470">
        <v>0</v>
      </c>
      <c r="K78" s="424">
        <v>0</v>
      </c>
      <c r="L78" s="343">
        <f t="shared" si="8"/>
        <v>5</v>
      </c>
    </row>
    <row r="79" spans="1:12" ht="14.95" thickBot="1" x14ac:dyDescent="0.3">
      <c r="A79" s="345" t="s">
        <v>482</v>
      </c>
      <c r="B79" s="323">
        <v>1</v>
      </c>
      <c r="C79" s="324">
        <v>0</v>
      </c>
      <c r="D79" s="503">
        <v>0</v>
      </c>
      <c r="E79" s="381">
        <v>0</v>
      </c>
      <c r="F79" s="347">
        <f t="shared" si="7"/>
        <v>1</v>
      </c>
      <c r="G79" s="341" t="s">
        <v>10</v>
      </c>
      <c r="H79" s="92">
        <v>5</v>
      </c>
      <c r="I79" s="194">
        <v>0</v>
      </c>
      <c r="J79" s="470">
        <v>0</v>
      </c>
      <c r="K79" s="424">
        <v>0</v>
      </c>
      <c r="L79" s="343">
        <f t="shared" si="8"/>
        <v>5</v>
      </c>
    </row>
    <row r="80" spans="1:12" ht="14.95" thickBot="1" x14ac:dyDescent="0.3">
      <c r="A80" s="345" t="s">
        <v>1160</v>
      </c>
      <c r="B80" s="323">
        <v>1</v>
      </c>
      <c r="C80" s="324">
        <v>0</v>
      </c>
      <c r="D80" s="503">
        <v>0</v>
      </c>
      <c r="E80" s="381">
        <v>0</v>
      </c>
      <c r="F80" s="347">
        <f t="shared" si="7"/>
        <v>1</v>
      </c>
      <c r="G80" s="341" t="s">
        <v>213</v>
      </c>
      <c r="H80" s="92">
        <v>0</v>
      </c>
      <c r="I80" s="194">
        <v>5</v>
      </c>
      <c r="J80" s="470">
        <v>0</v>
      </c>
      <c r="K80" s="424">
        <v>0</v>
      </c>
      <c r="L80" s="343">
        <f t="shared" si="8"/>
        <v>5</v>
      </c>
    </row>
    <row r="81" spans="1:12" ht="14.95" thickBot="1" x14ac:dyDescent="0.3">
      <c r="A81" s="345" t="s">
        <v>633</v>
      </c>
      <c r="B81" s="323">
        <v>1</v>
      </c>
      <c r="C81" s="324">
        <v>0</v>
      </c>
      <c r="D81" s="503">
        <v>0</v>
      </c>
      <c r="E81" s="381">
        <v>0</v>
      </c>
      <c r="F81" s="347">
        <f t="shared" si="7"/>
        <v>1</v>
      </c>
      <c r="G81" s="341" t="s">
        <v>559</v>
      </c>
      <c r="H81" s="92">
        <v>5</v>
      </c>
      <c r="I81" s="194">
        <v>0</v>
      </c>
      <c r="J81" s="470">
        <v>0</v>
      </c>
      <c r="K81" s="424">
        <v>0</v>
      </c>
      <c r="L81" s="343">
        <f t="shared" si="8"/>
        <v>5</v>
      </c>
    </row>
    <row r="82" spans="1:12" ht="14.95" thickBot="1" x14ac:dyDescent="0.3">
      <c r="A82" s="345" t="s">
        <v>1218</v>
      </c>
      <c r="B82" s="323">
        <v>0</v>
      </c>
      <c r="C82" s="324">
        <v>0</v>
      </c>
      <c r="D82" s="503">
        <v>0</v>
      </c>
      <c r="E82" s="381">
        <v>1</v>
      </c>
      <c r="F82" s="347">
        <f t="shared" si="7"/>
        <v>1</v>
      </c>
      <c r="G82" s="341" t="s">
        <v>482</v>
      </c>
      <c r="H82" s="92">
        <v>5</v>
      </c>
      <c r="I82" s="194">
        <v>0</v>
      </c>
      <c r="J82" s="470">
        <v>0</v>
      </c>
      <c r="K82" s="424">
        <v>0</v>
      </c>
      <c r="L82" s="343">
        <f t="shared" si="8"/>
        <v>5</v>
      </c>
    </row>
    <row r="83" spans="1:12" ht="14.95" thickBot="1" x14ac:dyDescent="0.3">
      <c r="A83" s="345" t="s">
        <v>7</v>
      </c>
      <c r="B83" s="323">
        <v>1</v>
      </c>
      <c r="C83" s="324">
        <v>0</v>
      </c>
      <c r="D83" s="503">
        <v>0</v>
      </c>
      <c r="E83" s="381">
        <v>0</v>
      </c>
      <c r="F83" s="347">
        <f t="shared" si="7"/>
        <v>1</v>
      </c>
      <c r="G83" s="341" t="s">
        <v>1160</v>
      </c>
      <c r="H83" s="92">
        <v>5</v>
      </c>
      <c r="I83" s="194">
        <v>0</v>
      </c>
      <c r="J83" s="470">
        <v>0</v>
      </c>
      <c r="K83" s="424">
        <v>0</v>
      </c>
      <c r="L83" s="343">
        <f t="shared" si="8"/>
        <v>5</v>
      </c>
    </row>
    <row r="84" spans="1:12" ht="14.95" thickBot="1" x14ac:dyDescent="0.3">
      <c r="A84" s="345" t="s">
        <v>1052</v>
      </c>
      <c r="B84" s="323">
        <v>0</v>
      </c>
      <c r="C84" s="324">
        <v>0</v>
      </c>
      <c r="D84" s="503">
        <v>0</v>
      </c>
      <c r="E84" s="381">
        <v>1</v>
      </c>
      <c r="F84" s="347">
        <f t="shared" si="7"/>
        <v>1</v>
      </c>
      <c r="G84" s="341" t="s">
        <v>633</v>
      </c>
      <c r="H84" s="92">
        <v>5</v>
      </c>
      <c r="I84" s="194">
        <v>0</v>
      </c>
      <c r="J84" s="470">
        <v>0</v>
      </c>
      <c r="K84" s="424">
        <v>0</v>
      </c>
      <c r="L84" s="343">
        <f t="shared" si="8"/>
        <v>5</v>
      </c>
    </row>
    <row r="85" spans="1:12" ht="14.95" thickBot="1" x14ac:dyDescent="0.3">
      <c r="A85" s="345" t="s">
        <v>87</v>
      </c>
      <c r="B85" s="323">
        <v>0</v>
      </c>
      <c r="C85" s="324">
        <v>0</v>
      </c>
      <c r="D85" s="503">
        <v>0</v>
      </c>
      <c r="E85" s="381">
        <v>0</v>
      </c>
      <c r="F85" s="347">
        <f t="shared" si="7"/>
        <v>0</v>
      </c>
      <c r="G85" s="341" t="s">
        <v>1218</v>
      </c>
      <c r="H85" s="92">
        <v>0</v>
      </c>
      <c r="I85" s="194">
        <v>0</v>
      </c>
      <c r="J85" s="470">
        <v>0</v>
      </c>
      <c r="K85" s="424">
        <v>5</v>
      </c>
      <c r="L85" s="343">
        <f t="shared" si="8"/>
        <v>5</v>
      </c>
    </row>
    <row r="86" spans="1:12" ht="14.95" thickBot="1" x14ac:dyDescent="0.3">
      <c r="A86" s="345" t="s">
        <v>793</v>
      </c>
      <c r="B86" s="323">
        <v>0</v>
      </c>
      <c r="C86" s="324">
        <v>0</v>
      </c>
      <c r="D86" s="503">
        <v>0</v>
      </c>
      <c r="E86" s="381">
        <v>0</v>
      </c>
      <c r="F86" s="347">
        <f t="shared" si="7"/>
        <v>0</v>
      </c>
      <c r="G86" s="341" t="s">
        <v>7</v>
      </c>
      <c r="H86" s="92">
        <v>5</v>
      </c>
      <c r="I86" s="194">
        <v>0</v>
      </c>
      <c r="J86" s="470">
        <v>0</v>
      </c>
      <c r="K86" s="424">
        <v>0</v>
      </c>
      <c r="L86" s="343">
        <f t="shared" si="8"/>
        <v>5</v>
      </c>
    </row>
    <row r="87" spans="1:12" ht="14.95" thickBot="1" x14ac:dyDescent="0.3">
      <c r="A87" s="345" t="s">
        <v>853</v>
      </c>
      <c r="B87" s="323">
        <v>0</v>
      </c>
      <c r="C87" s="324">
        <v>0</v>
      </c>
      <c r="D87" s="503">
        <v>0</v>
      </c>
      <c r="E87" s="381">
        <v>0</v>
      </c>
      <c r="F87" s="347">
        <f t="shared" si="7"/>
        <v>0</v>
      </c>
      <c r="G87" s="341" t="s">
        <v>87</v>
      </c>
      <c r="H87" s="92">
        <v>0</v>
      </c>
      <c r="I87" s="194">
        <v>0</v>
      </c>
      <c r="J87" s="470">
        <v>0</v>
      </c>
      <c r="K87" s="424">
        <v>0</v>
      </c>
      <c r="L87" s="343">
        <f t="shared" si="8"/>
        <v>0</v>
      </c>
    </row>
    <row r="88" spans="1:12" ht="14.95" thickBot="1" x14ac:dyDescent="0.3">
      <c r="A88" s="345" t="s">
        <v>855</v>
      </c>
      <c r="B88" s="323">
        <v>0</v>
      </c>
      <c r="C88" s="324">
        <v>0</v>
      </c>
      <c r="D88" s="503">
        <v>0</v>
      </c>
      <c r="E88" s="381">
        <v>0</v>
      </c>
      <c r="F88" s="347">
        <f t="shared" si="7"/>
        <v>0</v>
      </c>
      <c r="G88" s="341" t="s">
        <v>853</v>
      </c>
      <c r="H88" s="92">
        <v>0</v>
      </c>
      <c r="I88" s="194">
        <v>0</v>
      </c>
      <c r="J88" s="470">
        <v>0</v>
      </c>
      <c r="K88" s="424">
        <v>0</v>
      </c>
      <c r="L88" s="343">
        <f t="shared" si="8"/>
        <v>0</v>
      </c>
    </row>
    <row r="89" spans="1:12" ht="14.95" thickBot="1" x14ac:dyDescent="0.3">
      <c r="A89" s="345" t="s">
        <v>857</v>
      </c>
      <c r="B89" s="323">
        <v>0</v>
      </c>
      <c r="C89" s="324">
        <v>0</v>
      </c>
      <c r="D89" s="503">
        <v>0</v>
      </c>
      <c r="E89" s="381">
        <v>0</v>
      </c>
      <c r="F89" s="347">
        <f t="shared" si="7"/>
        <v>0</v>
      </c>
      <c r="G89" s="341" t="s">
        <v>857</v>
      </c>
      <c r="H89" s="92">
        <v>0</v>
      </c>
      <c r="I89" s="194">
        <v>0</v>
      </c>
      <c r="J89" s="470">
        <v>0</v>
      </c>
      <c r="K89" s="424">
        <v>0</v>
      </c>
      <c r="L89" s="343">
        <f t="shared" si="8"/>
        <v>0</v>
      </c>
    </row>
    <row r="90" spans="1:12" ht="14.95" thickBot="1" x14ac:dyDescent="0.3">
      <c r="A90" s="345" t="s">
        <v>859</v>
      </c>
      <c r="B90" s="323">
        <v>0</v>
      </c>
      <c r="C90" s="324">
        <v>0</v>
      </c>
      <c r="D90" s="503">
        <v>0</v>
      </c>
      <c r="E90" s="381">
        <v>0</v>
      </c>
      <c r="F90" s="347">
        <f t="shared" si="7"/>
        <v>0</v>
      </c>
      <c r="G90" s="341" t="s">
        <v>859</v>
      </c>
      <c r="H90" s="92">
        <v>0</v>
      </c>
      <c r="I90" s="194">
        <v>0</v>
      </c>
      <c r="J90" s="470">
        <v>0</v>
      </c>
      <c r="K90" s="424">
        <v>0</v>
      </c>
      <c r="L90" s="343">
        <f t="shared" si="8"/>
        <v>0</v>
      </c>
    </row>
    <row r="91" spans="1:12" ht="14.95" thickBot="1" x14ac:dyDescent="0.3">
      <c r="A91" s="345" t="s">
        <v>624</v>
      </c>
      <c r="B91" s="323">
        <v>0</v>
      </c>
      <c r="C91" s="324">
        <v>0</v>
      </c>
      <c r="D91" s="503">
        <v>0</v>
      </c>
      <c r="E91" s="381">
        <v>0</v>
      </c>
      <c r="F91" s="347">
        <f t="shared" si="7"/>
        <v>0</v>
      </c>
      <c r="G91" s="341" t="s">
        <v>624</v>
      </c>
      <c r="H91" s="92">
        <v>0</v>
      </c>
      <c r="I91" s="194">
        <v>0</v>
      </c>
      <c r="J91" s="470">
        <v>0</v>
      </c>
      <c r="K91" s="424">
        <v>0</v>
      </c>
      <c r="L91" s="343">
        <f t="shared" si="8"/>
        <v>0</v>
      </c>
    </row>
    <row r="92" spans="1:12" ht="14.95" thickBot="1" x14ac:dyDescent="0.3">
      <c r="A92" s="345" t="s">
        <v>84</v>
      </c>
      <c r="B92" s="323">
        <v>0</v>
      </c>
      <c r="C92" s="324">
        <v>0</v>
      </c>
      <c r="D92" s="503">
        <v>0</v>
      </c>
      <c r="E92" s="381">
        <v>0</v>
      </c>
      <c r="F92" s="347">
        <f t="shared" si="7"/>
        <v>0</v>
      </c>
      <c r="G92" s="341" t="s">
        <v>84</v>
      </c>
      <c r="H92" s="92">
        <v>0</v>
      </c>
      <c r="I92" s="194">
        <v>0</v>
      </c>
      <c r="J92" s="470">
        <v>0</v>
      </c>
      <c r="K92" s="424">
        <v>0</v>
      </c>
      <c r="L92" s="343">
        <f t="shared" si="8"/>
        <v>0</v>
      </c>
    </row>
    <row r="93" spans="1:12" ht="14.95" thickBot="1" x14ac:dyDescent="0.3">
      <c r="A93" s="345" t="s">
        <v>628</v>
      </c>
      <c r="B93" s="323">
        <v>0</v>
      </c>
      <c r="C93" s="324">
        <v>0</v>
      </c>
      <c r="D93" s="503">
        <v>0</v>
      </c>
      <c r="E93" s="381">
        <v>0</v>
      </c>
      <c r="F93" s="347">
        <f t="shared" si="7"/>
        <v>0</v>
      </c>
      <c r="G93" s="341" t="s">
        <v>628</v>
      </c>
      <c r="H93" s="92">
        <v>0</v>
      </c>
      <c r="I93" s="194">
        <v>0</v>
      </c>
      <c r="J93" s="470">
        <v>0</v>
      </c>
      <c r="K93" s="424">
        <v>0</v>
      </c>
      <c r="L93" s="343">
        <f t="shared" si="8"/>
        <v>0</v>
      </c>
    </row>
    <row r="94" spans="1:12" ht="14.95" thickBot="1" x14ac:dyDescent="0.3">
      <c r="A94" s="345" t="s">
        <v>148</v>
      </c>
      <c r="B94" s="323">
        <v>0</v>
      </c>
      <c r="C94" s="324">
        <v>0</v>
      </c>
      <c r="D94" s="503">
        <v>0</v>
      </c>
      <c r="E94" s="381">
        <v>0</v>
      </c>
      <c r="F94" s="347">
        <f t="shared" si="7"/>
        <v>0</v>
      </c>
      <c r="G94" s="341" t="s">
        <v>148</v>
      </c>
      <c r="H94" s="92">
        <v>0</v>
      </c>
      <c r="I94" s="194">
        <v>0</v>
      </c>
      <c r="J94" s="470">
        <v>0</v>
      </c>
      <c r="K94" s="424">
        <v>0</v>
      </c>
      <c r="L94" s="343">
        <f t="shared" si="8"/>
        <v>0</v>
      </c>
    </row>
    <row r="95" spans="1:12" ht="14.95" thickBot="1" x14ac:dyDescent="0.3">
      <c r="A95" s="345" t="s">
        <v>6</v>
      </c>
      <c r="B95" s="323">
        <v>0</v>
      </c>
      <c r="C95" s="324">
        <v>0</v>
      </c>
      <c r="D95" s="503">
        <v>0</v>
      </c>
      <c r="E95" s="381">
        <v>0</v>
      </c>
      <c r="F95" s="347">
        <f t="shared" si="7"/>
        <v>0</v>
      </c>
      <c r="G95" s="341" t="s">
        <v>6</v>
      </c>
      <c r="H95" s="92">
        <v>0</v>
      </c>
      <c r="I95" s="194">
        <v>0</v>
      </c>
      <c r="J95" s="470">
        <v>0</v>
      </c>
      <c r="K95" s="424">
        <v>0</v>
      </c>
      <c r="L95" s="343">
        <f t="shared" si="8"/>
        <v>0</v>
      </c>
    </row>
    <row r="96" spans="1:12" ht="14.95" customHeight="1" thickBot="1" x14ac:dyDescent="0.3">
      <c r="A96" s="345" t="s">
        <v>173</v>
      </c>
      <c r="B96" s="323">
        <v>0</v>
      </c>
      <c r="C96" s="324">
        <v>0</v>
      </c>
      <c r="D96" s="503">
        <v>0</v>
      </c>
      <c r="E96" s="381">
        <v>0</v>
      </c>
      <c r="F96" s="347">
        <f t="shared" si="7"/>
        <v>0</v>
      </c>
      <c r="G96" s="341" t="s">
        <v>173</v>
      </c>
      <c r="H96" s="92">
        <v>0</v>
      </c>
      <c r="I96" s="194">
        <v>0</v>
      </c>
      <c r="J96" s="470">
        <v>0</v>
      </c>
      <c r="K96" s="424">
        <v>0</v>
      </c>
      <c r="L96" s="343">
        <f t="shared" si="8"/>
        <v>0</v>
      </c>
    </row>
    <row r="97" spans="1:12" ht="14.95" thickBot="1" x14ac:dyDescent="0.3">
      <c r="A97" s="345" t="s">
        <v>767</v>
      </c>
      <c r="B97" s="323">
        <v>0</v>
      </c>
      <c r="C97" s="324">
        <v>0</v>
      </c>
      <c r="D97" s="503">
        <v>0</v>
      </c>
      <c r="E97" s="381">
        <v>0</v>
      </c>
      <c r="F97" s="347">
        <f t="shared" si="7"/>
        <v>0</v>
      </c>
      <c r="G97" s="341" t="s">
        <v>767</v>
      </c>
      <c r="H97" s="92">
        <v>0</v>
      </c>
      <c r="I97" s="194">
        <v>0</v>
      </c>
      <c r="J97" s="470">
        <v>0</v>
      </c>
      <c r="K97" s="424">
        <v>0</v>
      </c>
      <c r="L97" s="343">
        <f t="shared" si="8"/>
        <v>0</v>
      </c>
    </row>
    <row r="98" spans="1:12" ht="14.95" thickBot="1" x14ac:dyDescent="0.3">
      <c r="A98" s="345" t="s">
        <v>236</v>
      </c>
      <c r="B98" s="323">
        <v>0</v>
      </c>
      <c r="C98" s="324">
        <v>0</v>
      </c>
      <c r="D98" s="503">
        <v>0</v>
      </c>
      <c r="E98" s="381">
        <v>0</v>
      </c>
      <c r="F98" s="347">
        <f t="shared" si="7"/>
        <v>0</v>
      </c>
      <c r="G98" s="341" t="s">
        <v>236</v>
      </c>
      <c r="H98" s="92">
        <v>0</v>
      </c>
      <c r="I98" s="194">
        <v>0</v>
      </c>
      <c r="J98" s="470">
        <v>0</v>
      </c>
      <c r="K98" s="424">
        <v>0</v>
      </c>
      <c r="L98" s="343">
        <f t="shared" si="8"/>
        <v>0</v>
      </c>
    </row>
    <row r="99" spans="1:12" ht="14.95" customHeight="1" thickBot="1" x14ac:dyDescent="0.3">
      <c r="A99" s="345" t="s">
        <v>175</v>
      </c>
      <c r="B99" s="323">
        <v>0</v>
      </c>
      <c r="C99" s="324">
        <v>0</v>
      </c>
      <c r="D99" s="503">
        <v>0</v>
      </c>
      <c r="E99" s="381">
        <v>0</v>
      </c>
      <c r="F99" s="347">
        <f t="shared" si="7"/>
        <v>0</v>
      </c>
      <c r="G99" s="341" t="s">
        <v>175</v>
      </c>
      <c r="H99" s="92">
        <v>0</v>
      </c>
      <c r="I99" s="194">
        <v>0</v>
      </c>
      <c r="J99" s="470">
        <v>0</v>
      </c>
      <c r="K99" s="424">
        <v>0</v>
      </c>
      <c r="L99" s="343">
        <f t="shared" si="8"/>
        <v>0</v>
      </c>
    </row>
    <row r="100" spans="1:12" ht="14.95" thickBot="1" x14ac:dyDescent="0.3">
      <c r="A100" s="345" t="s">
        <v>861</v>
      </c>
      <c r="B100" s="323">
        <v>0</v>
      </c>
      <c r="C100" s="324">
        <v>0</v>
      </c>
      <c r="D100" s="503">
        <v>0</v>
      </c>
      <c r="E100" s="381">
        <v>0</v>
      </c>
      <c r="F100" s="347">
        <f t="shared" si="7"/>
        <v>0</v>
      </c>
      <c r="G100" s="340" t="s">
        <v>861</v>
      </c>
      <c r="H100" s="92">
        <v>0</v>
      </c>
      <c r="I100" s="194">
        <v>0</v>
      </c>
      <c r="J100" s="470">
        <v>0</v>
      </c>
      <c r="K100" s="424">
        <v>0</v>
      </c>
      <c r="L100" s="343">
        <f t="shared" si="8"/>
        <v>0</v>
      </c>
    </row>
    <row r="101" spans="1:12" ht="14.95" customHeight="1" thickBot="1" x14ac:dyDescent="0.3">
      <c r="A101" s="345" t="s">
        <v>51</v>
      </c>
      <c r="B101" s="323">
        <v>0</v>
      </c>
      <c r="C101" s="324">
        <v>0</v>
      </c>
      <c r="D101" s="503">
        <v>0</v>
      </c>
      <c r="E101" s="381">
        <v>0</v>
      </c>
      <c r="F101" s="347">
        <f t="shared" si="7"/>
        <v>0</v>
      </c>
      <c r="G101" s="340" t="s">
        <v>51</v>
      </c>
      <c r="H101" s="92">
        <v>0</v>
      </c>
      <c r="I101" s="194">
        <v>0</v>
      </c>
      <c r="J101" s="470">
        <v>0</v>
      </c>
      <c r="K101" s="424">
        <v>0</v>
      </c>
      <c r="L101" s="343">
        <f t="shared" si="8"/>
        <v>0</v>
      </c>
    </row>
    <row r="102" spans="1:12" ht="14.95" thickBot="1" x14ac:dyDescent="0.3">
      <c r="A102" s="345" t="s">
        <v>261</v>
      </c>
      <c r="B102" s="323">
        <v>0</v>
      </c>
      <c r="C102" s="324">
        <v>0</v>
      </c>
      <c r="D102" s="503">
        <v>0</v>
      </c>
      <c r="E102" s="381">
        <v>0</v>
      </c>
      <c r="F102" s="347">
        <f t="shared" si="7"/>
        <v>0</v>
      </c>
      <c r="G102" s="340" t="s">
        <v>261</v>
      </c>
      <c r="H102" s="92">
        <v>0</v>
      </c>
      <c r="I102" s="194">
        <v>0</v>
      </c>
      <c r="J102" s="470">
        <v>0</v>
      </c>
      <c r="K102" s="424">
        <v>0</v>
      </c>
      <c r="L102" s="343">
        <f t="shared" si="8"/>
        <v>0</v>
      </c>
    </row>
    <row r="103" spans="1:12" ht="14.95" customHeight="1" thickBot="1" x14ac:dyDescent="0.3">
      <c r="A103" s="345" t="s">
        <v>3</v>
      </c>
      <c r="B103" s="323">
        <f>SUM(B55:B102)</f>
        <v>57</v>
      </c>
      <c r="C103" s="324">
        <f>SUM(C55:C102)</f>
        <v>6</v>
      </c>
      <c r="D103" s="503">
        <f>SUM(D55:D102)</f>
        <v>3</v>
      </c>
      <c r="E103" s="381">
        <f>SUM(E55:E102)</f>
        <v>5</v>
      </c>
      <c r="F103" s="347">
        <f t="shared" ref="F103" si="9">SUM(B103:E103)</f>
        <v>71</v>
      </c>
      <c r="G103" s="340" t="s">
        <v>3</v>
      </c>
      <c r="H103" s="92">
        <f>SUM(H55:H102)</f>
        <v>461</v>
      </c>
      <c r="I103" s="194">
        <f>SUM(I55:I102)</f>
        <v>48</v>
      </c>
      <c r="J103" s="470">
        <f>SUM(J55:J102)</f>
        <v>19</v>
      </c>
      <c r="K103" s="424">
        <f>SUM(K55:K102)</f>
        <v>36</v>
      </c>
      <c r="L103" s="343">
        <f t="shared" ref="L103" si="10">SUM(H103:K103)</f>
        <v>564</v>
      </c>
    </row>
    <row r="104" spans="1:12" x14ac:dyDescent="0.25">
      <c r="A104" s="532" t="s">
        <v>81</v>
      </c>
      <c r="B104" s="519"/>
      <c r="C104" s="519"/>
      <c r="D104" s="519"/>
      <c r="E104" s="519"/>
      <c r="F104" s="519"/>
      <c r="G104" s="519"/>
      <c r="H104" s="519"/>
    </row>
  </sheetData>
  <sortState xmlns:xlrd2="http://schemas.microsoft.com/office/spreadsheetml/2017/richdata2" ref="G55:L102">
    <sortCondition descending="1" ref="L55:L102"/>
  </sortState>
  <mergeCells count="47">
    <mergeCell ref="A104:H104"/>
    <mergeCell ref="W14:Y15"/>
    <mergeCell ref="AE14:AG15"/>
    <mergeCell ref="T14:V15"/>
    <mergeCell ref="A1:L1"/>
    <mergeCell ref="M29:M30"/>
    <mergeCell ref="M14:M15"/>
    <mergeCell ref="M1:M2"/>
    <mergeCell ref="N29:P30"/>
    <mergeCell ref="M22:M23"/>
    <mergeCell ref="N1:P2"/>
    <mergeCell ref="N14:P15"/>
    <mergeCell ref="N22:P23"/>
    <mergeCell ref="AK1:AM2"/>
    <mergeCell ref="Q1:S2"/>
    <mergeCell ref="AH29:AJ30"/>
    <mergeCell ref="AH1:AJ2"/>
    <mergeCell ref="AH14:AJ15"/>
    <mergeCell ref="AH22:AJ23"/>
    <mergeCell ref="T1:U2"/>
    <mergeCell ref="W29:Y30"/>
    <mergeCell ref="AK14:AM15"/>
    <mergeCell ref="Y1:AA2"/>
    <mergeCell ref="Q14:S15"/>
    <mergeCell ref="T22:V23"/>
    <mergeCell ref="W22:Y23"/>
    <mergeCell ref="AE1:AG2"/>
    <mergeCell ref="V1:X2"/>
    <mergeCell ref="AK22:AM23"/>
    <mergeCell ref="AW1:AY2"/>
    <mergeCell ref="AQ1:AS2"/>
    <mergeCell ref="AN1:AP2"/>
    <mergeCell ref="AT1:AV2"/>
    <mergeCell ref="AQ14:AS15"/>
    <mergeCell ref="AN14:AP15"/>
    <mergeCell ref="AN22:AP23"/>
    <mergeCell ref="AQ22:AS23"/>
    <mergeCell ref="AK29:AM30"/>
    <mergeCell ref="T29:V30"/>
    <mergeCell ref="M40:AA40"/>
    <mergeCell ref="AE22:AG23"/>
    <mergeCell ref="AE29:AG30"/>
    <mergeCell ref="M37:AA37"/>
    <mergeCell ref="M38:AA38"/>
    <mergeCell ref="M39:AA39"/>
    <mergeCell ref="Q22:S23"/>
    <mergeCell ref="Q29:S3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Z98"/>
  <sheetViews>
    <sheetView workbookViewId="0">
      <selection activeCell="R12" sqref="R12"/>
    </sheetView>
  </sheetViews>
  <sheetFormatPr defaultColWidth="8.875" defaultRowHeight="14.3" x14ac:dyDescent="0.25"/>
  <cols>
    <col min="1" max="1" width="18.375" bestFit="1" customWidth="1"/>
    <col min="2" max="2" width="3.75" customWidth="1"/>
    <col min="3" max="4" width="4.125" customWidth="1"/>
    <col min="5" max="5" width="4.75" customWidth="1"/>
    <col min="6" max="6" width="18.375" bestFit="1" customWidth="1"/>
    <col min="7" max="10" width="5.25" customWidth="1"/>
    <col min="11" max="11" width="16.75" customWidth="1"/>
    <col min="12" max="46" width="5.75" customWidth="1"/>
  </cols>
  <sheetData>
    <row r="1" spans="1:52" ht="14.95" customHeight="1" thickBot="1" x14ac:dyDescent="0.3">
      <c r="A1" s="598" t="s">
        <v>850</v>
      </c>
      <c r="B1" s="599"/>
      <c r="C1" s="599"/>
      <c r="D1" s="599"/>
      <c r="E1" s="599"/>
      <c r="F1" s="599"/>
      <c r="G1" s="599"/>
      <c r="H1" s="599"/>
      <c r="I1" s="599"/>
      <c r="J1" s="600"/>
      <c r="K1" s="540" t="s">
        <v>509</v>
      </c>
      <c r="L1" s="526" t="s">
        <v>29</v>
      </c>
      <c r="M1" s="527"/>
      <c r="N1" s="528"/>
      <c r="O1" s="526" t="s">
        <v>93</v>
      </c>
      <c r="P1" s="527"/>
      <c r="Q1" s="528"/>
      <c r="R1" s="526" t="s">
        <v>508</v>
      </c>
      <c r="S1" s="528"/>
      <c r="T1" s="520" t="s">
        <v>634</v>
      </c>
      <c r="U1" s="521"/>
      <c r="V1" s="522"/>
      <c r="W1" s="520" t="s">
        <v>863</v>
      </c>
      <c r="X1" s="521"/>
      <c r="Y1" s="522"/>
      <c r="Z1" s="325"/>
      <c r="AA1" s="214"/>
      <c r="AB1" s="326"/>
      <c r="AC1" s="520" t="s">
        <v>621</v>
      </c>
      <c r="AD1" s="521"/>
      <c r="AE1" s="522"/>
      <c r="AF1" s="520" t="s">
        <v>448</v>
      </c>
      <c r="AG1" s="521"/>
      <c r="AH1" s="522"/>
      <c r="AI1" s="520" t="s">
        <v>178</v>
      </c>
      <c r="AJ1" s="521"/>
      <c r="AK1" s="522"/>
      <c r="AL1" s="520" t="s">
        <v>122</v>
      </c>
      <c r="AM1" s="521"/>
      <c r="AN1" s="522"/>
      <c r="AO1" s="520" t="s">
        <v>113</v>
      </c>
      <c r="AP1" s="521"/>
      <c r="AQ1" s="522"/>
      <c r="AR1" s="520" t="s">
        <v>85</v>
      </c>
      <c r="AS1" s="521"/>
      <c r="AT1" s="522"/>
      <c r="AU1" s="4"/>
      <c r="AV1" s="4"/>
      <c r="AW1" s="4"/>
      <c r="AZ1" s="4"/>
    </row>
    <row r="2" spans="1:52" ht="14.95" customHeight="1" thickBot="1" x14ac:dyDescent="0.3">
      <c r="A2" s="134" t="s">
        <v>0</v>
      </c>
      <c r="B2" s="185" t="s">
        <v>620</v>
      </c>
      <c r="C2" s="220" t="s">
        <v>63</v>
      </c>
      <c r="D2" s="419" t="s">
        <v>925</v>
      </c>
      <c r="E2" s="135" t="s">
        <v>1</v>
      </c>
      <c r="F2" s="136" t="s">
        <v>2</v>
      </c>
      <c r="G2" s="187" t="s">
        <v>620</v>
      </c>
      <c r="H2" s="222" t="s">
        <v>63</v>
      </c>
      <c r="I2" s="421" t="s">
        <v>925</v>
      </c>
      <c r="J2" s="137" t="s">
        <v>1</v>
      </c>
      <c r="K2" s="541"/>
      <c r="L2" s="529"/>
      <c r="M2" s="530"/>
      <c r="N2" s="531"/>
      <c r="O2" s="529"/>
      <c r="P2" s="530"/>
      <c r="Q2" s="531"/>
      <c r="R2" s="529"/>
      <c r="S2" s="531"/>
      <c r="T2" s="523"/>
      <c r="U2" s="524"/>
      <c r="V2" s="525"/>
      <c r="W2" s="523"/>
      <c r="X2" s="524"/>
      <c r="Y2" s="525"/>
      <c r="Z2" s="325"/>
      <c r="AA2" s="214"/>
      <c r="AB2" s="326"/>
      <c r="AC2" s="523"/>
      <c r="AD2" s="524"/>
      <c r="AE2" s="525"/>
      <c r="AF2" s="523"/>
      <c r="AG2" s="524"/>
      <c r="AH2" s="525"/>
      <c r="AI2" s="523"/>
      <c r="AJ2" s="524"/>
      <c r="AK2" s="525"/>
      <c r="AL2" s="523"/>
      <c r="AM2" s="524"/>
      <c r="AN2" s="525"/>
      <c r="AO2" s="523"/>
      <c r="AP2" s="524"/>
      <c r="AQ2" s="525"/>
      <c r="AR2" s="523"/>
      <c r="AS2" s="524"/>
      <c r="AT2" s="525"/>
    </row>
    <row r="3" spans="1:52" ht="14.95" customHeight="1" thickBot="1" x14ac:dyDescent="0.3">
      <c r="A3" s="121" t="s">
        <v>1022</v>
      </c>
      <c r="B3" s="186">
        <v>6</v>
      </c>
      <c r="C3" s="221">
        <v>2</v>
      </c>
      <c r="D3" s="420">
        <v>0</v>
      </c>
      <c r="E3" s="120">
        <f>SUM(B3:D3)</f>
        <v>8</v>
      </c>
      <c r="F3" s="437" t="s">
        <v>1022</v>
      </c>
      <c r="G3" s="188">
        <v>30</v>
      </c>
      <c r="H3" s="223">
        <v>10</v>
      </c>
      <c r="I3" s="422">
        <v>0</v>
      </c>
      <c r="J3" s="89">
        <f>SUM(G3:I3)</f>
        <v>40</v>
      </c>
      <c r="K3" s="393" t="s">
        <v>44</v>
      </c>
      <c r="L3" s="3" t="s">
        <v>107</v>
      </c>
      <c r="M3" s="3" t="s">
        <v>23</v>
      </c>
      <c r="N3" s="3" t="s">
        <v>24</v>
      </c>
      <c r="O3" s="3" t="s">
        <v>107</v>
      </c>
      <c r="P3" s="3" t="s">
        <v>23</v>
      </c>
      <c r="Q3" s="3" t="s">
        <v>24</v>
      </c>
      <c r="R3" s="3" t="s">
        <v>34</v>
      </c>
      <c r="S3" s="3" t="s">
        <v>135</v>
      </c>
      <c r="T3" s="7" t="s">
        <v>107</v>
      </c>
      <c r="U3" s="7" t="s">
        <v>23</v>
      </c>
      <c r="V3" s="7" t="s">
        <v>24</v>
      </c>
      <c r="W3" s="201" t="s">
        <v>107</v>
      </c>
      <c r="X3" s="7" t="s">
        <v>23</v>
      </c>
      <c r="Y3" s="7" t="s">
        <v>24</v>
      </c>
      <c r="Z3" s="108"/>
      <c r="AA3" s="109"/>
      <c r="AB3" s="327"/>
      <c r="AC3" s="201" t="s">
        <v>107</v>
      </c>
      <c r="AD3" s="7" t="s">
        <v>23</v>
      </c>
      <c r="AE3" s="7" t="s">
        <v>24</v>
      </c>
      <c r="AF3" s="201" t="s">
        <v>107</v>
      </c>
      <c r="AG3" s="7" t="s">
        <v>23</v>
      </c>
      <c r="AH3" s="7" t="s">
        <v>24</v>
      </c>
      <c r="AI3" s="201" t="s">
        <v>107</v>
      </c>
      <c r="AJ3" s="7" t="s">
        <v>23</v>
      </c>
      <c r="AK3" s="7" t="s">
        <v>24</v>
      </c>
      <c r="AL3" s="201" t="s">
        <v>107</v>
      </c>
      <c r="AM3" s="7" t="s">
        <v>23</v>
      </c>
      <c r="AN3" s="7" t="s">
        <v>24</v>
      </c>
      <c r="AO3" s="7" t="s">
        <v>107</v>
      </c>
      <c r="AP3" s="7" t="s">
        <v>23</v>
      </c>
      <c r="AQ3" s="7" t="s">
        <v>24</v>
      </c>
      <c r="AR3" s="7" t="s">
        <v>107</v>
      </c>
      <c r="AS3" s="7" t="s">
        <v>23</v>
      </c>
      <c r="AT3" s="7" t="s">
        <v>24</v>
      </c>
    </row>
    <row r="4" spans="1:52" ht="14.95" customHeight="1" thickBot="1" x14ac:dyDescent="0.3">
      <c r="A4" s="121" t="s">
        <v>80</v>
      </c>
      <c r="B4" s="186">
        <v>0</v>
      </c>
      <c r="C4" s="221">
        <v>0</v>
      </c>
      <c r="D4" s="420">
        <v>0</v>
      </c>
      <c r="E4" s="120">
        <f>SUM(B4:D4)</f>
        <v>0</v>
      </c>
      <c r="F4" s="122" t="s">
        <v>80</v>
      </c>
      <c r="G4" s="188">
        <v>0</v>
      </c>
      <c r="H4" s="223">
        <v>0</v>
      </c>
      <c r="I4" s="422">
        <v>0</v>
      </c>
      <c r="J4" s="89">
        <f>SUM(G4:I4)</f>
        <v>0</v>
      </c>
      <c r="K4" s="121" t="s">
        <v>114</v>
      </c>
      <c r="L4" s="125">
        <v>38</v>
      </c>
      <c r="M4" s="125">
        <v>53</v>
      </c>
      <c r="N4" s="126">
        <f t="shared" ref="N4:N5" si="0">SUM(L4/M4)*100</f>
        <v>71.698113207547166</v>
      </c>
      <c r="O4" s="125" t="s">
        <v>30</v>
      </c>
      <c r="P4" s="125" t="s">
        <v>30</v>
      </c>
      <c r="Q4" s="126" t="s">
        <v>30</v>
      </c>
      <c r="R4" s="125">
        <v>-2</v>
      </c>
      <c r="S4" s="125">
        <v>-2</v>
      </c>
      <c r="T4" s="7">
        <v>71</v>
      </c>
      <c r="U4" s="7">
        <v>87</v>
      </c>
      <c r="V4" s="206">
        <f t="shared" ref="V4:V6" si="1">SUM(T4/U4)*100</f>
        <v>81.609195402298852</v>
      </c>
      <c r="W4" s="201">
        <v>27</v>
      </c>
      <c r="X4" s="7">
        <v>34</v>
      </c>
      <c r="Y4" s="206">
        <f t="shared" ref="Y4:Y6" si="2">SUM(W4/X4)*100</f>
        <v>79.411764705882348</v>
      </c>
      <c r="Z4" s="108"/>
      <c r="AA4" s="109"/>
      <c r="AB4" s="327"/>
      <c r="AC4" s="201">
        <v>40</v>
      </c>
      <c r="AD4" s="7">
        <v>48</v>
      </c>
      <c r="AE4" s="206">
        <f t="shared" ref="AE4:AE8" si="3">SUM(AC4/AD4)*100</f>
        <v>83.333333333333343</v>
      </c>
      <c r="AF4" s="201">
        <v>58</v>
      </c>
      <c r="AG4" s="7">
        <v>69</v>
      </c>
      <c r="AH4" s="206">
        <f t="shared" ref="AH4:AH5" si="4">SUM(AF4/AG4)*100</f>
        <v>84.05797101449275</v>
      </c>
      <c r="AI4" s="201">
        <v>40</v>
      </c>
      <c r="AJ4" s="7">
        <v>48</v>
      </c>
      <c r="AK4" s="206">
        <f t="shared" ref="AK4" si="5">SUM(AI4/AJ4)*100</f>
        <v>83.333333333333343</v>
      </c>
      <c r="AL4" s="201" t="s">
        <v>30</v>
      </c>
      <c r="AM4" s="7" t="s">
        <v>30</v>
      </c>
      <c r="AN4" s="7" t="s">
        <v>30</v>
      </c>
      <c r="AO4" s="7" t="s">
        <v>30</v>
      </c>
      <c r="AP4" s="7" t="s">
        <v>30</v>
      </c>
      <c r="AQ4" s="7" t="s">
        <v>30</v>
      </c>
      <c r="AR4" s="7" t="s">
        <v>30</v>
      </c>
      <c r="AS4" s="7" t="s">
        <v>30</v>
      </c>
      <c r="AT4" s="7" t="s">
        <v>30</v>
      </c>
    </row>
    <row r="5" spans="1:52" ht="14.95" customHeight="1" thickBot="1" x14ac:dyDescent="0.3">
      <c r="A5" s="121" t="s">
        <v>1085</v>
      </c>
      <c r="B5" s="186">
        <v>0</v>
      </c>
      <c r="C5" s="221">
        <v>0</v>
      </c>
      <c r="D5" s="420">
        <v>1</v>
      </c>
      <c r="E5" s="120">
        <f>SUM(B5:D5)</f>
        <v>1</v>
      </c>
      <c r="F5" s="122" t="s">
        <v>1085</v>
      </c>
      <c r="G5" s="188">
        <v>0</v>
      </c>
      <c r="H5" s="223">
        <v>0</v>
      </c>
      <c r="I5" s="422">
        <v>5</v>
      </c>
      <c r="J5" s="89">
        <f>SUM(G5:I5)</f>
        <v>5</v>
      </c>
      <c r="K5" s="121" t="s">
        <v>151</v>
      </c>
      <c r="L5" s="125">
        <v>4</v>
      </c>
      <c r="M5" s="125">
        <v>7</v>
      </c>
      <c r="N5" s="126">
        <f t="shared" si="0"/>
        <v>57.142857142857139</v>
      </c>
      <c r="O5" s="125" t="s">
        <v>30</v>
      </c>
      <c r="P5" s="125" t="s">
        <v>30</v>
      </c>
      <c r="Q5" s="126" t="s">
        <v>30</v>
      </c>
      <c r="R5" s="125">
        <v>-1</v>
      </c>
      <c r="S5" s="125">
        <v>-1</v>
      </c>
      <c r="T5" s="7">
        <v>0</v>
      </c>
      <c r="U5" s="7">
        <v>1</v>
      </c>
      <c r="V5" s="206">
        <f t="shared" si="1"/>
        <v>0</v>
      </c>
      <c r="W5" s="201">
        <v>1</v>
      </c>
      <c r="X5" s="7">
        <v>2</v>
      </c>
      <c r="Y5" s="206">
        <f t="shared" si="2"/>
        <v>50</v>
      </c>
      <c r="Z5" s="108"/>
      <c r="AA5" s="109"/>
      <c r="AB5" s="327"/>
      <c r="AC5" s="201">
        <v>8</v>
      </c>
      <c r="AD5" s="7">
        <v>17</v>
      </c>
      <c r="AE5" s="206">
        <f t="shared" si="3"/>
        <v>47.058823529411761</v>
      </c>
      <c r="AF5" s="201">
        <v>30</v>
      </c>
      <c r="AG5" s="7">
        <v>40</v>
      </c>
      <c r="AH5" s="206">
        <f t="shared" si="4"/>
        <v>75</v>
      </c>
      <c r="AI5" s="201" t="s">
        <v>30</v>
      </c>
      <c r="AJ5" s="7" t="s">
        <v>30</v>
      </c>
      <c r="AK5" s="7" t="s">
        <v>30</v>
      </c>
      <c r="AL5" s="201" t="s">
        <v>30</v>
      </c>
      <c r="AM5" s="7" t="s">
        <v>30</v>
      </c>
      <c r="AN5" s="7" t="s">
        <v>30</v>
      </c>
      <c r="AO5" s="7" t="s">
        <v>30</v>
      </c>
      <c r="AP5" s="7" t="s">
        <v>30</v>
      </c>
      <c r="AQ5" s="7" t="s">
        <v>30</v>
      </c>
      <c r="AR5" s="7" t="s">
        <v>30</v>
      </c>
      <c r="AS5" s="7" t="s">
        <v>30</v>
      </c>
      <c r="AT5" s="7" t="s">
        <v>30</v>
      </c>
    </row>
    <row r="6" spans="1:52" ht="14.95" customHeight="1" thickBot="1" x14ac:dyDescent="0.3">
      <c r="A6" s="121" t="s">
        <v>1197</v>
      </c>
      <c r="B6" s="186">
        <v>0</v>
      </c>
      <c r="C6" s="221">
        <v>0</v>
      </c>
      <c r="D6" s="420">
        <v>1</v>
      </c>
      <c r="E6" s="120">
        <f>SUM(B6:D6)</f>
        <v>1</v>
      </c>
      <c r="F6" s="122" t="s">
        <v>1197</v>
      </c>
      <c r="G6" s="188">
        <v>0</v>
      </c>
      <c r="H6" s="223">
        <v>0</v>
      </c>
      <c r="I6" s="422">
        <v>5</v>
      </c>
      <c r="J6" s="89">
        <f>SUM(G6:I6)</f>
        <v>5</v>
      </c>
      <c r="K6" s="121" t="s">
        <v>421</v>
      </c>
      <c r="L6" s="125">
        <v>24</v>
      </c>
      <c r="M6" s="125">
        <v>30</v>
      </c>
      <c r="N6" s="126">
        <f t="shared" ref="N6" si="6">SUM(L6/M6)*100</f>
        <v>80</v>
      </c>
      <c r="O6" s="125">
        <v>4</v>
      </c>
      <c r="P6" s="125">
        <v>4</v>
      </c>
      <c r="Q6" s="126">
        <f t="shared" ref="Q6" si="7">SUM(O6/P6)*100</f>
        <v>100</v>
      </c>
      <c r="R6" s="125">
        <v>17</v>
      </c>
      <c r="S6" s="125">
        <v>8</v>
      </c>
      <c r="T6" s="7">
        <v>21</v>
      </c>
      <c r="U6" s="7">
        <v>29</v>
      </c>
      <c r="V6" s="206">
        <f t="shared" si="1"/>
        <v>72.41379310344827</v>
      </c>
      <c r="W6" s="201">
        <v>52</v>
      </c>
      <c r="X6" s="7">
        <v>77</v>
      </c>
      <c r="Y6" s="206">
        <f t="shared" si="2"/>
        <v>67.532467532467535</v>
      </c>
      <c r="Z6" s="108"/>
      <c r="AA6" s="109"/>
      <c r="AB6" s="327"/>
      <c r="AC6" s="201">
        <v>26</v>
      </c>
      <c r="AD6" s="7">
        <v>34</v>
      </c>
      <c r="AE6" s="206">
        <f t="shared" si="3"/>
        <v>76.470588235294116</v>
      </c>
      <c r="AF6" s="201" t="s">
        <v>30</v>
      </c>
      <c r="AG6" s="7" t="s">
        <v>30</v>
      </c>
      <c r="AH6" s="7" t="s">
        <v>30</v>
      </c>
      <c r="AI6" s="201" t="s">
        <v>30</v>
      </c>
      <c r="AJ6" s="7" t="s">
        <v>30</v>
      </c>
      <c r="AK6" s="7" t="s">
        <v>30</v>
      </c>
      <c r="AL6" s="7" t="s">
        <v>30</v>
      </c>
      <c r="AM6" s="7" t="s">
        <v>30</v>
      </c>
      <c r="AN6" s="7" t="s">
        <v>30</v>
      </c>
      <c r="AO6" s="7" t="s">
        <v>30</v>
      </c>
      <c r="AP6" s="7" t="s">
        <v>30</v>
      </c>
      <c r="AQ6" s="7" t="s">
        <v>30</v>
      </c>
      <c r="AR6" s="7" t="s">
        <v>30</v>
      </c>
      <c r="AS6" s="7" t="s">
        <v>30</v>
      </c>
      <c r="AT6" s="7" t="s">
        <v>30</v>
      </c>
    </row>
    <row r="7" spans="1:52" ht="14.95" customHeight="1" thickBot="1" x14ac:dyDescent="0.3">
      <c r="A7" s="121" t="s">
        <v>150</v>
      </c>
      <c r="B7" s="186">
        <v>1</v>
      </c>
      <c r="C7" s="221">
        <v>0</v>
      </c>
      <c r="D7" s="420">
        <v>2</v>
      </c>
      <c r="E7" s="120">
        <f t="shared" ref="E7:E47" si="8">SUM(B7:D7)</f>
        <v>3</v>
      </c>
      <c r="F7" s="122" t="s">
        <v>150</v>
      </c>
      <c r="G7" s="188">
        <v>5</v>
      </c>
      <c r="H7" s="223">
        <v>0</v>
      </c>
      <c r="I7" s="422">
        <v>10</v>
      </c>
      <c r="J7" s="89">
        <f t="shared" ref="J7:J47" si="9">SUM(G7:I7)</f>
        <v>15</v>
      </c>
      <c r="K7" s="121" t="s">
        <v>150</v>
      </c>
      <c r="L7" s="125" t="s">
        <v>30</v>
      </c>
      <c r="M7" s="125" t="s">
        <v>30</v>
      </c>
      <c r="N7" s="126" t="s">
        <v>30</v>
      </c>
      <c r="O7" s="125" t="s">
        <v>30</v>
      </c>
      <c r="P7" s="125" t="s">
        <v>30</v>
      </c>
      <c r="Q7" s="126" t="s">
        <v>30</v>
      </c>
      <c r="R7" s="125">
        <v>-3</v>
      </c>
      <c r="S7" s="125">
        <v>3</v>
      </c>
      <c r="T7" s="7" t="s">
        <v>30</v>
      </c>
      <c r="U7" s="7" t="s">
        <v>30</v>
      </c>
      <c r="V7" s="206" t="s">
        <v>30</v>
      </c>
      <c r="W7" s="201" t="s">
        <v>30</v>
      </c>
      <c r="X7" s="7" t="s">
        <v>30</v>
      </c>
      <c r="Y7" s="206" t="s">
        <v>30</v>
      </c>
      <c r="Z7" s="108"/>
      <c r="AA7" s="109"/>
      <c r="AB7" s="327"/>
      <c r="AC7" s="201">
        <v>0</v>
      </c>
      <c r="AD7" s="7">
        <v>3</v>
      </c>
      <c r="AE7" s="206">
        <f t="shared" si="3"/>
        <v>0</v>
      </c>
      <c r="AF7" s="201">
        <v>2</v>
      </c>
      <c r="AG7" s="7">
        <v>4</v>
      </c>
      <c r="AH7" s="206">
        <f t="shared" ref="AH7" si="10">SUM(AF7/AG7)*100</f>
        <v>50</v>
      </c>
      <c r="AI7" s="201" t="s">
        <v>30</v>
      </c>
      <c r="AJ7" s="7" t="s">
        <v>30</v>
      </c>
      <c r="AK7" s="7" t="s">
        <v>30</v>
      </c>
      <c r="AL7" s="201" t="s">
        <v>30</v>
      </c>
      <c r="AM7" s="7" t="s">
        <v>30</v>
      </c>
      <c r="AN7" s="7" t="s">
        <v>30</v>
      </c>
      <c r="AO7" s="7" t="s">
        <v>30</v>
      </c>
      <c r="AP7" s="7" t="s">
        <v>30</v>
      </c>
      <c r="AQ7" s="7" t="s">
        <v>30</v>
      </c>
      <c r="AR7" s="7" t="s">
        <v>30</v>
      </c>
      <c r="AS7" s="7" t="s">
        <v>30</v>
      </c>
      <c r="AT7" s="7" t="s">
        <v>30</v>
      </c>
    </row>
    <row r="8" spans="1:52" ht="14.95" customHeight="1" thickBot="1" x14ac:dyDescent="0.3">
      <c r="A8" s="121" t="s">
        <v>134</v>
      </c>
      <c r="B8" s="186">
        <v>4</v>
      </c>
      <c r="C8" s="221">
        <v>1</v>
      </c>
      <c r="D8" s="420">
        <v>0</v>
      </c>
      <c r="E8" s="120">
        <f t="shared" si="8"/>
        <v>5</v>
      </c>
      <c r="F8" s="122" t="s">
        <v>134</v>
      </c>
      <c r="G8" s="188">
        <v>20</v>
      </c>
      <c r="H8" s="223">
        <v>5</v>
      </c>
      <c r="I8" s="422">
        <v>0</v>
      </c>
      <c r="J8" s="89">
        <f t="shared" si="9"/>
        <v>25</v>
      </c>
      <c r="K8" s="121" t="s">
        <v>242</v>
      </c>
      <c r="L8" s="125">
        <v>2</v>
      </c>
      <c r="M8" s="125">
        <v>6</v>
      </c>
      <c r="N8" s="126">
        <f t="shared" ref="N8" si="11">SUM(L8/M8)*100</f>
        <v>33.333333333333329</v>
      </c>
      <c r="O8" s="125" t="s">
        <v>30</v>
      </c>
      <c r="P8" s="125" t="s">
        <v>30</v>
      </c>
      <c r="Q8" s="126" t="s">
        <v>30</v>
      </c>
      <c r="R8" s="125">
        <v>-2</v>
      </c>
      <c r="S8" s="125">
        <v>-2</v>
      </c>
      <c r="T8" s="7" t="s">
        <v>30</v>
      </c>
      <c r="U8" s="7" t="s">
        <v>30</v>
      </c>
      <c r="V8" s="206" t="s">
        <v>30</v>
      </c>
      <c r="W8" s="201">
        <v>0</v>
      </c>
      <c r="X8" s="7">
        <v>2</v>
      </c>
      <c r="Y8" s="206">
        <v>0</v>
      </c>
      <c r="Z8" s="108"/>
      <c r="AA8" s="109"/>
      <c r="AB8" s="327"/>
      <c r="AC8" s="201">
        <v>0</v>
      </c>
      <c r="AD8" s="7">
        <v>1</v>
      </c>
      <c r="AE8" s="206">
        <f t="shared" si="3"/>
        <v>0</v>
      </c>
      <c r="AF8" s="201" t="s">
        <v>30</v>
      </c>
      <c r="AG8" s="7" t="s">
        <v>30</v>
      </c>
      <c r="AH8" s="7" t="s">
        <v>30</v>
      </c>
      <c r="AI8" s="201" t="s">
        <v>30</v>
      </c>
      <c r="AJ8" s="7" t="s">
        <v>30</v>
      </c>
      <c r="AK8" s="7" t="s">
        <v>30</v>
      </c>
      <c r="AL8" s="201" t="s">
        <v>30</v>
      </c>
      <c r="AM8" s="7" t="s">
        <v>30</v>
      </c>
      <c r="AN8" s="7" t="s">
        <v>30</v>
      </c>
      <c r="AO8" s="7" t="s">
        <v>30</v>
      </c>
      <c r="AP8" s="7" t="s">
        <v>30</v>
      </c>
      <c r="AQ8" s="7" t="s">
        <v>30</v>
      </c>
      <c r="AR8" s="7" t="s">
        <v>30</v>
      </c>
      <c r="AS8" s="7" t="s">
        <v>30</v>
      </c>
      <c r="AT8" s="7" t="s">
        <v>30</v>
      </c>
    </row>
    <row r="9" spans="1:52" ht="14.95" customHeight="1" thickBot="1" x14ac:dyDescent="0.3">
      <c r="A9" s="121" t="s">
        <v>127</v>
      </c>
      <c r="B9" s="186">
        <v>0</v>
      </c>
      <c r="C9" s="221">
        <v>0</v>
      </c>
      <c r="D9" s="420">
        <v>0</v>
      </c>
      <c r="E9" s="120">
        <f t="shared" si="8"/>
        <v>0</v>
      </c>
      <c r="F9" s="122" t="s">
        <v>127</v>
      </c>
      <c r="G9" s="188">
        <v>0</v>
      </c>
      <c r="H9" s="223">
        <v>0</v>
      </c>
      <c r="I9" s="422">
        <v>0</v>
      </c>
      <c r="J9" s="89">
        <f t="shared" si="9"/>
        <v>0</v>
      </c>
      <c r="K9" s="121" t="s">
        <v>165</v>
      </c>
      <c r="L9" s="125" t="s">
        <v>30</v>
      </c>
      <c r="M9" s="125" t="s">
        <v>30</v>
      </c>
      <c r="N9" s="126" t="s">
        <v>30</v>
      </c>
      <c r="O9" s="125" t="s">
        <v>30</v>
      </c>
      <c r="P9" s="125" t="s">
        <v>30</v>
      </c>
      <c r="Q9" s="126" t="s">
        <v>30</v>
      </c>
      <c r="R9" s="125">
        <v>1</v>
      </c>
      <c r="S9" s="125">
        <v>1</v>
      </c>
      <c r="T9" s="7" t="s">
        <v>30</v>
      </c>
      <c r="U9" s="7" t="s">
        <v>30</v>
      </c>
      <c r="V9" s="7" t="s">
        <v>30</v>
      </c>
      <c r="W9" s="201" t="s">
        <v>30</v>
      </c>
      <c r="X9" s="7" t="s">
        <v>30</v>
      </c>
      <c r="Y9" s="7" t="s">
        <v>30</v>
      </c>
      <c r="Z9" s="108"/>
      <c r="AA9" s="109"/>
      <c r="AB9" s="327"/>
      <c r="AC9" s="201">
        <v>1</v>
      </c>
      <c r="AD9" s="7">
        <v>1</v>
      </c>
      <c r="AE9" s="7">
        <v>100</v>
      </c>
      <c r="AF9" s="201" t="s">
        <v>30</v>
      </c>
      <c r="AG9" s="7" t="s">
        <v>30</v>
      </c>
      <c r="AH9" s="7" t="s">
        <v>30</v>
      </c>
      <c r="AI9" s="201">
        <v>1</v>
      </c>
      <c r="AJ9" s="7">
        <v>2</v>
      </c>
      <c r="AK9" s="206">
        <f t="shared" ref="AK9" si="12">SUM(AI9/AJ9)*100</f>
        <v>50</v>
      </c>
      <c r="AL9" s="201" t="s">
        <v>30</v>
      </c>
      <c r="AM9" s="7" t="s">
        <v>30</v>
      </c>
      <c r="AN9" s="7" t="s">
        <v>30</v>
      </c>
      <c r="AO9" s="7" t="s">
        <v>30</v>
      </c>
      <c r="AP9" s="7" t="s">
        <v>30</v>
      </c>
      <c r="AQ9" s="7" t="s">
        <v>30</v>
      </c>
      <c r="AR9" s="7" t="s">
        <v>30</v>
      </c>
      <c r="AS9" s="7" t="s">
        <v>30</v>
      </c>
      <c r="AT9" s="7" t="s">
        <v>30</v>
      </c>
    </row>
    <row r="10" spans="1:52" ht="14.95" customHeight="1" thickBot="1" x14ac:dyDescent="0.3">
      <c r="A10" s="121" t="s">
        <v>488</v>
      </c>
      <c r="B10" s="186">
        <v>0</v>
      </c>
      <c r="C10" s="221">
        <v>0</v>
      </c>
      <c r="D10" s="420">
        <v>0</v>
      </c>
      <c r="E10" s="120">
        <f t="shared" si="8"/>
        <v>0</v>
      </c>
      <c r="F10" s="122" t="s">
        <v>242</v>
      </c>
      <c r="G10" s="188">
        <v>5</v>
      </c>
      <c r="H10" s="223">
        <v>0</v>
      </c>
      <c r="I10" s="422">
        <v>14</v>
      </c>
      <c r="J10" s="89">
        <f t="shared" si="9"/>
        <v>19</v>
      </c>
      <c r="K10" s="121" t="s">
        <v>408</v>
      </c>
      <c r="L10" s="125">
        <v>11</v>
      </c>
      <c r="M10" s="125">
        <v>16</v>
      </c>
      <c r="N10" s="126">
        <f t="shared" ref="N10" si="13">SUM(L10/M10)*100</f>
        <v>68.75</v>
      </c>
      <c r="O10" s="125">
        <v>2</v>
      </c>
      <c r="P10" s="125">
        <v>2</v>
      </c>
      <c r="Q10" s="126">
        <f t="shared" ref="Q10" si="14">SUM(O10/P10)*100</f>
        <v>100</v>
      </c>
      <c r="R10" s="125">
        <v>4</v>
      </c>
      <c r="S10" s="125">
        <v>2</v>
      </c>
      <c r="T10" s="7">
        <v>2</v>
      </c>
      <c r="U10" s="7">
        <v>2</v>
      </c>
      <c r="V10" s="7">
        <f t="shared" ref="V10" si="15">SUM(T10/U10)*100</f>
        <v>100</v>
      </c>
      <c r="W10" s="201" t="s">
        <v>30</v>
      </c>
      <c r="X10" s="7" t="s">
        <v>30</v>
      </c>
      <c r="Y10" s="7" t="s">
        <v>30</v>
      </c>
      <c r="Z10" s="108"/>
      <c r="AA10" s="109"/>
      <c r="AB10" s="327"/>
      <c r="AC10" s="201" t="s">
        <v>30</v>
      </c>
      <c r="AD10" s="7" t="s">
        <v>30</v>
      </c>
      <c r="AE10" s="7" t="s">
        <v>30</v>
      </c>
      <c r="AF10" s="201" t="s">
        <v>30</v>
      </c>
      <c r="AG10" s="7" t="s">
        <v>30</v>
      </c>
      <c r="AH10" s="7" t="s">
        <v>30</v>
      </c>
      <c r="AI10" s="201" t="s">
        <v>30</v>
      </c>
      <c r="AJ10" s="7" t="s">
        <v>30</v>
      </c>
      <c r="AK10" s="7" t="s">
        <v>30</v>
      </c>
      <c r="AL10" s="7" t="s">
        <v>30</v>
      </c>
      <c r="AM10" s="7" t="s">
        <v>30</v>
      </c>
      <c r="AN10" s="7" t="s">
        <v>30</v>
      </c>
      <c r="AO10" s="7" t="s">
        <v>30</v>
      </c>
      <c r="AP10" s="7" t="s">
        <v>30</v>
      </c>
      <c r="AQ10" s="7" t="s">
        <v>30</v>
      </c>
      <c r="AR10" s="7" t="s">
        <v>30</v>
      </c>
      <c r="AS10" s="7" t="s">
        <v>30</v>
      </c>
      <c r="AT10" s="7" t="s">
        <v>30</v>
      </c>
    </row>
    <row r="11" spans="1:52" ht="14.95" customHeight="1" thickBot="1" x14ac:dyDescent="0.3">
      <c r="A11" s="121" t="s">
        <v>787</v>
      </c>
      <c r="B11" s="186">
        <v>0</v>
      </c>
      <c r="C11" s="221">
        <v>1</v>
      </c>
      <c r="D11" s="420">
        <v>0</v>
      </c>
      <c r="E11" s="120">
        <f t="shared" si="8"/>
        <v>1</v>
      </c>
      <c r="F11" s="122" t="s">
        <v>787</v>
      </c>
      <c r="G11" s="188">
        <v>0</v>
      </c>
      <c r="H11" s="223">
        <v>5</v>
      </c>
      <c r="I11" s="422">
        <v>0</v>
      </c>
      <c r="J11" s="89">
        <f t="shared" si="9"/>
        <v>5</v>
      </c>
      <c r="K11" s="121" t="s">
        <v>7</v>
      </c>
      <c r="L11" s="125" t="s">
        <v>30</v>
      </c>
      <c r="M11" s="125" t="s">
        <v>30</v>
      </c>
      <c r="N11" s="126" t="s">
        <v>30</v>
      </c>
      <c r="O11" s="125" t="s">
        <v>30</v>
      </c>
      <c r="P11" s="125" t="s">
        <v>30</v>
      </c>
      <c r="Q11" s="126" t="s">
        <v>30</v>
      </c>
      <c r="R11" s="125" t="s">
        <v>35</v>
      </c>
      <c r="S11" s="125">
        <v>2</v>
      </c>
      <c r="T11" s="7" t="s">
        <v>30</v>
      </c>
      <c r="U11" s="7" t="s">
        <v>30</v>
      </c>
      <c r="V11" s="7" t="s">
        <v>30</v>
      </c>
      <c r="W11" s="201" t="s">
        <v>30</v>
      </c>
      <c r="X11" s="7" t="s">
        <v>30</v>
      </c>
      <c r="Y11" s="7" t="s">
        <v>30</v>
      </c>
      <c r="Z11" s="108"/>
      <c r="AA11" s="109"/>
      <c r="AB11" s="327"/>
      <c r="AC11" s="201" t="s">
        <v>30</v>
      </c>
      <c r="AD11" s="7" t="s">
        <v>30</v>
      </c>
      <c r="AE11" s="7" t="s">
        <v>30</v>
      </c>
      <c r="AF11" s="201" t="s">
        <v>30</v>
      </c>
      <c r="AG11" s="7" t="s">
        <v>30</v>
      </c>
      <c r="AH11" s="7" t="s">
        <v>30</v>
      </c>
      <c r="AI11" s="201" t="s">
        <v>30</v>
      </c>
      <c r="AJ11" s="7" t="s">
        <v>30</v>
      </c>
      <c r="AK11" s="7" t="s">
        <v>30</v>
      </c>
      <c r="AL11" s="7" t="s">
        <v>30</v>
      </c>
      <c r="AM11" s="7" t="s">
        <v>30</v>
      </c>
      <c r="AN11" s="7" t="s">
        <v>30</v>
      </c>
      <c r="AO11" s="7" t="s">
        <v>30</v>
      </c>
      <c r="AP11" s="7" t="s">
        <v>30</v>
      </c>
      <c r="AQ11" s="7" t="s">
        <v>30</v>
      </c>
      <c r="AR11" s="7" t="s">
        <v>30</v>
      </c>
      <c r="AS11" s="7" t="s">
        <v>30</v>
      </c>
      <c r="AT11" s="7" t="s">
        <v>30</v>
      </c>
    </row>
    <row r="12" spans="1:52" ht="14.95" customHeight="1" thickBot="1" x14ac:dyDescent="0.3">
      <c r="A12" s="121" t="s">
        <v>151</v>
      </c>
      <c r="B12" s="186">
        <v>1</v>
      </c>
      <c r="C12" s="221">
        <v>0</v>
      </c>
      <c r="D12" s="420">
        <v>0</v>
      </c>
      <c r="E12" s="120">
        <f t="shared" si="8"/>
        <v>1</v>
      </c>
      <c r="F12" s="122" t="s">
        <v>151</v>
      </c>
      <c r="G12" s="188">
        <v>13</v>
      </c>
      <c r="H12" s="223">
        <v>0</v>
      </c>
      <c r="I12" s="422">
        <v>0</v>
      </c>
      <c r="J12" s="89">
        <f t="shared" si="9"/>
        <v>13</v>
      </c>
      <c r="K12" s="121" t="s">
        <v>59</v>
      </c>
      <c r="L12" s="125" t="s">
        <v>30</v>
      </c>
      <c r="M12" s="125" t="s">
        <v>30</v>
      </c>
      <c r="N12" s="126" t="s">
        <v>30</v>
      </c>
      <c r="O12" s="125" t="s">
        <v>30</v>
      </c>
      <c r="P12" s="125" t="s">
        <v>30</v>
      </c>
      <c r="Q12" s="126" t="s">
        <v>30</v>
      </c>
      <c r="R12" s="125">
        <v>-2</v>
      </c>
      <c r="S12" s="125">
        <v>-1</v>
      </c>
      <c r="T12" s="7" t="s">
        <v>30</v>
      </c>
      <c r="U12" s="7" t="s">
        <v>30</v>
      </c>
      <c r="V12" s="206" t="s">
        <v>30</v>
      </c>
      <c r="W12" s="201" t="s">
        <v>30</v>
      </c>
      <c r="X12" s="7" t="s">
        <v>30</v>
      </c>
      <c r="Y12" s="206" t="s">
        <v>30</v>
      </c>
      <c r="Z12" s="108"/>
      <c r="AA12" s="109"/>
      <c r="AB12" s="327"/>
      <c r="AC12" s="201">
        <v>0</v>
      </c>
      <c r="AD12" s="7">
        <v>1</v>
      </c>
      <c r="AE12" s="206">
        <f t="shared" ref="AE12" si="16">SUM(AC12/AD12)*100</f>
        <v>0</v>
      </c>
      <c r="AF12" s="201" t="s">
        <v>30</v>
      </c>
      <c r="AG12" s="7" t="s">
        <v>30</v>
      </c>
      <c r="AH12" s="7" t="s">
        <v>30</v>
      </c>
      <c r="AI12" s="201">
        <v>2</v>
      </c>
      <c r="AJ12" s="7">
        <v>5</v>
      </c>
      <c r="AK12" s="206">
        <f t="shared" ref="AK12" si="17">SUM(AI12/AJ12)*100</f>
        <v>40</v>
      </c>
      <c r="AL12" s="201" t="s">
        <v>30</v>
      </c>
      <c r="AM12" s="7" t="s">
        <v>30</v>
      </c>
      <c r="AN12" s="7" t="s">
        <v>30</v>
      </c>
      <c r="AO12" s="7" t="s">
        <v>30</v>
      </c>
      <c r="AP12" s="7" t="s">
        <v>30</v>
      </c>
      <c r="AQ12" s="7" t="s">
        <v>30</v>
      </c>
      <c r="AR12" s="7" t="s">
        <v>30</v>
      </c>
      <c r="AS12" s="7" t="s">
        <v>30</v>
      </c>
      <c r="AT12" s="7" t="s">
        <v>30</v>
      </c>
    </row>
    <row r="13" spans="1:52" ht="14.95" customHeight="1" thickBot="1" x14ac:dyDescent="0.3">
      <c r="A13" s="121" t="s">
        <v>485</v>
      </c>
      <c r="B13" s="186">
        <v>5</v>
      </c>
      <c r="C13" s="221">
        <v>1</v>
      </c>
      <c r="D13" s="420">
        <v>0</v>
      </c>
      <c r="E13" s="120">
        <f t="shared" si="8"/>
        <v>6</v>
      </c>
      <c r="F13" s="122" t="s">
        <v>485</v>
      </c>
      <c r="G13" s="188">
        <v>25</v>
      </c>
      <c r="H13" s="223">
        <v>5</v>
      </c>
      <c r="I13" s="422">
        <v>0</v>
      </c>
      <c r="J13" s="89">
        <f t="shared" si="9"/>
        <v>30</v>
      </c>
    </row>
    <row r="14" spans="1:52" ht="14.95" customHeight="1" thickBot="1" x14ac:dyDescent="0.3">
      <c r="A14" s="121" t="s">
        <v>430</v>
      </c>
      <c r="B14" s="186">
        <v>4</v>
      </c>
      <c r="C14" s="221">
        <v>2</v>
      </c>
      <c r="D14" s="420">
        <v>0</v>
      </c>
      <c r="E14" s="120">
        <f t="shared" si="8"/>
        <v>6</v>
      </c>
      <c r="F14" s="122" t="s">
        <v>430</v>
      </c>
      <c r="G14" s="188">
        <v>20</v>
      </c>
      <c r="H14" s="223">
        <v>10</v>
      </c>
      <c r="I14" s="422">
        <v>0</v>
      </c>
      <c r="J14" s="89">
        <f t="shared" si="9"/>
        <v>30</v>
      </c>
      <c r="K14" s="574" t="s">
        <v>510</v>
      </c>
      <c r="L14" s="526" t="s">
        <v>29</v>
      </c>
      <c r="M14" s="527"/>
      <c r="N14" s="528"/>
      <c r="O14" s="520" t="s">
        <v>634</v>
      </c>
      <c r="P14" s="521"/>
      <c r="Q14" s="522"/>
      <c r="R14" s="520" t="s">
        <v>863</v>
      </c>
      <c r="S14" s="521"/>
      <c r="T14" s="522"/>
      <c r="U14" s="512" t="s">
        <v>621</v>
      </c>
      <c r="V14" s="513"/>
      <c r="W14" s="514"/>
      <c r="X14" s="230"/>
      <c r="Y14" s="100"/>
      <c r="Z14" s="100"/>
      <c r="AB14" s="276"/>
      <c r="AC14" s="512" t="s">
        <v>448</v>
      </c>
      <c r="AD14" s="513"/>
      <c r="AE14" s="514"/>
      <c r="AF14" s="512" t="s">
        <v>178</v>
      </c>
      <c r="AG14" s="513"/>
      <c r="AH14" s="514"/>
      <c r="AI14" s="512" t="s">
        <v>122</v>
      </c>
      <c r="AJ14" s="513"/>
      <c r="AK14" s="514"/>
      <c r="AL14" s="512" t="s">
        <v>113</v>
      </c>
      <c r="AM14" s="513"/>
      <c r="AN14" s="514"/>
      <c r="AO14" s="512" t="s">
        <v>85</v>
      </c>
      <c r="AP14" s="513"/>
      <c r="AQ14" s="514"/>
    </row>
    <row r="15" spans="1:52" ht="14.95" customHeight="1" thickBot="1" x14ac:dyDescent="0.3">
      <c r="A15" s="121" t="s">
        <v>814</v>
      </c>
      <c r="B15" s="186">
        <v>1</v>
      </c>
      <c r="C15" s="221">
        <v>0</v>
      </c>
      <c r="D15" s="420">
        <v>0</v>
      </c>
      <c r="E15" s="120">
        <f t="shared" si="8"/>
        <v>1</v>
      </c>
      <c r="F15" s="122" t="s">
        <v>814</v>
      </c>
      <c r="G15" s="188">
        <v>5</v>
      </c>
      <c r="H15" s="223">
        <v>0</v>
      </c>
      <c r="I15" s="422">
        <v>0</v>
      </c>
      <c r="J15" s="89">
        <f t="shared" si="9"/>
        <v>5</v>
      </c>
      <c r="K15" s="575"/>
      <c r="L15" s="529"/>
      <c r="M15" s="530"/>
      <c r="N15" s="531"/>
      <c r="O15" s="523"/>
      <c r="P15" s="524"/>
      <c r="Q15" s="525"/>
      <c r="R15" s="523"/>
      <c r="S15" s="524"/>
      <c r="T15" s="525"/>
      <c r="U15" s="515"/>
      <c r="V15" s="516"/>
      <c r="W15" s="517"/>
      <c r="X15" s="230"/>
      <c r="Y15" s="100"/>
      <c r="Z15" s="100"/>
      <c r="AB15" s="276"/>
      <c r="AC15" s="515"/>
      <c r="AD15" s="516"/>
      <c r="AE15" s="517"/>
      <c r="AF15" s="515"/>
      <c r="AG15" s="516"/>
      <c r="AH15" s="517"/>
      <c r="AI15" s="515"/>
      <c r="AJ15" s="516"/>
      <c r="AK15" s="517"/>
      <c r="AL15" s="515"/>
      <c r="AM15" s="516"/>
      <c r="AN15" s="517"/>
      <c r="AO15" s="515"/>
      <c r="AP15" s="516"/>
      <c r="AQ15" s="517"/>
    </row>
    <row r="16" spans="1:52" ht="14.95" customHeight="1" thickBot="1" x14ac:dyDescent="0.3">
      <c r="A16" s="121" t="s">
        <v>421</v>
      </c>
      <c r="B16" s="186">
        <v>3</v>
      </c>
      <c r="C16" s="221">
        <v>0</v>
      </c>
      <c r="D16" s="420">
        <v>0</v>
      </c>
      <c r="E16" s="120">
        <f t="shared" si="8"/>
        <v>3</v>
      </c>
      <c r="F16" s="122" t="s">
        <v>421</v>
      </c>
      <c r="G16" s="188">
        <v>72</v>
      </c>
      <c r="H16" s="223">
        <v>41</v>
      </c>
      <c r="I16" s="422">
        <v>10</v>
      </c>
      <c r="J16" s="89">
        <f t="shared" si="9"/>
        <v>123</v>
      </c>
      <c r="K16" s="395" t="s">
        <v>44</v>
      </c>
      <c r="L16" s="3" t="s">
        <v>107</v>
      </c>
      <c r="M16" s="3" t="s">
        <v>23</v>
      </c>
      <c r="N16" s="3" t="s">
        <v>24</v>
      </c>
      <c r="O16" s="7" t="s">
        <v>107</v>
      </c>
      <c r="P16" s="7" t="s">
        <v>23</v>
      </c>
      <c r="Q16" s="7" t="s">
        <v>24</v>
      </c>
      <c r="R16" s="7" t="s">
        <v>107</v>
      </c>
      <c r="S16" s="7" t="s">
        <v>23</v>
      </c>
      <c r="T16" s="7" t="s">
        <v>24</v>
      </c>
      <c r="U16" s="98" t="s">
        <v>107</v>
      </c>
      <c r="V16" s="93" t="s">
        <v>23</v>
      </c>
      <c r="W16" s="93" t="s">
        <v>24</v>
      </c>
      <c r="X16" s="107"/>
      <c r="AB16" s="276"/>
      <c r="AC16" s="98" t="s">
        <v>107</v>
      </c>
      <c r="AD16" s="93" t="s">
        <v>23</v>
      </c>
      <c r="AE16" s="93" t="s">
        <v>24</v>
      </c>
      <c r="AF16" s="98" t="s">
        <v>107</v>
      </c>
      <c r="AG16" s="93" t="s">
        <v>23</v>
      </c>
      <c r="AH16" s="93" t="s">
        <v>24</v>
      </c>
      <c r="AI16" s="98" t="s">
        <v>107</v>
      </c>
      <c r="AJ16" s="93" t="s">
        <v>23</v>
      </c>
      <c r="AK16" s="93" t="s">
        <v>24</v>
      </c>
      <c r="AL16" s="98" t="s">
        <v>107</v>
      </c>
      <c r="AM16" s="93" t="s">
        <v>23</v>
      </c>
      <c r="AN16" s="93" t="s">
        <v>24</v>
      </c>
      <c r="AO16" s="114" t="s">
        <v>107</v>
      </c>
      <c r="AP16" s="116" t="s">
        <v>23</v>
      </c>
      <c r="AQ16" s="116" t="s">
        <v>24</v>
      </c>
    </row>
    <row r="17" spans="1:45" ht="14.95" customHeight="1" thickBot="1" x14ac:dyDescent="0.3">
      <c r="A17" s="121" t="s">
        <v>809</v>
      </c>
      <c r="B17" s="186">
        <v>0</v>
      </c>
      <c r="C17" s="221">
        <v>0</v>
      </c>
      <c r="D17" s="420">
        <v>0</v>
      </c>
      <c r="E17" s="120">
        <f t="shared" si="8"/>
        <v>0</v>
      </c>
      <c r="F17" s="122" t="s">
        <v>809</v>
      </c>
      <c r="G17" s="188">
        <v>0</v>
      </c>
      <c r="H17" s="223">
        <v>0</v>
      </c>
      <c r="I17" s="422">
        <v>0</v>
      </c>
      <c r="J17" s="89">
        <f t="shared" si="9"/>
        <v>0</v>
      </c>
      <c r="K17" s="121" t="s">
        <v>114</v>
      </c>
      <c r="L17" s="125">
        <v>7</v>
      </c>
      <c r="M17" s="125">
        <v>7</v>
      </c>
      <c r="N17" s="126">
        <f t="shared" ref="N17" si="18">SUM(L17/M17)*100</f>
        <v>100</v>
      </c>
      <c r="O17" s="7">
        <v>17</v>
      </c>
      <c r="P17" s="7">
        <v>20</v>
      </c>
      <c r="Q17" s="206">
        <f t="shared" ref="Q17" si="19">SUM(O17/P17)*100</f>
        <v>85</v>
      </c>
      <c r="R17" s="7">
        <v>9</v>
      </c>
      <c r="S17" s="7">
        <v>12</v>
      </c>
      <c r="T17" s="206">
        <f t="shared" ref="T17" si="20">SUM(R17/S17)*100</f>
        <v>75</v>
      </c>
      <c r="U17" s="201" t="s">
        <v>30</v>
      </c>
      <c r="V17" s="7" t="s">
        <v>30</v>
      </c>
      <c r="W17" s="7" t="s">
        <v>30</v>
      </c>
      <c r="X17" s="107"/>
      <c r="AB17" s="276"/>
      <c r="AC17" s="201" t="s">
        <v>30</v>
      </c>
      <c r="AD17" s="7" t="s">
        <v>30</v>
      </c>
      <c r="AE17" s="7" t="s">
        <v>30</v>
      </c>
      <c r="AF17" s="201">
        <v>8</v>
      </c>
      <c r="AG17" s="7">
        <v>10</v>
      </c>
      <c r="AH17" s="206">
        <f>SUM(AF17/AG17)*100</f>
        <v>80</v>
      </c>
      <c r="AI17" s="6" t="s">
        <v>30</v>
      </c>
      <c r="AJ17" s="7" t="s">
        <v>30</v>
      </c>
      <c r="AK17" s="7" t="s">
        <v>30</v>
      </c>
      <c r="AL17" s="201">
        <v>7</v>
      </c>
      <c r="AM17" s="7">
        <v>8</v>
      </c>
      <c r="AN17" s="206">
        <f>SUM(AL17/AM17)*100</f>
        <v>87.5</v>
      </c>
      <c r="AO17" s="201" t="s">
        <v>30</v>
      </c>
      <c r="AP17" s="7" t="s">
        <v>30</v>
      </c>
      <c r="AQ17" s="7" t="s">
        <v>30</v>
      </c>
      <c r="AR17" s="94"/>
      <c r="AS17" s="94"/>
    </row>
    <row r="18" spans="1:45" ht="14.95" customHeight="1" thickBot="1" x14ac:dyDescent="0.3">
      <c r="A18" s="121" t="s">
        <v>1060</v>
      </c>
      <c r="B18" s="186">
        <v>0</v>
      </c>
      <c r="C18" s="221">
        <v>0</v>
      </c>
      <c r="D18" s="420">
        <v>2</v>
      </c>
      <c r="E18" s="120">
        <f t="shared" si="8"/>
        <v>2</v>
      </c>
      <c r="F18" s="122" t="s">
        <v>1060</v>
      </c>
      <c r="G18" s="188">
        <v>0</v>
      </c>
      <c r="H18" s="223">
        <v>0</v>
      </c>
      <c r="I18" s="422">
        <v>10</v>
      </c>
      <c r="J18" s="89">
        <f t="shared" si="9"/>
        <v>10</v>
      </c>
      <c r="K18" s="121" t="s">
        <v>242</v>
      </c>
      <c r="L18" s="125" t="s">
        <v>30</v>
      </c>
      <c r="M18" s="125" t="s">
        <v>30</v>
      </c>
      <c r="N18" s="126" t="s">
        <v>30</v>
      </c>
      <c r="O18" s="7" t="s">
        <v>30</v>
      </c>
      <c r="P18" s="7" t="s">
        <v>30</v>
      </c>
      <c r="Q18" s="206" t="s">
        <v>30</v>
      </c>
      <c r="R18" s="7">
        <v>1</v>
      </c>
      <c r="S18" s="7">
        <v>1</v>
      </c>
      <c r="T18" s="206">
        <v>100</v>
      </c>
      <c r="U18" s="201" t="s">
        <v>30</v>
      </c>
      <c r="V18" s="7" t="s">
        <v>30</v>
      </c>
      <c r="W18" s="7" t="s">
        <v>30</v>
      </c>
      <c r="X18" s="107"/>
      <c r="AB18" s="276"/>
      <c r="AC18" s="201" t="s">
        <v>30</v>
      </c>
      <c r="AD18" s="7" t="s">
        <v>30</v>
      </c>
      <c r="AE18" s="7" t="s">
        <v>30</v>
      </c>
      <c r="AF18" s="201" t="s">
        <v>30</v>
      </c>
      <c r="AG18" s="7" t="s">
        <v>30</v>
      </c>
      <c r="AH18" s="7" t="s">
        <v>30</v>
      </c>
      <c r="AI18" s="6" t="s">
        <v>30</v>
      </c>
      <c r="AJ18" s="7" t="s">
        <v>30</v>
      </c>
      <c r="AK18" s="7" t="s">
        <v>30</v>
      </c>
      <c r="AL18" s="6" t="s">
        <v>30</v>
      </c>
      <c r="AM18" s="7" t="s">
        <v>30</v>
      </c>
      <c r="AN18" s="7" t="s">
        <v>30</v>
      </c>
      <c r="AO18" s="6" t="s">
        <v>30</v>
      </c>
      <c r="AP18" s="7" t="s">
        <v>30</v>
      </c>
      <c r="AQ18" s="7" t="s">
        <v>30</v>
      </c>
      <c r="AR18" s="94"/>
      <c r="AS18" s="94"/>
    </row>
    <row r="19" spans="1:45" ht="14.95" customHeight="1" thickBot="1" x14ac:dyDescent="0.3">
      <c r="A19" s="121" t="s">
        <v>470</v>
      </c>
      <c r="B19" s="186">
        <v>1</v>
      </c>
      <c r="C19" s="221">
        <v>0</v>
      </c>
      <c r="D19" s="420">
        <v>1</v>
      </c>
      <c r="E19" s="120">
        <f t="shared" si="8"/>
        <v>2</v>
      </c>
      <c r="F19" s="122" t="s">
        <v>470</v>
      </c>
      <c r="G19" s="188">
        <v>5</v>
      </c>
      <c r="H19" s="223">
        <v>0</v>
      </c>
      <c r="I19" s="422">
        <v>5</v>
      </c>
      <c r="J19" s="89">
        <f t="shared" si="9"/>
        <v>10</v>
      </c>
      <c r="K19" s="121" t="s">
        <v>151</v>
      </c>
      <c r="L19" s="125" t="s">
        <v>30</v>
      </c>
      <c r="M19" s="125" t="s">
        <v>30</v>
      </c>
      <c r="N19" s="126" t="s">
        <v>30</v>
      </c>
      <c r="O19" s="7" t="s">
        <v>30</v>
      </c>
      <c r="P19" s="7" t="s">
        <v>30</v>
      </c>
      <c r="Q19" s="206" t="s">
        <v>30</v>
      </c>
      <c r="R19" s="7" t="s">
        <v>30</v>
      </c>
      <c r="S19" s="7" t="s">
        <v>30</v>
      </c>
      <c r="T19" s="206" t="s">
        <v>30</v>
      </c>
      <c r="U19" s="201" t="s">
        <v>30</v>
      </c>
      <c r="V19" s="7" t="s">
        <v>30</v>
      </c>
      <c r="W19" s="7" t="s">
        <v>30</v>
      </c>
      <c r="X19" s="107"/>
      <c r="AB19" s="276"/>
      <c r="AC19" s="201" t="s">
        <v>30</v>
      </c>
      <c r="AD19" s="7" t="s">
        <v>30</v>
      </c>
      <c r="AE19" s="7" t="s">
        <v>30</v>
      </c>
      <c r="AF19" s="201" t="s">
        <v>30</v>
      </c>
      <c r="AG19" s="7" t="s">
        <v>30</v>
      </c>
      <c r="AH19" s="7" t="s">
        <v>30</v>
      </c>
      <c r="AI19" s="201" t="s">
        <v>30</v>
      </c>
      <c r="AJ19" s="7" t="s">
        <v>30</v>
      </c>
      <c r="AK19" s="7" t="s">
        <v>30</v>
      </c>
      <c r="AL19" s="6" t="s">
        <v>30</v>
      </c>
      <c r="AM19" s="7" t="s">
        <v>30</v>
      </c>
      <c r="AN19" s="7" t="s">
        <v>30</v>
      </c>
      <c r="AO19" s="201" t="s">
        <v>30</v>
      </c>
      <c r="AP19" s="7" t="s">
        <v>30</v>
      </c>
      <c r="AQ19" s="7" t="s">
        <v>30</v>
      </c>
      <c r="AR19" s="94"/>
      <c r="AS19" s="94"/>
    </row>
    <row r="20" spans="1:45" ht="14.95" customHeight="1" thickBot="1" x14ac:dyDescent="0.3">
      <c r="A20" s="121" t="s">
        <v>40</v>
      </c>
      <c r="B20" s="186">
        <v>1</v>
      </c>
      <c r="C20" s="221">
        <v>0</v>
      </c>
      <c r="D20" s="420">
        <v>0</v>
      </c>
      <c r="E20" s="120">
        <f t="shared" si="8"/>
        <v>1</v>
      </c>
      <c r="F20" s="122" t="s">
        <v>40</v>
      </c>
      <c r="G20" s="188">
        <v>5</v>
      </c>
      <c r="H20" s="223">
        <v>0</v>
      </c>
      <c r="I20" s="422">
        <v>0</v>
      </c>
      <c r="J20" s="89">
        <f t="shared" si="9"/>
        <v>5</v>
      </c>
      <c r="K20" s="121" t="s">
        <v>421</v>
      </c>
      <c r="L20" s="125">
        <v>17</v>
      </c>
      <c r="M20" s="125">
        <v>22</v>
      </c>
      <c r="N20" s="126">
        <f t="shared" ref="N20" si="21">SUM(L20/M20)*100</f>
        <v>77.272727272727266</v>
      </c>
      <c r="O20" s="7">
        <v>2</v>
      </c>
      <c r="P20" s="7">
        <v>3</v>
      </c>
      <c r="Q20" s="206">
        <f t="shared" ref="Q20" si="22">SUM(O20/P20)*100</f>
        <v>66.666666666666657</v>
      </c>
      <c r="R20" s="7">
        <v>2</v>
      </c>
      <c r="S20" s="7">
        <v>4</v>
      </c>
      <c r="T20" s="206">
        <v>50</v>
      </c>
      <c r="U20" s="201" t="s">
        <v>30</v>
      </c>
      <c r="V20" s="7" t="s">
        <v>30</v>
      </c>
      <c r="W20" s="7" t="s">
        <v>30</v>
      </c>
      <c r="X20" s="107"/>
      <c r="AB20" s="276"/>
      <c r="AC20" s="201" t="s">
        <v>30</v>
      </c>
      <c r="AD20" s="7" t="s">
        <v>30</v>
      </c>
      <c r="AE20" s="7" t="s">
        <v>30</v>
      </c>
      <c r="AF20" s="201" t="s">
        <v>30</v>
      </c>
      <c r="AG20" s="7" t="s">
        <v>30</v>
      </c>
      <c r="AH20" s="7" t="s">
        <v>30</v>
      </c>
      <c r="AI20" s="6" t="s">
        <v>30</v>
      </c>
      <c r="AJ20" s="7" t="s">
        <v>30</v>
      </c>
      <c r="AK20" s="7" t="s">
        <v>30</v>
      </c>
      <c r="AL20" s="6" t="s">
        <v>30</v>
      </c>
      <c r="AM20" s="7" t="s">
        <v>30</v>
      </c>
      <c r="AN20" s="7" t="s">
        <v>30</v>
      </c>
      <c r="AO20" s="7" t="s">
        <v>30</v>
      </c>
      <c r="AP20" s="7" t="s">
        <v>30</v>
      </c>
      <c r="AQ20" s="7" t="s">
        <v>30</v>
      </c>
      <c r="AR20" s="94"/>
      <c r="AS20" s="94"/>
    </row>
    <row r="21" spans="1:45" ht="14.95" customHeight="1" thickBot="1" x14ac:dyDescent="0.3">
      <c r="A21" s="121" t="s">
        <v>1198</v>
      </c>
      <c r="B21" s="186">
        <v>0</v>
      </c>
      <c r="C21" s="221">
        <v>0</v>
      </c>
      <c r="D21" s="420">
        <v>1</v>
      </c>
      <c r="E21" s="120">
        <f t="shared" si="8"/>
        <v>1</v>
      </c>
      <c r="F21" s="122" t="s">
        <v>1198</v>
      </c>
      <c r="G21" s="188">
        <v>0</v>
      </c>
      <c r="H21" s="223">
        <v>0</v>
      </c>
      <c r="I21" s="422">
        <v>5</v>
      </c>
      <c r="J21" s="89">
        <f t="shared" si="9"/>
        <v>5</v>
      </c>
      <c r="K21" s="121" t="s">
        <v>7</v>
      </c>
      <c r="L21" s="125" t="s">
        <v>30</v>
      </c>
      <c r="M21" s="125" t="s">
        <v>30</v>
      </c>
      <c r="N21" s="126" t="s">
        <v>30</v>
      </c>
      <c r="O21" s="7" t="s">
        <v>30</v>
      </c>
      <c r="P21" s="7" t="s">
        <v>30</v>
      </c>
      <c r="Q21" s="206" t="s">
        <v>30</v>
      </c>
      <c r="R21" s="7">
        <v>2</v>
      </c>
      <c r="S21" s="7">
        <v>2</v>
      </c>
      <c r="T21" s="206">
        <v>50</v>
      </c>
      <c r="U21" s="201" t="s">
        <v>30</v>
      </c>
      <c r="V21" s="7" t="s">
        <v>30</v>
      </c>
      <c r="W21" s="7" t="s">
        <v>30</v>
      </c>
      <c r="X21" s="107"/>
      <c r="AB21" s="276"/>
      <c r="AC21" s="201" t="s">
        <v>30</v>
      </c>
      <c r="AD21" s="7" t="s">
        <v>30</v>
      </c>
      <c r="AE21" s="7" t="s">
        <v>30</v>
      </c>
      <c r="AF21" s="201" t="s">
        <v>30</v>
      </c>
      <c r="AG21" s="7" t="s">
        <v>30</v>
      </c>
      <c r="AH21" s="7" t="s">
        <v>30</v>
      </c>
      <c r="AI21" s="6" t="s">
        <v>30</v>
      </c>
      <c r="AJ21" s="7" t="s">
        <v>30</v>
      </c>
      <c r="AK21" s="7" t="s">
        <v>30</v>
      </c>
      <c r="AL21" s="6" t="s">
        <v>30</v>
      </c>
      <c r="AM21" s="7" t="s">
        <v>30</v>
      </c>
      <c r="AN21" s="7" t="s">
        <v>30</v>
      </c>
      <c r="AO21" s="7" t="s">
        <v>30</v>
      </c>
      <c r="AP21" s="7" t="s">
        <v>30</v>
      </c>
      <c r="AQ21" s="7" t="s">
        <v>30</v>
      </c>
      <c r="AR21" s="94"/>
      <c r="AS21" s="94"/>
    </row>
    <row r="22" spans="1:45" ht="14.95" customHeight="1" thickBot="1" x14ac:dyDescent="0.3">
      <c r="A22" s="121" t="s">
        <v>166</v>
      </c>
      <c r="B22" s="186">
        <v>2</v>
      </c>
      <c r="C22" s="221">
        <v>0</v>
      </c>
      <c r="D22" s="420">
        <v>0</v>
      </c>
      <c r="E22" s="120">
        <f t="shared" si="8"/>
        <v>2</v>
      </c>
      <c r="F22" s="122" t="s">
        <v>167</v>
      </c>
      <c r="G22" s="188">
        <v>10</v>
      </c>
      <c r="H22" s="223">
        <v>0</v>
      </c>
      <c r="I22" s="422">
        <v>0</v>
      </c>
      <c r="J22" s="89">
        <f t="shared" si="9"/>
        <v>10</v>
      </c>
      <c r="K22" s="121" t="s">
        <v>150</v>
      </c>
      <c r="L22" s="125" t="s">
        <v>30</v>
      </c>
      <c r="M22" s="125" t="s">
        <v>30</v>
      </c>
      <c r="N22" s="126" t="s">
        <v>30</v>
      </c>
      <c r="O22" s="7" t="s">
        <v>30</v>
      </c>
      <c r="P22" s="7" t="s">
        <v>30</v>
      </c>
      <c r="Q22" s="206" t="s">
        <v>30</v>
      </c>
      <c r="R22" s="7" t="s">
        <v>30</v>
      </c>
      <c r="S22" s="7" t="s">
        <v>30</v>
      </c>
      <c r="T22" s="206" t="s">
        <v>30</v>
      </c>
      <c r="U22" s="201" t="s">
        <v>30</v>
      </c>
      <c r="V22" s="7" t="s">
        <v>30</v>
      </c>
      <c r="W22" s="7" t="s">
        <v>30</v>
      </c>
      <c r="X22" s="107"/>
      <c r="AB22" s="276"/>
      <c r="AC22" s="201" t="s">
        <v>30</v>
      </c>
      <c r="AD22" s="7" t="s">
        <v>30</v>
      </c>
      <c r="AE22" s="7" t="s">
        <v>30</v>
      </c>
      <c r="AF22" s="201" t="s">
        <v>30</v>
      </c>
      <c r="AG22" s="7" t="s">
        <v>30</v>
      </c>
      <c r="AH22" s="7" t="s">
        <v>30</v>
      </c>
      <c r="AI22" s="201" t="s">
        <v>30</v>
      </c>
      <c r="AJ22" s="7" t="s">
        <v>30</v>
      </c>
      <c r="AK22" s="7" t="s">
        <v>30</v>
      </c>
      <c r="AL22" s="6" t="s">
        <v>30</v>
      </c>
      <c r="AM22" s="7" t="s">
        <v>30</v>
      </c>
      <c r="AN22" s="7" t="s">
        <v>30</v>
      </c>
      <c r="AO22" s="201" t="s">
        <v>30</v>
      </c>
      <c r="AP22" s="7" t="s">
        <v>30</v>
      </c>
      <c r="AQ22" s="7" t="s">
        <v>30</v>
      </c>
      <c r="AR22" s="94"/>
      <c r="AS22" s="94"/>
    </row>
    <row r="23" spans="1:45" ht="14.95" customHeight="1" thickBot="1" x14ac:dyDescent="0.3">
      <c r="A23" s="121" t="s">
        <v>165</v>
      </c>
      <c r="B23" s="186">
        <v>3</v>
      </c>
      <c r="C23" s="221">
        <v>0</v>
      </c>
      <c r="D23" s="420">
        <v>0</v>
      </c>
      <c r="E23" s="120">
        <f t="shared" si="8"/>
        <v>3</v>
      </c>
      <c r="F23" s="122" t="s">
        <v>165</v>
      </c>
      <c r="G23" s="188">
        <v>15</v>
      </c>
      <c r="H23" s="223">
        <v>0</v>
      </c>
      <c r="I23" s="422">
        <v>0</v>
      </c>
      <c r="J23" s="89">
        <f t="shared" si="9"/>
        <v>15</v>
      </c>
      <c r="AF23" s="95" t="s">
        <v>44</v>
      </c>
      <c r="AG23" s="95" t="s">
        <v>44</v>
      </c>
    </row>
    <row r="24" spans="1:45" ht="14.95" customHeight="1" thickBot="1" x14ac:dyDescent="0.3">
      <c r="A24" s="121" t="s">
        <v>152</v>
      </c>
      <c r="B24" s="186">
        <v>0</v>
      </c>
      <c r="C24" s="221">
        <v>0</v>
      </c>
      <c r="D24" s="420">
        <v>0</v>
      </c>
      <c r="E24" s="120">
        <f t="shared" si="8"/>
        <v>0</v>
      </c>
      <c r="F24" s="122" t="s">
        <v>152</v>
      </c>
      <c r="G24" s="188">
        <v>0</v>
      </c>
      <c r="H24" s="223">
        <v>0</v>
      </c>
      <c r="I24" s="422">
        <v>0</v>
      </c>
      <c r="J24" s="89">
        <f t="shared" si="9"/>
        <v>0</v>
      </c>
      <c r="K24" s="603" t="s">
        <v>511</v>
      </c>
      <c r="L24" s="520" t="s">
        <v>29</v>
      </c>
      <c r="M24" s="521"/>
      <c r="N24" s="522"/>
      <c r="O24" s="520" t="s">
        <v>634</v>
      </c>
      <c r="P24" s="521"/>
      <c r="Q24" s="522"/>
      <c r="R24" s="520" t="s">
        <v>863</v>
      </c>
      <c r="S24" s="521"/>
      <c r="T24" s="522"/>
      <c r="U24" s="512" t="s">
        <v>621</v>
      </c>
      <c r="V24" s="513"/>
      <c r="W24" s="514"/>
      <c r="X24" s="230"/>
      <c r="Y24" s="100"/>
      <c r="Z24" s="100"/>
      <c r="AA24" s="109"/>
      <c r="AB24" s="327"/>
      <c r="AC24" s="512" t="s">
        <v>448</v>
      </c>
      <c r="AD24" s="513"/>
      <c r="AE24" s="514"/>
      <c r="AF24" s="512" t="s">
        <v>178</v>
      </c>
      <c r="AG24" s="513"/>
      <c r="AH24" s="514"/>
      <c r="AI24" s="512" t="s">
        <v>122</v>
      </c>
      <c r="AJ24" s="513"/>
      <c r="AK24" s="514"/>
      <c r="AL24" s="512" t="s">
        <v>113</v>
      </c>
      <c r="AM24" s="513"/>
      <c r="AN24" s="514"/>
      <c r="AO24" s="512" t="s">
        <v>85</v>
      </c>
      <c r="AP24" s="513"/>
      <c r="AQ24" s="514"/>
    </row>
    <row r="25" spans="1:45" ht="14.95" customHeight="1" thickBot="1" x14ac:dyDescent="0.3">
      <c r="A25" s="121" t="s">
        <v>123</v>
      </c>
      <c r="B25" s="186">
        <v>4</v>
      </c>
      <c r="C25" s="221">
        <v>1</v>
      </c>
      <c r="D25" s="420">
        <v>1</v>
      </c>
      <c r="E25" s="120">
        <f t="shared" si="8"/>
        <v>6</v>
      </c>
      <c r="F25" s="122" t="s">
        <v>123</v>
      </c>
      <c r="G25" s="188">
        <v>20</v>
      </c>
      <c r="H25" s="223">
        <v>5</v>
      </c>
      <c r="I25" s="422">
        <v>5</v>
      </c>
      <c r="J25" s="89">
        <f t="shared" si="9"/>
        <v>30</v>
      </c>
      <c r="K25" s="604"/>
      <c r="L25" s="523"/>
      <c r="M25" s="524"/>
      <c r="N25" s="525"/>
      <c r="O25" s="523"/>
      <c r="P25" s="524"/>
      <c r="Q25" s="525"/>
      <c r="R25" s="523"/>
      <c r="S25" s="524"/>
      <c r="T25" s="525"/>
      <c r="U25" s="515"/>
      <c r="V25" s="516"/>
      <c r="W25" s="517"/>
      <c r="X25" s="230"/>
      <c r="Y25" s="100"/>
      <c r="Z25" s="100"/>
      <c r="AA25" s="109"/>
      <c r="AB25" s="327"/>
      <c r="AC25" s="515"/>
      <c r="AD25" s="516"/>
      <c r="AE25" s="517"/>
      <c r="AF25" s="515"/>
      <c r="AG25" s="516"/>
      <c r="AH25" s="517"/>
      <c r="AI25" s="515"/>
      <c r="AJ25" s="516"/>
      <c r="AK25" s="517"/>
      <c r="AL25" s="515"/>
      <c r="AM25" s="516"/>
      <c r="AN25" s="517"/>
      <c r="AO25" s="515"/>
      <c r="AP25" s="516"/>
      <c r="AQ25" s="517"/>
    </row>
    <row r="26" spans="1:45" ht="14.95" customHeight="1" thickBot="1" x14ac:dyDescent="0.3">
      <c r="A26" s="121" t="s">
        <v>114</v>
      </c>
      <c r="B26" s="186">
        <v>2</v>
      </c>
      <c r="C26" s="221">
        <v>0</v>
      </c>
      <c r="D26" s="420">
        <v>0</v>
      </c>
      <c r="E26" s="120">
        <f t="shared" si="8"/>
        <v>2</v>
      </c>
      <c r="F26" s="122" t="s">
        <v>114</v>
      </c>
      <c r="G26" s="188">
        <v>96</v>
      </c>
      <c r="H26" s="223">
        <v>14</v>
      </c>
      <c r="I26" s="422">
        <v>0</v>
      </c>
      <c r="J26" s="89">
        <f t="shared" si="9"/>
        <v>110</v>
      </c>
      <c r="K26" s="398" t="s">
        <v>44</v>
      </c>
      <c r="L26" s="7" t="s">
        <v>107</v>
      </c>
      <c r="M26" s="7" t="s">
        <v>23</v>
      </c>
      <c r="N26" s="7" t="s">
        <v>24</v>
      </c>
      <c r="O26" s="7" t="s">
        <v>107</v>
      </c>
      <c r="P26" s="7" t="s">
        <v>23</v>
      </c>
      <c r="Q26" s="7" t="s">
        <v>24</v>
      </c>
      <c r="R26" s="7" t="s">
        <v>107</v>
      </c>
      <c r="S26" s="7" t="s">
        <v>23</v>
      </c>
      <c r="T26" s="7" t="s">
        <v>24</v>
      </c>
      <c r="U26" s="98" t="s">
        <v>107</v>
      </c>
      <c r="V26" s="93" t="s">
        <v>23</v>
      </c>
      <c r="W26" s="93" t="s">
        <v>24</v>
      </c>
      <c r="X26" s="108"/>
      <c r="Y26" s="109"/>
      <c r="Z26" s="109"/>
      <c r="AA26" s="109"/>
      <c r="AB26" s="327"/>
      <c r="AC26" s="98" t="s">
        <v>107</v>
      </c>
      <c r="AD26" s="93" t="s">
        <v>23</v>
      </c>
      <c r="AE26" s="93" t="s">
        <v>24</v>
      </c>
      <c r="AF26" s="98" t="s">
        <v>107</v>
      </c>
      <c r="AG26" s="93" t="s">
        <v>23</v>
      </c>
      <c r="AH26" s="93" t="s">
        <v>24</v>
      </c>
      <c r="AI26" s="98" t="s">
        <v>107</v>
      </c>
      <c r="AJ26" s="93" t="s">
        <v>23</v>
      </c>
      <c r="AK26" s="93" t="s">
        <v>24</v>
      </c>
      <c r="AL26" s="98" t="s">
        <v>107</v>
      </c>
      <c r="AM26" s="93" t="s">
        <v>23</v>
      </c>
      <c r="AN26" s="93" t="s">
        <v>24</v>
      </c>
      <c r="AO26" s="114" t="s">
        <v>107</v>
      </c>
      <c r="AP26" s="116" t="s">
        <v>23</v>
      </c>
      <c r="AQ26" s="116" t="s">
        <v>24</v>
      </c>
    </row>
    <row r="27" spans="1:45" ht="14.95" customHeight="1" thickBot="1" x14ac:dyDescent="0.3">
      <c r="A27" s="121" t="s">
        <v>59</v>
      </c>
      <c r="B27" s="186">
        <v>1</v>
      </c>
      <c r="C27" s="221">
        <v>0</v>
      </c>
      <c r="D27" s="420">
        <v>0</v>
      </c>
      <c r="E27" s="120">
        <f t="shared" si="8"/>
        <v>1</v>
      </c>
      <c r="F27" s="122" t="s">
        <v>59</v>
      </c>
      <c r="G27" s="188">
        <v>5</v>
      </c>
      <c r="H27" s="223">
        <v>0</v>
      </c>
      <c r="I27" s="422">
        <v>0</v>
      </c>
      <c r="J27" s="89">
        <f t="shared" si="9"/>
        <v>5</v>
      </c>
      <c r="K27" s="121" t="s">
        <v>114</v>
      </c>
      <c r="L27" s="7" t="s">
        <v>30</v>
      </c>
      <c r="M27" s="7" t="s">
        <v>30</v>
      </c>
      <c r="N27" s="206" t="s">
        <v>30</v>
      </c>
      <c r="O27" s="7" t="s">
        <v>30</v>
      </c>
      <c r="P27" s="7" t="s">
        <v>30</v>
      </c>
      <c r="Q27" s="206" t="s">
        <v>30</v>
      </c>
      <c r="R27" s="7">
        <v>17</v>
      </c>
      <c r="S27" s="7">
        <v>20</v>
      </c>
      <c r="T27" s="206">
        <f t="shared" ref="T27" si="23">SUM(R27/S27)*100</f>
        <v>85</v>
      </c>
      <c r="U27" s="201">
        <v>4</v>
      </c>
      <c r="V27" s="7">
        <v>4</v>
      </c>
      <c r="W27" s="7">
        <v>100</v>
      </c>
      <c r="X27" s="108"/>
      <c r="Y27" s="109"/>
      <c r="Z27" s="109"/>
      <c r="AA27" s="109"/>
      <c r="AB27" s="327"/>
      <c r="AC27" s="201">
        <v>5</v>
      </c>
      <c r="AD27" s="7">
        <v>6</v>
      </c>
      <c r="AE27" s="206">
        <f t="shared" ref="AE27" si="24">SUM(AC27/AD27)*100</f>
        <v>83.333333333333343</v>
      </c>
      <c r="AF27" s="201" t="s">
        <v>30</v>
      </c>
      <c r="AG27" s="7" t="s">
        <v>30</v>
      </c>
      <c r="AH27" s="7" t="s">
        <v>30</v>
      </c>
      <c r="AI27" s="6">
        <v>6</v>
      </c>
      <c r="AJ27" s="7">
        <v>16</v>
      </c>
      <c r="AK27" s="206">
        <f>SUM(AI27/AJ27)*100</f>
        <v>37.5</v>
      </c>
      <c r="AL27" s="6" t="s">
        <v>30</v>
      </c>
      <c r="AM27" s="7" t="s">
        <v>30</v>
      </c>
      <c r="AN27" s="7" t="s">
        <v>30</v>
      </c>
      <c r="AO27" s="201" t="s">
        <v>30</v>
      </c>
      <c r="AP27" s="7" t="s">
        <v>30</v>
      </c>
      <c r="AQ27" s="7" t="s">
        <v>30</v>
      </c>
      <c r="AR27" s="94"/>
      <c r="AS27" s="94"/>
    </row>
    <row r="28" spans="1:45" ht="14.95" customHeight="1" thickBot="1" x14ac:dyDescent="0.3">
      <c r="A28" s="121" t="s">
        <v>1083</v>
      </c>
      <c r="B28" s="186">
        <v>0</v>
      </c>
      <c r="C28" s="221">
        <v>1</v>
      </c>
      <c r="D28" s="420">
        <v>3</v>
      </c>
      <c r="E28" s="120">
        <f t="shared" si="8"/>
        <v>4</v>
      </c>
      <c r="F28" s="122" t="s">
        <v>1083</v>
      </c>
      <c r="G28" s="188">
        <v>0</v>
      </c>
      <c r="H28" s="223">
        <v>5</v>
      </c>
      <c r="I28" s="422">
        <v>15</v>
      </c>
      <c r="J28" s="89">
        <f t="shared" si="9"/>
        <v>20</v>
      </c>
      <c r="K28" s="121" t="s">
        <v>242</v>
      </c>
      <c r="L28" s="7" t="s">
        <v>30</v>
      </c>
      <c r="M28" s="7" t="s">
        <v>30</v>
      </c>
      <c r="N28" s="206" t="s">
        <v>30</v>
      </c>
      <c r="O28" s="7" t="s">
        <v>30</v>
      </c>
      <c r="P28" s="7" t="s">
        <v>30</v>
      </c>
      <c r="Q28" s="206" t="s">
        <v>30</v>
      </c>
      <c r="R28" s="7" t="s">
        <v>30</v>
      </c>
      <c r="S28" s="7" t="s">
        <v>30</v>
      </c>
      <c r="T28" s="206" t="s">
        <v>30</v>
      </c>
      <c r="U28" s="201" t="s">
        <v>30</v>
      </c>
      <c r="V28" s="7" t="s">
        <v>30</v>
      </c>
      <c r="W28" s="7" t="s">
        <v>30</v>
      </c>
      <c r="X28" s="108"/>
      <c r="Y28" s="109"/>
      <c r="Z28" s="109"/>
      <c r="AA28" s="109"/>
      <c r="AB28" s="327"/>
      <c r="AC28" s="201" t="s">
        <v>30</v>
      </c>
      <c r="AD28" s="7" t="s">
        <v>30</v>
      </c>
      <c r="AE28" s="7" t="s">
        <v>30</v>
      </c>
      <c r="AF28" s="201" t="s">
        <v>30</v>
      </c>
      <c r="AG28" s="7" t="s">
        <v>30</v>
      </c>
      <c r="AH28" s="7" t="s">
        <v>30</v>
      </c>
      <c r="AI28" s="6" t="s">
        <v>30</v>
      </c>
      <c r="AJ28" s="7" t="s">
        <v>30</v>
      </c>
      <c r="AK28" s="7" t="s">
        <v>30</v>
      </c>
      <c r="AL28" s="6" t="s">
        <v>30</v>
      </c>
      <c r="AM28" s="7" t="s">
        <v>30</v>
      </c>
      <c r="AN28" s="7" t="s">
        <v>30</v>
      </c>
      <c r="AO28" s="6" t="s">
        <v>30</v>
      </c>
      <c r="AP28" s="7" t="s">
        <v>30</v>
      </c>
      <c r="AQ28" s="7" t="s">
        <v>30</v>
      </c>
      <c r="AR28" s="94"/>
      <c r="AS28" s="94"/>
    </row>
    <row r="29" spans="1:45" ht="14.95" customHeight="1" thickBot="1" x14ac:dyDescent="0.3">
      <c r="A29" s="121" t="s">
        <v>101</v>
      </c>
      <c r="B29" s="186">
        <v>0</v>
      </c>
      <c r="C29" s="221">
        <v>0</v>
      </c>
      <c r="D29" s="420">
        <v>0</v>
      </c>
      <c r="E29" s="120">
        <f t="shared" si="8"/>
        <v>0</v>
      </c>
      <c r="F29" s="122" t="s">
        <v>101</v>
      </c>
      <c r="G29" s="188">
        <v>0</v>
      </c>
      <c r="H29" s="223">
        <v>0</v>
      </c>
      <c r="I29" s="422">
        <v>0</v>
      </c>
      <c r="J29" s="89">
        <f t="shared" si="9"/>
        <v>0</v>
      </c>
      <c r="K29" s="121" t="s">
        <v>151</v>
      </c>
      <c r="L29" s="7" t="s">
        <v>30</v>
      </c>
      <c r="M29" s="7" t="s">
        <v>30</v>
      </c>
      <c r="N29" s="206" t="s">
        <v>30</v>
      </c>
      <c r="O29" s="7" t="s">
        <v>30</v>
      </c>
      <c r="P29" s="7" t="s">
        <v>30</v>
      </c>
      <c r="Q29" s="206" t="s">
        <v>30</v>
      </c>
      <c r="R29" s="7" t="s">
        <v>30</v>
      </c>
      <c r="S29" s="7" t="s">
        <v>30</v>
      </c>
      <c r="T29" s="206" t="s">
        <v>30</v>
      </c>
      <c r="U29" s="201">
        <v>20</v>
      </c>
      <c r="V29" s="7">
        <v>27</v>
      </c>
      <c r="W29" s="206">
        <f t="shared" ref="W29:W30" si="25">SUM(U29/V29)*100</f>
        <v>74.074074074074076</v>
      </c>
      <c r="X29" s="108"/>
      <c r="Y29" s="109"/>
      <c r="Z29" s="109"/>
      <c r="AA29" s="109"/>
      <c r="AB29" s="327"/>
      <c r="AC29" s="201">
        <v>8</v>
      </c>
      <c r="AD29" s="7">
        <v>9</v>
      </c>
      <c r="AE29" s="206">
        <f t="shared" ref="AE29" si="26">SUM(AC29/AD29)*100</f>
        <v>88.888888888888886</v>
      </c>
      <c r="AF29" s="201" t="s">
        <v>30</v>
      </c>
      <c r="AG29" s="7" t="s">
        <v>30</v>
      </c>
      <c r="AH29" s="7" t="s">
        <v>30</v>
      </c>
      <c r="AI29" s="201" t="s">
        <v>30</v>
      </c>
      <c r="AJ29" s="7" t="s">
        <v>30</v>
      </c>
      <c r="AK29" s="7" t="s">
        <v>30</v>
      </c>
      <c r="AL29" s="6" t="s">
        <v>30</v>
      </c>
      <c r="AM29" s="7" t="s">
        <v>30</v>
      </c>
      <c r="AN29" s="7" t="s">
        <v>30</v>
      </c>
      <c r="AO29" s="201" t="s">
        <v>30</v>
      </c>
      <c r="AP29" s="7" t="s">
        <v>30</v>
      </c>
      <c r="AQ29" s="7" t="s">
        <v>30</v>
      </c>
      <c r="AR29" s="94"/>
      <c r="AS29" s="94"/>
    </row>
    <row r="30" spans="1:45" ht="14.95" customHeight="1" thickBot="1" x14ac:dyDescent="0.3">
      <c r="A30" s="121" t="s">
        <v>518</v>
      </c>
      <c r="B30" s="186">
        <v>0</v>
      </c>
      <c r="C30" s="221">
        <v>0</v>
      </c>
      <c r="D30" s="420">
        <v>0</v>
      </c>
      <c r="E30" s="120">
        <f t="shared" si="8"/>
        <v>0</v>
      </c>
      <c r="F30" s="122" t="s">
        <v>518</v>
      </c>
      <c r="G30" s="188">
        <v>0</v>
      </c>
      <c r="H30" s="223">
        <v>0</v>
      </c>
      <c r="I30" s="422">
        <v>0</v>
      </c>
      <c r="J30" s="89">
        <f t="shared" si="9"/>
        <v>0</v>
      </c>
      <c r="K30" s="121" t="s">
        <v>421</v>
      </c>
      <c r="L30" s="7" t="s">
        <v>30</v>
      </c>
      <c r="M30" s="7" t="s">
        <v>30</v>
      </c>
      <c r="N30" s="206" t="s">
        <v>30</v>
      </c>
      <c r="O30" s="7" t="s">
        <v>30</v>
      </c>
      <c r="P30" s="7" t="s">
        <v>30</v>
      </c>
      <c r="Q30" s="206" t="s">
        <v>30</v>
      </c>
      <c r="R30" s="7">
        <v>2</v>
      </c>
      <c r="S30" s="7">
        <v>3</v>
      </c>
      <c r="T30" s="206">
        <f t="shared" ref="T30" si="27">SUM(R30/S30)*100</f>
        <v>66.666666666666657</v>
      </c>
      <c r="U30" s="201">
        <v>2</v>
      </c>
      <c r="V30" s="7">
        <v>2</v>
      </c>
      <c r="W30" s="206">
        <f t="shared" si="25"/>
        <v>100</v>
      </c>
      <c r="X30" s="108"/>
      <c r="Y30" s="109"/>
      <c r="Z30" s="109"/>
      <c r="AA30" s="109"/>
      <c r="AB30" s="327"/>
      <c r="AC30" s="201" t="s">
        <v>30</v>
      </c>
      <c r="AD30" s="7" t="s">
        <v>30</v>
      </c>
      <c r="AE30" s="7" t="s">
        <v>30</v>
      </c>
      <c r="AF30" s="201" t="s">
        <v>30</v>
      </c>
      <c r="AG30" s="7" t="s">
        <v>30</v>
      </c>
      <c r="AH30" s="7" t="s">
        <v>30</v>
      </c>
      <c r="AI30" s="6" t="s">
        <v>30</v>
      </c>
      <c r="AJ30" s="7" t="s">
        <v>30</v>
      </c>
      <c r="AK30" s="7" t="s">
        <v>30</v>
      </c>
      <c r="AL30" s="6" t="s">
        <v>30</v>
      </c>
      <c r="AM30" s="7" t="s">
        <v>30</v>
      </c>
      <c r="AN30" s="7" t="s">
        <v>30</v>
      </c>
      <c r="AO30" s="7" t="s">
        <v>30</v>
      </c>
      <c r="AP30" s="7" t="s">
        <v>30</v>
      </c>
      <c r="AQ30" s="7" t="s">
        <v>30</v>
      </c>
      <c r="AR30" s="94"/>
      <c r="AS30" s="94"/>
    </row>
    <row r="31" spans="1:45" ht="14.95" customHeight="1" thickBot="1" x14ac:dyDescent="0.3">
      <c r="A31" s="121" t="s">
        <v>6</v>
      </c>
      <c r="B31" s="186">
        <v>0</v>
      </c>
      <c r="C31" s="221">
        <v>0</v>
      </c>
      <c r="D31" s="420">
        <v>0</v>
      </c>
      <c r="E31" s="120">
        <f t="shared" si="8"/>
        <v>0</v>
      </c>
      <c r="F31" s="122" t="s">
        <v>6</v>
      </c>
      <c r="G31" s="188">
        <v>0</v>
      </c>
      <c r="H31" s="223">
        <v>0</v>
      </c>
      <c r="I31" s="422">
        <v>0</v>
      </c>
      <c r="J31" s="89">
        <f t="shared" si="9"/>
        <v>0</v>
      </c>
      <c r="K31" s="121" t="s">
        <v>7</v>
      </c>
      <c r="L31" s="7" t="s">
        <v>30</v>
      </c>
      <c r="M31" s="7" t="s">
        <v>30</v>
      </c>
      <c r="N31" s="206" t="s">
        <v>30</v>
      </c>
      <c r="O31" s="7" t="s">
        <v>30</v>
      </c>
      <c r="P31" s="7" t="s">
        <v>30</v>
      </c>
      <c r="Q31" s="206" t="s">
        <v>30</v>
      </c>
      <c r="R31" s="7" t="s">
        <v>30</v>
      </c>
      <c r="S31" s="7" t="s">
        <v>30</v>
      </c>
      <c r="T31" s="206" t="s">
        <v>30</v>
      </c>
      <c r="U31" s="201" t="s">
        <v>30</v>
      </c>
      <c r="V31" s="7" t="s">
        <v>30</v>
      </c>
      <c r="W31" s="7" t="s">
        <v>30</v>
      </c>
      <c r="X31" s="108"/>
      <c r="Y31" s="109"/>
      <c r="Z31" s="109"/>
      <c r="AA31" s="109"/>
      <c r="AB31" s="327"/>
      <c r="AC31" s="201" t="s">
        <v>30</v>
      </c>
      <c r="AD31" s="7" t="s">
        <v>30</v>
      </c>
      <c r="AE31" s="7" t="s">
        <v>30</v>
      </c>
      <c r="AF31" s="201" t="s">
        <v>30</v>
      </c>
      <c r="AG31" s="7" t="s">
        <v>30</v>
      </c>
      <c r="AH31" s="7" t="s">
        <v>30</v>
      </c>
      <c r="AI31" s="6" t="s">
        <v>30</v>
      </c>
      <c r="AJ31" s="7" t="s">
        <v>30</v>
      </c>
      <c r="AK31" s="7" t="s">
        <v>30</v>
      </c>
      <c r="AL31" s="6" t="s">
        <v>30</v>
      </c>
      <c r="AM31" s="7" t="s">
        <v>30</v>
      </c>
      <c r="AN31" s="7" t="s">
        <v>30</v>
      </c>
      <c r="AO31" s="7" t="s">
        <v>30</v>
      </c>
      <c r="AP31" s="7" t="s">
        <v>30</v>
      </c>
      <c r="AQ31" s="7" t="s">
        <v>30</v>
      </c>
      <c r="AR31" s="94"/>
      <c r="AS31" s="94"/>
    </row>
    <row r="32" spans="1:45" ht="14.95" customHeight="1" thickBot="1" x14ac:dyDescent="0.3">
      <c r="A32" s="121" t="s">
        <v>115</v>
      </c>
      <c r="B32" s="186">
        <v>0</v>
      </c>
      <c r="C32" s="221">
        <v>0</v>
      </c>
      <c r="D32" s="420">
        <v>0</v>
      </c>
      <c r="E32" s="120">
        <f t="shared" si="8"/>
        <v>0</v>
      </c>
      <c r="F32" s="122" t="s">
        <v>115</v>
      </c>
      <c r="G32" s="188">
        <v>0</v>
      </c>
      <c r="H32" s="223">
        <v>0</v>
      </c>
      <c r="I32" s="422">
        <v>0</v>
      </c>
      <c r="J32" s="89">
        <f t="shared" si="9"/>
        <v>0</v>
      </c>
      <c r="K32" s="121" t="s">
        <v>150</v>
      </c>
      <c r="L32" s="7" t="s">
        <v>30</v>
      </c>
      <c r="M32" s="7" t="s">
        <v>30</v>
      </c>
      <c r="N32" s="206" t="s">
        <v>30</v>
      </c>
      <c r="O32" s="7" t="s">
        <v>30</v>
      </c>
      <c r="P32" s="7" t="s">
        <v>30</v>
      </c>
      <c r="Q32" s="206" t="s">
        <v>30</v>
      </c>
      <c r="R32" s="7" t="s">
        <v>30</v>
      </c>
      <c r="S32" s="7" t="s">
        <v>30</v>
      </c>
      <c r="T32" s="206" t="s">
        <v>30</v>
      </c>
      <c r="U32" s="201">
        <v>7</v>
      </c>
      <c r="V32" s="7">
        <v>10</v>
      </c>
      <c r="W32" s="206">
        <f t="shared" ref="W32" si="28">SUM(U32/V32)*100</f>
        <v>70</v>
      </c>
      <c r="X32" s="108"/>
      <c r="Y32" s="109"/>
      <c r="Z32" s="109"/>
      <c r="AA32" s="109"/>
      <c r="AB32" s="327"/>
      <c r="AC32" s="201">
        <v>4</v>
      </c>
      <c r="AD32" s="7">
        <v>6</v>
      </c>
      <c r="AE32" s="206">
        <f t="shared" ref="AE32" si="29">SUM(AC32/AD32)*100</f>
        <v>66.666666666666657</v>
      </c>
      <c r="AF32" s="201" t="s">
        <v>30</v>
      </c>
      <c r="AG32" s="7" t="s">
        <v>30</v>
      </c>
      <c r="AH32" s="7" t="s">
        <v>30</v>
      </c>
      <c r="AI32" s="201" t="s">
        <v>30</v>
      </c>
      <c r="AJ32" s="7" t="s">
        <v>30</v>
      </c>
      <c r="AK32" s="7" t="s">
        <v>30</v>
      </c>
      <c r="AL32" s="6" t="s">
        <v>30</v>
      </c>
      <c r="AM32" s="7" t="s">
        <v>30</v>
      </c>
      <c r="AN32" s="7" t="s">
        <v>30</v>
      </c>
      <c r="AO32" s="201" t="s">
        <v>30</v>
      </c>
      <c r="AP32" s="7" t="s">
        <v>30</v>
      </c>
      <c r="AQ32" s="7" t="s">
        <v>30</v>
      </c>
      <c r="AR32" s="94"/>
      <c r="AS32" s="94"/>
    </row>
    <row r="33" spans="1:40" ht="14.95" customHeight="1" thickBot="1" x14ac:dyDescent="0.3">
      <c r="A33" s="121" t="s">
        <v>445</v>
      </c>
      <c r="B33" s="186">
        <v>0</v>
      </c>
      <c r="C33" s="221">
        <v>0</v>
      </c>
      <c r="D33" s="420">
        <v>0</v>
      </c>
      <c r="E33" s="120">
        <f t="shared" si="8"/>
        <v>0</v>
      </c>
      <c r="F33" s="122" t="s">
        <v>445</v>
      </c>
      <c r="G33" s="188">
        <v>0</v>
      </c>
      <c r="H33" s="223">
        <v>0</v>
      </c>
      <c r="I33" s="422">
        <v>0</v>
      </c>
      <c r="J33" s="89">
        <f t="shared" si="9"/>
        <v>0</v>
      </c>
      <c r="AF33" s="95" t="s">
        <v>44</v>
      </c>
      <c r="AG33" s="95" t="s">
        <v>44</v>
      </c>
    </row>
    <row r="34" spans="1:40" ht="14.95" customHeight="1" thickBot="1" x14ac:dyDescent="0.3">
      <c r="A34" s="121" t="s">
        <v>800</v>
      </c>
      <c r="B34" s="186">
        <v>4</v>
      </c>
      <c r="C34" s="221">
        <v>0</v>
      </c>
      <c r="D34" s="420">
        <v>0</v>
      </c>
      <c r="E34" s="120">
        <f t="shared" si="8"/>
        <v>4</v>
      </c>
      <c r="F34" s="122" t="s">
        <v>800</v>
      </c>
      <c r="G34" s="188">
        <v>20</v>
      </c>
      <c r="H34" s="223">
        <v>0</v>
      </c>
      <c r="I34" s="422">
        <v>0</v>
      </c>
      <c r="J34" s="89">
        <f t="shared" si="9"/>
        <v>20</v>
      </c>
      <c r="K34" s="601" t="s">
        <v>179</v>
      </c>
      <c r="L34" s="526" t="s">
        <v>29</v>
      </c>
      <c r="M34" s="527"/>
      <c r="N34" s="528"/>
      <c r="O34" s="520" t="s">
        <v>634</v>
      </c>
      <c r="P34" s="521"/>
      <c r="Q34" s="522"/>
      <c r="R34" s="520" t="s">
        <v>863</v>
      </c>
      <c r="S34" s="521"/>
      <c r="T34" s="522"/>
      <c r="U34" s="512" t="s">
        <v>621</v>
      </c>
      <c r="V34" s="513"/>
      <c r="W34" s="514"/>
      <c r="X34" s="230"/>
      <c r="Y34" s="100"/>
      <c r="Z34" s="100"/>
      <c r="AA34" s="109"/>
      <c r="AB34" s="327"/>
      <c r="AC34" s="512" t="s">
        <v>448</v>
      </c>
      <c r="AD34" s="513"/>
      <c r="AE34" s="514"/>
      <c r="AF34" s="512" t="s">
        <v>178</v>
      </c>
      <c r="AG34" s="513"/>
      <c r="AH34" s="514"/>
      <c r="AI34" s="512" t="s">
        <v>113</v>
      </c>
      <c r="AJ34" s="513"/>
      <c r="AK34" s="514"/>
      <c r="AL34" s="512" t="s">
        <v>85</v>
      </c>
      <c r="AM34" s="513"/>
      <c r="AN34" s="514"/>
    </row>
    <row r="35" spans="1:40" ht="14.95" customHeight="1" thickBot="1" x14ac:dyDescent="0.3">
      <c r="A35" s="121" t="s">
        <v>172</v>
      </c>
      <c r="B35" s="186">
        <v>7</v>
      </c>
      <c r="C35" s="221">
        <v>1</v>
      </c>
      <c r="D35" s="420">
        <v>2</v>
      </c>
      <c r="E35" s="120">
        <f t="shared" si="8"/>
        <v>10</v>
      </c>
      <c r="F35" s="122" t="s">
        <v>172</v>
      </c>
      <c r="G35" s="188">
        <v>35</v>
      </c>
      <c r="H35" s="223">
        <v>5</v>
      </c>
      <c r="I35" s="422">
        <v>10</v>
      </c>
      <c r="J35" s="89">
        <f t="shared" si="9"/>
        <v>50</v>
      </c>
      <c r="K35" s="602"/>
      <c r="L35" s="529"/>
      <c r="M35" s="530"/>
      <c r="N35" s="531"/>
      <c r="O35" s="523"/>
      <c r="P35" s="524"/>
      <c r="Q35" s="525"/>
      <c r="R35" s="523"/>
      <c r="S35" s="524"/>
      <c r="T35" s="525"/>
      <c r="U35" s="515"/>
      <c r="V35" s="516"/>
      <c r="W35" s="517"/>
      <c r="X35" s="230"/>
      <c r="Y35" s="100"/>
      <c r="Z35" s="100"/>
      <c r="AA35" s="109"/>
      <c r="AB35" s="327"/>
      <c r="AC35" s="515"/>
      <c r="AD35" s="516"/>
      <c r="AE35" s="517"/>
      <c r="AF35" s="515"/>
      <c r="AG35" s="516"/>
      <c r="AH35" s="517"/>
      <c r="AI35" s="515"/>
      <c r="AJ35" s="516"/>
      <c r="AK35" s="517"/>
      <c r="AL35" s="515"/>
      <c r="AM35" s="516"/>
      <c r="AN35" s="517"/>
    </row>
    <row r="36" spans="1:40" ht="14.95" customHeight="1" thickBot="1" x14ac:dyDescent="0.3">
      <c r="A36" s="121" t="s">
        <v>780</v>
      </c>
      <c r="B36" s="186">
        <v>0</v>
      </c>
      <c r="C36" s="221">
        <v>1</v>
      </c>
      <c r="D36" s="420">
        <v>0</v>
      </c>
      <c r="E36" s="120">
        <f t="shared" si="8"/>
        <v>1</v>
      </c>
      <c r="F36" s="122" t="s">
        <v>780</v>
      </c>
      <c r="G36" s="188">
        <v>0</v>
      </c>
      <c r="H36" s="223">
        <v>5</v>
      </c>
      <c r="I36" s="422">
        <v>0</v>
      </c>
      <c r="J36" s="89">
        <f t="shared" si="9"/>
        <v>5</v>
      </c>
      <c r="K36" s="431" t="s">
        <v>44</v>
      </c>
      <c r="L36" s="3" t="s">
        <v>107</v>
      </c>
      <c r="M36" s="3" t="s">
        <v>23</v>
      </c>
      <c r="N36" s="3" t="s">
        <v>24</v>
      </c>
      <c r="O36" s="7" t="s">
        <v>107</v>
      </c>
      <c r="P36" s="7" t="s">
        <v>23</v>
      </c>
      <c r="Q36" s="7" t="s">
        <v>24</v>
      </c>
      <c r="R36" s="7" t="s">
        <v>107</v>
      </c>
      <c r="S36" s="7" t="s">
        <v>23</v>
      </c>
      <c r="T36" s="7" t="s">
        <v>24</v>
      </c>
      <c r="U36" s="93" t="s">
        <v>107</v>
      </c>
      <c r="V36" s="93" t="s">
        <v>23</v>
      </c>
      <c r="W36" s="93" t="s">
        <v>24</v>
      </c>
      <c r="X36" s="108"/>
      <c r="Y36" s="109"/>
      <c r="Z36" s="109"/>
      <c r="AA36" s="109"/>
      <c r="AB36" s="327"/>
      <c r="AC36" s="98" t="s">
        <v>107</v>
      </c>
      <c r="AD36" s="93" t="s">
        <v>23</v>
      </c>
      <c r="AE36" s="93" t="s">
        <v>24</v>
      </c>
      <c r="AF36" s="98" t="s">
        <v>107</v>
      </c>
      <c r="AG36" s="93" t="s">
        <v>23</v>
      </c>
      <c r="AH36" s="93" t="s">
        <v>24</v>
      </c>
      <c r="AI36" s="98" t="s">
        <v>107</v>
      </c>
      <c r="AJ36" s="93" t="s">
        <v>23</v>
      </c>
      <c r="AK36" s="93" t="s">
        <v>24</v>
      </c>
      <c r="AL36" s="98" t="s">
        <v>107</v>
      </c>
      <c r="AM36" s="93" t="s">
        <v>23</v>
      </c>
      <c r="AN36" s="93" t="s">
        <v>24</v>
      </c>
    </row>
    <row r="37" spans="1:40" ht="14.95" customHeight="1" thickBot="1" x14ac:dyDescent="0.3">
      <c r="A37" s="121" t="s">
        <v>486</v>
      </c>
      <c r="B37" s="186">
        <v>4</v>
      </c>
      <c r="C37" s="221">
        <v>4</v>
      </c>
      <c r="D37" s="420">
        <v>0</v>
      </c>
      <c r="E37" s="120">
        <f t="shared" si="8"/>
        <v>8</v>
      </c>
      <c r="F37" s="122" t="s">
        <v>486</v>
      </c>
      <c r="G37" s="188">
        <v>20</v>
      </c>
      <c r="H37" s="223">
        <v>20</v>
      </c>
      <c r="I37" s="422">
        <v>0</v>
      </c>
      <c r="J37" s="89">
        <f t="shared" si="9"/>
        <v>40</v>
      </c>
      <c r="K37" s="127" t="s">
        <v>151</v>
      </c>
      <c r="L37" s="125" t="s">
        <v>30</v>
      </c>
      <c r="M37" s="125" t="s">
        <v>30</v>
      </c>
      <c r="N37" s="126" t="s">
        <v>30</v>
      </c>
      <c r="O37" s="7" t="s">
        <v>30</v>
      </c>
      <c r="P37" s="7" t="s">
        <v>30</v>
      </c>
      <c r="Q37" s="206" t="s">
        <v>30</v>
      </c>
      <c r="R37" s="7" t="s">
        <v>30</v>
      </c>
      <c r="S37" s="7" t="s">
        <v>30</v>
      </c>
      <c r="T37" s="7" t="s">
        <v>30</v>
      </c>
      <c r="U37" s="7" t="s">
        <v>30</v>
      </c>
      <c r="V37" s="7" t="s">
        <v>30</v>
      </c>
      <c r="W37" s="7" t="s">
        <v>30</v>
      </c>
      <c r="X37" s="108"/>
      <c r="Y37" s="109"/>
      <c r="Z37" s="109"/>
      <c r="AA37" s="109"/>
      <c r="AB37" s="327"/>
      <c r="AC37" s="201" t="s">
        <v>30</v>
      </c>
      <c r="AD37" s="7" t="s">
        <v>30</v>
      </c>
      <c r="AE37" s="7" t="s">
        <v>30</v>
      </c>
      <c r="AF37" s="201" t="s">
        <v>30</v>
      </c>
      <c r="AG37" s="7" t="s">
        <v>30</v>
      </c>
      <c r="AH37" s="7" t="s">
        <v>30</v>
      </c>
      <c r="AI37" s="201" t="s">
        <v>30</v>
      </c>
      <c r="AJ37" s="7" t="s">
        <v>30</v>
      </c>
      <c r="AK37" s="7" t="s">
        <v>30</v>
      </c>
      <c r="AL37" s="201" t="s">
        <v>30</v>
      </c>
      <c r="AM37" s="7" t="s">
        <v>30</v>
      </c>
      <c r="AN37" s="7" t="s">
        <v>30</v>
      </c>
    </row>
    <row r="38" spans="1:40" ht="14.95" customHeight="1" thickBot="1" x14ac:dyDescent="0.3">
      <c r="A38" s="121" t="s">
        <v>153</v>
      </c>
      <c r="B38" s="186">
        <v>2</v>
      </c>
      <c r="C38" s="221">
        <v>1</v>
      </c>
      <c r="D38" s="420">
        <v>0</v>
      </c>
      <c r="E38" s="120">
        <f t="shared" si="8"/>
        <v>3</v>
      </c>
      <c r="F38" s="122" t="s">
        <v>153</v>
      </c>
      <c r="G38" s="188">
        <v>10</v>
      </c>
      <c r="H38" s="223">
        <v>5</v>
      </c>
      <c r="I38" s="422">
        <v>0</v>
      </c>
      <c r="J38" s="89">
        <f t="shared" si="9"/>
        <v>15</v>
      </c>
      <c r="K38" s="127" t="s">
        <v>242</v>
      </c>
      <c r="L38" s="125">
        <v>6</v>
      </c>
      <c r="M38" s="125">
        <v>10</v>
      </c>
      <c r="N38" s="126">
        <f t="shared" ref="N38" si="30">SUM(L38/M38)*100</f>
        <v>60</v>
      </c>
      <c r="O38" s="7" t="s">
        <v>30</v>
      </c>
      <c r="P38" s="7" t="s">
        <v>30</v>
      </c>
      <c r="Q38" s="206" t="s">
        <v>30</v>
      </c>
      <c r="R38" s="7">
        <v>3</v>
      </c>
      <c r="S38" s="7">
        <v>5</v>
      </c>
      <c r="T38" s="206">
        <f>(R38/S38)*100</f>
        <v>60</v>
      </c>
      <c r="U38" s="7" t="s">
        <v>30</v>
      </c>
      <c r="V38" s="7" t="s">
        <v>30</v>
      </c>
      <c r="W38" s="7" t="s">
        <v>30</v>
      </c>
      <c r="X38" s="108"/>
      <c r="Y38" s="109"/>
      <c r="Z38" s="109"/>
      <c r="AA38" s="109"/>
      <c r="AB38" s="327"/>
      <c r="AC38" s="201" t="s">
        <v>30</v>
      </c>
      <c r="AD38" s="7" t="s">
        <v>30</v>
      </c>
      <c r="AE38" s="7" t="s">
        <v>30</v>
      </c>
      <c r="AF38" s="201" t="s">
        <v>30</v>
      </c>
      <c r="AG38" s="7" t="s">
        <v>30</v>
      </c>
      <c r="AH38" s="7" t="s">
        <v>30</v>
      </c>
      <c r="AI38" s="201" t="s">
        <v>30</v>
      </c>
      <c r="AJ38" s="7" t="s">
        <v>30</v>
      </c>
      <c r="AK38" s="7" t="s">
        <v>30</v>
      </c>
      <c r="AL38" s="201" t="s">
        <v>30</v>
      </c>
      <c r="AM38" s="7" t="s">
        <v>30</v>
      </c>
      <c r="AN38" s="7" t="s">
        <v>30</v>
      </c>
    </row>
    <row r="39" spans="1:40" ht="14.95" customHeight="1" thickBot="1" x14ac:dyDescent="0.3">
      <c r="A39" s="121" t="s">
        <v>119</v>
      </c>
      <c r="B39" s="186">
        <v>1</v>
      </c>
      <c r="C39" s="221">
        <v>0</v>
      </c>
      <c r="D39" s="420">
        <v>1</v>
      </c>
      <c r="E39" s="120">
        <f t="shared" si="8"/>
        <v>2</v>
      </c>
      <c r="F39" s="122" t="s">
        <v>119</v>
      </c>
      <c r="G39" s="188">
        <v>5</v>
      </c>
      <c r="H39" s="223">
        <v>0</v>
      </c>
      <c r="I39" s="422">
        <v>5</v>
      </c>
      <c r="J39" s="89">
        <f t="shared" si="9"/>
        <v>10</v>
      </c>
      <c r="K39" s="127" t="s">
        <v>150</v>
      </c>
      <c r="L39" s="125" t="s">
        <v>30</v>
      </c>
      <c r="M39" s="125" t="s">
        <v>30</v>
      </c>
      <c r="N39" s="126" t="s">
        <v>30</v>
      </c>
      <c r="O39" s="7" t="s">
        <v>30</v>
      </c>
      <c r="P39" s="7" t="s">
        <v>30</v>
      </c>
      <c r="Q39" s="206" t="s">
        <v>30</v>
      </c>
      <c r="R39" s="7" t="s">
        <v>30</v>
      </c>
      <c r="S39" s="7" t="s">
        <v>30</v>
      </c>
      <c r="T39" s="206" t="s">
        <v>30</v>
      </c>
      <c r="U39" s="7">
        <v>3</v>
      </c>
      <c r="V39" s="7">
        <v>4</v>
      </c>
      <c r="W39" s="206">
        <f t="shared" ref="W39:W40" si="31">SUM(U39/V39)*100</f>
        <v>75</v>
      </c>
      <c r="X39" s="108"/>
      <c r="Y39" s="109"/>
      <c r="Z39" s="109"/>
      <c r="AA39" s="109"/>
      <c r="AB39" s="327"/>
      <c r="AC39" s="201" t="s">
        <v>30</v>
      </c>
      <c r="AD39" s="7" t="s">
        <v>30</v>
      </c>
      <c r="AE39" s="7" t="s">
        <v>30</v>
      </c>
      <c r="AF39" s="201" t="s">
        <v>30</v>
      </c>
      <c r="AG39" s="7" t="s">
        <v>30</v>
      </c>
      <c r="AH39" s="7" t="s">
        <v>30</v>
      </c>
      <c r="AI39" s="201" t="s">
        <v>30</v>
      </c>
      <c r="AJ39" s="7" t="s">
        <v>30</v>
      </c>
      <c r="AK39" s="7" t="s">
        <v>30</v>
      </c>
      <c r="AL39" s="6" t="s">
        <v>30</v>
      </c>
      <c r="AM39" s="7" t="s">
        <v>30</v>
      </c>
      <c r="AN39" s="7" t="s">
        <v>30</v>
      </c>
    </row>
    <row r="40" spans="1:40" ht="14.95" customHeight="1" thickBot="1" x14ac:dyDescent="0.3">
      <c r="A40" s="121" t="s">
        <v>706</v>
      </c>
      <c r="B40" s="186">
        <v>1</v>
      </c>
      <c r="C40" s="221">
        <v>1</v>
      </c>
      <c r="D40" s="420">
        <v>0</v>
      </c>
      <c r="E40" s="120">
        <f t="shared" si="8"/>
        <v>2</v>
      </c>
      <c r="F40" s="122" t="s">
        <v>706</v>
      </c>
      <c r="G40" s="188">
        <v>5</v>
      </c>
      <c r="H40" s="223">
        <v>5</v>
      </c>
      <c r="I40" s="422">
        <v>0</v>
      </c>
      <c r="J40" s="89">
        <f t="shared" si="9"/>
        <v>10</v>
      </c>
      <c r="K40" s="127" t="s">
        <v>421</v>
      </c>
      <c r="L40" s="125">
        <v>4</v>
      </c>
      <c r="M40" s="125">
        <v>5</v>
      </c>
      <c r="N40" s="126">
        <f t="shared" ref="N40" si="32">SUM(L40/M40)*100</f>
        <v>80</v>
      </c>
      <c r="O40" s="7" t="s">
        <v>30</v>
      </c>
      <c r="P40" s="7" t="s">
        <v>30</v>
      </c>
      <c r="Q40" s="206" t="s">
        <v>30</v>
      </c>
      <c r="R40" s="7">
        <v>19</v>
      </c>
      <c r="S40" s="7">
        <v>25</v>
      </c>
      <c r="T40" s="206">
        <f>(R40/S40)*100</f>
        <v>76</v>
      </c>
      <c r="U40" s="7">
        <v>2</v>
      </c>
      <c r="V40" s="7">
        <v>4</v>
      </c>
      <c r="W40" s="206">
        <f t="shared" si="31"/>
        <v>50</v>
      </c>
      <c r="X40" s="108"/>
      <c r="Y40" s="109"/>
      <c r="Z40" s="109"/>
      <c r="AA40" s="109"/>
      <c r="AB40" s="327"/>
      <c r="AC40" s="201" t="s">
        <v>30</v>
      </c>
      <c r="AD40" s="7" t="s">
        <v>30</v>
      </c>
      <c r="AE40" s="7" t="s">
        <v>30</v>
      </c>
      <c r="AF40" s="201" t="s">
        <v>30</v>
      </c>
      <c r="AG40" s="7" t="s">
        <v>30</v>
      </c>
      <c r="AH40" s="7" t="s">
        <v>30</v>
      </c>
      <c r="AI40" s="6" t="s">
        <v>30</v>
      </c>
      <c r="AJ40" s="7" t="s">
        <v>30</v>
      </c>
      <c r="AK40" s="7" t="s">
        <v>30</v>
      </c>
      <c r="AL40" s="201" t="s">
        <v>30</v>
      </c>
      <c r="AM40" s="7" t="s">
        <v>30</v>
      </c>
      <c r="AN40" s="7" t="s">
        <v>30</v>
      </c>
    </row>
    <row r="41" spans="1:40" ht="14.95" customHeight="1" thickBot="1" x14ac:dyDescent="0.3">
      <c r="A41" s="121" t="s">
        <v>403</v>
      </c>
      <c r="B41" s="186">
        <v>4</v>
      </c>
      <c r="C41" s="221">
        <v>1</v>
      </c>
      <c r="D41" s="420">
        <v>0</v>
      </c>
      <c r="E41" s="120">
        <f t="shared" si="8"/>
        <v>5</v>
      </c>
      <c r="F41" s="122" t="s">
        <v>403</v>
      </c>
      <c r="G41" s="188">
        <v>20</v>
      </c>
      <c r="H41" s="223">
        <v>5</v>
      </c>
      <c r="I41" s="422">
        <v>0</v>
      </c>
      <c r="J41" s="89">
        <f t="shared" si="9"/>
        <v>25</v>
      </c>
      <c r="K41" s="127" t="s">
        <v>408</v>
      </c>
      <c r="L41" s="125">
        <v>2</v>
      </c>
      <c r="M41" s="125">
        <v>5</v>
      </c>
      <c r="N41" s="126">
        <f t="shared" ref="N41" si="33">SUM(L41/M41)*100</f>
        <v>40</v>
      </c>
      <c r="O41" s="7" t="s">
        <v>30</v>
      </c>
      <c r="P41" s="7" t="s">
        <v>30</v>
      </c>
      <c r="Q41" s="206" t="s">
        <v>30</v>
      </c>
      <c r="R41" s="7" t="s">
        <v>30</v>
      </c>
      <c r="S41" s="7" t="s">
        <v>30</v>
      </c>
      <c r="T41" s="206" t="s">
        <v>30</v>
      </c>
      <c r="U41" s="7">
        <v>1</v>
      </c>
      <c r="V41" s="7">
        <v>2</v>
      </c>
      <c r="W41" s="206">
        <f t="shared" ref="W41" si="34">SUM(U41/V41)*100</f>
        <v>50</v>
      </c>
      <c r="X41" s="108"/>
      <c r="Y41" s="109"/>
      <c r="Z41" s="109"/>
      <c r="AA41" s="109"/>
      <c r="AB41" s="327"/>
      <c r="AC41" s="201" t="s">
        <v>30</v>
      </c>
      <c r="AD41" s="7" t="s">
        <v>30</v>
      </c>
      <c r="AE41" s="7" t="s">
        <v>30</v>
      </c>
      <c r="AF41" s="201" t="s">
        <v>30</v>
      </c>
      <c r="AG41" s="7" t="s">
        <v>30</v>
      </c>
      <c r="AH41" s="7" t="s">
        <v>30</v>
      </c>
      <c r="AI41" s="6" t="s">
        <v>30</v>
      </c>
      <c r="AJ41" s="7" t="s">
        <v>30</v>
      </c>
      <c r="AK41" s="7" t="s">
        <v>30</v>
      </c>
      <c r="AL41" s="201" t="s">
        <v>30</v>
      </c>
      <c r="AM41" s="7" t="s">
        <v>30</v>
      </c>
      <c r="AN41" s="7" t="s">
        <v>30</v>
      </c>
    </row>
    <row r="42" spans="1:40" ht="14.95" customHeight="1" thickBot="1" x14ac:dyDescent="0.3">
      <c r="A42" s="121" t="s">
        <v>491</v>
      </c>
      <c r="B42" s="186">
        <v>6</v>
      </c>
      <c r="C42" s="221">
        <v>2</v>
      </c>
      <c r="D42" s="420">
        <v>0</v>
      </c>
      <c r="E42" s="120">
        <f t="shared" si="8"/>
        <v>8</v>
      </c>
      <c r="F42" s="122" t="s">
        <v>491</v>
      </c>
      <c r="G42" s="188">
        <v>30</v>
      </c>
      <c r="H42" s="223">
        <v>10</v>
      </c>
      <c r="I42" s="422">
        <v>0</v>
      </c>
      <c r="J42" s="89">
        <f t="shared" si="9"/>
        <v>40</v>
      </c>
      <c r="K42" s="127" t="s">
        <v>7</v>
      </c>
      <c r="L42" s="125" t="s">
        <v>30</v>
      </c>
      <c r="M42" s="125" t="s">
        <v>30</v>
      </c>
      <c r="N42" s="126" t="s">
        <v>30</v>
      </c>
      <c r="O42" s="7" t="s">
        <v>30</v>
      </c>
      <c r="P42" s="7" t="s">
        <v>30</v>
      </c>
      <c r="Q42" s="206" t="s">
        <v>30</v>
      </c>
      <c r="R42" s="7">
        <v>2</v>
      </c>
      <c r="S42" s="7">
        <v>2</v>
      </c>
      <c r="T42" s="206">
        <f>(R42/S42)*100</f>
        <v>100</v>
      </c>
      <c r="U42" s="7"/>
      <c r="V42" s="7"/>
      <c r="W42" s="206"/>
      <c r="X42" s="108"/>
      <c r="Y42" s="109"/>
      <c r="Z42" s="109"/>
      <c r="AA42" s="109"/>
      <c r="AB42" s="327"/>
      <c r="AC42" s="201" t="s">
        <v>30</v>
      </c>
      <c r="AD42" s="7" t="s">
        <v>30</v>
      </c>
      <c r="AE42" s="7" t="s">
        <v>30</v>
      </c>
      <c r="AF42" s="201" t="s">
        <v>30</v>
      </c>
      <c r="AG42" s="7" t="s">
        <v>30</v>
      </c>
      <c r="AH42" s="7" t="s">
        <v>30</v>
      </c>
      <c r="AI42" s="6" t="s">
        <v>30</v>
      </c>
      <c r="AJ42" s="7" t="s">
        <v>30</v>
      </c>
      <c r="AK42" s="7" t="s">
        <v>30</v>
      </c>
      <c r="AL42" s="6" t="s">
        <v>30</v>
      </c>
      <c r="AM42" s="7" t="s">
        <v>30</v>
      </c>
      <c r="AN42" s="7" t="s">
        <v>30</v>
      </c>
    </row>
    <row r="43" spans="1:40" ht="14.95" customHeight="1" thickBot="1" x14ac:dyDescent="0.3">
      <c r="A43" s="121" t="s">
        <v>1025</v>
      </c>
      <c r="B43" s="186">
        <v>2</v>
      </c>
      <c r="C43" s="221">
        <v>0</v>
      </c>
      <c r="D43" s="420">
        <v>0</v>
      </c>
      <c r="E43" s="120">
        <f t="shared" si="8"/>
        <v>2</v>
      </c>
      <c r="F43" s="122" t="s">
        <v>1025</v>
      </c>
      <c r="G43" s="188">
        <v>10</v>
      </c>
      <c r="H43" s="223">
        <v>0</v>
      </c>
      <c r="I43" s="422">
        <v>0</v>
      </c>
      <c r="J43" s="89">
        <f t="shared" si="9"/>
        <v>10</v>
      </c>
    </row>
    <row r="44" spans="1:40" ht="14.95" thickBot="1" x14ac:dyDescent="0.3">
      <c r="A44" s="121" t="s">
        <v>707</v>
      </c>
      <c r="B44" s="186">
        <v>2</v>
      </c>
      <c r="C44" s="221">
        <v>0</v>
      </c>
      <c r="D44" s="420">
        <v>0</v>
      </c>
      <c r="E44" s="120">
        <f t="shared" si="8"/>
        <v>2</v>
      </c>
      <c r="F44" s="122" t="s">
        <v>707</v>
      </c>
      <c r="G44" s="188">
        <v>10</v>
      </c>
      <c r="H44" s="223">
        <v>0</v>
      </c>
      <c r="I44" s="422">
        <v>0</v>
      </c>
      <c r="J44" s="89">
        <f t="shared" si="9"/>
        <v>10</v>
      </c>
    </row>
    <row r="45" spans="1:40" ht="14.95" thickBot="1" x14ac:dyDescent="0.3">
      <c r="A45" s="121" t="s">
        <v>408</v>
      </c>
      <c r="B45" s="186">
        <v>0</v>
      </c>
      <c r="C45" s="221">
        <v>0</v>
      </c>
      <c r="D45" s="420">
        <v>1</v>
      </c>
      <c r="E45" s="120">
        <f t="shared" si="8"/>
        <v>1</v>
      </c>
      <c r="F45" s="122" t="s">
        <v>408</v>
      </c>
      <c r="G45" s="188">
        <v>28</v>
      </c>
      <c r="H45" s="223">
        <v>0</v>
      </c>
      <c r="I45" s="422">
        <v>9</v>
      </c>
      <c r="J45" s="89">
        <f t="shared" si="9"/>
        <v>37</v>
      </c>
    </row>
    <row r="46" spans="1:40" ht="14.95" thickBot="1" x14ac:dyDescent="0.3">
      <c r="A46" s="121" t="s">
        <v>7</v>
      </c>
      <c r="B46" s="186">
        <v>0</v>
      </c>
      <c r="C46" s="221">
        <v>0</v>
      </c>
      <c r="D46" s="420">
        <v>0</v>
      </c>
      <c r="E46" s="120">
        <f t="shared" si="8"/>
        <v>0</v>
      </c>
      <c r="F46" s="122" t="s">
        <v>7</v>
      </c>
      <c r="G46" s="188">
        <v>0</v>
      </c>
      <c r="H46" s="223">
        <v>0</v>
      </c>
      <c r="I46" s="422">
        <v>0</v>
      </c>
      <c r="J46" s="89">
        <f t="shared" si="9"/>
        <v>0</v>
      </c>
    </row>
    <row r="47" spans="1:40" ht="14.95" thickBot="1" x14ac:dyDescent="0.3">
      <c r="A47" s="121" t="s">
        <v>9</v>
      </c>
      <c r="B47" s="186">
        <v>3</v>
      </c>
      <c r="C47" s="221">
        <v>0</v>
      </c>
      <c r="D47" s="420">
        <v>0</v>
      </c>
      <c r="E47" s="120">
        <f t="shared" si="8"/>
        <v>3</v>
      </c>
      <c r="F47" s="122" t="s">
        <v>9</v>
      </c>
      <c r="G47" s="188">
        <v>15</v>
      </c>
      <c r="H47" s="223">
        <v>0</v>
      </c>
      <c r="I47" s="422">
        <v>0</v>
      </c>
      <c r="J47" s="89">
        <f t="shared" si="9"/>
        <v>15</v>
      </c>
    </row>
    <row r="48" spans="1:40" ht="14.95" thickBot="1" x14ac:dyDescent="0.3">
      <c r="A48" s="121" t="s">
        <v>3</v>
      </c>
      <c r="B48" s="186">
        <f>SUM(B3:B47)</f>
        <v>75</v>
      </c>
      <c r="C48" s="221">
        <f>SUM(C3:C47)</f>
        <v>20</v>
      </c>
      <c r="D48" s="420">
        <f>SUM(D3:D47)</f>
        <v>16</v>
      </c>
      <c r="E48" s="120">
        <f>SUM(E3:E47)</f>
        <v>111</v>
      </c>
      <c r="F48" s="122" t="s">
        <v>3</v>
      </c>
      <c r="G48" s="188">
        <f>SUM(G3:G47)</f>
        <v>559</v>
      </c>
      <c r="H48" s="223">
        <f>SUM(H3:H47)</f>
        <v>155</v>
      </c>
      <c r="I48" s="422">
        <f>SUM(I3:I47)</f>
        <v>108</v>
      </c>
      <c r="J48" s="89">
        <f>SUM(J3:J47)</f>
        <v>822</v>
      </c>
    </row>
    <row r="49" spans="1:10" x14ac:dyDescent="0.25">
      <c r="B49" s="167"/>
      <c r="C49" s="79"/>
      <c r="D49" s="79"/>
      <c r="F49" s="123"/>
      <c r="G49" s="167"/>
      <c r="H49" s="79"/>
      <c r="I49" s="79"/>
    </row>
    <row r="50" spans="1:10" ht="14.95" thickBot="1" x14ac:dyDescent="0.3">
      <c r="A50" t="s">
        <v>26</v>
      </c>
      <c r="B50" s="167"/>
      <c r="C50" s="79"/>
      <c r="D50" s="79"/>
      <c r="F50" s="124"/>
      <c r="G50" s="169"/>
      <c r="H50" s="81"/>
      <c r="I50" s="81"/>
      <c r="J50" s="37"/>
    </row>
    <row r="51" spans="1:10" ht="14.95" thickBot="1" x14ac:dyDescent="0.3">
      <c r="A51" s="134" t="s">
        <v>0</v>
      </c>
      <c r="B51" s="185" t="s">
        <v>620</v>
      </c>
      <c r="C51" s="220" t="s">
        <v>63</v>
      </c>
      <c r="D51" s="419" t="s">
        <v>925</v>
      </c>
      <c r="E51" s="135" t="s">
        <v>1</v>
      </c>
      <c r="F51" s="136" t="s">
        <v>2</v>
      </c>
      <c r="G51" s="187" t="s">
        <v>620</v>
      </c>
      <c r="H51" s="222" t="s">
        <v>63</v>
      </c>
      <c r="I51" s="421" t="s">
        <v>925</v>
      </c>
      <c r="J51" s="137" t="s">
        <v>1</v>
      </c>
    </row>
    <row r="52" spans="1:10" ht="14.95" thickBot="1" x14ac:dyDescent="0.3">
      <c r="A52" s="121" t="s">
        <v>172</v>
      </c>
      <c r="B52" s="186">
        <v>7</v>
      </c>
      <c r="C52" s="221">
        <v>1</v>
      </c>
      <c r="D52" s="420">
        <v>2</v>
      </c>
      <c r="E52" s="120">
        <f t="shared" ref="E52:E96" si="35">SUM(B52:D52)</f>
        <v>10</v>
      </c>
      <c r="F52" s="437" t="s">
        <v>421</v>
      </c>
      <c r="G52" s="188">
        <v>72</v>
      </c>
      <c r="H52" s="223">
        <v>41</v>
      </c>
      <c r="I52" s="422">
        <v>10</v>
      </c>
      <c r="J52" s="89">
        <f t="shared" ref="J52:J96" si="36">SUM(G52:I52)</f>
        <v>123</v>
      </c>
    </row>
    <row r="53" spans="1:10" ht="14.95" thickBot="1" x14ac:dyDescent="0.3">
      <c r="A53" s="121" t="s">
        <v>1022</v>
      </c>
      <c r="B53" s="186">
        <v>6</v>
      </c>
      <c r="C53" s="221">
        <v>2</v>
      </c>
      <c r="D53" s="420">
        <v>0</v>
      </c>
      <c r="E53" s="120">
        <f t="shared" si="35"/>
        <v>8</v>
      </c>
      <c r="F53" s="122" t="s">
        <v>114</v>
      </c>
      <c r="G53" s="188">
        <v>96</v>
      </c>
      <c r="H53" s="223">
        <v>14</v>
      </c>
      <c r="I53" s="422">
        <v>0</v>
      </c>
      <c r="J53" s="89">
        <f t="shared" si="36"/>
        <v>110</v>
      </c>
    </row>
    <row r="54" spans="1:10" ht="14.95" thickBot="1" x14ac:dyDescent="0.3">
      <c r="A54" s="121" t="s">
        <v>486</v>
      </c>
      <c r="B54" s="186">
        <v>4</v>
      </c>
      <c r="C54" s="221">
        <v>4</v>
      </c>
      <c r="D54" s="420">
        <v>0</v>
      </c>
      <c r="E54" s="120">
        <f t="shared" si="35"/>
        <v>8</v>
      </c>
      <c r="F54" s="122" t="s">
        <v>172</v>
      </c>
      <c r="G54" s="188">
        <v>35</v>
      </c>
      <c r="H54" s="223">
        <v>5</v>
      </c>
      <c r="I54" s="422">
        <v>10</v>
      </c>
      <c r="J54" s="89">
        <f t="shared" si="36"/>
        <v>50</v>
      </c>
    </row>
    <row r="55" spans="1:10" ht="14.95" thickBot="1" x14ac:dyDescent="0.3">
      <c r="A55" s="121" t="s">
        <v>491</v>
      </c>
      <c r="B55" s="186">
        <v>6</v>
      </c>
      <c r="C55" s="221">
        <v>2</v>
      </c>
      <c r="D55" s="420">
        <v>0</v>
      </c>
      <c r="E55" s="120">
        <f t="shared" si="35"/>
        <v>8</v>
      </c>
      <c r="F55" s="122" t="s">
        <v>1022</v>
      </c>
      <c r="G55" s="188">
        <v>30</v>
      </c>
      <c r="H55" s="223">
        <v>10</v>
      </c>
      <c r="I55" s="422">
        <v>0</v>
      </c>
      <c r="J55" s="89">
        <f t="shared" si="36"/>
        <v>40</v>
      </c>
    </row>
    <row r="56" spans="1:10" ht="14.95" thickBot="1" x14ac:dyDescent="0.3">
      <c r="A56" s="121" t="s">
        <v>485</v>
      </c>
      <c r="B56" s="186">
        <v>5</v>
      </c>
      <c r="C56" s="221">
        <v>1</v>
      </c>
      <c r="D56" s="420">
        <v>0</v>
      </c>
      <c r="E56" s="120">
        <f t="shared" si="35"/>
        <v>6</v>
      </c>
      <c r="F56" s="122" t="s">
        <v>486</v>
      </c>
      <c r="G56" s="188">
        <v>20</v>
      </c>
      <c r="H56" s="223">
        <v>20</v>
      </c>
      <c r="I56" s="422">
        <v>0</v>
      </c>
      <c r="J56" s="89">
        <f t="shared" si="36"/>
        <v>40</v>
      </c>
    </row>
    <row r="57" spans="1:10" ht="14.95" thickBot="1" x14ac:dyDescent="0.3">
      <c r="A57" s="121" t="s">
        <v>430</v>
      </c>
      <c r="B57" s="186">
        <v>4</v>
      </c>
      <c r="C57" s="221">
        <v>2</v>
      </c>
      <c r="D57" s="420">
        <v>0</v>
      </c>
      <c r="E57" s="120">
        <f t="shared" si="35"/>
        <v>6</v>
      </c>
      <c r="F57" s="122" t="s">
        <v>491</v>
      </c>
      <c r="G57" s="188">
        <v>30</v>
      </c>
      <c r="H57" s="223">
        <v>10</v>
      </c>
      <c r="I57" s="422">
        <v>0</v>
      </c>
      <c r="J57" s="89">
        <f t="shared" si="36"/>
        <v>40</v>
      </c>
    </row>
    <row r="58" spans="1:10" ht="14.95" thickBot="1" x14ac:dyDescent="0.3">
      <c r="A58" s="121" t="s">
        <v>123</v>
      </c>
      <c r="B58" s="186">
        <v>4</v>
      </c>
      <c r="C58" s="221">
        <v>1</v>
      </c>
      <c r="D58" s="420">
        <v>1</v>
      </c>
      <c r="E58" s="120">
        <f t="shared" si="35"/>
        <v>6</v>
      </c>
      <c r="F58" s="122" t="s">
        <v>408</v>
      </c>
      <c r="G58" s="188">
        <v>28</v>
      </c>
      <c r="H58" s="223">
        <v>0</v>
      </c>
      <c r="I58" s="422">
        <v>9</v>
      </c>
      <c r="J58" s="89">
        <f t="shared" si="36"/>
        <v>37</v>
      </c>
    </row>
    <row r="59" spans="1:10" ht="14.95" thickBot="1" x14ac:dyDescent="0.3">
      <c r="A59" s="121" t="s">
        <v>134</v>
      </c>
      <c r="B59" s="186">
        <v>4</v>
      </c>
      <c r="C59" s="221">
        <v>1</v>
      </c>
      <c r="D59" s="420">
        <v>0</v>
      </c>
      <c r="E59" s="120">
        <f t="shared" si="35"/>
        <v>5</v>
      </c>
      <c r="F59" s="122" t="s">
        <v>485</v>
      </c>
      <c r="G59" s="188">
        <v>25</v>
      </c>
      <c r="H59" s="223">
        <v>5</v>
      </c>
      <c r="I59" s="422">
        <v>0</v>
      </c>
      <c r="J59" s="89">
        <f t="shared" si="36"/>
        <v>30</v>
      </c>
    </row>
    <row r="60" spans="1:10" ht="14.95" thickBot="1" x14ac:dyDescent="0.3">
      <c r="A60" s="121" t="s">
        <v>403</v>
      </c>
      <c r="B60" s="186">
        <v>4</v>
      </c>
      <c r="C60" s="221">
        <v>1</v>
      </c>
      <c r="D60" s="420">
        <v>0</v>
      </c>
      <c r="E60" s="120">
        <f t="shared" si="35"/>
        <v>5</v>
      </c>
      <c r="F60" s="122" t="s">
        <v>430</v>
      </c>
      <c r="G60" s="188">
        <v>20</v>
      </c>
      <c r="H60" s="223">
        <v>10</v>
      </c>
      <c r="I60" s="422">
        <v>0</v>
      </c>
      <c r="J60" s="89">
        <f t="shared" si="36"/>
        <v>30</v>
      </c>
    </row>
    <row r="61" spans="1:10" ht="14.95" thickBot="1" x14ac:dyDescent="0.3">
      <c r="A61" s="121" t="s">
        <v>1083</v>
      </c>
      <c r="B61" s="186">
        <v>0</v>
      </c>
      <c r="C61" s="221">
        <v>1</v>
      </c>
      <c r="D61" s="420">
        <v>3</v>
      </c>
      <c r="E61" s="120">
        <f t="shared" si="35"/>
        <v>4</v>
      </c>
      <c r="F61" s="122" t="s">
        <v>123</v>
      </c>
      <c r="G61" s="188">
        <v>20</v>
      </c>
      <c r="H61" s="223">
        <v>5</v>
      </c>
      <c r="I61" s="422">
        <v>5</v>
      </c>
      <c r="J61" s="89">
        <f t="shared" si="36"/>
        <v>30</v>
      </c>
    </row>
    <row r="62" spans="1:10" ht="14.95" thickBot="1" x14ac:dyDescent="0.3">
      <c r="A62" s="121" t="s">
        <v>800</v>
      </c>
      <c r="B62" s="186">
        <v>4</v>
      </c>
      <c r="C62" s="221">
        <v>0</v>
      </c>
      <c r="D62" s="420">
        <v>0</v>
      </c>
      <c r="E62" s="120">
        <f t="shared" si="35"/>
        <v>4</v>
      </c>
      <c r="F62" s="122" t="s">
        <v>134</v>
      </c>
      <c r="G62" s="188">
        <v>20</v>
      </c>
      <c r="H62" s="223">
        <v>5</v>
      </c>
      <c r="I62" s="422">
        <v>0</v>
      </c>
      <c r="J62" s="89">
        <f t="shared" si="36"/>
        <v>25</v>
      </c>
    </row>
    <row r="63" spans="1:10" ht="14.95" thickBot="1" x14ac:dyDescent="0.3">
      <c r="A63" s="121" t="s">
        <v>150</v>
      </c>
      <c r="B63" s="186">
        <v>1</v>
      </c>
      <c r="C63" s="221">
        <v>0</v>
      </c>
      <c r="D63" s="420">
        <v>2</v>
      </c>
      <c r="E63" s="120">
        <f t="shared" si="35"/>
        <v>3</v>
      </c>
      <c r="F63" s="122" t="s">
        <v>403</v>
      </c>
      <c r="G63" s="188">
        <v>20</v>
      </c>
      <c r="H63" s="223">
        <v>5</v>
      </c>
      <c r="I63" s="422">
        <v>0</v>
      </c>
      <c r="J63" s="89">
        <f t="shared" si="36"/>
        <v>25</v>
      </c>
    </row>
    <row r="64" spans="1:10" ht="14.95" thickBot="1" x14ac:dyDescent="0.3">
      <c r="A64" s="121" t="s">
        <v>421</v>
      </c>
      <c r="B64" s="186">
        <v>3</v>
      </c>
      <c r="C64" s="221">
        <v>0</v>
      </c>
      <c r="D64" s="420">
        <v>0</v>
      </c>
      <c r="E64" s="120">
        <f t="shared" si="35"/>
        <v>3</v>
      </c>
      <c r="F64" s="122" t="s">
        <v>1083</v>
      </c>
      <c r="G64" s="188">
        <v>0</v>
      </c>
      <c r="H64" s="223">
        <v>5</v>
      </c>
      <c r="I64" s="422">
        <v>15</v>
      </c>
      <c r="J64" s="89">
        <f t="shared" si="36"/>
        <v>20</v>
      </c>
    </row>
    <row r="65" spans="1:10" ht="14.95" thickBot="1" x14ac:dyDescent="0.3">
      <c r="A65" s="121" t="s">
        <v>165</v>
      </c>
      <c r="B65" s="186">
        <v>3</v>
      </c>
      <c r="C65" s="221">
        <v>0</v>
      </c>
      <c r="D65" s="420">
        <v>0</v>
      </c>
      <c r="E65" s="120">
        <f t="shared" si="35"/>
        <v>3</v>
      </c>
      <c r="F65" s="122" t="s">
        <v>800</v>
      </c>
      <c r="G65" s="188">
        <v>20</v>
      </c>
      <c r="H65" s="223">
        <v>0</v>
      </c>
      <c r="I65" s="422">
        <v>0</v>
      </c>
      <c r="J65" s="89">
        <f t="shared" si="36"/>
        <v>20</v>
      </c>
    </row>
    <row r="66" spans="1:10" ht="14.95" thickBot="1" x14ac:dyDescent="0.3">
      <c r="A66" s="121" t="s">
        <v>153</v>
      </c>
      <c r="B66" s="186">
        <v>2</v>
      </c>
      <c r="C66" s="221">
        <v>1</v>
      </c>
      <c r="D66" s="420">
        <v>0</v>
      </c>
      <c r="E66" s="120">
        <f t="shared" si="35"/>
        <v>3</v>
      </c>
      <c r="F66" s="122" t="s">
        <v>242</v>
      </c>
      <c r="G66" s="188">
        <v>5</v>
      </c>
      <c r="H66" s="223">
        <v>0</v>
      </c>
      <c r="I66" s="422">
        <v>14</v>
      </c>
      <c r="J66" s="89">
        <f t="shared" si="36"/>
        <v>19</v>
      </c>
    </row>
    <row r="67" spans="1:10" ht="14.95" thickBot="1" x14ac:dyDescent="0.3">
      <c r="A67" s="121" t="s">
        <v>9</v>
      </c>
      <c r="B67" s="186">
        <v>3</v>
      </c>
      <c r="C67" s="221">
        <v>0</v>
      </c>
      <c r="D67" s="420">
        <v>0</v>
      </c>
      <c r="E67" s="120">
        <f t="shared" si="35"/>
        <v>3</v>
      </c>
      <c r="F67" s="122" t="s">
        <v>150</v>
      </c>
      <c r="G67" s="188">
        <v>5</v>
      </c>
      <c r="H67" s="223">
        <v>0</v>
      </c>
      <c r="I67" s="422">
        <v>10</v>
      </c>
      <c r="J67" s="89">
        <f t="shared" si="36"/>
        <v>15</v>
      </c>
    </row>
    <row r="68" spans="1:10" ht="14.95" thickBot="1" x14ac:dyDescent="0.3">
      <c r="A68" s="121" t="s">
        <v>1060</v>
      </c>
      <c r="B68" s="186">
        <v>0</v>
      </c>
      <c r="C68" s="221">
        <v>0</v>
      </c>
      <c r="D68" s="420">
        <v>2</v>
      </c>
      <c r="E68" s="120">
        <f t="shared" si="35"/>
        <v>2</v>
      </c>
      <c r="F68" s="122" t="s">
        <v>165</v>
      </c>
      <c r="G68" s="188">
        <v>15</v>
      </c>
      <c r="H68" s="223">
        <v>0</v>
      </c>
      <c r="I68" s="422">
        <v>0</v>
      </c>
      <c r="J68" s="89">
        <f t="shared" si="36"/>
        <v>15</v>
      </c>
    </row>
    <row r="69" spans="1:10" ht="14.95" thickBot="1" x14ac:dyDescent="0.3">
      <c r="A69" s="121" t="s">
        <v>470</v>
      </c>
      <c r="B69" s="186">
        <v>1</v>
      </c>
      <c r="C69" s="221">
        <v>0</v>
      </c>
      <c r="D69" s="420">
        <v>1</v>
      </c>
      <c r="E69" s="120">
        <f t="shared" si="35"/>
        <v>2</v>
      </c>
      <c r="F69" s="122" t="s">
        <v>153</v>
      </c>
      <c r="G69" s="188">
        <v>10</v>
      </c>
      <c r="H69" s="223">
        <v>5</v>
      </c>
      <c r="I69" s="422">
        <v>0</v>
      </c>
      <c r="J69" s="89">
        <f t="shared" si="36"/>
        <v>15</v>
      </c>
    </row>
    <row r="70" spans="1:10" ht="14.95" thickBot="1" x14ac:dyDescent="0.3">
      <c r="A70" s="121" t="s">
        <v>166</v>
      </c>
      <c r="B70" s="186">
        <v>2</v>
      </c>
      <c r="C70" s="221">
        <v>0</v>
      </c>
      <c r="D70" s="420">
        <v>0</v>
      </c>
      <c r="E70" s="120">
        <f t="shared" si="35"/>
        <v>2</v>
      </c>
      <c r="F70" s="122" t="s">
        <v>9</v>
      </c>
      <c r="G70" s="188">
        <v>15</v>
      </c>
      <c r="H70" s="223">
        <v>0</v>
      </c>
      <c r="I70" s="422">
        <v>0</v>
      </c>
      <c r="J70" s="89">
        <f t="shared" si="36"/>
        <v>15</v>
      </c>
    </row>
    <row r="71" spans="1:10" ht="14.95" thickBot="1" x14ac:dyDescent="0.3">
      <c r="A71" s="121" t="s">
        <v>114</v>
      </c>
      <c r="B71" s="186">
        <v>2</v>
      </c>
      <c r="C71" s="221">
        <v>0</v>
      </c>
      <c r="D71" s="420">
        <v>0</v>
      </c>
      <c r="E71" s="120">
        <f t="shared" si="35"/>
        <v>2</v>
      </c>
      <c r="F71" s="122" t="s">
        <v>151</v>
      </c>
      <c r="G71" s="188">
        <v>13</v>
      </c>
      <c r="H71" s="223">
        <v>0</v>
      </c>
      <c r="I71" s="422">
        <v>0</v>
      </c>
      <c r="J71" s="89">
        <f t="shared" si="36"/>
        <v>13</v>
      </c>
    </row>
    <row r="72" spans="1:10" ht="14.95" thickBot="1" x14ac:dyDescent="0.3">
      <c r="A72" s="121" t="s">
        <v>119</v>
      </c>
      <c r="B72" s="186">
        <v>1</v>
      </c>
      <c r="C72" s="221">
        <v>0</v>
      </c>
      <c r="D72" s="420">
        <v>1</v>
      </c>
      <c r="E72" s="120">
        <f t="shared" si="35"/>
        <v>2</v>
      </c>
      <c r="F72" s="122" t="s">
        <v>1060</v>
      </c>
      <c r="G72" s="188">
        <v>0</v>
      </c>
      <c r="H72" s="223">
        <v>0</v>
      </c>
      <c r="I72" s="422">
        <v>10</v>
      </c>
      <c r="J72" s="89">
        <f t="shared" si="36"/>
        <v>10</v>
      </c>
    </row>
    <row r="73" spans="1:10" ht="14.95" thickBot="1" x14ac:dyDescent="0.3">
      <c r="A73" s="121" t="s">
        <v>706</v>
      </c>
      <c r="B73" s="186">
        <v>1</v>
      </c>
      <c r="C73" s="221">
        <v>1</v>
      </c>
      <c r="D73" s="420">
        <v>0</v>
      </c>
      <c r="E73" s="120">
        <f t="shared" si="35"/>
        <v>2</v>
      </c>
      <c r="F73" s="122" t="s">
        <v>470</v>
      </c>
      <c r="G73" s="188">
        <v>5</v>
      </c>
      <c r="H73" s="223">
        <v>0</v>
      </c>
      <c r="I73" s="422">
        <v>5</v>
      </c>
      <c r="J73" s="89">
        <f t="shared" si="36"/>
        <v>10</v>
      </c>
    </row>
    <row r="74" spans="1:10" ht="14.95" thickBot="1" x14ac:dyDescent="0.3">
      <c r="A74" s="121" t="s">
        <v>1025</v>
      </c>
      <c r="B74" s="186">
        <v>2</v>
      </c>
      <c r="C74" s="221">
        <v>0</v>
      </c>
      <c r="D74" s="420">
        <v>0</v>
      </c>
      <c r="E74" s="120">
        <f t="shared" si="35"/>
        <v>2</v>
      </c>
      <c r="F74" s="122" t="s">
        <v>167</v>
      </c>
      <c r="G74" s="188">
        <v>10</v>
      </c>
      <c r="H74" s="223">
        <v>0</v>
      </c>
      <c r="I74" s="422">
        <v>0</v>
      </c>
      <c r="J74" s="89">
        <f t="shared" si="36"/>
        <v>10</v>
      </c>
    </row>
    <row r="75" spans="1:10" ht="14.95" thickBot="1" x14ac:dyDescent="0.3">
      <c r="A75" s="121" t="s">
        <v>707</v>
      </c>
      <c r="B75" s="186">
        <v>2</v>
      </c>
      <c r="C75" s="221">
        <v>0</v>
      </c>
      <c r="D75" s="420">
        <v>0</v>
      </c>
      <c r="E75" s="120">
        <f t="shared" si="35"/>
        <v>2</v>
      </c>
      <c r="F75" s="122" t="s">
        <v>119</v>
      </c>
      <c r="G75" s="188">
        <v>5</v>
      </c>
      <c r="H75" s="223">
        <v>0</v>
      </c>
      <c r="I75" s="422">
        <v>5</v>
      </c>
      <c r="J75" s="89">
        <f t="shared" si="36"/>
        <v>10</v>
      </c>
    </row>
    <row r="76" spans="1:10" ht="14.95" thickBot="1" x14ac:dyDescent="0.3">
      <c r="A76" s="121" t="s">
        <v>1085</v>
      </c>
      <c r="B76" s="186">
        <v>0</v>
      </c>
      <c r="C76" s="221">
        <v>0</v>
      </c>
      <c r="D76" s="420">
        <v>1</v>
      </c>
      <c r="E76" s="120">
        <f t="shared" si="35"/>
        <v>1</v>
      </c>
      <c r="F76" s="122" t="s">
        <v>706</v>
      </c>
      <c r="G76" s="188">
        <v>5</v>
      </c>
      <c r="H76" s="223">
        <v>5</v>
      </c>
      <c r="I76" s="422">
        <v>0</v>
      </c>
      <c r="J76" s="89">
        <f t="shared" si="36"/>
        <v>10</v>
      </c>
    </row>
    <row r="77" spans="1:10" ht="14.95" thickBot="1" x14ac:dyDescent="0.3">
      <c r="A77" s="121" t="s">
        <v>1197</v>
      </c>
      <c r="B77" s="186">
        <v>0</v>
      </c>
      <c r="C77" s="221">
        <v>0</v>
      </c>
      <c r="D77" s="420">
        <v>1</v>
      </c>
      <c r="E77" s="120">
        <f t="shared" si="35"/>
        <v>1</v>
      </c>
      <c r="F77" s="122" t="s">
        <v>1025</v>
      </c>
      <c r="G77" s="188">
        <v>10</v>
      </c>
      <c r="H77" s="223">
        <v>0</v>
      </c>
      <c r="I77" s="422">
        <v>0</v>
      </c>
      <c r="J77" s="89">
        <f t="shared" si="36"/>
        <v>10</v>
      </c>
    </row>
    <row r="78" spans="1:10" ht="14.95" thickBot="1" x14ac:dyDescent="0.3">
      <c r="A78" s="121" t="s">
        <v>787</v>
      </c>
      <c r="B78" s="186">
        <v>0</v>
      </c>
      <c r="C78" s="221">
        <v>1</v>
      </c>
      <c r="D78" s="420">
        <v>0</v>
      </c>
      <c r="E78" s="120">
        <f t="shared" si="35"/>
        <v>1</v>
      </c>
      <c r="F78" s="122" t="s">
        <v>707</v>
      </c>
      <c r="G78" s="188">
        <v>10</v>
      </c>
      <c r="H78" s="223">
        <v>0</v>
      </c>
      <c r="I78" s="422">
        <v>0</v>
      </c>
      <c r="J78" s="89">
        <f t="shared" si="36"/>
        <v>10</v>
      </c>
    </row>
    <row r="79" spans="1:10" ht="14.95" thickBot="1" x14ac:dyDescent="0.3">
      <c r="A79" s="121" t="s">
        <v>151</v>
      </c>
      <c r="B79" s="186">
        <v>1</v>
      </c>
      <c r="C79" s="221">
        <v>0</v>
      </c>
      <c r="D79" s="420">
        <v>0</v>
      </c>
      <c r="E79" s="120">
        <f t="shared" si="35"/>
        <v>1</v>
      </c>
      <c r="F79" s="122" t="s">
        <v>1085</v>
      </c>
      <c r="G79" s="188">
        <v>0</v>
      </c>
      <c r="H79" s="223">
        <v>0</v>
      </c>
      <c r="I79" s="422">
        <v>5</v>
      </c>
      <c r="J79" s="89">
        <f t="shared" si="36"/>
        <v>5</v>
      </c>
    </row>
    <row r="80" spans="1:10" ht="14.95" thickBot="1" x14ac:dyDescent="0.3">
      <c r="A80" s="121" t="s">
        <v>814</v>
      </c>
      <c r="B80" s="186">
        <v>1</v>
      </c>
      <c r="C80" s="221">
        <v>0</v>
      </c>
      <c r="D80" s="420">
        <v>0</v>
      </c>
      <c r="E80" s="120">
        <f t="shared" si="35"/>
        <v>1</v>
      </c>
      <c r="F80" s="122" t="s">
        <v>1197</v>
      </c>
      <c r="G80" s="188">
        <v>0</v>
      </c>
      <c r="H80" s="223">
        <v>0</v>
      </c>
      <c r="I80" s="422">
        <v>5</v>
      </c>
      <c r="J80" s="89">
        <f t="shared" si="36"/>
        <v>5</v>
      </c>
    </row>
    <row r="81" spans="1:10" ht="14.95" customHeight="1" thickBot="1" x14ac:dyDescent="0.3">
      <c r="A81" s="121" t="s">
        <v>40</v>
      </c>
      <c r="B81" s="186">
        <v>1</v>
      </c>
      <c r="C81" s="221">
        <v>0</v>
      </c>
      <c r="D81" s="420">
        <v>0</v>
      </c>
      <c r="E81" s="120">
        <f t="shared" si="35"/>
        <v>1</v>
      </c>
      <c r="F81" s="122" t="s">
        <v>787</v>
      </c>
      <c r="G81" s="188">
        <v>0</v>
      </c>
      <c r="H81" s="223">
        <v>5</v>
      </c>
      <c r="I81" s="422">
        <v>0</v>
      </c>
      <c r="J81" s="89">
        <f t="shared" si="36"/>
        <v>5</v>
      </c>
    </row>
    <row r="82" spans="1:10" ht="14.95" thickBot="1" x14ac:dyDescent="0.3">
      <c r="A82" s="121" t="s">
        <v>1198</v>
      </c>
      <c r="B82" s="186">
        <v>0</v>
      </c>
      <c r="C82" s="221">
        <v>0</v>
      </c>
      <c r="D82" s="420">
        <v>1</v>
      </c>
      <c r="E82" s="120">
        <f t="shared" si="35"/>
        <v>1</v>
      </c>
      <c r="F82" s="122" t="s">
        <v>814</v>
      </c>
      <c r="G82" s="188">
        <v>5</v>
      </c>
      <c r="H82" s="223">
        <v>0</v>
      </c>
      <c r="I82" s="422">
        <v>0</v>
      </c>
      <c r="J82" s="89">
        <f t="shared" si="36"/>
        <v>5</v>
      </c>
    </row>
    <row r="83" spans="1:10" ht="14.95" customHeight="1" thickBot="1" x14ac:dyDescent="0.3">
      <c r="A83" s="121" t="s">
        <v>59</v>
      </c>
      <c r="B83" s="186">
        <v>1</v>
      </c>
      <c r="C83" s="221">
        <v>0</v>
      </c>
      <c r="D83" s="420">
        <v>0</v>
      </c>
      <c r="E83" s="120">
        <f t="shared" si="35"/>
        <v>1</v>
      </c>
      <c r="F83" s="122" t="s">
        <v>40</v>
      </c>
      <c r="G83" s="188">
        <v>5</v>
      </c>
      <c r="H83" s="223">
        <v>0</v>
      </c>
      <c r="I83" s="422">
        <v>0</v>
      </c>
      <c r="J83" s="89">
        <f t="shared" si="36"/>
        <v>5</v>
      </c>
    </row>
    <row r="84" spans="1:10" ht="14.95" thickBot="1" x14ac:dyDescent="0.3">
      <c r="A84" s="121" t="s">
        <v>780</v>
      </c>
      <c r="B84" s="186">
        <v>0</v>
      </c>
      <c r="C84" s="221">
        <v>1</v>
      </c>
      <c r="D84" s="420">
        <v>0</v>
      </c>
      <c r="E84" s="120">
        <f t="shared" si="35"/>
        <v>1</v>
      </c>
      <c r="F84" s="122" t="s">
        <v>1198</v>
      </c>
      <c r="G84" s="188">
        <v>0</v>
      </c>
      <c r="H84" s="223">
        <v>0</v>
      </c>
      <c r="I84" s="422">
        <v>5</v>
      </c>
      <c r="J84" s="89">
        <f t="shared" si="36"/>
        <v>5</v>
      </c>
    </row>
    <row r="85" spans="1:10" ht="14.95" customHeight="1" thickBot="1" x14ac:dyDescent="0.3">
      <c r="A85" s="121" t="s">
        <v>408</v>
      </c>
      <c r="B85" s="186">
        <v>0</v>
      </c>
      <c r="C85" s="221">
        <v>0</v>
      </c>
      <c r="D85" s="420">
        <v>1</v>
      </c>
      <c r="E85" s="120">
        <f t="shared" si="35"/>
        <v>1</v>
      </c>
      <c r="F85" s="122" t="s">
        <v>59</v>
      </c>
      <c r="G85" s="188">
        <v>5</v>
      </c>
      <c r="H85" s="223">
        <v>0</v>
      </c>
      <c r="I85" s="422">
        <v>0</v>
      </c>
      <c r="J85" s="89">
        <f t="shared" si="36"/>
        <v>5</v>
      </c>
    </row>
    <row r="86" spans="1:10" ht="14.95" thickBot="1" x14ac:dyDescent="0.3">
      <c r="A86" s="121" t="s">
        <v>80</v>
      </c>
      <c r="B86" s="186">
        <v>0</v>
      </c>
      <c r="C86" s="221">
        <v>0</v>
      </c>
      <c r="D86" s="420">
        <v>0</v>
      </c>
      <c r="E86" s="120">
        <f t="shared" si="35"/>
        <v>0</v>
      </c>
      <c r="F86" s="122" t="s">
        <v>780</v>
      </c>
      <c r="G86" s="188">
        <v>0</v>
      </c>
      <c r="H86" s="223">
        <v>5</v>
      </c>
      <c r="I86" s="422">
        <v>0</v>
      </c>
      <c r="J86" s="89">
        <f t="shared" si="36"/>
        <v>5</v>
      </c>
    </row>
    <row r="87" spans="1:10" ht="14.95" customHeight="1" thickBot="1" x14ac:dyDescent="0.3">
      <c r="A87" s="121" t="s">
        <v>127</v>
      </c>
      <c r="B87" s="186">
        <v>0</v>
      </c>
      <c r="C87" s="221">
        <v>0</v>
      </c>
      <c r="D87" s="420">
        <v>0</v>
      </c>
      <c r="E87" s="120">
        <f t="shared" si="35"/>
        <v>0</v>
      </c>
      <c r="F87" s="122" t="s">
        <v>80</v>
      </c>
      <c r="G87" s="188">
        <v>0</v>
      </c>
      <c r="H87" s="223">
        <v>0</v>
      </c>
      <c r="I87" s="422">
        <v>0</v>
      </c>
      <c r="J87" s="89">
        <f t="shared" si="36"/>
        <v>0</v>
      </c>
    </row>
    <row r="88" spans="1:10" ht="14.95" thickBot="1" x14ac:dyDescent="0.3">
      <c r="A88" s="121" t="s">
        <v>488</v>
      </c>
      <c r="B88" s="186">
        <v>0</v>
      </c>
      <c r="C88" s="221">
        <v>0</v>
      </c>
      <c r="D88" s="420">
        <v>0</v>
      </c>
      <c r="E88" s="120">
        <f t="shared" si="35"/>
        <v>0</v>
      </c>
      <c r="F88" s="122" t="s">
        <v>127</v>
      </c>
      <c r="G88" s="188">
        <v>0</v>
      </c>
      <c r="H88" s="223">
        <v>0</v>
      </c>
      <c r="I88" s="422">
        <v>0</v>
      </c>
      <c r="J88" s="89">
        <f t="shared" si="36"/>
        <v>0</v>
      </c>
    </row>
    <row r="89" spans="1:10" ht="14.95" customHeight="1" thickBot="1" x14ac:dyDescent="0.3">
      <c r="A89" s="121" t="s">
        <v>809</v>
      </c>
      <c r="B89" s="186">
        <v>0</v>
      </c>
      <c r="C89" s="221">
        <v>0</v>
      </c>
      <c r="D89" s="420">
        <v>0</v>
      </c>
      <c r="E89" s="120">
        <f t="shared" si="35"/>
        <v>0</v>
      </c>
      <c r="F89" s="122" t="s">
        <v>809</v>
      </c>
      <c r="G89" s="188">
        <v>0</v>
      </c>
      <c r="H89" s="223">
        <v>0</v>
      </c>
      <c r="I89" s="422">
        <v>0</v>
      </c>
      <c r="J89" s="89">
        <f t="shared" si="36"/>
        <v>0</v>
      </c>
    </row>
    <row r="90" spans="1:10" ht="14.95" thickBot="1" x14ac:dyDescent="0.3">
      <c r="A90" s="121" t="s">
        <v>152</v>
      </c>
      <c r="B90" s="186">
        <v>0</v>
      </c>
      <c r="C90" s="221">
        <v>0</v>
      </c>
      <c r="D90" s="420">
        <v>0</v>
      </c>
      <c r="E90" s="120">
        <f t="shared" si="35"/>
        <v>0</v>
      </c>
      <c r="F90" s="122" t="s">
        <v>152</v>
      </c>
      <c r="G90" s="188">
        <v>0</v>
      </c>
      <c r="H90" s="223">
        <v>0</v>
      </c>
      <c r="I90" s="422">
        <v>0</v>
      </c>
      <c r="J90" s="89">
        <f t="shared" si="36"/>
        <v>0</v>
      </c>
    </row>
    <row r="91" spans="1:10" ht="14.95" thickBot="1" x14ac:dyDescent="0.3">
      <c r="A91" s="121" t="s">
        <v>101</v>
      </c>
      <c r="B91" s="186">
        <v>0</v>
      </c>
      <c r="C91" s="221">
        <v>0</v>
      </c>
      <c r="D91" s="420">
        <v>0</v>
      </c>
      <c r="E91" s="120">
        <f t="shared" si="35"/>
        <v>0</v>
      </c>
      <c r="F91" s="122" t="s">
        <v>101</v>
      </c>
      <c r="G91" s="188">
        <v>0</v>
      </c>
      <c r="H91" s="223">
        <v>0</v>
      </c>
      <c r="I91" s="422">
        <v>0</v>
      </c>
      <c r="J91" s="89">
        <f t="shared" si="36"/>
        <v>0</v>
      </c>
    </row>
    <row r="92" spans="1:10" ht="14.95" customHeight="1" thickBot="1" x14ac:dyDescent="0.3">
      <c r="A92" s="121" t="s">
        <v>518</v>
      </c>
      <c r="B92" s="186">
        <v>0</v>
      </c>
      <c r="C92" s="221">
        <v>0</v>
      </c>
      <c r="D92" s="420">
        <v>0</v>
      </c>
      <c r="E92" s="120">
        <f t="shared" si="35"/>
        <v>0</v>
      </c>
      <c r="F92" s="122" t="s">
        <v>518</v>
      </c>
      <c r="G92" s="188">
        <v>0</v>
      </c>
      <c r="H92" s="223">
        <v>0</v>
      </c>
      <c r="I92" s="422">
        <v>0</v>
      </c>
      <c r="J92" s="89">
        <f t="shared" si="36"/>
        <v>0</v>
      </c>
    </row>
    <row r="93" spans="1:10" ht="14.95" thickBot="1" x14ac:dyDescent="0.3">
      <c r="A93" s="121" t="s">
        <v>6</v>
      </c>
      <c r="B93" s="186">
        <v>0</v>
      </c>
      <c r="C93" s="221">
        <v>0</v>
      </c>
      <c r="D93" s="420">
        <v>0</v>
      </c>
      <c r="E93" s="120">
        <f t="shared" si="35"/>
        <v>0</v>
      </c>
      <c r="F93" s="122" t="s">
        <v>6</v>
      </c>
      <c r="G93" s="188">
        <v>0</v>
      </c>
      <c r="H93" s="223">
        <v>0</v>
      </c>
      <c r="I93" s="422">
        <v>0</v>
      </c>
      <c r="J93" s="89">
        <f t="shared" si="36"/>
        <v>0</v>
      </c>
    </row>
    <row r="94" spans="1:10" ht="14.95" thickBot="1" x14ac:dyDescent="0.3">
      <c r="A94" s="121" t="s">
        <v>115</v>
      </c>
      <c r="B94" s="186">
        <v>0</v>
      </c>
      <c r="C94" s="221">
        <v>0</v>
      </c>
      <c r="D94" s="420">
        <v>0</v>
      </c>
      <c r="E94" s="120">
        <f t="shared" si="35"/>
        <v>0</v>
      </c>
      <c r="F94" s="122" t="s">
        <v>115</v>
      </c>
      <c r="G94" s="188">
        <v>0</v>
      </c>
      <c r="H94" s="223">
        <v>0</v>
      </c>
      <c r="I94" s="422">
        <v>0</v>
      </c>
      <c r="J94" s="89">
        <f t="shared" si="36"/>
        <v>0</v>
      </c>
    </row>
    <row r="95" spans="1:10" ht="14.95" customHeight="1" thickBot="1" x14ac:dyDescent="0.3">
      <c r="A95" s="121" t="s">
        <v>445</v>
      </c>
      <c r="B95" s="186">
        <v>0</v>
      </c>
      <c r="C95" s="221">
        <v>0</v>
      </c>
      <c r="D95" s="420">
        <v>0</v>
      </c>
      <c r="E95" s="120">
        <f t="shared" si="35"/>
        <v>0</v>
      </c>
      <c r="F95" s="122" t="s">
        <v>445</v>
      </c>
      <c r="G95" s="188">
        <v>0</v>
      </c>
      <c r="H95" s="223">
        <v>0</v>
      </c>
      <c r="I95" s="422">
        <v>0</v>
      </c>
      <c r="J95" s="89">
        <f t="shared" si="36"/>
        <v>0</v>
      </c>
    </row>
    <row r="96" spans="1:10" ht="14.95" customHeight="1" thickBot="1" x14ac:dyDescent="0.3">
      <c r="A96" s="121" t="s">
        <v>7</v>
      </c>
      <c r="B96" s="186">
        <v>0</v>
      </c>
      <c r="C96" s="221">
        <v>0</v>
      </c>
      <c r="D96" s="420">
        <v>0</v>
      </c>
      <c r="E96" s="120">
        <f t="shared" si="35"/>
        <v>0</v>
      </c>
      <c r="F96" s="122" t="s">
        <v>7</v>
      </c>
      <c r="G96" s="188">
        <v>0</v>
      </c>
      <c r="H96" s="223">
        <v>0</v>
      </c>
      <c r="I96" s="422">
        <v>0</v>
      </c>
      <c r="J96" s="89">
        <f t="shared" si="36"/>
        <v>0</v>
      </c>
    </row>
    <row r="97" spans="1:10" ht="14.95" thickBot="1" x14ac:dyDescent="0.3">
      <c r="A97" s="121" t="s">
        <v>3</v>
      </c>
      <c r="B97" s="186">
        <f>SUM(B52:B96)</f>
        <v>75</v>
      </c>
      <c r="C97" s="221">
        <f>SUM(C52:C96)</f>
        <v>20</v>
      </c>
      <c r="D97" s="420">
        <f>SUM(D52:D96)</f>
        <v>16</v>
      </c>
      <c r="E97" s="120">
        <f>SUM(E52:E96)</f>
        <v>111</v>
      </c>
      <c r="F97" s="122" t="s">
        <v>3</v>
      </c>
      <c r="G97" s="188">
        <f>SUM(G52:G96)</f>
        <v>559</v>
      </c>
      <c r="H97" s="223">
        <f>SUM(H52:H96)</f>
        <v>155</v>
      </c>
      <c r="I97" s="422">
        <f>SUM(I52:I96)</f>
        <v>108</v>
      </c>
      <c r="J97" s="89">
        <f>SUM(J52:J96)</f>
        <v>822</v>
      </c>
    </row>
    <row r="98" spans="1:10" x14ac:dyDescent="0.25">
      <c r="A98" s="582" t="s">
        <v>81</v>
      </c>
      <c r="B98" s="583"/>
      <c r="C98" s="583"/>
      <c r="D98" s="583"/>
      <c r="E98" s="583"/>
      <c r="F98" s="583"/>
      <c r="G98" s="583"/>
      <c r="H98" s="583"/>
      <c r="I98" s="583"/>
      <c r="J98" s="583"/>
    </row>
  </sheetData>
  <sortState xmlns:xlrd2="http://schemas.microsoft.com/office/spreadsheetml/2017/richdata2" ref="F52:J96">
    <sortCondition descending="1" ref="J52:J96"/>
  </sortState>
  <mergeCells count="43">
    <mergeCell ref="A98:J98"/>
    <mergeCell ref="O1:Q2"/>
    <mergeCell ref="L14:N15"/>
    <mergeCell ref="U14:W15"/>
    <mergeCell ref="R1:S2"/>
    <mergeCell ref="W1:Y2"/>
    <mergeCell ref="R14:T15"/>
    <mergeCell ref="T1:V2"/>
    <mergeCell ref="O34:Q35"/>
    <mergeCell ref="U34:W35"/>
    <mergeCell ref="R34:T35"/>
    <mergeCell ref="AR1:AT2"/>
    <mergeCell ref="AO1:AQ2"/>
    <mergeCell ref="AO14:AQ15"/>
    <mergeCell ref="AL14:AN15"/>
    <mergeCell ref="AI14:AK15"/>
    <mergeCell ref="AL1:AN2"/>
    <mergeCell ref="AI1:AK2"/>
    <mergeCell ref="AF1:AH2"/>
    <mergeCell ref="AF14:AH15"/>
    <mergeCell ref="A1:J1"/>
    <mergeCell ref="K34:K35"/>
    <mergeCell ref="L34:N35"/>
    <mergeCell ref="K14:K15"/>
    <mergeCell ref="K1:K2"/>
    <mergeCell ref="L1:N2"/>
    <mergeCell ref="AC1:AE2"/>
    <mergeCell ref="O14:Q15"/>
    <mergeCell ref="AC14:AE15"/>
    <mergeCell ref="AC24:AE25"/>
    <mergeCell ref="K24:K25"/>
    <mergeCell ref="L24:N25"/>
    <mergeCell ref="R24:T25"/>
    <mergeCell ref="U24:W25"/>
    <mergeCell ref="AO24:AQ25"/>
    <mergeCell ref="AI24:AK25"/>
    <mergeCell ref="AF34:AH35"/>
    <mergeCell ref="O24:Q25"/>
    <mergeCell ref="AF24:AH25"/>
    <mergeCell ref="AL24:AN25"/>
    <mergeCell ref="AL34:AN35"/>
    <mergeCell ref="AI34:AK35"/>
    <mergeCell ref="AC34:AE3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8030-C84B-454F-B894-8046D17AFCDD}">
  <dimension ref="A1:AU96"/>
  <sheetViews>
    <sheetView zoomScale="110" zoomScaleNormal="110" workbookViewId="0">
      <selection sqref="A1:J1"/>
    </sheetView>
  </sheetViews>
  <sheetFormatPr defaultRowHeight="14.3" x14ac:dyDescent="0.25"/>
  <cols>
    <col min="1" max="1" width="15.75" customWidth="1"/>
    <col min="2" max="4" width="3.75" customWidth="1"/>
    <col min="5" max="5" width="4.75" customWidth="1"/>
    <col min="6" max="6" width="15.75" customWidth="1"/>
    <col min="7" max="10" width="5.25" customWidth="1"/>
    <col min="11" max="11" width="15.75" customWidth="1"/>
    <col min="12" max="43" width="5.75" customWidth="1"/>
  </cols>
  <sheetData>
    <row r="1" spans="1:46" ht="17" thickBot="1" x14ac:dyDescent="0.3">
      <c r="A1" s="611" t="s">
        <v>1228</v>
      </c>
      <c r="B1" s="612"/>
      <c r="C1" s="612"/>
      <c r="D1" s="612"/>
      <c r="E1" s="612"/>
      <c r="F1" s="612"/>
      <c r="G1" s="612"/>
      <c r="H1" s="612"/>
      <c r="I1" s="612"/>
      <c r="J1" s="613"/>
      <c r="K1" s="540" t="s">
        <v>509</v>
      </c>
      <c r="L1" s="526" t="s">
        <v>29</v>
      </c>
      <c r="M1" s="527"/>
      <c r="N1" s="528"/>
      <c r="O1" s="526" t="s">
        <v>93</v>
      </c>
      <c r="P1" s="527"/>
      <c r="Q1" s="528"/>
      <c r="R1" s="526" t="s">
        <v>508</v>
      </c>
      <c r="S1" s="528"/>
      <c r="T1" s="520" t="s">
        <v>863</v>
      </c>
      <c r="U1" s="521"/>
      <c r="V1" s="522"/>
      <c r="W1" s="214"/>
      <c r="X1" s="360"/>
      <c r="Y1" s="361"/>
      <c r="Z1" s="520" t="s">
        <v>621</v>
      </c>
      <c r="AA1" s="521"/>
      <c r="AB1" s="522"/>
      <c r="AC1" s="520" t="s">
        <v>448</v>
      </c>
      <c r="AD1" s="521"/>
      <c r="AE1" s="522"/>
      <c r="AF1" s="520" t="s">
        <v>178</v>
      </c>
      <c r="AG1" s="521"/>
      <c r="AH1" s="522"/>
      <c r="AI1" s="520" t="s">
        <v>122</v>
      </c>
      <c r="AJ1" s="521"/>
      <c r="AK1" s="522"/>
      <c r="AL1" s="520" t="s">
        <v>113</v>
      </c>
      <c r="AM1" s="521"/>
      <c r="AN1" s="522"/>
      <c r="AO1" s="520" t="s">
        <v>85</v>
      </c>
      <c r="AP1" s="521"/>
      <c r="AQ1" s="522"/>
      <c r="AR1" s="520" t="s">
        <v>106</v>
      </c>
      <c r="AS1" s="521"/>
      <c r="AT1" s="522"/>
    </row>
    <row r="2" spans="1:46" ht="14.95" customHeight="1" thickBot="1" x14ac:dyDescent="0.3">
      <c r="A2" s="332" t="s">
        <v>0</v>
      </c>
      <c r="B2" s="363" t="s">
        <v>620</v>
      </c>
      <c r="C2" s="467" t="s">
        <v>64</v>
      </c>
      <c r="D2" s="443" t="s">
        <v>925</v>
      </c>
      <c r="E2" s="334" t="s">
        <v>1</v>
      </c>
      <c r="F2" s="451" t="s">
        <v>2</v>
      </c>
      <c r="G2" s="450" t="s">
        <v>620</v>
      </c>
      <c r="H2" s="461" t="s">
        <v>64</v>
      </c>
      <c r="I2" s="448" t="s">
        <v>925</v>
      </c>
      <c r="J2" s="449" t="s">
        <v>1</v>
      </c>
      <c r="K2" s="541"/>
      <c r="L2" s="529"/>
      <c r="M2" s="530"/>
      <c r="N2" s="531"/>
      <c r="O2" s="529"/>
      <c r="P2" s="530"/>
      <c r="Q2" s="531"/>
      <c r="R2" s="529"/>
      <c r="S2" s="531"/>
      <c r="T2" s="523"/>
      <c r="U2" s="524"/>
      <c r="V2" s="525"/>
      <c r="W2" s="214"/>
      <c r="X2" s="214"/>
      <c r="Y2" s="326"/>
      <c r="Z2" s="523"/>
      <c r="AA2" s="524"/>
      <c r="AB2" s="525"/>
      <c r="AC2" s="523"/>
      <c r="AD2" s="524"/>
      <c r="AE2" s="525"/>
      <c r="AF2" s="523"/>
      <c r="AG2" s="524"/>
      <c r="AH2" s="525"/>
      <c r="AI2" s="523"/>
      <c r="AJ2" s="524"/>
      <c r="AK2" s="525"/>
      <c r="AL2" s="523"/>
      <c r="AM2" s="524"/>
      <c r="AN2" s="525"/>
      <c r="AO2" s="523"/>
      <c r="AP2" s="524"/>
      <c r="AQ2" s="525"/>
      <c r="AR2" s="523"/>
      <c r="AS2" s="524"/>
      <c r="AT2" s="525"/>
    </row>
    <row r="3" spans="1:46" ht="14.95" customHeight="1" thickBot="1" x14ac:dyDescent="0.3">
      <c r="A3" s="333" t="s">
        <v>826</v>
      </c>
      <c r="B3" s="364">
        <v>0</v>
      </c>
      <c r="C3" s="468">
        <v>0</v>
      </c>
      <c r="D3" s="444">
        <v>0</v>
      </c>
      <c r="E3" s="335">
        <f>SUM(B3:D3)</f>
        <v>0</v>
      </c>
      <c r="F3" s="452" t="s">
        <v>826</v>
      </c>
      <c r="G3" s="453">
        <v>0</v>
      </c>
      <c r="H3" s="472">
        <v>0</v>
      </c>
      <c r="I3" s="454">
        <v>0</v>
      </c>
      <c r="J3" s="455">
        <f>SUM(G3:I3)</f>
        <v>0</v>
      </c>
      <c r="K3" s="394" t="s">
        <v>44</v>
      </c>
      <c r="L3" s="3" t="s">
        <v>107</v>
      </c>
      <c r="M3" s="3" t="s">
        <v>23</v>
      </c>
      <c r="N3" s="3" t="s">
        <v>24</v>
      </c>
      <c r="O3" s="3" t="s">
        <v>107</v>
      </c>
      <c r="P3" s="3" t="s">
        <v>23</v>
      </c>
      <c r="Q3" s="3" t="s">
        <v>24</v>
      </c>
      <c r="R3" s="3" t="s">
        <v>34</v>
      </c>
      <c r="S3" s="3" t="s">
        <v>135</v>
      </c>
      <c r="T3" s="201" t="s">
        <v>107</v>
      </c>
      <c r="U3" s="7" t="s">
        <v>23</v>
      </c>
      <c r="V3" s="7" t="s">
        <v>24</v>
      </c>
      <c r="W3" s="109"/>
      <c r="X3" s="109"/>
      <c r="Y3" s="327"/>
      <c r="Z3" s="201" t="s">
        <v>107</v>
      </c>
      <c r="AA3" s="7" t="s">
        <v>23</v>
      </c>
      <c r="AB3" s="7" t="s">
        <v>24</v>
      </c>
      <c r="AC3" s="201" t="s">
        <v>107</v>
      </c>
      <c r="AD3" s="7" t="s">
        <v>23</v>
      </c>
      <c r="AE3" s="7" t="s">
        <v>24</v>
      </c>
      <c r="AF3" s="201" t="s">
        <v>107</v>
      </c>
      <c r="AG3" s="7" t="s">
        <v>23</v>
      </c>
      <c r="AH3" s="7" t="s">
        <v>24</v>
      </c>
      <c r="AI3" s="201" t="s">
        <v>107</v>
      </c>
      <c r="AJ3" s="7" t="s">
        <v>23</v>
      </c>
      <c r="AK3" s="7" t="s">
        <v>24</v>
      </c>
      <c r="AL3" s="7" t="s">
        <v>107</v>
      </c>
      <c r="AM3" s="7" t="s">
        <v>23</v>
      </c>
      <c r="AN3" s="7" t="s">
        <v>24</v>
      </c>
      <c r="AO3" s="7" t="s">
        <v>107</v>
      </c>
      <c r="AP3" s="7" t="s">
        <v>23</v>
      </c>
      <c r="AQ3" s="7" t="s">
        <v>24</v>
      </c>
      <c r="AR3" s="7" t="s">
        <v>107</v>
      </c>
      <c r="AS3" s="7" t="s">
        <v>23</v>
      </c>
      <c r="AT3" s="7" t="s">
        <v>24</v>
      </c>
    </row>
    <row r="4" spans="1:46" ht="14.95" customHeight="1" thickBot="1" x14ac:dyDescent="0.3">
      <c r="A4" s="333" t="s">
        <v>1200</v>
      </c>
      <c r="B4" s="364">
        <v>0</v>
      </c>
      <c r="C4" s="468">
        <v>0</v>
      </c>
      <c r="D4" s="444">
        <v>1</v>
      </c>
      <c r="E4" s="335">
        <f>SUM(B4:D4)</f>
        <v>1</v>
      </c>
      <c r="F4" s="452" t="s">
        <v>1200</v>
      </c>
      <c r="G4" s="453">
        <v>0</v>
      </c>
      <c r="H4" s="472">
        <v>0</v>
      </c>
      <c r="I4" s="454">
        <v>5</v>
      </c>
      <c r="J4" s="455">
        <f>SUM(G4:I4)</f>
        <v>5</v>
      </c>
      <c r="K4" s="333" t="s">
        <v>833</v>
      </c>
      <c r="L4" s="335">
        <v>55</v>
      </c>
      <c r="M4" s="335">
        <v>65</v>
      </c>
      <c r="N4" s="336">
        <f>SUM(L4/M4)*100</f>
        <v>84.615384615384613</v>
      </c>
      <c r="O4" s="335">
        <v>3</v>
      </c>
      <c r="P4" s="335">
        <v>3</v>
      </c>
      <c r="Q4" s="336">
        <f>SUM(O4/P4)*100</f>
        <v>100</v>
      </c>
      <c r="R4" s="335">
        <v>1</v>
      </c>
      <c r="S4" s="335">
        <v>1</v>
      </c>
      <c r="T4" s="201">
        <v>27</v>
      </c>
      <c r="U4" s="7">
        <v>36</v>
      </c>
      <c r="V4" s="206">
        <f>SUM(T4/U4)*100</f>
        <v>75</v>
      </c>
      <c r="W4" s="109"/>
      <c r="X4" s="109"/>
      <c r="Y4" s="327"/>
      <c r="Z4" s="201">
        <v>59</v>
      </c>
      <c r="AA4" s="7">
        <v>80</v>
      </c>
      <c r="AB4" s="206">
        <f>SUM(Z4/AA4)*100</f>
        <v>73.75</v>
      </c>
      <c r="AC4" s="201">
        <v>82</v>
      </c>
      <c r="AD4" s="7">
        <v>105</v>
      </c>
      <c r="AE4" s="206">
        <f>SUM(AC4/AD4)*100</f>
        <v>78.095238095238102</v>
      </c>
      <c r="AF4" s="201">
        <v>31</v>
      </c>
      <c r="AG4" s="7">
        <v>43</v>
      </c>
      <c r="AH4" s="206">
        <f>SUM(AF4/AG4)*100</f>
        <v>72.093023255813947</v>
      </c>
      <c r="AI4" s="201">
        <v>43</v>
      </c>
      <c r="AJ4" s="7">
        <v>55</v>
      </c>
      <c r="AK4" s="206">
        <f>SUM(AI4/AJ4)*100</f>
        <v>78.181818181818187</v>
      </c>
      <c r="AL4" s="7">
        <v>50</v>
      </c>
      <c r="AM4" s="7">
        <v>61</v>
      </c>
      <c r="AN4" s="206">
        <f>SUM(AL4/AM4)*100</f>
        <v>81.967213114754102</v>
      </c>
      <c r="AO4" s="7">
        <v>58</v>
      </c>
      <c r="AP4" s="7">
        <v>75</v>
      </c>
      <c r="AQ4" s="206">
        <f>SUM(AO4/AP4)*100</f>
        <v>77.333333333333329</v>
      </c>
      <c r="AR4" s="7">
        <v>46</v>
      </c>
      <c r="AS4" s="7">
        <v>62</v>
      </c>
      <c r="AT4" s="7">
        <v>74</v>
      </c>
    </row>
    <row r="5" spans="1:46" ht="14.95" customHeight="1" thickBot="1" x14ac:dyDescent="0.3">
      <c r="A5" s="333" t="s">
        <v>889</v>
      </c>
      <c r="B5" s="364">
        <v>0</v>
      </c>
      <c r="C5" s="468">
        <v>0</v>
      </c>
      <c r="D5" s="444">
        <v>1</v>
      </c>
      <c r="E5" s="335">
        <f t="shared" ref="E5:E46" si="0">SUM(B5:D5)</f>
        <v>1</v>
      </c>
      <c r="F5" s="452" t="s">
        <v>889</v>
      </c>
      <c r="G5" s="453">
        <v>0</v>
      </c>
      <c r="H5" s="472">
        <v>0</v>
      </c>
      <c r="I5" s="454">
        <v>5</v>
      </c>
      <c r="J5" s="455">
        <f t="shared" ref="J5:J47" si="1">SUM(G5:I5)</f>
        <v>5</v>
      </c>
      <c r="K5" s="333" t="s">
        <v>885</v>
      </c>
      <c r="L5" s="335">
        <v>66</v>
      </c>
      <c r="M5" s="335">
        <v>87</v>
      </c>
      <c r="N5" s="336">
        <f>SUM(L5/M5)*100</f>
        <v>75.862068965517238</v>
      </c>
      <c r="O5" s="335" t="s">
        <v>30</v>
      </c>
      <c r="P5" s="335" t="s">
        <v>30</v>
      </c>
      <c r="Q5" s="336" t="s">
        <v>30</v>
      </c>
      <c r="R5" s="335">
        <v>2</v>
      </c>
      <c r="S5" s="335">
        <v>2</v>
      </c>
      <c r="T5" s="201">
        <v>5</v>
      </c>
      <c r="U5" s="7">
        <v>9</v>
      </c>
      <c r="V5" s="206">
        <f>SUM(T5/U5)*100</f>
        <v>55.555555555555557</v>
      </c>
      <c r="W5" s="109"/>
      <c r="X5" s="109"/>
      <c r="Y5" s="327"/>
      <c r="Z5" s="201">
        <v>21</v>
      </c>
      <c r="AA5" s="7">
        <v>27</v>
      </c>
      <c r="AB5" s="206">
        <f>SUM(Z5/AA5)*100</f>
        <v>77.777777777777786</v>
      </c>
      <c r="AC5" s="201">
        <v>26</v>
      </c>
      <c r="AD5" s="7">
        <v>38</v>
      </c>
      <c r="AE5" s="206">
        <f>SUM(AC5/AD5)*100</f>
        <v>68.421052631578945</v>
      </c>
      <c r="AF5" s="201">
        <v>54</v>
      </c>
      <c r="AG5" s="7">
        <v>78</v>
      </c>
      <c r="AH5" s="206">
        <f>SUM(AF5/AG5)*100</f>
        <v>69.230769230769226</v>
      </c>
      <c r="AI5" s="201">
        <v>4</v>
      </c>
      <c r="AJ5" s="7">
        <v>4</v>
      </c>
      <c r="AK5" s="206">
        <f>SUM(AI5/AJ5)*100</f>
        <v>100</v>
      </c>
      <c r="AL5" s="7">
        <v>14</v>
      </c>
      <c r="AM5" s="7">
        <v>17</v>
      </c>
      <c r="AN5" s="206">
        <f>SUM(AL5/AM5)*100</f>
        <v>82.35294117647058</v>
      </c>
      <c r="AO5" s="7" t="s">
        <v>30</v>
      </c>
      <c r="AP5" s="7" t="s">
        <v>30</v>
      </c>
      <c r="AQ5" s="7" t="s">
        <v>30</v>
      </c>
      <c r="AR5" s="7" t="s">
        <v>30</v>
      </c>
      <c r="AS5" s="7" t="s">
        <v>30</v>
      </c>
      <c r="AT5" s="7" t="s">
        <v>30</v>
      </c>
    </row>
    <row r="6" spans="1:46" ht="14.95" customHeight="1" thickBot="1" x14ac:dyDescent="0.3">
      <c r="A6" s="333" t="s">
        <v>1130</v>
      </c>
      <c r="B6" s="364">
        <v>0</v>
      </c>
      <c r="C6" s="468">
        <v>1</v>
      </c>
      <c r="D6" s="444">
        <v>0</v>
      </c>
      <c r="E6" s="335">
        <f t="shared" si="0"/>
        <v>1</v>
      </c>
      <c r="F6" s="452" t="s">
        <v>1130</v>
      </c>
      <c r="G6" s="453">
        <v>0</v>
      </c>
      <c r="H6" s="472">
        <v>5</v>
      </c>
      <c r="I6" s="454">
        <v>0</v>
      </c>
      <c r="J6" s="455">
        <f t="shared" si="1"/>
        <v>5</v>
      </c>
      <c r="K6" s="333" t="s">
        <v>837</v>
      </c>
      <c r="L6" s="335">
        <v>6</v>
      </c>
      <c r="M6" s="335">
        <v>8</v>
      </c>
      <c r="N6" s="336">
        <f>SUM(L6/M6)*100</f>
        <v>75</v>
      </c>
      <c r="O6" s="335" t="s">
        <v>30</v>
      </c>
      <c r="P6" s="335" t="s">
        <v>30</v>
      </c>
      <c r="Q6" s="336" t="s">
        <v>30</v>
      </c>
      <c r="R6" s="335">
        <v>2</v>
      </c>
      <c r="S6" s="335">
        <v>2</v>
      </c>
      <c r="T6" s="201">
        <v>5</v>
      </c>
      <c r="U6" s="7">
        <v>6</v>
      </c>
      <c r="V6" s="206">
        <f>SUM(T6/U6)*100</f>
        <v>83.333333333333343</v>
      </c>
      <c r="W6" s="109"/>
      <c r="X6" s="109"/>
      <c r="Y6" s="327"/>
      <c r="Z6" s="201">
        <v>9</v>
      </c>
      <c r="AA6" s="7">
        <v>14</v>
      </c>
      <c r="AB6" s="206">
        <f t="shared" ref="AB6" si="2">SUM(Z6/AA6)*100</f>
        <v>64.285714285714292</v>
      </c>
      <c r="AC6" s="201" t="s">
        <v>30</v>
      </c>
      <c r="AD6" s="7" t="s">
        <v>30</v>
      </c>
      <c r="AE6" s="7" t="s">
        <v>30</v>
      </c>
      <c r="AF6" s="201">
        <v>4</v>
      </c>
      <c r="AG6" s="7">
        <v>9</v>
      </c>
      <c r="AH6" s="206">
        <f>SUM(AF6/AG6)*100</f>
        <v>44.444444444444443</v>
      </c>
      <c r="AI6" s="201">
        <v>13</v>
      </c>
      <c r="AJ6" s="7">
        <v>15</v>
      </c>
      <c r="AK6" s="206">
        <f>SUM(AI6/AJ6)*100</f>
        <v>86.666666666666671</v>
      </c>
      <c r="AL6" s="7">
        <v>28</v>
      </c>
      <c r="AM6" s="7">
        <v>37</v>
      </c>
      <c r="AN6" s="206">
        <f>SUM(AL6/AM6)*100</f>
        <v>75.675675675675677</v>
      </c>
      <c r="AO6" s="7">
        <v>19</v>
      </c>
      <c r="AP6" s="7">
        <v>23</v>
      </c>
      <c r="AQ6" s="206">
        <f>SUM(AO6/AP6)*100</f>
        <v>82.608695652173907</v>
      </c>
      <c r="AR6" s="7">
        <v>1</v>
      </c>
      <c r="AS6" s="7">
        <v>1</v>
      </c>
      <c r="AT6" s="7">
        <v>100</v>
      </c>
    </row>
    <row r="7" spans="1:46" ht="14.95" customHeight="1" thickBot="1" x14ac:dyDescent="0.3">
      <c r="A7" s="333" t="s">
        <v>1199</v>
      </c>
      <c r="B7" s="364">
        <v>0</v>
      </c>
      <c r="C7" s="468">
        <v>0</v>
      </c>
      <c r="D7" s="444">
        <v>1</v>
      </c>
      <c r="E7" s="335">
        <f t="shared" si="0"/>
        <v>1</v>
      </c>
      <c r="F7" s="452" t="s">
        <v>1199</v>
      </c>
      <c r="G7" s="453">
        <v>0</v>
      </c>
      <c r="H7" s="472">
        <v>0</v>
      </c>
      <c r="I7" s="454">
        <v>5</v>
      </c>
      <c r="J7" s="455">
        <f t="shared" si="1"/>
        <v>5</v>
      </c>
      <c r="K7" s="333" t="s">
        <v>888</v>
      </c>
      <c r="L7" s="335" t="s">
        <v>30</v>
      </c>
      <c r="M7" s="335" t="s">
        <v>30</v>
      </c>
      <c r="N7" s="335" t="s">
        <v>30</v>
      </c>
      <c r="O7" s="335" t="s">
        <v>30</v>
      </c>
      <c r="P7" s="335" t="s">
        <v>30</v>
      </c>
      <c r="Q7" s="336" t="s">
        <v>30</v>
      </c>
      <c r="R7" s="335">
        <v>1</v>
      </c>
      <c r="S7" s="335">
        <v>1</v>
      </c>
      <c r="T7" s="201">
        <v>0</v>
      </c>
      <c r="U7" s="7">
        <v>0</v>
      </c>
      <c r="V7" s="7" t="s">
        <v>30</v>
      </c>
      <c r="W7" s="109"/>
      <c r="X7" s="109"/>
      <c r="Y7" s="327"/>
      <c r="Z7" s="201">
        <v>1</v>
      </c>
      <c r="AA7" s="7">
        <v>1</v>
      </c>
      <c r="AB7" s="7">
        <v>100</v>
      </c>
      <c r="AC7" s="201">
        <v>0</v>
      </c>
      <c r="AD7" s="7">
        <v>1</v>
      </c>
      <c r="AE7" s="206">
        <f>SUM(AC7/AD7)*100</f>
        <v>0</v>
      </c>
      <c r="AF7" s="201" t="s">
        <v>30</v>
      </c>
      <c r="AG7" s="7" t="s">
        <v>30</v>
      </c>
      <c r="AH7" s="7" t="s">
        <v>30</v>
      </c>
      <c r="AI7" s="201" t="s">
        <v>30</v>
      </c>
      <c r="AJ7" s="7" t="s">
        <v>30</v>
      </c>
      <c r="AK7" s="7" t="s">
        <v>30</v>
      </c>
      <c r="AL7" s="7" t="s">
        <v>30</v>
      </c>
      <c r="AM7" s="7" t="s">
        <v>30</v>
      </c>
      <c r="AN7" s="7" t="s">
        <v>30</v>
      </c>
      <c r="AO7" s="7" t="s">
        <v>30</v>
      </c>
      <c r="AP7" s="7" t="s">
        <v>30</v>
      </c>
      <c r="AQ7" s="7" t="s">
        <v>30</v>
      </c>
      <c r="AR7" s="7" t="s">
        <v>30</v>
      </c>
      <c r="AS7" s="7" t="s">
        <v>30</v>
      </c>
      <c r="AT7" s="7" t="s">
        <v>30</v>
      </c>
    </row>
    <row r="8" spans="1:46" ht="14.95" customHeight="1" thickBot="1" x14ac:dyDescent="0.3">
      <c r="A8" s="333" t="s">
        <v>827</v>
      </c>
      <c r="B8" s="364">
        <v>0</v>
      </c>
      <c r="C8" s="468">
        <v>2</v>
      </c>
      <c r="D8" s="444">
        <v>0</v>
      </c>
      <c r="E8" s="335">
        <f t="shared" si="0"/>
        <v>2</v>
      </c>
      <c r="F8" s="452" t="s">
        <v>827</v>
      </c>
      <c r="G8" s="453">
        <v>0</v>
      </c>
      <c r="H8" s="472">
        <v>10</v>
      </c>
      <c r="I8" s="454">
        <v>0</v>
      </c>
      <c r="J8" s="455">
        <f t="shared" si="1"/>
        <v>10</v>
      </c>
      <c r="K8" s="333" t="s">
        <v>924</v>
      </c>
      <c r="L8" s="335">
        <v>2</v>
      </c>
      <c r="M8" s="335">
        <v>2</v>
      </c>
      <c r="N8" s="336">
        <f>SUM(L8/M8)*100</f>
        <v>100</v>
      </c>
      <c r="O8" s="335" t="s">
        <v>30</v>
      </c>
      <c r="P8" s="335" t="s">
        <v>30</v>
      </c>
      <c r="Q8" s="336" t="s">
        <v>30</v>
      </c>
      <c r="R8" s="335">
        <v>4</v>
      </c>
      <c r="S8" s="335">
        <v>13</v>
      </c>
      <c r="T8" s="201">
        <v>41</v>
      </c>
      <c r="U8" s="7">
        <v>61</v>
      </c>
      <c r="V8" s="206">
        <f>(T8/U8)*100</f>
        <v>67.213114754098356</v>
      </c>
      <c r="W8" s="109"/>
      <c r="X8" s="109"/>
      <c r="Y8" s="327"/>
      <c r="Z8" s="201" t="s">
        <v>30</v>
      </c>
      <c r="AA8" s="7" t="s">
        <v>30</v>
      </c>
      <c r="AB8" s="7" t="s">
        <v>30</v>
      </c>
      <c r="AC8" s="201" t="s">
        <v>30</v>
      </c>
      <c r="AD8" s="7" t="s">
        <v>30</v>
      </c>
      <c r="AE8" s="7" t="s">
        <v>30</v>
      </c>
      <c r="AF8" s="201" t="s">
        <v>30</v>
      </c>
      <c r="AG8" s="7" t="s">
        <v>30</v>
      </c>
      <c r="AH8" s="7" t="s">
        <v>30</v>
      </c>
      <c r="AI8" s="201" t="s">
        <v>30</v>
      </c>
      <c r="AJ8" s="7" t="s">
        <v>30</v>
      </c>
      <c r="AK8" s="7" t="s">
        <v>30</v>
      </c>
      <c r="AL8" s="7" t="s">
        <v>30</v>
      </c>
      <c r="AM8" s="7" t="s">
        <v>30</v>
      </c>
      <c r="AN8" s="7" t="s">
        <v>30</v>
      </c>
      <c r="AO8" s="7" t="s">
        <v>30</v>
      </c>
      <c r="AP8" s="7" t="s">
        <v>30</v>
      </c>
      <c r="AQ8" s="7" t="s">
        <v>30</v>
      </c>
      <c r="AR8" s="7" t="s">
        <v>30</v>
      </c>
      <c r="AS8" s="7" t="s">
        <v>30</v>
      </c>
      <c r="AT8" s="7" t="s">
        <v>30</v>
      </c>
    </row>
    <row r="9" spans="1:46" ht="14.95" customHeight="1" thickBot="1" x14ac:dyDescent="0.3">
      <c r="A9" s="333" t="s">
        <v>884</v>
      </c>
      <c r="B9" s="364">
        <v>0</v>
      </c>
      <c r="C9" s="468">
        <v>0</v>
      </c>
      <c r="D9" s="444">
        <v>0</v>
      </c>
      <c r="E9" s="335">
        <f t="shared" si="0"/>
        <v>0</v>
      </c>
      <c r="F9" s="452" t="s">
        <v>884</v>
      </c>
      <c r="G9" s="453">
        <v>0</v>
      </c>
      <c r="H9" s="472">
        <v>0</v>
      </c>
      <c r="I9" s="454">
        <v>0</v>
      </c>
      <c r="J9" s="455">
        <f t="shared" si="1"/>
        <v>0</v>
      </c>
      <c r="K9" s="332" t="s">
        <v>923</v>
      </c>
      <c r="L9" s="335">
        <v>1</v>
      </c>
      <c r="M9" s="335">
        <v>2</v>
      </c>
      <c r="N9" s="335">
        <f>SUM(L9/M9)*100</f>
        <v>50</v>
      </c>
      <c r="O9" s="335">
        <v>1</v>
      </c>
      <c r="P9" s="335">
        <v>1</v>
      </c>
      <c r="Q9" s="336">
        <f>SUM(O9/P9)*100</f>
        <v>100</v>
      </c>
      <c r="R9" s="369">
        <v>1</v>
      </c>
      <c r="S9" s="369">
        <v>1</v>
      </c>
      <c r="T9" s="201">
        <v>3</v>
      </c>
      <c r="U9" s="7">
        <v>3</v>
      </c>
      <c r="V9" s="7">
        <v>100</v>
      </c>
      <c r="W9" s="109"/>
      <c r="X9" s="109"/>
      <c r="Y9" s="327"/>
      <c r="Z9" s="201">
        <v>5</v>
      </c>
      <c r="AA9" s="7">
        <v>10</v>
      </c>
      <c r="AB9" s="7">
        <v>50</v>
      </c>
      <c r="AC9" s="201">
        <v>4</v>
      </c>
      <c r="AD9" s="7">
        <v>5</v>
      </c>
      <c r="AE9" s="206">
        <v>80</v>
      </c>
      <c r="AF9" s="201">
        <v>1</v>
      </c>
      <c r="AG9" s="7">
        <v>3</v>
      </c>
      <c r="AH9" s="206">
        <v>33.333333333333329</v>
      </c>
      <c r="AI9" s="201">
        <v>13</v>
      </c>
      <c r="AJ9" s="7">
        <v>20</v>
      </c>
      <c r="AK9" s="7">
        <v>65</v>
      </c>
      <c r="AL9" s="7">
        <v>3</v>
      </c>
      <c r="AM9" s="7">
        <v>3</v>
      </c>
      <c r="AN9" s="7">
        <v>100</v>
      </c>
      <c r="AO9" s="9">
        <v>2</v>
      </c>
      <c r="AP9" s="9">
        <v>6</v>
      </c>
      <c r="AQ9" s="370">
        <v>33.333333333333329</v>
      </c>
      <c r="AR9" s="6" t="s">
        <v>30</v>
      </c>
      <c r="AS9" s="6" t="s">
        <v>30</v>
      </c>
      <c r="AT9" s="6" t="s">
        <v>30</v>
      </c>
    </row>
    <row r="10" spans="1:46" ht="14.95" customHeight="1" thickBot="1" x14ac:dyDescent="0.3">
      <c r="A10" s="333" t="s">
        <v>838</v>
      </c>
      <c r="B10" s="364">
        <v>2</v>
      </c>
      <c r="C10" s="468">
        <v>1</v>
      </c>
      <c r="D10" s="444">
        <v>0</v>
      </c>
      <c r="E10" s="335">
        <f t="shared" si="0"/>
        <v>3</v>
      </c>
      <c r="F10" s="452" t="s">
        <v>838</v>
      </c>
      <c r="G10" s="453">
        <v>13</v>
      </c>
      <c r="H10" s="472">
        <v>5</v>
      </c>
      <c r="I10" s="454">
        <v>0</v>
      </c>
      <c r="J10" s="455">
        <f t="shared" si="1"/>
        <v>18</v>
      </c>
      <c r="K10" s="63"/>
      <c r="L10" s="60"/>
      <c r="M10" s="59"/>
      <c r="N10" s="59"/>
      <c r="O10" s="60"/>
      <c r="P10" s="59"/>
      <c r="Q10" s="61"/>
      <c r="R10" s="62"/>
      <c r="S10" s="36"/>
      <c r="T10" s="36"/>
      <c r="U10" s="36"/>
      <c r="V10" s="36"/>
    </row>
    <row r="11" spans="1:46" ht="14.95" customHeight="1" thickBot="1" x14ac:dyDescent="0.3">
      <c r="A11" s="333" t="s">
        <v>830</v>
      </c>
      <c r="B11" s="364">
        <v>1</v>
      </c>
      <c r="C11" s="468">
        <v>2</v>
      </c>
      <c r="D11" s="444">
        <v>0</v>
      </c>
      <c r="E11" s="335">
        <f t="shared" si="0"/>
        <v>3</v>
      </c>
      <c r="F11" s="452" t="s">
        <v>830</v>
      </c>
      <c r="G11" s="453">
        <v>5</v>
      </c>
      <c r="H11" s="472">
        <v>10</v>
      </c>
      <c r="I11" s="454">
        <v>0</v>
      </c>
      <c r="J11" s="455">
        <f t="shared" si="1"/>
        <v>15</v>
      </c>
      <c r="K11" s="538" t="s">
        <v>510</v>
      </c>
      <c r="L11" s="512" t="s">
        <v>29</v>
      </c>
      <c r="M11" s="513"/>
      <c r="N11" s="514"/>
      <c r="O11" s="520" t="s">
        <v>634</v>
      </c>
      <c r="P11" s="606"/>
      <c r="Q11" s="607"/>
      <c r="R11" s="520" t="s">
        <v>863</v>
      </c>
      <c r="S11" s="521"/>
      <c r="T11" s="522"/>
      <c r="U11" s="214"/>
      <c r="V11" s="214"/>
      <c r="Z11" s="520" t="s">
        <v>621</v>
      </c>
      <c r="AA11" s="521"/>
      <c r="AB11" s="522"/>
      <c r="AC11" s="520" t="s">
        <v>448</v>
      </c>
      <c r="AD11" s="521"/>
      <c r="AE11" s="522"/>
      <c r="AF11" s="520" t="s">
        <v>178</v>
      </c>
      <c r="AG11" s="521"/>
      <c r="AH11" s="522"/>
      <c r="AI11" s="520" t="s">
        <v>122</v>
      </c>
      <c r="AJ11" s="521"/>
      <c r="AK11" s="522"/>
      <c r="AL11" s="520" t="s">
        <v>113</v>
      </c>
      <c r="AM11" s="521"/>
      <c r="AN11" s="522"/>
      <c r="AO11" s="520" t="s">
        <v>137</v>
      </c>
      <c r="AP11" s="521"/>
      <c r="AQ11" s="522"/>
    </row>
    <row r="12" spans="1:46" ht="14.95" customHeight="1" thickBot="1" x14ac:dyDescent="0.3">
      <c r="A12" s="333" t="s">
        <v>880</v>
      </c>
      <c r="B12" s="364">
        <v>0</v>
      </c>
      <c r="C12" s="468">
        <v>0</v>
      </c>
      <c r="D12" s="444">
        <v>0</v>
      </c>
      <c r="E12" s="335">
        <f t="shared" si="0"/>
        <v>0</v>
      </c>
      <c r="F12" s="452" t="s">
        <v>880</v>
      </c>
      <c r="G12" s="453">
        <v>0</v>
      </c>
      <c r="H12" s="472">
        <v>0</v>
      </c>
      <c r="I12" s="454">
        <v>0</v>
      </c>
      <c r="J12" s="455">
        <f t="shared" si="1"/>
        <v>0</v>
      </c>
      <c r="K12" s="539"/>
      <c r="L12" s="515"/>
      <c r="M12" s="516"/>
      <c r="N12" s="517"/>
      <c r="O12" s="608"/>
      <c r="P12" s="609"/>
      <c r="Q12" s="610"/>
      <c r="R12" s="523"/>
      <c r="S12" s="524"/>
      <c r="T12" s="525"/>
      <c r="U12" s="214"/>
      <c r="V12" s="214"/>
      <c r="Z12" s="523"/>
      <c r="AA12" s="524"/>
      <c r="AB12" s="525"/>
      <c r="AC12" s="523"/>
      <c r="AD12" s="524"/>
      <c r="AE12" s="525"/>
      <c r="AF12" s="523"/>
      <c r="AG12" s="524"/>
      <c r="AH12" s="525"/>
      <c r="AI12" s="523"/>
      <c r="AJ12" s="524"/>
      <c r="AK12" s="525"/>
      <c r="AL12" s="523"/>
      <c r="AM12" s="524"/>
      <c r="AN12" s="525"/>
      <c r="AO12" s="523"/>
      <c r="AP12" s="524"/>
      <c r="AQ12" s="525"/>
    </row>
    <row r="13" spans="1:46" ht="14.95" customHeight="1" thickBot="1" x14ac:dyDescent="0.3">
      <c r="A13" s="333" t="s">
        <v>886</v>
      </c>
      <c r="B13" s="364">
        <v>11</v>
      </c>
      <c r="C13" s="468">
        <v>2</v>
      </c>
      <c r="D13" s="444">
        <v>0</v>
      </c>
      <c r="E13" s="335">
        <f t="shared" si="0"/>
        <v>13</v>
      </c>
      <c r="F13" s="452" t="s">
        <v>886</v>
      </c>
      <c r="G13" s="453">
        <v>55</v>
      </c>
      <c r="H13" s="472">
        <v>10</v>
      </c>
      <c r="I13" s="454">
        <v>0</v>
      </c>
      <c r="J13" s="455">
        <f t="shared" si="1"/>
        <v>65</v>
      </c>
      <c r="K13" s="397" t="s">
        <v>44</v>
      </c>
      <c r="L13" s="93" t="s">
        <v>107</v>
      </c>
      <c r="M13" s="93" t="s">
        <v>23</v>
      </c>
      <c r="N13" s="93" t="s">
        <v>24</v>
      </c>
      <c r="O13" s="93" t="s">
        <v>107</v>
      </c>
      <c r="P13" s="93" t="s">
        <v>23</v>
      </c>
      <c r="Q13" s="93" t="s">
        <v>24</v>
      </c>
      <c r="R13" s="201" t="s">
        <v>107</v>
      </c>
      <c r="S13" s="7" t="s">
        <v>23</v>
      </c>
      <c r="T13" s="7" t="s">
        <v>24</v>
      </c>
      <c r="Z13" s="201" t="s">
        <v>107</v>
      </c>
      <c r="AA13" s="7" t="s">
        <v>23</v>
      </c>
      <c r="AB13" s="7" t="s">
        <v>24</v>
      </c>
      <c r="AC13" s="201" t="s">
        <v>107</v>
      </c>
      <c r="AD13" s="7" t="s">
        <v>23</v>
      </c>
      <c r="AE13" s="7" t="s">
        <v>24</v>
      </c>
      <c r="AF13" s="201" t="s">
        <v>107</v>
      </c>
      <c r="AG13" s="7" t="s">
        <v>23</v>
      </c>
      <c r="AH13" s="7" t="s">
        <v>24</v>
      </c>
      <c r="AI13" s="201" t="s">
        <v>107</v>
      </c>
      <c r="AJ13" s="7" t="s">
        <v>23</v>
      </c>
      <c r="AK13" s="7" t="s">
        <v>24</v>
      </c>
      <c r="AL13" s="201" t="s">
        <v>107</v>
      </c>
      <c r="AM13" s="7" t="s">
        <v>23</v>
      </c>
      <c r="AN13" s="7" t="s">
        <v>24</v>
      </c>
      <c r="AO13" s="201" t="s">
        <v>107</v>
      </c>
      <c r="AP13" s="7" t="s">
        <v>23</v>
      </c>
      <c r="AQ13" s="7" t="s">
        <v>24</v>
      </c>
    </row>
    <row r="14" spans="1:46" ht="14.95" customHeight="1" thickBot="1" x14ac:dyDescent="0.3">
      <c r="A14" s="333" t="s">
        <v>833</v>
      </c>
      <c r="B14" s="364">
        <v>0</v>
      </c>
      <c r="C14" s="468">
        <v>0</v>
      </c>
      <c r="D14" s="444">
        <v>0</v>
      </c>
      <c r="E14" s="335">
        <f t="shared" si="0"/>
        <v>0</v>
      </c>
      <c r="F14" s="452" t="s">
        <v>833</v>
      </c>
      <c r="G14" s="453">
        <v>133</v>
      </c>
      <c r="H14" s="472">
        <v>60</v>
      </c>
      <c r="I14" s="454">
        <v>0</v>
      </c>
      <c r="J14" s="455">
        <f t="shared" si="1"/>
        <v>193</v>
      </c>
      <c r="K14" s="333" t="s">
        <v>833</v>
      </c>
      <c r="L14" s="371" t="s">
        <v>30</v>
      </c>
      <c r="M14" s="371" t="s">
        <v>30</v>
      </c>
      <c r="N14" s="372" t="s">
        <v>30</v>
      </c>
      <c r="O14" s="7" t="s">
        <v>30</v>
      </c>
      <c r="P14" s="7" t="s">
        <v>30</v>
      </c>
      <c r="Q14" s="206" t="s">
        <v>30</v>
      </c>
      <c r="R14" s="201">
        <v>7</v>
      </c>
      <c r="S14" s="7">
        <v>9</v>
      </c>
      <c r="T14" s="206">
        <f>SUM(R14/S14)*100</f>
        <v>77.777777777777786</v>
      </c>
      <c r="Z14" s="201">
        <v>36</v>
      </c>
      <c r="AA14" s="7">
        <v>42</v>
      </c>
      <c r="AB14" s="206">
        <f>SUM(Z14/AA14)*100</f>
        <v>85.714285714285708</v>
      </c>
      <c r="AC14" s="201">
        <v>37</v>
      </c>
      <c r="AD14" s="7">
        <v>42</v>
      </c>
      <c r="AE14" s="206">
        <f>SUM(AC14/AD14)*100</f>
        <v>88.095238095238088</v>
      </c>
      <c r="AF14" s="201">
        <v>47</v>
      </c>
      <c r="AG14" s="7">
        <v>57</v>
      </c>
      <c r="AH14" s="206">
        <f>SUM(AF14/AG14)*100</f>
        <v>82.456140350877192</v>
      </c>
      <c r="AI14" s="201">
        <v>48</v>
      </c>
      <c r="AJ14" s="7">
        <v>64</v>
      </c>
      <c r="AK14" s="206">
        <f>SUM(AI14/AJ14)*100</f>
        <v>75</v>
      </c>
      <c r="AL14" s="201">
        <v>15</v>
      </c>
      <c r="AM14" s="7">
        <v>19</v>
      </c>
      <c r="AN14" s="206">
        <f>SUM(AL14/AM14)*100</f>
        <v>78.94736842105263</v>
      </c>
      <c r="AO14" s="201">
        <v>24</v>
      </c>
      <c r="AP14" s="7">
        <v>33</v>
      </c>
      <c r="AQ14" s="206">
        <f>SUM(AO14/AP14)*100</f>
        <v>72.727272727272734</v>
      </c>
    </row>
    <row r="15" spans="1:46" ht="14.95" customHeight="1" thickBot="1" x14ac:dyDescent="0.3">
      <c r="A15" s="333" t="s">
        <v>824</v>
      </c>
      <c r="B15" s="364">
        <v>4</v>
      </c>
      <c r="C15" s="468">
        <v>2</v>
      </c>
      <c r="D15" s="444">
        <v>0</v>
      </c>
      <c r="E15" s="335">
        <f t="shared" si="0"/>
        <v>6</v>
      </c>
      <c r="F15" s="452" t="s">
        <v>824</v>
      </c>
      <c r="G15" s="453">
        <v>20</v>
      </c>
      <c r="H15" s="472">
        <v>10</v>
      </c>
      <c r="I15" s="454">
        <v>0</v>
      </c>
      <c r="J15" s="455">
        <f t="shared" si="1"/>
        <v>30</v>
      </c>
      <c r="K15" s="333" t="s">
        <v>885</v>
      </c>
      <c r="L15" s="371" t="s">
        <v>30</v>
      </c>
      <c r="M15" s="371" t="s">
        <v>30</v>
      </c>
      <c r="N15" s="372" t="s">
        <v>30</v>
      </c>
      <c r="O15" s="7" t="s">
        <v>30</v>
      </c>
      <c r="P15" s="7" t="s">
        <v>30</v>
      </c>
      <c r="Q15" s="206" t="s">
        <v>30</v>
      </c>
      <c r="R15" s="201" t="s">
        <v>30</v>
      </c>
      <c r="S15" s="7" t="s">
        <v>30</v>
      </c>
      <c r="T15" s="206" t="s">
        <v>30</v>
      </c>
      <c r="Z15" s="201">
        <v>11</v>
      </c>
      <c r="AA15" s="7">
        <v>13</v>
      </c>
      <c r="AB15" s="206">
        <f>SUM(Z15/AA15)*100</f>
        <v>84.615384615384613</v>
      </c>
      <c r="AC15" s="201" t="s">
        <v>30</v>
      </c>
      <c r="AD15" s="7" t="s">
        <v>30</v>
      </c>
      <c r="AE15" s="7" t="s">
        <v>30</v>
      </c>
      <c r="AF15" s="201">
        <v>2</v>
      </c>
      <c r="AG15" s="7">
        <v>5</v>
      </c>
      <c r="AH15" s="206">
        <f>SUM(AF15/AG15)*100</f>
        <v>40</v>
      </c>
      <c r="AI15" s="201" t="s">
        <v>30</v>
      </c>
      <c r="AJ15" s="7" t="s">
        <v>30</v>
      </c>
      <c r="AK15" s="7" t="s">
        <v>30</v>
      </c>
      <c r="AL15" s="201">
        <v>4</v>
      </c>
      <c r="AM15" s="7">
        <v>4</v>
      </c>
      <c r="AN15" s="206">
        <f>SUM(AL15/AM15)*100</f>
        <v>100</v>
      </c>
      <c r="AO15" s="201" t="s">
        <v>30</v>
      </c>
      <c r="AP15" s="7" t="s">
        <v>30</v>
      </c>
      <c r="AQ15" s="7" t="s">
        <v>30</v>
      </c>
    </row>
    <row r="16" spans="1:46" ht="14.95" customHeight="1" thickBot="1" x14ac:dyDescent="0.3">
      <c r="A16" s="333" t="s">
        <v>837</v>
      </c>
      <c r="B16" s="364">
        <v>4</v>
      </c>
      <c r="C16" s="468">
        <v>1</v>
      </c>
      <c r="D16" s="444">
        <v>0</v>
      </c>
      <c r="E16" s="335">
        <f t="shared" si="0"/>
        <v>5</v>
      </c>
      <c r="F16" s="452" t="s">
        <v>837</v>
      </c>
      <c r="G16" s="453">
        <v>33</v>
      </c>
      <c r="H16" s="472">
        <v>5</v>
      </c>
      <c r="I16" s="454">
        <v>0</v>
      </c>
      <c r="J16" s="455">
        <f t="shared" si="1"/>
        <v>38</v>
      </c>
      <c r="K16" s="333" t="s">
        <v>924</v>
      </c>
      <c r="L16" s="371" t="s">
        <v>30</v>
      </c>
      <c r="M16" s="371" t="s">
        <v>30</v>
      </c>
      <c r="N16" s="372" t="s">
        <v>30</v>
      </c>
      <c r="O16" s="7" t="s">
        <v>30</v>
      </c>
      <c r="P16" s="7" t="s">
        <v>30</v>
      </c>
      <c r="Q16" s="206" t="s">
        <v>30</v>
      </c>
      <c r="R16" s="201">
        <v>10</v>
      </c>
      <c r="S16" s="7">
        <v>12</v>
      </c>
      <c r="T16" s="206">
        <f>SUM(R16/S16)*100</f>
        <v>83.333333333333343</v>
      </c>
      <c r="Z16" s="201"/>
      <c r="AA16" s="7"/>
      <c r="AB16" s="206"/>
      <c r="AC16" s="201" t="s">
        <v>30</v>
      </c>
      <c r="AD16" s="7" t="s">
        <v>30</v>
      </c>
      <c r="AE16" s="7" t="s">
        <v>30</v>
      </c>
      <c r="AF16" s="201" t="s">
        <v>30</v>
      </c>
      <c r="AG16" s="7" t="s">
        <v>30</v>
      </c>
      <c r="AH16" s="7" t="s">
        <v>30</v>
      </c>
      <c r="AI16" s="201" t="s">
        <v>30</v>
      </c>
      <c r="AJ16" s="7" t="s">
        <v>30</v>
      </c>
      <c r="AK16" s="7" t="s">
        <v>30</v>
      </c>
      <c r="AL16" s="201" t="s">
        <v>30</v>
      </c>
      <c r="AM16" s="7" t="s">
        <v>30</v>
      </c>
      <c r="AN16" s="7" t="s">
        <v>30</v>
      </c>
      <c r="AO16" s="201" t="s">
        <v>30</v>
      </c>
      <c r="AP16" s="7" t="s">
        <v>30</v>
      </c>
      <c r="AQ16" s="7" t="s">
        <v>30</v>
      </c>
    </row>
    <row r="17" spans="1:43" ht="14.95" customHeight="1" thickBot="1" x14ac:dyDescent="0.3">
      <c r="A17" s="333" t="s">
        <v>520</v>
      </c>
      <c r="B17" s="364">
        <v>0</v>
      </c>
      <c r="C17" s="468">
        <v>1</v>
      </c>
      <c r="D17" s="444">
        <v>2</v>
      </c>
      <c r="E17" s="335">
        <f t="shared" si="0"/>
        <v>3</v>
      </c>
      <c r="F17" s="452" t="s">
        <v>520</v>
      </c>
      <c r="G17" s="453">
        <v>0</v>
      </c>
      <c r="H17" s="472">
        <v>5</v>
      </c>
      <c r="I17" s="454">
        <v>10</v>
      </c>
      <c r="J17" s="455">
        <f t="shared" si="1"/>
        <v>15</v>
      </c>
      <c r="K17" s="333" t="s">
        <v>837</v>
      </c>
      <c r="L17" s="371" t="s">
        <v>30</v>
      </c>
      <c r="M17" s="371" t="s">
        <v>30</v>
      </c>
      <c r="N17" s="372" t="s">
        <v>30</v>
      </c>
      <c r="O17" s="7" t="s">
        <v>30</v>
      </c>
      <c r="P17" s="7" t="s">
        <v>30</v>
      </c>
      <c r="Q17" s="206" t="s">
        <v>30</v>
      </c>
      <c r="R17" s="201">
        <v>10</v>
      </c>
      <c r="S17" s="7">
        <v>11</v>
      </c>
      <c r="T17" s="206">
        <f>SUM(R17/S17)*100</f>
        <v>90.909090909090907</v>
      </c>
      <c r="Z17" s="201" t="s">
        <v>30</v>
      </c>
      <c r="AA17" s="7" t="s">
        <v>30</v>
      </c>
      <c r="AB17" s="7" t="s">
        <v>30</v>
      </c>
      <c r="AC17" s="201" t="s">
        <v>30</v>
      </c>
      <c r="AD17" s="7" t="s">
        <v>30</v>
      </c>
      <c r="AE17" s="7" t="s">
        <v>30</v>
      </c>
      <c r="AF17" s="201" t="s">
        <v>30</v>
      </c>
      <c r="AG17" s="7" t="s">
        <v>30</v>
      </c>
      <c r="AH17" s="7" t="s">
        <v>30</v>
      </c>
      <c r="AI17" s="201" t="s">
        <v>30</v>
      </c>
      <c r="AJ17" s="7" t="s">
        <v>30</v>
      </c>
      <c r="AK17" s="7" t="s">
        <v>30</v>
      </c>
      <c r="AL17" s="201">
        <v>1</v>
      </c>
      <c r="AM17" s="7">
        <v>1</v>
      </c>
      <c r="AN17" s="206">
        <f>SUM(AL17/AM17)*100</f>
        <v>100</v>
      </c>
      <c r="AO17" s="201">
        <v>6</v>
      </c>
      <c r="AP17" s="7">
        <v>8</v>
      </c>
      <c r="AQ17" s="206">
        <f>SUM(AO17/AP17)*100</f>
        <v>75</v>
      </c>
    </row>
    <row r="18" spans="1:43" ht="14.95" customHeight="1" thickBot="1" x14ac:dyDescent="0.3">
      <c r="A18" s="333" t="s">
        <v>825</v>
      </c>
      <c r="B18" s="364">
        <v>0</v>
      </c>
      <c r="C18" s="468">
        <v>0</v>
      </c>
      <c r="D18" s="444">
        <v>0</v>
      </c>
      <c r="E18" s="335">
        <f t="shared" si="0"/>
        <v>0</v>
      </c>
      <c r="F18" s="452" t="s">
        <v>825</v>
      </c>
      <c r="G18" s="453">
        <v>0</v>
      </c>
      <c r="H18" s="472">
        <v>0</v>
      </c>
      <c r="I18" s="454">
        <v>0</v>
      </c>
      <c r="J18" s="455">
        <f t="shared" si="1"/>
        <v>0</v>
      </c>
      <c r="K18" s="333" t="s">
        <v>923</v>
      </c>
      <c r="L18" s="371" t="s">
        <v>30</v>
      </c>
      <c r="M18" s="371" t="s">
        <v>30</v>
      </c>
      <c r="N18" s="372" t="s">
        <v>30</v>
      </c>
      <c r="O18" s="7" t="s">
        <v>30</v>
      </c>
      <c r="P18" s="7" t="s">
        <v>30</v>
      </c>
      <c r="Q18" s="206" t="s">
        <v>30</v>
      </c>
      <c r="R18" s="201">
        <v>3</v>
      </c>
      <c r="S18" s="7">
        <v>6</v>
      </c>
      <c r="T18" s="206">
        <f>SUM(R18/S18)*100</f>
        <v>50</v>
      </c>
      <c r="Z18" s="201">
        <v>2</v>
      </c>
      <c r="AA18" s="7">
        <v>2</v>
      </c>
      <c r="AB18" s="7">
        <v>100</v>
      </c>
      <c r="AC18" s="201">
        <v>3</v>
      </c>
      <c r="AD18" s="7">
        <v>4</v>
      </c>
      <c r="AE18" s="206">
        <v>75</v>
      </c>
      <c r="AF18" s="201" t="s">
        <v>30</v>
      </c>
      <c r="AG18" s="7" t="s">
        <v>30</v>
      </c>
      <c r="AH18" s="206" t="s">
        <v>30</v>
      </c>
      <c r="AI18" s="201">
        <v>3</v>
      </c>
      <c r="AJ18" s="7">
        <v>10</v>
      </c>
      <c r="AK18" s="7">
        <v>30</v>
      </c>
      <c r="AL18" s="201">
        <v>1</v>
      </c>
      <c r="AM18" s="7">
        <v>1</v>
      </c>
      <c r="AN18" s="206">
        <v>100</v>
      </c>
      <c r="AO18" s="201" t="s">
        <v>30</v>
      </c>
      <c r="AP18" s="7" t="s">
        <v>30</v>
      </c>
      <c r="AQ18" s="7" t="s">
        <v>30</v>
      </c>
    </row>
    <row r="19" spans="1:43" ht="14.95" customHeight="1" thickBot="1" x14ac:dyDescent="0.3">
      <c r="A19" s="333" t="s">
        <v>728</v>
      </c>
      <c r="B19" s="364">
        <v>1</v>
      </c>
      <c r="C19" s="468">
        <v>1</v>
      </c>
      <c r="D19" s="444">
        <v>0</v>
      </c>
      <c r="E19" s="335">
        <f t="shared" si="0"/>
        <v>2</v>
      </c>
      <c r="F19" s="452" t="s">
        <v>728</v>
      </c>
      <c r="G19" s="453">
        <v>5</v>
      </c>
      <c r="H19" s="472">
        <v>5</v>
      </c>
      <c r="I19" s="454">
        <v>0</v>
      </c>
      <c r="J19" s="455">
        <f t="shared" si="1"/>
        <v>10</v>
      </c>
    </row>
    <row r="20" spans="1:43" ht="14.95" customHeight="1" thickBot="1" x14ac:dyDescent="0.3">
      <c r="A20" s="333" t="s">
        <v>828</v>
      </c>
      <c r="B20" s="364">
        <v>2</v>
      </c>
      <c r="C20" s="468">
        <v>1</v>
      </c>
      <c r="D20" s="444">
        <v>0</v>
      </c>
      <c r="E20" s="335">
        <f t="shared" si="0"/>
        <v>3</v>
      </c>
      <c r="F20" s="452" t="s">
        <v>828</v>
      </c>
      <c r="G20" s="453">
        <v>10</v>
      </c>
      <c r="H20" s="472">
        <v>5</v>
      </c>
      <c r="I20" s="454">
        <v>0</v>
      </c>
      <c r="J20" s="455">
        <f t="shared" si="1"/>
        <v>15</v>
      </c>
      <c r="K20" s="542" t="s">
        <v>511</v>
      </c>
      <c r="L20" s="526" t="s">
        <v>29</v>
      </c>
      <c r="M20" s="527"/>
      <c r="N20" s="528"/>
      <c r="O20" s="520" t="s">
        <v>634</v>
      </c>
      <c r="P20" s="606"/>
      <c r="Q20" s="607"/>
      <c r="R20" s="520" t="s">
        <v>863</v>
      </c>
      <c r="S20" s="521"/>
      <c r="T20" s="522"/>
      <c r="Z20" s="520" t="s">
        <v>621</v>
      </c>
      <c r="AA20" s="521"/>
      <c r="AB20" s="522"/>
      <c r="AC20" s="520" t="s">
        <v>448</v>
      </c>
      <c r="AD20" s="521"/>
      <c r="AE20" s="522"/>
      <c r="AF20" s="520" t="s">
        <v>178</v>
      </c>
      <c r="AG20" s="521"/>
      <c r="AH20" s="522"/>
      <c r="AI20" s="520" t="s">
        <v>122</v>
      </c>
      <c r="AJ20" s="521"/>
      <c r="AK20" s="522"/>
      <c r="AL20" s="520" t="s">
        <v>113</v>
      </c>
      <c r="AM20" s="521"/>
      <c r="AN20" s="522"/>
      <c r="AO20" s="520" t="s">
        <v>137</v>
      </c>
      <c r="AP20" s="521"/>
      <c r="AQ20" s="522"/>
    </row>
    <row r="21" spans="1:43" ht="14.95" customHeight="1" thickBot="1" x14ac:dyDescent="0.3">
      <c r="A21" s="333" t="s">
        <v>455</v>
      </c>
      <c r="B21" s="364">
        <v>0</v>
      </c>
      <c r="C21" s="468">
        <v>0</v>
      </c>
      <c r="D21" s="444">
        <v>1</v>
      </c>
      <c r="E21" s="335">
        <f t="shared" si="0"/>
        <v>1</v>
      </c>
      <c r="F21" s="452" t="s">
        <v>455</v>
      </c>
      <c r="G21" s="453">
        <v>0</v>
      </c>
      <c r="H21" s="472">
        <v>0</v>
      </c>
      <c r="I21" s="454">
        <v>5</v>
      </c>
      <c r="J21" s="455">
        <f t="shared" si="1"/>
        <v>5</v>
      </c>
      <c r="K21" s="543"/>
      <c r="L21" s="529"/>
      <c r="M21" s="530"/>
      <c r="N21" s="531"/>
      <c r="O21" s="608"/>
      <c r="P21" s="609"/>
      <c r="Q21" s="610"/>
      <c r="R21" s="523"/>
      <c r="S21" s="524"/>
      <c r="T21" s="525"/>
      <c r="Z21" s="523"/>
      <c r="AA21" s="524"/>
      <c r="AB21" s="525"/>
      <c r="AC21" s="523"/>
      <c r="AD21" s="524"/>
      <c r="AE21" s="525"/>
      <c r="AF21" s="523"/>
      <c r="AG21" s="524"/>
      <c r="AH21" s="525"/>
      <c r="AI21" s="523"/>
      <c r="AJ21" s="524"/>
      <c r="AK21" s="525"/>
      <c r="AL21" s="523"/>
      <c r="AM21" s="524"/>
      <c r="AN21" s="525"/>
      <c r="AO21" s="523"/>
      <c r="AP21" s="524"/>
      <c r="AQ21" s="525"/>
    </row>
    <row r="22" spans="1:43" ht="14.95" customHeight="1" thickBot="1" x14ac:dyDescent="0.3">
      <c r="A22" s="333" t="s">
        <v>834</v>
      </c>
      <c r="B22" s="364">
        <v>2</v>
      </c>
      <c r="C22" s="468">
        <v>1</v>
      </c>
      <c r="D22" s="444">
        <v>0</v>
      </c>
      <c r="E22" s="335">
        <f t="shared" si="0"/>
        <v>3</v>
      </c>
      <c r="F22" s="452" t="s">
        <v>834</v>
      </c>
      <c r="G22" s="453">
        <v>10</v>
      </c>
      <c r="H22" s="472">
        <v>5</v>
      </c>
      <c r="I22" s="454">
        <v>0</v>
      </c>
      <c r="J22" s="455">
        <f t="shared" si="1"/>
        <v>15</v>
      </c>
      <c r="K22" s="466" t="s">
        <v>44</v>
      </c>
      <c r="L22" s="3" t="s">
        <v>107</v>
      </c>
      <c r="M22" s="3" t="s">
        <v>23</v>
      </c>
      <c r="N22" s="3" t="s">
        <v>24</v>
      </c>
      <c r="O22" s="93" t="s">
        <v>107</v>
      </c>
      <c r="P22" s="93" t="s">
        <v>23</v>
      </c>
      <c r="Q22" s="93" t="s">
        <v>24</v>
      </c>
      <c r="R22" s="201" t="s">
        <v>107</v>
      </c>
      <c r="S22" s="7" t="s">
        <v>23</v>
      </c>
      <c r="T22" s="7" t="s">
        <v>24</v>
      </c>
      <c r="Z22" s="201" t="s">
        <v>107</v>
      </c>
      <c r="AA22" s="7" t="s">
        <v>23</v>
      </c>
      <c r="AB22" s="7" t="s">
        <v>24</v>
      </c>
      <c r="AC22" s="201" t="s">
        <v>107</v>
      </c>
      <c r="AD22" s="7" t="s">
        <v>23</v>
      </c>
      <c r="AE22" s="7" t="s">
        <v>24</v>
      </c>
      <c r="AF22" s="201" t="s">
        <v>107</v>
      </c>
      <c r="AG22" s="7" t="s">
        <v>23</v>
      </c>
      <c r="AH22" s="7" t="s">
        <v>24</v>
      </c>
      <c r="AI22" s="201" t="s">
        <v>107</v>
      </c>
      <c r="AJ22" s="7" t="s">
        <v>23</v>
      </c>
      <c r="AK22" s="7" t="s">
        <v>24</v>
      </c>
      <c r="AL22" s="201" t="s">
        <v>107</v>
      </c>
      <c r="AM22" s="7" t="s">
        <v>23</v>
      </c>
      <c r="AN22" s="7" t="s">
        <v>24</v>
      </c>
      <c r="AO22" s="201" t="s">
        <v>107</v>
      </c>
      <c r="AP22" s="7" t="s">
        <v>23</v>
      </c>
      <c r="AQ22" s="7" t="s">
        <v>24</v>
      </c>
    </row>
    <row r="23" spans="1:43" ht="14.95" customHeight="1" thickBot="1" x14ac:dyDescent="0.3">
      <c r="A23" s="333" t="s">
        <v>820</v>
      </c>
      <c r="B23" s="364">
        <v>8</v>
      </c>
      <c r="C23" s="468">
        <v>2</v>
      </c>
      <c r="D23" s="444">
        <v>0</v>
      </c>
      <c r="E23" s="335">
        <f t="shared" si="0"/>
        <v>10</v>
      </c>
      <c r="F23" s="452" t="s">
        <v>820</v>
      </c>
      <c r="G23" s="453">
        <v>40</v>
      </c>
      <c r="H23" s="472">
        <v>10</v>
      </c>
      <c r="I23" s="454">
        <v>0</v>
      </c>
      <c r="J23" s="455">
        <f t="shared" si="1"/>
        <v>50</v>
      </c>
      <c r="K23" s="333" t="s">
        <v>833</v>
      </c>
      <c r="L23" s="335">
        <v>25</v>
      </c>
      <c r="M23" s="335">
        <v>30</v>
      </c>
      <c r="N23" s="336">
        <f>SUM(L23/M23)*100</f>
        <v>83.333333333333343</v>
      </c>
      <c r="O23" s="7" t="s">
        <v>30</v>
      </c>
      <c r="P23" s="7" t="s">
        <v>30</v>
      </c>
      <c r="Q23" s="206" t="s">
        <v>30</v>
      </c>
      <c r="R23" s="201" t="s">
        <v>30</v>
      </c>
      <c r="S23" s="7" t="s">
        <v>30</v>
      </c>
      <c r="T23" s="206" t="s">
        <v>30</v>
      </c>
      <c r="Z23" s="201" t="s">
        <v>30</v>
      </c>
      <c r="AA23" s="7" t="s">
        <v>30</v>
      </c>
      <c r="AB23" s="206" t="s">
        <v>30</v>
      </c>
      <c r="AC23" s="201" t="s">
        <v>30</v>
      </c>
      <c r="AD23" s="7" t="s">
        <v>30</v>
      </c>
      <c r="AE23" s="206" t="s">
        <v>30</v>
      </c>
      <c r="AF23" s="6" t="s">
        <v>30</v>
      </c>
      <c r="AG23" s="7" t="s">
        <v>30</v>
      </c>
      <c r="AH23" s="206" t="s">
        <v>30</v>
      </c>
      <c r="AI23" s="7" t="s">
        <v>30</v>
      </c>
      <c r="AJ23" s="7" t="s">
        <v>30</v>
      </c>
      <c r="AK23" s="206" t="s">
        <v>30</v>
      </c>
      <c r="AL23" s="7" t="s">
        <v>30</v>
      </c>
      <c r="AM23" s="7" t="s">
        <v>30</v>
      </c>
      <c r="AN23" s="206" t="s">
        <v>30</v>
      </c>
      <c r="AO23" s="7" t="s">
        <v>30</v>
      </c>
      <c r="AP23" s="7" t="s">
        <v>30</v>
      </c>
      <c r="AQ23" s="206" t="s">
        <v>30</v>
      </c>
    </row>
    <row r="24" spans="1:43" ht="14.95" customHeight="1" thickBot="1" x14ac:dyDescent="0.3">
      <c r="A24" s="333" t="s">
        <v>52</v>
      </c>
      <c r="B24" s="364">
        <v>0</v>
      </c>
      <c r="C24" s="468">
        <v>0</v>
      </c>
      <c r="D24" s="444">
        <v>1</v>
      </c>
      <c r="E24" s="335">
        <f t="shared" si="0"/>
        <v>1</v>
      </c>
      <c r="F24" s="452" t="s">
        <v>52</v>
      </c>
      <c r="G24" s="453">
        <v>0</v>
      </c>
      <c r="H24" s="472">
        <v>0</v>
      </c>
      <c r="I24" s="454">
        <v>5</v>
      </c>
      <c r="J24" s="455">
        <f t="shared" si="1"/>
        <v>5</v>
      </c>
      <c r="K24" s="333" t="s">
        <v>885</v>
      </c>
      <c r="L24" s="335" t="s">
        <v>30</v>
      </c>
      <c r="M24" s="335" t="s">
        <v>30</v>
      </c>
      <c r="N24" s="336" t="s">
        <v>30</v>
      </c>
      <c r="O24" s="7">
        <v>6</v>
      </c>
      <c r="P24" s="7">
        <v>8</v>
      </c>
      <c r="Q24" s="206">
        <v>75</v>
      </c>
      <c r="R24" s="201" t="s">
        <v>30</v>
      </c>
      <c r="S24" s="7" t="s">
        <v>30</v>
      </c>
      <c r="T24" s="206" t="s">
        <v>30</v>
      </c>
      <c r="Z24" s="201">
        <v>11</v>
      </c>
      <c r="AA24" s="7">
        <v>13</v>
      </c>
      <c r="AB24" s="206">
        <f>SUM(Z24/AA24)*100</f>
        <v>84.615384615384613</v>
      </c>
      <c r="AC24" s="201" t="s">
        <v>30</v>
      </c>
      <c r="AD24" s="7" t="s">
        <v>30</v>
      </c>
      <c r="AE24" s="7" t="s">
        <v>30</v>
      </c>
      <c r="AF24" s="201">
        <v>2</v>
      </c>
      <c r="AG24" s="7">
        <v>5</v>
      </c>
      <c r="AH24" s="206">
        <f>SUM(AF24/AG24)*100</f>
        <v>40</v>
      </c>
      <c r="AI24" s="201" t="s">
        <v>30</v>
      </c>
      <c r="AJ24" s="7" t="s">
        <v>30</v>
      </c>
      <c r="AK24" s="7" t="s">
        <v>30</v>
      </c>
      <c r="AL24" s="201">
        <v>4</v>
      </c>
      <c r="AM24" s="7">
        <v>4</v>
      </c>
      <c r="AN24" s="206">
        <f>SUM(AL24/AM24)*100</f>
        <v>100</v>
      </c>
      <c r="AO24" s="201" t="s">
        <v>30</v>
      </c>
      <c r="AP24" s="7" t="s">
        <v>30</v>
      </c>
      <c r="AQ24" s="7" t="s">
        <v>30</v>
      </c>
    </row>
    <row r="25" spans="1:43" ht="14.95" customHeight="1" thickBot="1" x14ac:dyDescent="0.3">
      <c r="A25" s="333" t="s">
        <v>885</v>
      </c>
      <c r="B25" s="364">
        <v>2</v>
      </c>
      <c r="C25" s="468">
        <v>0</v>
      </c>
      <c r="D25" s="444">
        <v>0</v>
      </c>
      <c r="E25" s="335">
        <f t="shared" si="0"/>
        <v>2</v>
      </c>
      <c r="F25" s="452" t="s">
        <v>885</v>
      </c>
      <c r="G25" s="453">
        <v>178</v>
      </c>
      <c r="H25" s="472">
        <v>0</v>
      </c>
      <c r="I25" s="454">
        <v>0</v>
      </c>
      <c r="J25" s="455">
        <f t="shared" si="1"/>
        <v>178</v>
      </c>
      <c r="K25" s="333" t="s">
        <v>924</v>
      </c>
      <c r="L25" s="335">
        <v>8</v>
      </c>
      <c r="M25" s="335">
        <v>11</v>
      </c>
      <c r="N25" s="336">
        <f>SUM(L25/M25)*100</f>
        <v>72.727272727272734</v>
      </c>
      <c r="O25" s="7" t="s">
        <v>30</v>
      </c>
      <c r="P25" s="7" t="s">
        <v>30</v>
      </c>
      <c r="Q25" s="206" t="s">
        <v>30</v>
      </c>
      <c r="R25" s="201">
        <v>10</v>
      </c>
      <c r="S25" s="7">
        <v>12</v>
      </c>
      <c r="T25" s="206">
        <f>SUM(R25/S25)*100</f>
        <v>83.333333333333343</v>
      </c>
      <c r="Z25" s="201"/>
      <c r="AA25" s="7"/>
      <c r="AB25" s="206"/>
      <c r="AC25" s="201"/>
      <c r="AD25" s="7"/>
      <c r="AE25" s="7"/>
      <c r="AF25" s="201"/>
      <c r="AG25" s="7"/>
      <c r="AH25" s="206"/>
      <c r="AI25" s="201"/>
      <c r="AJ25" s="7"/>
      <c r="AK25" s="7"/>
      <c r="AL25" s="201"/>
      <c r="AM25" s="7"/>
      <c r="AN25" s="206"/>
      <c r="AO25" s="201"/>
      <c r="AP25" s="7"/>
      <c r="AQ25" s="7"/>
    </row>
    <row r="26" spans="1:43" ht="14.95" customHeight="1" thickBot="1" x14ac:dyDescent="0.3">
      <c r="A26" s="333" t="s">
        <v>819</v>
      </c>
      <c r="B26" s="364">
        <v>4</v>
      </c>
      <c r="C26" s="468">
        <v>3</v>
      </c>
      <c r="D26" s="444">
        <v>0</v>
      </c>
      <c r="E26" s="335">
        <f t="shared" si="0"/>
        <v>7</v>
      </c>
      <c r="F26" s="452" t="s">
        <v>819</v>
      </c>
      <c r="G26" s="453">
        <v>20</v>
      </c>
      <c r="H26" s="472">
        <v>15</v>
      </c>
      <c r="I26" s="454">
        <v>0</v>
      </c>
      <c r="J26" s="455">
        <f t="shared" si="1"/>
        <v>35</v>
      </c>
      <c r="K26" s="333" t="s">
        <v>837</v>
      </c>
      <c r="L26" s="335" t="s">
        <v>30</v>
      </c>
      <c r="M26" s="335" t="s">
        <v>30</v>
      </c>
      <c r="N26" s="336" t="s">
        <v>30</v>
      </c>
      <c r="O26" s="7" t="s">
        <v>30</v>
      </c>
      <c r="P26" s="7" t="s">
        <v>30</v>
      </c>
      <c r="Q26" s="206" t="s">
        <v>30</v>
      </c>
      <c r="R26" s="201">
        <v>10</v>
      </c>
      <c r="S26" s="7">
        <v>11</v>
      </c>
      <c r="T26" s="206">
        <f>SUM(R26/S26)*100</f>
        <v>90.909090909090907</v>
      </c>
      <c r="Z26" s="201" t="s">
        <v>30</v>
      </c>
      <c r="AA26" s="7" t="s">
        <v>30</v>
      </c>
      <c r="AB26" s="7" t="s">
        <v>30</v>
      </c>
      <c r="AC26" s="201" t="s">
        <v>30</v>
      </c>
      <c r="AD26" s="7" t="s">
        <v>30</v>
      </c>
      <c r="AE26" s="7" t="s">
        <v>30</v>
      </c>
      <c r="AF26" s="201" t="s">
        <v>30</v>
      </c>
      <c r="AG26" s="7" t="s">
        <v>30</v>
      </c>
      <c r="AH26" s="7" t="s">
        <v>30</v>
      </c>
      <c r="AI26" s="201" t="s">
        <v>30</v>
      </c>
      <c r="AJ26" s="7" t="s">
        <v>30</v>
      </c>
      <c r="AK26" s="7" t="s">
        <v>30</v>
      </c>
      <c r="AL26" s="201">
        <v>1</v>
      </c>
      <c r="AM26" s="7">
        <v>1</v>
      </c>
      <c r="AN26" s="206">
        <f>SUM(AL26/AM26)*100</f>
        <v>100</v>
      </c>
      <c r="AO26" s="201">
        <v>6</v>
      </c>
      <c r="AP26" s="7">
        <v>8</v>
      </c>
      <c r="AQ26" s="206">
        <f>SUM(AO26/AP26)*100</f>
        <v>75</v>
      </c>
    </row>
    <row r="27" spans="1:43" ht="14.95" customHeight="1" thickBot="1" x14ac:dyDescent="0.3">
      <c r="A27" s="333" t="s">
        <v>888</v>
      </c>
      <c r="B27" s="364">
        <v>16</v>
      </c>
      <c r="C27" s="468">
        <v>1</v>
      </c>
      <c r="D27" s="444">
        <v>0</v>
      </c>
      <c r="E27" s="335">
        <f t="shared" si="0"/>
        <v>17</v>
      </c>
      <c r="F27" s="452" t="s">
        <v>888</v>
      </c>
      <c r="G27" s="453">
        <v>80</v>
      </c>
      <c r="H27" s="472">
        <v>5</v>
      </c>
      <c r="I27" s="454">
        <v>0</v>
      </c>
      <c r="J27" s="455">
        <f t="shared" si="1"/>
        <v>85</v>
      </c>
      <c r="K27" s="333" t="s">
        <v>923</v>
      </c>
      <c r="L27" s="335">
        <v>0</v>
      </c>
      <c r="M27" s="335">
        <v>1</v>
      </c>
      <c r="N27" s="336">
        <f>SUM(L27/M27)*100</f>
        <v>0</v>
      </c>
      <c r="O27" s="7" t="s">
        <v>30</v>
      </c>
      <c r="P27" s="7" t="s">
        <v>30</v>
      </c>
      <c r="Q27" s="206" t="s">
        <v>30</v>
      </c>
      <c r="R27" s="201">
        <v>3</v>
      </c>
      <c r="S27" s="7">
        <v>6</v>
      </c>
      <c r="T27" s="206">
        <f>SUM(R27/S27)*100</f>
        <v>50</v>
      </c>
      <c r="Z27" s="201">
        <v>2</v>
      </c>
      <c r="AA27" s="7">
        <v>2</v>
      </c>
      <c r="AB27" s="7">
        <v>100</v>
      </c>
      <c r="AC27" s="201">
        <v>3</v>
      </c>
      <c r="AD27" s="7">
        <v>4</v>
      </c>
      <c r="AE27" s="206">
        <v>75</v>
      </c>
      <c r="AF27" s="201" t="s">
        <v>30</v>
      </c>
      <c r="AG27" s="7" t="s">
        <v>30</v>
      </c>
      <c r="AH27" s="206" t="s">
        <v>30</v>
      </c>
      <c r="AI27" s="201">
        <v>3</v>
      </c>
      <c r="AJ27" s="7">
        <v>10</v>
      </c>
      <c r="AK27" s="7">
        <v>30</v>
      </c>
      <c r="AL27" s="201">
        <v>1</v>
      </c>
      <c r="AM27" s="7">
        <v>1</v>
      </c>
      <c r="AN27" s="206">
        <v>100</v>
      </c>
      <c r="AO27" s="201">
        <v>1</v>
      </c>
      <c r="AP27" s="7">
        <v>1</v>
      </c>
      <c r="AQ27" s="206">
        <v>100</v>
      </c>
    </row>
    <row r="28" spans="1:43" ht="14.95" customHeight="1" thickBot="1" x14ac:dyDescent="0.3">
      <c r="A28" s="333" t="s">
        <v>836</v>
      </c>
      <c r="B28" s="364">
        <v>1</v>
      </c>
      <c r="C28" s="468">
        <v>2</v>
      </c>
      <c r="D28" s="444">
        <v>0</v>
      </c>
      <c r="E28" s="335">
        <f t="shared" si="0"/>
        <v>3</v>
      </c>
      <c r="F28" s="452" t="s">
        <v>836</v>
      </c>
      <c r="G28" s="453">
        <v>5</v>
      </c>
      <c r="H28" s="472">
        <v>10</v>
      </c>
      <c r="I28" s="454">
        <v>0</v>
      </c>
      <c r="J28" s="455">
        <f t="shared" si="1"/>
        <v>15</v>
      </c>
      <c r="K28" s="614" t="s">
        <v>985</v>
      </c>
      <c r="L28" s="519"/>
      <c r="M28" s="519"/>
      <c r="N28" s="519"/>
      <c r="O28" s="519"/>
      <c r="P28" s="519"/>
      <c r="Q28" s="519"/>
      <c r="R28" s="519"/>
      <c r="S28" s="519"/>
      <c r="T28" s="519"/>
      <c r="U28" s="519"/>
      <c r="V28" s="519"/>
      <c r="Z28" s="101"/>
      <c r="AA28" s="101"/>
      <c r="AB28" s="275"/>
      <c r="AC28" s="273"/>
      <c r="AD28" s="101"/>
      <c r="AE28" s="101"/>
      <c r="AF28" s="273"/>
      <c r="AG28" s="101"/>
      <c r="AH28" s="275"/>
      <c r="AI28" s="101"/>
      <c r="AJ28" s="101"/>
      <c r="AK28" s="275"/>
    </row>
    <row r="29" spans="1:43" ht="14.95" customHeight="1" thickBot="1" x14ac:dyDescent="0.3">
      <c r="A29" s="333" t="s">
        <v>883</v>
      </c>
      <c r="B29" s="364">
        <v>4</v>
      </c>
      <c r="C29" s="468">
        <v>0</v>
      </c>
      <c r="D29" s="444">
        <v>2</v>
      </c>
      <c r="E29" s="335">
        <f t="shared" si="0"/>
        <v>6</v>
      </c>
      <c r="F29" s="452" t="s">
        <v>883</v>
      </c>
      <c r="G29" s="453">
        <v>20</v>
      </c>
      <c r="H29" s="472">
        <v>0</v>
      </c>
      <c r="I29" s="454">
        <v>10</v>
      </c>
      <c r="J29" s="455">
        <f t="shared" si="1"/>
        <v>30</v>
      </c>
      <c r="K29" s="547" t="s">
        <v>179</v>
      </c>
      <c r="L29" s="526" t="s">
        <v>29</v>
      </c>
      <c r="M29" s="527"/>
      <c r="N29" s="528"/>
      <c r="O29" s="520" t="s">
        <v>863</v>
      </c>
      <c r="P29" s="521"/>
      <c r="Q29" s="522"/>
      <c r="R29" s="520" t="s">
        <v>621</v>
      </c>
      <c r="S29" s="521"/>
      <c r="T29" s="522"/>
      <c r="Z29" s="520" t="s">
        <v>448</v>
      </c>
      <c r="AA29" s="521"/>
      <c r="AB29" s="522"/>
      <c r="AC29" s="520" t="s">
        <v>178</v>
      </c>
      <c r="AD29" s="521"/>
      <c r="AE29" s="522"/>
      <c r="AF29" s="520" t="s">
        <v>113</v>
      </c>
      <c r="AG29" s="521"/>
      <c r="AH29" s="522"/>
      <c r="AI29" s="520" t="s">
        <v>85</v>
      </c>
      <c r="AJ29" s="521"/>
      <c r="AK29" s="522"/>
    </row>
    <row r="30" spans="1:43" ht="14.95" customHeight="1" thickBot="1" x14ac:dyDescent="0.3">
      <c r="A30" s="333" t="s">
        <v>54</v>
      </c>
      <c r="B30" s="364">
        <v>3</v>
      </c>
      <c r="C30" s="468">
        <v>1</v>
      </c>
      <c r="D30" s="444">
        <v>1</v>
      </c>
      <c r="E30" s="335">
        <f t="shared" si="0"/>
        <v>5</v>
      </c>
      <c r="F30" s="452" t="s">
        <v>54</v>
      </c>
      <c r="G30" s="453">
        <v>15</v>
      </c>
      <c r="H30" s="472">
        <v>5</v>
      </c>
      <c r="I30" s="454">
        <v>5</v>
      </c>
      <c r="J30" s="455">
        <f t="shared" si="1"/>
        <v>25</v>
      </c>
      <c r="K30" s="548"/>
      <c r="L30" s="529"/>
      <c r="M30" s="530"/>
      <c r="N30" s="531"/>
      <c r="O30" s="523"/>
      <c r="P30" s="524"/>
      <c r="Q30" s="525"/>
      <c r="R30" s="523"/>
      <c r="S30" s="524"/>
      <c r="T30" s="525"/>
      <c r="Z30" s="523"/>
      <c r="AA30" s="524"/>
      <c r="AB30" s="525"/>
      <c r="AC30" s="523"/>
      <c r="AD30" s="524"/>
      <c r="AE30" s="525"/>
      <c r="AF30" s="523"/>
      <c r="AG30" s="524"/>
      <c r="AH30" s="525"/>
      <c r="AI30" s="523"/>
      <c r="AJ30" s="524"/>
      <c r="AK30" s="525"/>
    </row>
    <row r="31" spans="1:43" ht="14.95" customHeight="1" thickBot="1" x14ac:dyDescent="0.3">
      <c r="A31" s="333" t="s">
        <v>821</v>
      </c>
      <c r="B31" s="364">
        <v>1</v>
      </c>
      <c r="C31" s="468">
        <v>0</v>
      </c>
      <c r="D31" s="444">
        <v>0</v>
      </c>
      <c r="E31" s="335">
        <f t="shared" si="0"/>
        <v>1</v>
      </c>
      <c r="F31" s="452" t="s">
        <v>821</v>
      </c>
      <c r="G31" s="453">
        <v>5</v>
      </c>
      <c r="H31" s="472">
        <v>0</v>
      </c>
      <c r="I31" s="454">
        <v>0</v>
      </c>
      <c r="J31" s="455">
        <f t="shared" si="1"/>
        <v>5</v>
      </c>
      <c r="K31" s="401" t="s">
        <v>44</v>
      </c>
      <c r="L31" s="3" t="s">
        <v>107</v>
      </c>
      <c r="M31" s="3" t="s">
        <v>23</v>
      </c>
      <c r="N31" s="3" t="s">
        <v>24</v>
      </c>
      <c r="O31" s="7" t="s">
        <v>107</v>
      </c>
      <c r="P31" s="7" t="s">
        <v>23</v>
      </c>
      <c r="Q31" s="7" t="s">
        <v>24</v>
      </c>
      <c r="R31" s="201" t="s">
        <v>107</v>
      </c>
      <c r="S31" s="7" t="s">
        <v>23</v>
      </c>
      <c r="T31" s="7" t="s">
        <v>24</v>
      </c>
      <c r="Z31" s="201" t="s">
        <v>107</v>
      </c>
      <c r="AA31" s="7" t="s">
        <v>23</v>
      </c>
      <c r="AB31" s="7" t="s">
        <v>24</v>
      </c>
      <c r="AC31" s="201" t="s">
        <v>107</v>
      </c>
      <c r="AD31" s="7" t="s">
        <v>23</v>
      </c>
      <c r="AE31" s="7" t="s">
        <v>24</v>
      </c>
      <c r="AF31" s="201" t="s">
        <v>107</v>
      </c>
      <c r="AG31" s="7" t="s">
        <v>23</v>
      </c>
      <c r="AH31" s="7" t="s">
        <v>24</v>
      </c>
      <c r="AI31" s="201" t="s">
        <v>107</v>
      </c>
      <c r="AJ31" s="7" t="s">
        <v>23</v>
      </c>
      <c r="AK31" s="7" t="s">
        <v>24</v>
      </c>
    </row>
    <row r="32" spans="1:43" ht="14.95" customHeight="1" thickBot="1" x14ac:dyDescent="0.3">
      <c r="A32" s="333" t="s">
        <v>6</v>
      </c>
      <c r="B32" s="364">
        <v>2</v>
      </c>
      <c r="C32" s="468">
        <v>0</v>
      </c>
      <c r="D32" s="444">
        <v>0</v>
      </c>
      <c r="E32" s="335">
        <f t="shared" si="0"/>
        <v>2</v>
      </c>
      <c r="F32" s="452" t="s">
        <v>6</v>
      </c>
      <c r="G32" s="453">
        <v>14</v>
      </c>
      <c r="H32" s="472">
        <v>0</v>
      </c>
      <c r="I32" s="454">
        <v>0</v>
      </c>
      <c r="J32" s="455">
        <f t="shared" si="1"/>
        <v>14</v>
      </c>
      <c r="K32" s="333" t="s">
        <v>888</v>
      </c>
      <c r="L32" s="335" t="s">
        <v>30</v>
      </c>
      <c r="M32" s="335" t="s">
        <v>30</v>
      </c>
      <c r="N32" s="336" t="s">
        <v>30</v>
      </c>
      <c r="O32" s="7" t="s">
        <v>30</v>
      </c>
      <c r="P32" s="7" t="s">
        <v>30</v>
      </c>
      <c r="Q32" s="206" t="s">
        <v>30</v>
      </c>
      <c r="R32" s="201">
        <v>11</v>
      </c>
      <c r="S32" s="7">
        <v>19</v>
      </c>
      <c r="T32" s="206">
        <f>SUM(R32/S32)*100</f>
        <v>57.894736842105267</v>
      </c>
      <c r="Z32" s="201">
        <v>15</v>
      </c>
      <c r="AA32" s="7">
        <v>25</v>
      </c>
      <c r="AB32" s="206">
        <f>SUM(Z32/AA32)*100</f>
        <v>60</v>
      </c>
      <c r="AC32" s="201">
        <v>3</v>
      </c>
      <c r="AD32" s="7">
        <v>4</v>
      </c>
      <c r="AE32" s="206">
        <f>SUM(AC32/AD32)*100</f>
        <v>75</v>
      </c>
      <c r="AF32" s="6" t="s">
        <v>30</v>
      </c>
      <c r="AG32" s="7" t="s">
        <v>30</v>
      </c>
      <c r="AH32" s="206" t="s">
        <v>30</v>
      </c>
      <c r="AI32" s="7" t="s">
        <v>30</v>
      </c>
      <c r="AJ32" s="7" t="s">
        <v>30</v>
      </c>
      <c r="AK32" s="206" t="s">
        <v>30</v>
      </c>
    </row>
    <row r="33" spans="1:47" ht="14.95" customHeight="1" thickBot="1" x14ac:dyDescent="0.3">
      <c r="A33" s="333" t="s">
        <v>887</v>
      </c>
      <c r="B33" s="364">
        <v>0</v>
      </c>
      <c r="C33" s="468">
        <v>0</v>
      </c>
      <c r="D33" s="444">
        <v>1</v>
      </c>
      <c r="E33" s="335">
        <f t="shared" si="0"/>
        <v>1</v>
      </c>
      <c r="F33" s="452" t="s">
        <v>887</v>
      </c>
      <c r="G33" s="453">
        <v>0</v>
      </c>
      <c r="H33" s="472">
        <v>0</v>
      </c>
      <c r="I33" s="454">
        <v>5</v>
      </c>
      <c r="J33" s="455">
        <f t="shared" si="1"/>
        <v>5</v>
      </c>
      <c r="K33" s="333" t="s">
        <v>924</v>
      </c>
      <c r="L33" s="335">
        <v>14</v>
      </c>
      <c r="M33" s="335">
        <v>16</v>
      </c>
      <c r="N33" s="336">
        <f>SUM(L33/M33)*100</f>
        <v>87.5</v>
      </c>
      <c r="O33" s="7" t="s">
        <v>30</v>
      </c>
      <c r="P33" s="7" t="s">
        <v>30</v>
      </c>
      <c r="Q33" s="206" t="s">
        <v>30</v>
      </c>
      <c r="R33" s="201" t="s">
        <v>30</v>
      </c>
      <c r="S33" s="7" t="s">
        <v>30</v>
      </c>
      <c r="T33" s="206" t="s">
        <v>30</v>
      </c>
      <c r="Z33" s="201" t="s">
        <v>30</v>
      </c>
      <c r="AA33" s="7" t="s">
        <v>30</v>
      </c>
      <c r="AB33" s="206" t="s">
        <v>30</v>
      </c>
      <c r="AC33" s="201" t="s">
        <v>30</v>
      </c>
      <c r="AD33" s="7" t="s">
        <v>30</v>
      </c>
      <c r="AE33" s="206" t="s">
        <v>30</v>
      </c>
      <c r="AF33" s="201" t="s">
        <v>30</v>
      </c>
      <c r="AG33" s="7" t="s">
        <v>30</v>
      </c>
      <c r="AH33" s="206" t="s">
        <v>30</v>
      </c>
      <c r="AI33" s="7" t="s">
        <v>30</v>
      </c>
      <c r="AJ33" s="7" t="s">
        <v>30</v>
      </c>
      <c r="AK33" s="206" t="s">
        <v>30</v>
      </c>
    </row>
    <row r="34" spans="1:47" ht="14.95" customHeight="1" thickBot="1" x14ac:dyDescent="0.3">
      <c r="A34" s="333" t="s">
        <v>169</v>
      </c>
      <c r="B34" s="364">
        <v>0</v>
      </c>
      <c r="C34" s="468">
        <v>0</v>
      </c>
      <c r="D34" s="444">
        <v>0</v>
      </c>
      <c r="E34" s="335">
        <f t="shared" si="0"/>
        <v>0</v>
      </c>
      <c r="F34" s="452" t="s">
        <v>169</v>
      </c>
      <c r="G34" s="453">
        <v>0</v>
      </c>
      <c r="H34" s="472">
        <v>0</v>
      </c>
      <c r="I34" s="454">
        <v>0</v>
      </c>
      <c r="J34" s="455">
        <f t="shared" si="1"/>
        <v>0</v>
      </c>
      <c r="K34" s="333" t="s">
        <v>885</v>
      </c>
      <c r="L34" s="335" t="s">
        <v>30</v>
      </c>
      <c r="M34" s="335" t="s">
        <v>30</v>
      </c>
      <c r="N34" s="336" t="s">
        <v>30</v>
      </c>
      <c r="O34" s="7" t="s">
        <v>30</v>
      </c>
      <c r="P34" s="7" t="s">
        <v>30</v>
      </c>
      <c r="Q34" s="206" t="s">
        <v>30</v>
      </c>
      <c r="R34" s="201">
        <v>11</v>
      </c>
      <c r="S34" s="7">
        <v>12</v>
      </c>
      <c r="T34" s="206">
        <f>SUM(R34/S34)*100</f>
        <v>91.666666666666657</v>
      </c>
      <c r="Z34" s="201">
        <v>0</v>
      </c>
      <c r="AA34" s="7">
        <v>1</v>
      </c>
      <c r="AB34" s="206">
        <f>SUM(Z34/AA34)*100</f>
        <v>0</v>
      </c>
      <c r="AC34" s="201">
        <v>0</v>
      </c>
      <c r="AD34" s="7">
        <v>1</v>
      </c>
      <c r="AE34" s="206">
        <f>SUM(AC34/AD34)*100</f>
        <v>0</v>
      </c>
      <c r="AF34" s="201">
        <v>21</v>
      </c>
      <c r="AG34" s="7">
        <v>25</v>
      </c>
      <c r="AH34" s="206">
        <f>SUM(AF34/AG34)*100</f>
        <v>84</v>
      </c>
      <c r="AI34" s="201" t="s">
        <v>30</v>
      </c>
      <c r="AJ34" s="7" t="s">
        <v>30</v>
      </c>
      <c r="AK34" s="7" t="s">
        <v>30</v>
      </c>
    </row>
    <row r="35" spans="1:47" ht="14.95" customHeight="1" thickBot="1" x14ac:dyDescent="0.3">
      <c r="A35" s="333" t="s">
        <v>882</v>
      </c>
      <c r="B35" s="364">
        <v>0</v>
      </c>
      <c r="C35" s="468">
        <v>0</v>
      </c>
      <c r="D35" s="444">
        <v>0</v>
      </c>
      <c r="E35" s="335">
        <f t="shared" si="0"/>
        <v>0</v>
      </c>
      <c r="F35" s="452" t="s">
        <v>882</v>
      </c>
      <c r="G35" s="453">
        <v>0</v>
      </c>
      <c r="H35" s="472">
        <v>0</v>
      </c>
      <c r="I35" s="454">
        <v>0</v>
      </c>
      <c r="J35" s="455">
        <f t="shared" si="1"/>
        <v>0</v>
      </c>
      <c r="K35" s="615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  <c r="W35" s="37"/>
      <c r="X35" s="37"/>
      <c r="Y35" s="37"/>
      <c r="Z35" s="101"/>
      <c r="AA35" s="101"/>
      <c r="AB35" s="275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</row>
    <row r="36" spans="1:47" ht="14.95" customHeight="1" thickBot="1" x14ac:dyDescent="0.3">
      <c r="A36" s="333" t="s">
        <v>823</v>
      </c>
      <c r="B36" s="364">
        <v>7</v>
      </c>
      <c r="C36" s="468">
        <v>1</v>
      </c>
      <c r="D36" s="444">
        <v>4</v>
      </c>
      <c r="E36" s="335">
        <f t="shared" si="0"/>
        <v>12</v>
      </c>
      <c r="F36" s="452" t="s">
        <v>823</v>
      </c>
      <c r="G36" s="453">
        <v>35</v>
      </c>
      <c r="H36" s="472">
        <v>5</v>
      </c>
      <c r="I36" s="454">
        <v>20</v>
      </c>
      <c r="J36" s="455">
        <f t="shared" si="1"/>
        <v>60</v>
      </c>
      <c r="K36" s="542" t="s">
        <v>1018</v>
      </c>
      <c r="L36" s="520" t="s">
        <v>634</v>
      </c>
      <c r="M36" s="521"/>
      <c r="N36" s="522"/>
      <c r="O36" s="107"/>
    </row>
    <row r="37" spans="1:47" ht="14.95" customHeight="1" thickBot="1" x14ac:dyDescent="0.3">
      <c r="A37" s="333" t="s">
        <v>818</v>
      </c>
      <c r="B37" s="364">
        <v>0</v>
      </c>
      <c r="C37" s="468">
        <v>0</v>
      </c>
      <c r="D37" s="444">
        <v>0</v>
      </c>
      <c r="E37" s="335">
        <f t="shared" si="0"/>
        <v>0</v>
      </c>
      <c r="F37" s="452" t="s">
        <v>818</v>
      </c>
      <c r="G37" s="453">
        <v>0</v>
      </c>
      <c r="H37" s="472">
        <v>0</v>
      </c>
      <c r="I37" s="454">
        <v>0</v>
      </c>
      <c r="J37" s="455">
        <f t="shared" si="1"/>
        <v>0</v>
      </c>
      <c r="K37" s="543"/>
      <c r="L37" s="523"/>
      <c r="M37" s="524"/>
      <c r="N37" s="525"/>
    </row>
    <row r="38" spans="1:47" ht="14.95" customHeight="1" thickBot="1" x14ac:dyDescent="0.3">
      <c r="A38" s="333" t="s">
        <v>119</v>
      </c>
      <c r="B38" s="364">
        <v>0</v>
      </c>
      <c r="C38" s="468">
        <v>1</v>
      </c>
      <c r="D38" s="444">
        <v>0</v>
      </c>
      <c r="E38" s="335">
        <f t="shared" si="0"/>
        <v>1</v>
      </c>
      <c r="F38" s="452" t="s">
        <v>119</v>
      </c>
      <c r="G38" s="453">
        <v>0</v>
      </c>
      <c r="H38" s="472">
        <v>5</v>
      </c>
      <c r="I38" s="454">
        <v>0</v>
      </c>
      <c r="J38" s="455">
        <f t="shared" si="1"/>
        <v>5</v>
      </c>
      <c r="K38" s="402"/>
      <c r="L38" s="7" t="s">
        <v>107</v>
      </c>
      <c r="M38" s="7" t="s">
        <v>23</v>
      </c>
      <c r="N38" s="7" t="s">
        <v>24</v>
      </c>
    </row>
    <row r="39" spans="1:47" ht="14.95" customHeight="1" thickBot="1" x14ac:dyDescent="0.3">
      <c r="A39" s="333" t="s">
        <v>835</v>
      </c>
      <c r="B39" s="364">
        <v>6</v>
      </c>
      <c r="C39" s="468">
        <v>1</v>
      </c>
      <c r="D39" s="444">
        <v>0</v>
      </c>
      <c r="E39" s="335">
        <f t="shared" si="0"/>
        <v>7</v>
      </c>
      <c r="F39" s="452" t="s">
        <v>835</v>
      </c>
      <c r="G39" s="453">
        <v>30</v>
      </c>
      <c r="H39" s="472">
        <v>5</v>
      </c>
      <c r="I39" s="454">
        <v>0</v>
      </c>
      <c r="J39" s="455">
        <f t="shared" si="1"/>
        <v>35</v>
      </c>
      <c r="K39" s="333" t="s">
        <v>833</v>
      </c>
      <c r="L39" s="7">
        <v>47</v>
      </c>
      <c r="M39" s="7">
        <v>56</v>
      </c>
      <c r="N39" s="206">
        <f>(L39/M39)*100</f>
        <v>83.928571428571431</v>
      </c>
    </row>
    <row r="40" spans="1:47" ht="14.95" customHeight="1" thickBot="1" x14ac:dyDescent="0.3">
      <c r="A40" s="333" t="s">
        <v>881</v>
      </c>
      <c r="B40" s="364">
        <v>0</v>
      </c>
      <c r="C40" s="468">
        <v>1</v>
      </c>
      <c r="D40" s="444">
        <v>0</v>
      </c>
      <c r="E40" s="335">
        <f t="shared" si="0"/>
        <v>1</v>
      </c>
      <c r="F40" s="452" t="s">
        <v>881</v>
      </c>
      <c r="G40" s="453">
        <v>0</v>
      </c>
      <c r="H40" s="472">
        <v>5</v>
      </c>
      <c r="I40" s="454">
        <v>0</v>
      </c>
      <c r="J40" s="455">
        <f t="shared" si="1"/>
        <v>5</v>
      </c>
      <c r="K40" s="333" t="s">
        <v>837</v>
      </c>
      <c r="L40" s="7">
        <v>1</v>
      </c>
      <c r="M40" s="7">
        <v>4</v>
      </c>
      <c r="N40" s="206">
        <f>(L40/M40)*100</f>
        <v>25</v>
      </c>
    </row>
    <row r="41" spans="1:47" ht="14.95" customHeight="1" thickBot="1" x14ac:dyDescent="0.3">
      <c r="A41" s="333" t="s">
        <v>246</v>
      </c>
      <c r="B41" s="364">
        <v>0</v>
      </c>
      <c r="C41" s="468">
        <v>0</v>
      </c>
      <c r="D41" s="444">
        <v>0</v>
      </c>
      <c r="E41" s="335">
        <f t="shared" si="0"/>
        <v>0</v>
      </c>
      <c r="F41" s="452" t="s">
        <v>246</v>
      </c>
      <c r="G41" s="453">
        <v>0</v>
      </c>
      <c r="H41" s="472">
        <v>0</v>
      </c>
      <c r="I41" s="454">
        <v>0</v>
      </c>
      <c r="J41" s="455">
        <f t="shared" si="1"/>
        <v>0</v>
      </c>
      <c r="K41" s="333" t="s">
        <v>924</v>
      </c>
      <c r="L41" s="7">
        <v>19</v>
      </c>
      <c r="M41" s="7">
        <v>28</v>
      </c>
      <c r="N41" s="206">
        <f>(L41/M41)*100</f>
        <v>67.857142857142861</v>
      </c>
    </row>
    <row r="42" spans="1:47" ht="14.95" customHeight="1" thickBot="1" x14ac:dyDescent="0.3">
      <c r="A42" s="333" t="s">
        <v>829</v>
      </c>
      <c r="B42" s="364">
        <v>4</v>
      </c>
      <c r="C42" s="468">
        <v>0</v>
      </c>
      <c r="D42" s="444">
        <v>0</v>
      </c>
      <c r="E42" s="335">
        <f t="shared" si="0"/>
        <v>4</v>
      </c>
      <c r="F42" s="452" t="s">
        <v>829</v>
      </c>
      <c r="G42" s="453">
        <v>20</v>
      </c>
      <c r="H42" s="472">
        <v>0</v>
      </c>
      <c r="I42" s="454">
        <v>0</v>
      </c>
      <c r="J42" s="455">
        <f t="shared" si="1"/>
        <v>20</v>
      </c>
      <c r="K42" s="518" t="s">
        <v>1034</v>
      </c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605"/>
      <c r="AJ42" s="605"/>
      <c r="AK42" s="605"/>
      <c r="AL42" s="605"/>
      <c r="AM42" s="605"/>
      <c r="AN42" s="605"/>
      <c r="AO42" s="605"/>
      <c r="AP42" s="605"/>
      <c r="AQ42" s="605"/>
      <c r="AR42" s="605"/>
      <c r="AS42" s="605"/>
      <c r="AT42" s="605"/>
      <c r="AU42" s="605"/>
    </row>
    <row r="43" spans="1:47" ht="14.95" customHeight="1" thickBot="1" x14ac:dyDescent="0.3">
      <c r="A43" s="333" t="s">
        <v>840</v>
      </c>
      <c r="B43" s="364">
        <v>2</v>
      </c>
      <c r="C43" s="468">
        <v>0</v>
      </c>
      <c r="D43" s="444">
        <v>0</v>
      </c>
      <c r="E43" s="335">
        <f t="shared" si="0"/>
        <v>2</v>
      </c>
      <c r="F43" s="452" t="s">
        <v>840</v>
      </c>
      <c r="G43" s="453">
        <v>10</v>
      </c>
      <c r="H43" s="472">
        <v>0</v>
      </c>
      <c r="I43" s="454">
        <v>0</v>
      </c>
      <c r="J43" s="455">
        <f t="shared" si="1"/>
        <v>10</v>
      </c>
      <c r="K43" s="316"/>
    </row>
    <row r="44" spans="1:47" ht="14.95" customHeight="1" thickBot="1" x14ac:dyDescent="0.3">
      <c r="A44" s="333" t="s">
        <v>839</v>
      </c>
      <c r="B44" s="364">
        <v>0</v>
      </c>
      <c r="C44" s="468">
        <v>0</v>
      </c>
      <c r="D44" s="444">
        <v>0</v>
      </c>
      <c r="E44" s="335">
        <f t="shared" si="0"/>
        <v>0</v>
      </c>
      <c r="F44" s="452" t="s">
        <v>839</v>
      </c>
      <c r="G44" s="453">
        <v>4</v>
      </c>
      <c r="H44" s="472">
        <v>18</v>
      </c>
      <c r="I44" s="454">
        <v>29</v>
      </c>
      <c r="J44" s="455">
        <f t="shared" si="1"/>
        <v>51</v>
      </c>
    </row>
    <row r="45" spans="1:47" ht="14.95" customHeight="1" thickBot="1" x14ac:dyDescent="0.3">
      <c r="A45" s="333" t="s">
        <v>832</v>
      </c>
      <c r="B45" s="364">
        <v>10</v>
      </c>
      <c r="C45" s="468">
        <v>0</v>
      </c>
      <c r="D45" s="444">
        <v>0</v>
      </c>
      <c r="E45" s="335">
        <f t="shared" si="0"/>
        <v>10</v>
      </c>
      <c r="F45" s="452" t="s">
        <v>832</v>
      </c>
      <c r="G45" s="453">
        <v>50</v>
      </c>
      <c r="H45" s="472">
        <v>0</v>
      </c>
      <c r="I45" s="454">
        <v>0</v>
      </c>
      <c r="J45" s="455">
        <f t="shared" si="1"/>
        <v>50</v>
      </c>
    </row>
    <row r="46" spans="1:47" ht="14.95" customHeight="1" thickBot="1" x14ac:dyDescent="0.3">
      <c r="A46" s="333" t="s">
        <v>822</v>
      </c>
      <c r="B46" s="364">
        <v>1</v>
      </c>
      <c r="C46" s="468">
        <v>0</v>
      </c>
      <c r="D46" s="444">
        <v>0</v>
      </c>
      <c r="E46" s="335">
        <f t="shared" si="0"/>
        <v>1</v>
      </c>
      <c r="F46" s="452" t="s">
        <v>822</v>
      </c>
      <c r="G46" s="453">
        <v>5</v>
      </c>
      <c r="H46" s="472">
        <v>0</v>
      </c>
      <c r="I46" s="454">
        <v>0</v>
      </c>
      <c r="J46" s="455">
        <f t="shared" si="1"/>
        <v>5</v>
      </c>
    </row>
    <row r="47" spans="1:47" ht="14.95" customHeight="1" thickBot="1" x14ac:dyDescent="0.3">
      <c r="A47" s="333" t="s">
        <v>3</v>
      </c>
      <c r="B47" s="364">
        <f>SUM(B3:B46)</f>
        <v>98</v>
      </c>
      <c r="C47" s="468">
        <f>SUM(C3:C46)</f>
        <v>28</v>
      </c>
      <c r="D47" s="444">
        <f>SUM(D3:D46)</f>
        <v>15</v>
      </c>
      <c r="E47" s="335">
        <f>SUM(B47:D47)</f>
        <v>141</v>
      </c>
      <c r="F47" s="452" t="s">
        <v>3</v>
      </c>
      <c r="G47" s="453">
        <f>SUM(G3:G46)</f>
        <v>815</v>
      </c>
      <c r="H47" s="472">
        <f>SUM(H3:H46)</f>
        <v>218</v>
      </c>
      <c r="I47" s="454">
        <f>SUM(I3:I46)</f>
        <v>104</v>
      </c>
      <c r="J47" s="455">
        <f t="shared" si="1"/>
        <v>1137</v>
      </c>
    </row>
    <row r="48" spans="1:47" ht="14.95" customHeight="1" x14ac:dyDescent="0.25">
      <c r="A48" s="365"/>
      <c r="B48" s="366"/>
      <c r="C48" s="367"/>
      <c r="D48" s="435"/>
      <c r="E48" s="59"/>
      <c r="F48" s="365"/>
      <c r="G48" s="368"/>
      <c r="H48" s="367"/>
      <c r="I48" s="435"/>
      <c r="J48" s="59"/>
    </row>
    <row r="49" spans="1:10" ht="14.95" customHeight="1" thickBot="1" x14ac:dyDescent="0.3">
      <c r="A49" s="436" t="s">
        <v>26</v>
      </c>
      <c r="B49" s="366"/>
      <c r="C49" s="367"/>
      <c r="D49" s="367"/>
      <c r="E49" s="59"/>
      <c r="F49" s="365"/>
      <c r="G49" s="368"/>
      <c r="H49" s="367"/>
      <c r="I49" s="367"/>
      <c r="J49" s="59"/>
    </row>
    <row r="50" spans="1:10" ht="14.95" thickBot="1" x14ac:dyDescent="0.3">
      <c r="A50" s="332" t="s">
        <v>0</v>
      </c>
      <c r="B50" s="363" t="s">
        <v>620</v>
      </c>
      <c r="C50" s="467" t="s">
        <v>64</v>
      </c>
      <c r="D50" s="443" t="s">
        <v>925</v>
      </c>
      <c r="E50" s="334" t="s">
        <v>1</v>
      </c>
      <c r="F50" s="451" t="s">
        <v>2</v>
      </c>
      <c r="G50" s="450" t="s">
        <v>620</v>
      </c>
      <c r="H50" s="461" t="s">
        <v>64</v>
      </c>
      <c r="I50" s="448" t="s">
        <v>925</v>
      </c>
      <c r="J50" s="449" t="s">
        <v>1</v>
      </c>
    </row>
    <row r="51" spans="1:10" ht="14.95" thickBot="1" x14ac:dyDescent="0.3">
      <c r="A51" s="333" t="s">
        <v>888</v>
      </c>
      <c r="B51" s="364">
        <v>16</v>
      </c>
      <c r="C51" s="468">
        <v>1</v>
      </c>
      <c r="D51" s="444">
        <v>0</v>
      </c>
      <c r="E51" s="335">
        <f t="shared" ref="E51:E95" si="3">SUM(B51:D51)</f>
        <v>17</v>
      </c>
      <c r="F51" s="452" t="s">
        <v>833</v>
      </c>
      <c r="G51" s="453">
        <v>133</v>
      </c>
      <c r="H51" s="472">
        <v>60</v>
      </c>
      <c r="I51" s="454">
        <v>0</v>
      </c>
      <c r="J51" s="455">
        <f t="shared" ref="J51:J94" si="4">SUM(G51:I51)</f>
        <v>193</v>
      </c>
    </row>
    <row r="52" spans="1:10" ht="14.95" thickBot="1" x14ac:dyDescent="0.3">
      <c r="A52" s="333" t="s">
        <v>886</v>
      </c>
      <c r="B52" s="364">
        <v>11</v>
      </c>
      <c r="C52" s="468">
        <v>2</v>
      </c>
      <c r="D52" s="444">
        <v>0</v>
      </c>
      <c r="E52" s="335">
        <f t="shared" si="3"/>
        <v>13</v>
      </c>
      <c r="F52" s="452" t="s">
        <v>885</v>
      </c>
      <c r="G52" s="453">
        <v>178</v>
      </c>
      <c r="H52" s="472">
        <v>0</v>
      </c>
      <c r="I52" s="454">
        <v>0</v>
      </c>
      <c r="J52" s="455">
        <f t="shared" si="4"/>
        <v>178</v>
      </c>
    </row>
    <row r="53" spans="1:10" ht="14.95" thickBot="1" x14ac:dyDescent="0.3">
      <c r="A53" s="333" t="s">
        <v>823</v>
      </c>
      <c r="B53" s="364">
        <v>7</v>
      </c>
      <c r="C53" s="468">
        <v>1</v>
      </c>
      <c r="D53" s="444">
        <v>4</v>
      </c>
      <c r="E53" s="335">
        <f t="shared" si="3"/>
        <v>12</v>
      </c>
      <c r="F53" s="452" t="s">
        <v>888</v>
      </c>
      <c r="G53" s="453">
        <v>80</v>
      </c>
      <c r="H53" s="472">
        <v>5</v>
      </c>
      <c r="I53" s="454">
        <v>0</v>
      </c>
      <c r="J53" s="455">
        <f t="shared" si="4"/>
        <v>85</v>
      </c>
    </row>
    <row r="54" spans="1:10" ht="14.95" thickBot="1" x14ac:dyDescent="0.3">
      <c r="A54" s="333" t="s">
        <v>820</v>
      </c>
      <c r="B54" s="364">
        <v>8</v>
      </c>
      <c r="C54" s="468">
        <v>2</v>
      </c>
      <c r="D54" s="444">
        <v>0</v>
      </c>
      <c r="E54" s="335">
        <f t="shared" si="3"/>
        <v>10</v>
      </c>
      <c r="F54" s="452" t="s">
        <v>886</v>
      </c>
      <c r="G54" s="453">
        <v>55</v>
      </c>
      <c r="H54" s="472">
        <v>10</v>
      </c>
      <c r="I54" s="454">
        <v>0</v>
      </c>
      <c r="J54" s="455">
        <f t="shared" si="4"/>
        <v>65</v>
      </c>
    </row>
    <row r="55" spans="1:10" ht="14.95" thickBot="1" x14ac:dyDescent="0.3">
      <c r="A55" s="333" t="s">
        <v>832</v>
      </c>
      <c r="B55" s="364">
        <v>10</v>
      </c>
      <c r="C55" s="468">
        <v>0</v>
      </c>
      <c r="D55" s="444">
        <v>0</v>
      </c>
      <c r="E55" s="335">
        <f t="shared" si="3"/>
        <v>10</v>
      </c>
      <c r="F55" s="452" t="s">
        <v>823</v>
      </c>
      <c r="G55" s="453">
        <v>35</v>
      </c>
      <c r="H55" s="472">
        <v>5</v>
      </c>
      <c r="I55" s="454">
        <v>20</v>
      </c>
      <c r="J55" s="455">
        <f t="shared" si="4"/>
        <v>60</v>
      </c>
    </row>
    <row r="56" spans="1:10" ht="14.95" thickBot="1" x14ac:dyDescent="0.3">
      <c r="A56" s="333" t="s">
        <v>819</v>
      </c>
      <c r="B56" s="364">
        <v>4</v>
      </c>
      <c r="C56" s="468">
        <v>3</v>
      </c>
      <c r="D56" s="444">
        <v>0</v>
      </c>
      <c r="E56" s="335">
        <f t="shared" si="3"/>
        <v>7</v>
      </c>
      <c r="F56" s="452" t="s">
        <v>839</v>
      </c>
      <c r="G56" s="453">
        <v>4</v>
      </c>
      <c r="H56" s="472">
        <v>18</v>
      </c>
      <c r="I56" s="454">
        <v>29</v>
      </c>
      <c r="J56" s="455">
        <f t="shared" si="4"/>
        <v>51</v>
      </c>
    </row>
    <row r="57" spans="1:10" ht="14.95" thickBot="1" x14ac:dyDescent="0.3">
      <c r="A57" s="333" t="s">
        <v>835</v>
      </c>
      <c r="B57" s="364">
        <v>6</v>
      </c>
      <c r="C57" s="468">
        <v>1</v>
      </c>
      <c r="D57" s="444">
        <v>0</v>
      </c>
      <c r="E57" s="335">
        <f t="shared" si="3"/>
        <v>7</v>
      </c>
      <c r="F57" s="452" t="s">
        <v>820</v>
      </c>
      <c r="G57" s="453">
        <v>40</v>
      </c>
      <c r="H57" s="472">
        <v>10</v>
      </c>
      <c r="I57" s="454">
        <v>0</v>
      </c>
      <c r="J57" s="455">
        <f t="shared" si="4"/>
        <v>50</v>
      </c>
    </row>
    <row r="58" spans="1:10" ht="14.95" thickBot="1" x14ac:dyDescent="0.3">
      <c r="A58" s="333" t="s">
        <v>824</v>
      </c>
      <c r="B58" s="364">
        <v>4</v>
      </c>
      <c r="C58" s="468">
        <v>2</v>
      </c>
      <c r="D58" s="444">
        <v>0</v>
      </c>
      <c r="E58" s="335">
        <f t="shared" si="3"/>
        <v>6</v>
      </c>
      <c r="F58" s="452" t="s">
        <v>832</v>
      </c>
      <c r="G58" s="453">
        <v>50</v>
      </c>
      <c r="H58" s="472">
        <v>0</v>
      </c>
      <c r="I58" s="454">
        <v>0</v>
      </c>
      <c r="J58" s="455">
        <f t="shared" si="4"/>
        <v>50</v>
      </c>
    </row>
    <row r="59" spans="1:10" ht="14.95" thickBot="1" x14ac:dyDescent="0.3">
      <c r="A59" s="333" t="s">
        <v>883</v>
      </c>
      <c r="B59" s="364">
        <v>4</v>
      </c>
      <c r="C59" s="468">
        <v>0</v>
      </c>
      <c r="D59" s="444">
        <v>2</v>
      </c>
      <c r="E59" s="335">
        <f t="shared" si="3"/>
        <v>6</v>
      </c>
      <c r="F59" s="452" t="s">
        <v>837</v>
      </c>
      <c r="G59" s="453">
        <v>33</v>
      </c>
      <c r="H59" s="472">
        <v>5</v>
      </c>
      <c r="I59" s="454">
        <v>0</v>
      </c>
      <c r="J59" s="455">
        <f t="shared" si="4"/>
        <v>38</v>
      </c>
    </row>
    <row r="60" spans="1:10" ht="14.95" thickBot="1" x14ac:dyDescent="0.3">
      <c r="A60" s="333" t="s">
        <v>837</v>
      </c>
      <c r="B60" s="364">
        <v>4</v>
      </c>
      <c r="C60" s="468">
        <v>1</v>
      </c>
      <c r="D60" s="444">
        <v>0</v>
      </c>
      <c r="E60" s="335">
        <f t="shared" si="3"/>
        <v>5</v>
      </c>
      <c r="F60" s="452" t="s">
        <v>819</v>
      </c>
      <c r="G60" s="453">
        <v>20</v>
      </c>
      <c r="H60" s="472">
        <v>15</v>
      </c>
      <c r="I60" s="454">
        <v>0</v>
      </c>
      <c r="J60" s="455">
        <f t="shared" si="4"/>
        <v>35</v>
      </c>
    </row>
    <row r="61" spans="1:10" ht="14.95" thickBot="1" x14ac:dyDescent="0.3">
      <c r="A61" s="333" t="s">
        <v>54</v>
      </c>
      <c r="B61" s="364">
        <v>3</v>
      </c>
      <c r="C61" s="468">
        <v>1</v>
      </c>
      <c r="D61" s="444">
        <v>1</v>
      </c>
      <c r="E61" s="335">
        <f t="shared" si="3"/>
        <v>5</v>
      </c>
      <c r="F61" s="452" t="s">
        <v>835</v>
      </c>
      <c r="G61" s="453">
        <v>30</v>
      </c>
      <c r="H61" s="472">
        <v>5</v>
      </c>
      <c r="I61" s="454">
        <v>0</v>
      </c>
      <c r="J61" s="455">
        <f t="shared" si="4"/>
        <v>35</v>
      </c>
    </row>
    <row r="62" spans="1:10" ht="14.95" thickBot="1" x14ac:dyDescent="0.3">
      <c r="A62" s="333" t="s">
        <v>829</v>
      </c>
      <c r="B62" s="364">
        <v>4</v>
      </c>
      <c r="C62" s="468">
        <v>0</v>
      </c>
      <c r="D62" s="444">
        <v>0</v>
      </c>
      <c r="E62" s="335">
        <f t="shared" si="3"/>
        <v>4</v>
      </c>
      <c r="F62" s="452" t="s">
        <v>824</v>
      </c>
      <c r="G62" s="453">
        <v>20</v>
      </c>
      <c r="H62" s="472">
        <v>10</v>
      </c>
      <c r="I62" s="454">
        <v>0</v>
      </c>
      <c r="J62" s="455">
        <f t="shared" si="4"/>
        <v>30</v>
      </c>
    </row>
    <row r="63" spans="1:10" ht="14.95" thickBot="1" x14ac:dyDescent="0.3">
      <c r="A63" s="333" t="s">
        <v>838</v>
      </c>
      <c r="B63" s="364">
        <v>2</v>
      </c>
      <c r="C63" s="468">
        <v>1</v>
      </c>
      <c r="D63" s="444">
        <v>0</v>
      </c>
      <c r="E63" s="335">
        <f t="shared" si="3"/>
        <v>3</v>
      </c>
      <c r="F63" s="452" t="s">
        <v>883</v>
      </c>
      <c r="G63" s="453">
        <v>20</v>
      </c>
      <c r="H63" s="472">
        <v>0</v>
      </c>
      <c r="I63" s="454">
        <v>10</v>
      </c>
      <c r="J63" s="455">
        <f t="shared" si="4"/>
        <v>30</v>
      </c>
    </row>
    <row r="64" spans="1:10" ht="14.95" thickBot="1" x14ac:dyDescent="0.3">
      <c r="A64" s="333" t="s">
        <v>830</v>
      </c>
      <c r="B64" s="364">
        <v>1</v>
      </c>
      <c r="C64" s="468">
        <v>2</v>
      </c>
      <c r="D64" s="444">
        <v>0</v>
      </c>
      <c r="E64" s="335">
        <f t="shared" si="3"/>
        <v>3</v>
      </c>
      <c r="F64" s="452" t="s">
        <v>54</v>
      </c>
      <c r="G64" s="453">
        <v>15</v>
      </c>
      <c r="H64" s="472">
        <v>5</v>
      </c>
      <c r="I64" s="454">
        <v>5</v>
      </c>
      <c r="J64" s="455">
        <f t="shared" si="4"/>
        <v>25</v>
      </c>
    </row>
    <row r="65" spans="1:10" ht="14.95" thickBot="1" x14ac:dyDescent="0.3">
      <c r="A65" s="333" t="s">
        <v>520</v>
      </c>
      <c r="B65" s="364">
        <v>0</v>
      </c>
      <c r="C65" s="468">
        <v>1</v>
      </c>
      <c r="D65" s="444">
        <v>2</v>
      </c>
      <c r="E65" s="335">
        <f t="shared" si="3"/>
        <v>3</v>
      </c>
      <c r="F65" s="452" t="s">
        <v>829</v>
      </c>
      <c r="G65" s="453">
        <v>20</v>
      </c>
      <c r="H65" s="472">
        <v>0</v>
      </c>
      <c r="I65" s="454">
        <v>0</v>
      </c>
      <c r="J65" s="455">
        <f t="shared" si="4"/>
        <v>20</v>
      </c>
    </row>
    <row r="66" spans="1:10" ht="14.95" thickBot="1" x14ac:dyDescent="0.3">
      <c r="A66" s="333" t="s">
        <v>828</v>
      </c>
      <c r="B66" s="364">
        <v>2</v>
      </c>
      <c r="C66" s="468">
        <v>1</v>
      </c>
      <c r="D66" s="444">
        <v>0</v>
      </c>
      <c r="E66" s="335">
        <f t="shared" si="3"/>
        <v>3</v>
      </c>
      <c r="F66" s="452" t="s">
        <v>838</v>
      </c>
      <c r="G66" s="453">
        <v>13</v>
      </c>
      <c r="H66" s="472">
        <v>5</v>
      </c>
      <c r="I66" s="454">
        <v>0</v>
      </c>
      <c r="J66" s="455">
        <f t="shared" si="4"/>
        <v>18</v>
      </c>
    </row>
    <row r="67" spans="1:10" ht="14.95" thickBot="1" x14ac:dyDescent="0.3">
      <c r="A67" s="333" t="s">
        <v>834</v>
      </c>
      <c r="B67" s="364">
        <v>2</v>
      </c>
      <c r="C67" s="468">
        <v>1</v>
      </c>
      <c r="D67" s="444">
        <v>0</v>
      </c>
      <c r="E67" s="335">
        <f t="shared" si="3"/>
        <v>3</v>
      </c>
      <c r="F67" s="452" t="s">
        <v>830</v>
      </c>
      <c r="G67" s="453">
        <v>5</v>
      </c>
      <c r="H67" s="472">
        <v>10</v>
      </c>
      <c r="I67" s="454">
        <v>0</v>
      </c>
      <c r="J67" s="455">
        <f t="shared" si="4"/>
        <v>15</v>
      </c>
    </row>
    <row r="68" spans="1:10" ht="14.95" thickBot="1" x14ac:dyDescent="0.3">
      <c r="A68" s="333" t="s">
        <v>836</v>
      </c>
      <c r="B68" s="364">
        <v>1</v>
      </c>
      <c r="C68" s="468">
        <v>2</v>
      </c>
      <c r="D68" s="444">
        <v>0</v>
      </c>
      <c r="E68" s="335">
        <f t="shared" si="3"/>
        <v>3</v>
      </c>
      <c r="F68" s="452" t="s">
        <v>520</v>
      </c>
      <c r="G68" s="453">
        <v>0</v>
      </c>
      <c r="H68" s="472">
        <v>5</v>
      </c>
      <c r="I68" s="454">
        <v>10</v>
      </c>
      <c r="J68" s="455">
        <f t="shared" si="4"/>
        <v>15</v>
      </c>
    </row>
    <row r="69" spans="1:10" ht="14.95" thickBot="1" x14ac:dyDescent="0.3">
      <c r="A69" s="333" t="s">
        <v>827</v>
      </c>
      <c r="B69" s="364">
        <v>0</v>
      </c>
      <c r="C69" s="468">
        <v>2</v>
      </c>
      <c r="D69" s="444">
        <v>0</v>
      </c>
      <c r="E69" s="335">
        <f t="shared" si="3"/>
        <v>2</v>
      </c>
      <c r="F69" s="452" t="s">
        <v>828</v>
      </c>
      <c r="G69" s="453">
        <v>10</v>
      </c>
      <c r="H69" s="472">
        <v>5</v>
      </c>
      <c r="I69" s="454">
        <v>0</v>
      </c>
      <c r="J69" s="455">
        <f t="shared" si="4"/>
        <v>15</v>
      </c>
    </row>
    <row r="70" spans="1:10" ht="14.95" thickBot="1" x14ac:dyDescent="0.3">
      <c r="A70" s="333" t="s">
        <v>728</v>
      </c>
      <c r="B70" s="364">
        <v>1</v>
      </c>
      <c r="C70" s="468">
        <v>1</v>
      </c>
      <c r="D70" s="444">
        <v>0</v>
      </c>
      <c r="E70" s="335">
        <f t="shared" si="3"/>
        <v>2</v>
      </c>
      <c r="F70" s="452" t="s">
        <v>834</v>
      </c>
      <c r="G70" s="453">
        <v>10</v>
      </c>
      <c r="H70" s="472">
        <v>5</v>
      </c>
      <c r="I70" s="454">
        <v>0</v>
      </c>
      <c r="J70" s="455">
        <f t="shared" si="4"/>
        <v>15</v>
      </c>
    </row>
    <row r="71" spans="1:10" ht="14.95" thickBot="1" x14ac:dyDescent="0.3">
      <c r="A71" s="333" t="s">
        <v>885</v>
      </c>
      <c r="B71" s="364">
        <v>2</v>
      </c>
      <c r="C71" s="468">
        <v>0</v>
      </c>
      <c r="D71" s="444">
        <v>0</v>
      </c>
      <c r="E71" s="335">
        <f t="shared" si="3"/>
        <v>2</v>
      </c>
      <c r="F71" s="452" t="s">
        <v>836</v>
      </c>
      <c r="G71" s="453">
        <v>5</v>
      </c>
      <c r="H71" s="472">
        <v>10</v>
      </c>
      <c r="I71" s="454">
        <v>0</v>
      </c>
      <c r="J71" s="455">
        <f t="shared" si="4"/>
        <v>15</v>
      </c>
    </row>
    <row r="72" spans="1:10" ht="14.95" thickBot="1" x14ac:dyDescent="0.3">
      <c r="A72" s="333" t="s">
        <v>6</v>
      </c>
      <c r="B72" s="364">
        <v>2</v>
      </c>
      <c r="C72" s="468">
        <v>0</v>
      </c>
      <c r="D72" s="444">
        <v>0</v>
      </c>
      <c r="E72" s="335">
        <f t="shared" si="3"/>
        <v>2</v>
      </c>
      <c r="F72" s="452" t="s">
        <v>6</v>
      </c>
      <c r="G72" s="453">
        <v>14</v>
      </c>
      <c r="H72" s="472">
        <v>0</v>
      </c>
      <c r="I72" s="454">
        <v>0</v>
      </c>
      <c r="J72" s="455">
        <f t="shared" si="4"/>
        <v>14</v>
      </c>
    </row>
    <row r="73" spans="1:10" ht="14.95" thickBot="1" x14ac:dyDescent="0.3">
      <c r="A73" s="333" t="s">
        <v>840</v>
      </c>
      <c r="B73" s="364">
        <v>2</v>
      </c>
      <c r="C73" s="468">
        <v>0</v>
      </c>
      <c r="D73" s="444">
        <v>0</v>
      </c>
      <c r="E73" s="335">
        <f t="shared" si="3"/>
        <v>2</v>
      </c>
      <c r="F73" s="452" t="s">
        <v>827</v>
      </c>
      <c r="G73" s="453">
        <v>0</v>
      </c>
      <c r="H73" s="472">
        <v>10</v>
      </c>
      <c r="I73" s="454">
        <v>0</v>
      </c>
      <c r="J73" s="455">
        <f t="shared" si="4"/>
        <v>10</v>
      </c>
    </row>
    <row r="74" spans="1:10" ht="14.95" thickBot="1" x14ac:dyDescent="0.3">
      <c r="A74" s="333" t="s">
        <v>1200</v>
      </c>
      <c r="B74" s="364">
        <v>0</v>
      </c>
      <c r="C74" s="468">
        <v>0</v>
      </c>
      <c r="D74" s="444">
        <v>1</v>
      </c>
      <c r="E74" s="335">
        <f t="shared" si="3"/>
        <v>1</v>
      </c>
      <c r="F74" s="452" t="s">
        <v>728</v>
      </c>
      <c r="G74" s="453">
        <v>5</v>
      </c>
      <c r="H74" s="472">
        <v>5</v>
      </c>
      <c r="I74" s="454">
        <v>0</v>
      </c>
      <c r="J74" s="455">
        <f t="shared" si="4"/>
        <v>10</v>
      </c>
    </row>
    <row r="75" spans="1:10" ht="14.95" thickBot="1" x14ac:dyDescent="0.3">
      <c r="A75" s="333" t="s">
        <v>889</v>
      </c>
      <c r="B75" s="364">
        <v>0</v>
      </c>
      <c r="C75" s="468">
        <v>0</v>
      </c>
      <c r="D75" s="444">
        <v>1</v>
      </c>
      <c r="E75" s="335">
        <f t="shared" si="3"/>
        <v>1</v>
      </c>
      <c r="F75" s="452" t="s">
        <v>840</v>
      </c>
      <c r="G75" s="453">
        <v>10</v>
      </c>
      <c r="H75" s="472">
        <v>0</v>
      </c>
      <c r="I75" s="454">
        <v>0</v>
      </c>
      <c r="J75" s="455">
        <f t="shared" si="4"/>
        <v>10</v>
      </c>
    </row>
    <row r="76" spans="1:10" ht="14.95" thickBot="1" x14ac:dyDescent="0.3">
      <c r="A76" s="333" t="s">
        <v>1130</v>
      </c>
      <c r="B76" s="364">
        <v>0</v>
      </c>
      <c r="C76" s="468">
        <v>1</v>
      </c>
      <c r="D76" s="444">
        <v>0</v>
      </c>
      <c r="E76" s="335">
        <f t="shared" si="3"/>
        <v>1</v>
      </c>
      <c r="F76" s="452" t="s">
        <v>1200</v>
      </c>
      <c r="G76" s="453">
        <v>0</v>
      </c>
      <c r="H76" s="472">
        <v>0</v>
      </c>
      <c r="I76" s="454">
        <v>5</v>
      </c>
      <c r="J76" s="455">
        <f t="shared" si="4"/>
        <v>5</v>
      </c>
    </row>
    <row r="77" spans="1:10" ht="14.95" thickBot="1" x14ac:dyDescent="0.3">
      <c r="A77" s="333" t="s">
        <v>1199</v>
      </c>
      <c r="B77" s="364">
        <v>0</v>
      </c>
      <c r="C77" s="468">
        <v>0</v>
      </c>
      <c r="D77" s="444">
        <v>1</v>
      </c>
      <c r="E77" s="335">
        <f t="shared" si="3"/>
        <v>1</v>
      </c>
      <c r="F77" s="452" t="s">
        <v>889</v>
      </c>
      <c r="G77" s="453">
        <v>0</v>
      </c>
      <c r="H77" s="472">
        <v>0</v>
      </c>
      <c r="I77" s="454">
        <v>5</v>
      </c>
      <c r="J77" s="455">
        <f t="shared" si="4"/>
        <v>5</v>
      </c>
    </row>
    <row r="78" spans="1:10" ht="14.95" thickBot="1" x14ac:dyDescent="0.3">
      <c r="A78" s="333" t="s">
        <v>455</v>
      </c>
      <c r="B78" s="364">
        <v>0</v>
      </c>
      <c r="C78" s="468">
        <v>0</v>
      </c>
      <c r="D78" s="444">
        <v>1</v>
      </c>
      <c r="E78" s="335">
        <f t="shared" si="3"/>
        <v>1</v>
      </c>
      <c r="F78" s="452" t="s">
        <v>1130</v>
      </c>
      <c r="G78" s="453">
        <v>0</v>
      </c>
      <c r="H78" s="472">
        <v>5</v>
      </c>
      <c r="I78" s="454">
        <v>0</v>
      </c>
      <c r="J78" s="455">
        <f t="shared" si="4"/>
        <v>5</v>
      </c>
    </row>
    <row r="79" spans="1:10" ht="14.95" thickBot="1" x14ac:dyDescent="0.3">
      <c r="A79" s="333" t="s">
        <v>52</v>
      </c>
      <c r="B79" s="364">
        <v>0</v>
      </c>
      <c r="C79" s="468">
        <v>0</v>
      </c>
      <c r="D79" s="444">
        <v>1</v>
      </c>
      <c r="E79" s="335">
        <f t="shared" si="3"/>
        <v>1</v>
      </c>
      <c r="F79" s="452" t="s">
        <v>1199</v>
      </c>
      <c r="G79" s="453">
        <v>0</v>
      </c>
      <c r="H79" s="472">
        <v>0</v>
      </c>
      <c r="I79" s="454">
        <v>5</v>
      </c>
      <c r="J79" s="455">
        <f t="shared" si="4"/>
        <v>5</v>
      </c>
    </row>
    <row r="80" spans="1:10" ht="14.95" thickBot="1" x14ac:dyDescent="0.3">
      <c r="A80" s="333" t="s">
        <v>821</v>
      </c>
      <c r="B80" s="364">
        <v>1</v>
      </c>
      <c r="C80" s="468">
        <v>0</v>
      </c>
      <c r="D80" s="444">
        <v>0</v>
      </c>
      <c r="E80" s="335">
        <f t="shared" si="3"/>
        <v>1</v>
      </c>
      <c r="F80" s="452" t="s">
        <v>455</v>
      </c>
      <c r="G80" s="453">
        <v>0</v>
      </c>
      <c r="H80" s="472">
        <v>0</v>
      </c>
      <c r="I80" s="454">
        <v>5</v>
      </c>
      <c r="J80" s="455">
        <f t="shared" si="4"/>
        <v>5</v>
      </c>
    </row>
    <row r="81" spans="1:10" ht="14.95" thickBot="1" x14ac:dyDescent="0.3">
      <c r="A81" s="333" t="s">
        <v>887</v>
      </c>
      <c r="B81" s="364">
        <v>0</v>
      </c>
      <c r="C81" s="468">
        <v>0</v>
      </c>
      <c r="D81" s="444">
        <v>1</v>
      </c>
      <c r="E81" s="335">
        <f t="shared" si="3"/>
        <v>1</v>
      </c>
      <c r="F81" s="452" t="s">
        <v>52</v>
      </c>
      <c r="G81" s="453">
        <v>0</v>
      </c>
      <c r="H81" s="472">
        <v>0</v>
      </c>
      <c r="I81" s="454">
        <v>5</v>
      </c>
      <c r="J81" s="455">
        <f t="shared" si="4"/>
        <v>5</v>
      </c>
    </row>
    <row r="82" spans="1:10" ht="14.95" thickBot="1" x14ac:dyDescent="0.3">
      <c r="A82" s="333" t="s">
        <v>119</v>
      </c>
      <c r="B82" s="364">
        <v>0</v>
      </c>
      <c r="C82" s="468">
        <v>1</v>
      </c>
      <c r="D82" s="444">
        <v>0</v>
      </c>
      <c r="E82" s="335">
        <f t="shared" si="3"/>
        <v>1</v>
      </c>
      <c r="F82" s="452" t="s">
        <v>821</v>
      </c>
      <c r="G82" s="453">
        <v>5</v>
      </c>
      <c r="H82" s="472">
        <v>0</v>
      </c>
      <c r="I82" s="454">
        <v>0</v>
      </c>
      <c r="J82" s="455">
        <f t="shared" si="4"/>
        <v>5</v>
      </c>
    </row>
    <row r="83" spans="1:10" ht="14.95" thickBot="1" x14ac:dyDescent="0.3">
      <c r="A83" s="333" t="s">
        <v>881</v>
      </c>
      <c r="B83" s="364">
        <v>0</v>
      </c>
      <c r="C83" s="468">
        <v>1</v>
      </c>
      <c r="D83" s="444">
        <v>0</v>
      </c>
      <c r="E83" s="335">
        <f t="shared" si="3"/>
        <v>1</v>
      </c>
      <c r="F83" s="452" t="s">
        <v>887</v>
      </c>
      <c r="G83" s="453">
        <v>0</v>
      </c>
      <c r="H83" s="472">
        <v>0</v>
      </c>
      <c r="I83" s="454">
        <v>5</v>
      </c>
      <c r="J83" s="455">
        <f t="shared" si="4"/>
        <v>5</v>
      </c>
    </row>
    <row r="84" spans="1:10" ht="14.95" thickBot="1" x14ac:dyDescent="0.3">
      <c r="A84" s="333" t="s">
        <v>822</v>
      </c>
      <c r="B84" s="364">
        <v>1</v>
      </c>
      <c r="C84" s="468">
        <v>0</v>
      </c>
      <c r="D84" s="444">
        <v>0</v>
      </c>
      <c r="E84" s="335">
        <f t="shared" si="3"/>
        <v>1</v>
      </c>
      <c r="F84" s="452" t="s">
        <v>119</v>
      </c>
      <c r="G84" s="453">
        <v>0</v>
      </c>
      <c r="H84" s="472">
        <v>5</v>
      </c>
      <c r="I84" s="454">
        <v>0</v>
      </c>
      <c r="J84" s="455">
        <f t="shared" si="4"/>
        <v>5</v>
      </c>
    </row>
    <row r="85" spans="1:10" ht="14.95" thickBot="1" x14ac:dyDescent="0.3">
      <c r="A85" s="333" t="s">
        <v>826</v>
      </c>
      <c r="B85" s="364">
        <v>0</v>
      </c>
      <c r="C85" s="468">
        <v>0</v>
      </c>
      <c r="D85" s="444">
        <v>0</v>
      </c>
      <c r="E85" s="335">
        <f t="shared" si="3"/>
        <v>0</v>
      </c>
      <c r="F85" s="452" t="s">
        <v>881</v>
      </c>
      <c r="G85" s="453">
        <v>0</v>
      </c>
      <c r="H85" s="472">
        <v>5</v>
      </c>
      <c r="I85" s="454">
        <v>0</v>
      </c>
      <c r="J85" s="455">
        <f t="shared" si="4"/>
        <v>5</v>
      </c>
    </row>
    <row r="86" spans="1:10" ht="14.95" thickBot="1" x14ac:dyDescent="0.3">
      <c r="A86" s="333" t="s">
        <v>884</v>
      </c>
      <c r="B86" s="364">
        <v>0</v>
      </c>
      <c r="C86" s="468">
        <v>0</v>
      </c>
      <c r="D86" s="444">
        <v>0</v>
      </c>
      <c r="E86" s="335">
        <f t="shared" si="3"/>
        <v>0</v>
      </c>
      <c r="F86" s="452" t="s">
        <v>822</v>
      </c>
      <c r="G86" s="453">
        <v>5</v>
      </c>
      <c r="H86" s="472">
        <v>0</v>
      </c>
      <c r="I86" s="454">
        <v>0</v>
      </c>
      <c r="J86" s="455">
        <f t="shared" si="4"/>
        <v>5</v>
      </c>
    </row>
    <row r="87" spans="1:10" ht="14.95" customHeight="1" thickBot="1" x14ac:dyDescent="0.3">
      <c r="A87" s="333" t="s">
        <v>880</v>
      </c>
      <c r="B87" s="364">
        <v>0</v>
      </c>
      <c r="C87" s="468">
        <v>0</v>
      </c>
      <c r="D87" s="444">
        <v>0</v>
      </c>
      <c r="E87" s="335">
        <f t="shared" si="3"/>
        <v>0</v>
      </c>
      <c r="F87" s="452" t="s">
        <v>826</v>
      </c>
      <c r="G87" s="453">
        <v>0</v>
      </c>
      <c r="H87" s="472">
        <v>0</v>
      </c>
      <c r="I87" s="454">
        <v>0</v>
      </c>
      <c r="J87" s="455">
        <f t="shared" si="4"/>
        <v>0</v>
      </c>
    </row>
    <row r="88" spans="1:10" ht="14.95" thickBot="1" x14ac:dyDescent="0.3">
      <c r="A88" s="333" t="s">
        <v>833</v>
      </c>
      <c r="B88" s="364">
        <v>0</v>
      </c>
      <c r="C88" s="468">
        <v>0</v>
      </c>
      <c r="D88" s="444">
        <v>0</v>
      </c>
      <c r="E88" s="335">
        <f t="shared" si="3"/>
        <v>0</v>
      </c>
      <c r="F88" s="452" t="s">
        <v>884</v>
      </c>
      <c r="G88" s="453">
        <v>0</v>
      </c>
      <c r="H88" s="472">
        <v>0</v>
      </c>
      <c r="I88" s="454">
        <v>0</v>
      </c>
      <c r="J88" s="455">
        <f t="shared" si="4"/>
        <v>0</v>
      </c>
    </row>
    <row r="89" spans="1:10" ht="14.95" customHeight="1" thickBot="1" x14ac:dyDescent="0.3">
      <c r="A89" s="333" t="s">
        <v>825</v>
      </c>
      <c r="B89" s="364">
        <v>0</v>
      </c>
      <c r="C89" s="468">
        <v>0</v>
      </c>
      <c r="D89" s="444">
        <v>0</v>
      </c>
      <c r="E89" s="335">
        <f t="shared" si="3"/>
        <v>0</v>
      </c>
      <c r="F89" s="452" t="s">
        <v>880</v>
      </c>
      <c r="G89" s="453">
        <v>0</v>
      </c>
      <c r="H89" s="472">
        <v>0</v>
      </c>
      <c r="I89" s="454">
        <v>0</v>
      </c>
      <c r="J89" s="455">
        <f t="shared" si="4"/>
        <v>0</v>
      </c>
    </row>
    <row r="90" spans="1:10" ht="14.95" thickBot="1" x14ac:dyDescent="0.3">
      <c r="A90" s="333" t="s">
        <v>169</v>
      </c>
      <c r="B90" s="364">
        <v>0</v>
      </c>
      <c r="C90" s="468">
        <v>0</v>
      </c>
      <c r="D90" s="444">
        <v>0</v>
      </c>
      <c r="E90" s="335">
        <f t="shared" si="3"/>
        <v>0</v>
      </c>
      <c r="F90" s="452" t="s">
        <v>825</v>
      </c>
      <c r="G90" s="453">
        <v>0</v>
      </c>
      <c r="H90" s="472">
        <v>0</v>
      </c>
      <c r="I90" s="454">
        <v>0</v>
      </c>
      <c r="J90" s="455">
        <f t="shared" si="4"/>
        <v>0</v>
      </c>
    </row>
    <row r="91" spans="1:10" ht="14.95" customHeight="1" thickBot="1" x14ac:dyDescent="0.3">
      <c r="A91" s="333" t="s">
        <v>882</v>
      </c>
      <c r="B91" s="364">
        <v>0</v>
      </c>
      <c r="C91" s="468">
        <v>0</v>
      </c>
      <c r="D91" s="444">
        <v>0</v>
      </c>
      <c r="E91" s="335">
        <f t="shared" si="3"/>
        <v>0</v>
      </c>
      <c r="F91" s="452" t="s">
        <v>169</v>
      </c>
      <c r="G91" s="453">
        <v>0</v>
      </c>
      <c r="H91" s="472">
        <v>0</v>
      </c>
      <c r="I91" s="454">
        <v>0</v>
      </c>
      <c r="J91" s="455">
        <f t="shared" si="4"/>
        <v>0</v>
      </c>
    </row>
    <row r="92" spans="1:10" ht="14.95" thickBot="1" x14ac:dyDescent="0.3">
      <c r="A92" s="333" t="s">
        <v>818</v>
      </c>
      <c r="B92" s="364">
        <v>0</v>
      </c>
      <c r="C92" s="468">
        <v>0</v>
      </c>
      <c r="D92" s="444">
        <v>0</v>
      </c>
      <c r="E92" s="335">
        <f t="shared" si="3"/>
        <v>0</v>
      </c>
      <c r="F92" s="452" t="s">
        <v>882</v>
      </c>
      <c r="G92" s="453">
        <v>0</v>
      </c>
      <c r="H92" s="472">
        <v>0</v>
      </c>
      <c r="I92" s="454">
        <v>0</v>
      </c>
      <c r="J92" s="455">
        <f t="shared" si="4"/>
        <v>0</v>
      </c>
    </row>
    <row r="93" spans="1:10" ht="14.95" thickBot="1" x14ac:dyDescent="0.3">
      <c r="A93" s="333" t="s">
        <v>246</v>
      </c>
      <c r="B93" s="364">
        <v>0</v>
      </c>
      <c r="C93" s="468">
        <v>0</v>
      </c>
      <c r="D93" s="444">
        <v>0</v>
      </c>
      <c r="E93" s="335">
        <f t="shared" si="3"/>
        <v>0</v>
      </c>
      <c r="F93" s="452" t="s">
        <v>818</v>
      </c>
      <c r="G93" s="453">
        <v>0</v>
      </c>
      <c r="H93" s="472">
        <v>0</v>
      </c>
      <c r="I93" s="454">
        <v>0</v>
      </c>
      <c r="J93" s="455">
        <f t="shared" si="4"/>
        <v>0</v>
      </c>
    </row>
    <row r="94" spans="1:10" ht="14.95" customHeight="1" thickBot="1" x14ac:dyDescent="0.3">
      <c r="A94" s="333" t="s">
        <v>839</v>
      </c>
      <c r="B94" s="364">
        <v>0</v>
      </c>
      <c r="C94" s="468">
        <v>0</v>
      </c>
      <c r="D94" s="444">
        <v>0</v>
      </c>
      <c r="E94" s="335">
        <f t="shared" si="3"/>
        <v>0</v>
      </c>
      <c r="F94" s="452" t="s">
        <v>246</v>
      </c>
      <c r="G94" s="453">
        <v>0</v>
      </c>
      <c r="H94" s="472">
        <v>0</v>
      </c>
      <c r="I94" s="454">
        <v>0</v>
      </c>
      <c r="J94" s="455">
        <f t="shared" si="4"/>
        <v>0</v>
      </c>
    </row>
    <row r="95" spans="1:10" ht="14.95" thickBot="1" x14ac:dyDescent="0.3">
      <c r="A95" s="333" t="s">
        <v>3</v>
      </c>
      <c r="B95" s="364">
        <f>SUM(B51:B94)</f>
        <v>98</v>
      </c>
      <c r="C95" s="468">
        <f>SUM(C51:C94)</f>
        <v>28</v>
      </c>
      <c r="D95" s="444">
        <f>SUM(D51:D94)</f>
        <v>15</v>
      </c>
      <c r="E95" s="335">
        <f t="shared" si="3"/>
        <v>141</v>
      </c>
      <c r="F95" s="452" t="s">
        <v>3</v>
      </c>
      <c r="G95" s="453">
        <f>SUM(G51:G94)</f>
        <v>815</v>
      </c>
      <c r="H95" s="472">
        <f>SUM(H51:H94)</f>
        <v>218</v>
      </c>
      <c r="I95" s="454">
        <f>SUM(I51:I94)</f>
        <v>104</v>
      </c>
      <c r="J95" s="455">
        <f t="shared" ref="J95" si="5">SUM(G95:I95)</f>
        <v>1137</v>
      </c>
    </row>
    <row r="96" spans="1:10" x14ac:dyDescent="0.25">
      <c r="A96" s="582" t="s">
        <v>81</v>
      </c>
      <c r="B96" s="583"/>
      <c r="C96" s="583"/>
      <c r="D96" s="583"/>
      <c r="E96" s="583"/>
      <c r="F96" s="583"/>
      <c r="G96" s="583"/>
      <c r="H96" s="583"/>
      <c r="I96" s="583"/>
      <c r="J96" s="583"/>
    </row>
  </sheetData>
  <sortState xmlns:xlrd2="http://schemas.microsoft.com/office/spreadsheetml/2017/richdata2" ref="F51:J94">
    <sortCondition descending="1" ref="J51:J94"/>
  </sortState>
  <mergeCells count="47">
    <mergeCell ref="A96:J96"/>
    <mergeCell ref="A1:J1"/>
    <mergeCell ref="K36:K37"/>
    <mergeCell ref="L36:N37"/>
    <mergeCell ref="K1:K2"/>
    <mergeCell ref="L1:N2"/>
    <mergeCell ref="K29:K30"/>
    <mergeCell ref="L29:N30"/>
    <mergeCell ref="K20:K21"/>
    <mergeCell ref="L20:N21"/>
    <mergeCell ref="K28:V28"/>
    <mergeCell ref="O20:Q21"/>
    <mergeCell ref="R20:T21"/>
    <mergeCell ref="K35:V35"/>
    <mergeCell ref="O29:Q30"/>
    <mergeCell ref="O1:Q2"/>
    <mergeCell ref="K11:K12"/>
    <mergeCell ref="L11:N12"/>
    <mergeCell ref="AC11:AE12"/>
    <mergeCell ref="R11:T12"/>
    <mergeCell ref="R1:S2"/>
    <mergeCell ref="T1:V2"/>
    <mergeCell ref="Z1:AB2"/>
    <mergeCell ref="Z11:AB12"/>
    <mergeCell ref="O11:Q12"/>
    <mergeCell ref="AC1:AE2"/>
    <mergeCell ref="AR1:AT2"/>
    <mergeCell ref="AO11:AQ12"/>
    <mergeCell ref="AI1:AK2"/>
    <mergeCell ref="AL1:AN2"/>
    <mergeCell ref="AF11:AH12"/>
    <mergeCell ref="AF1:AH2"/>
    <mergeCell ref="AI11:AK12"/>
    <mergeCell ref="AL11:AN12"/>
    <mergeCell ref="AO1:AQ2"/>
    <mergeCell ref="K42:AU42"/>
    <mergeCell ref="AO20:AQ21"/>
    <mergeCell ref="AC29:AE30"/>
    <mergeCell ref="AF29:AH30"/>
    <mergeCell ref="AI29:AK30"/>
    <mergeCell ref="R29:T30"/>
    <mergeCell ref="Z29:AB30"/>
    <mergeCell ref="Z20:AB21"/>
    <mergeCell ref="AC20:AE21"/>
    <mergeCell ref="AF20:AH21"/>
    <mergeCell ref="AI20:AK21"/>
    <mergeCell ref="AL20:AN2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F98"/>
  <sheetViews>
    <sheetView workbookViewId="0">
      <selection activeCell="T19" sqref="T19:V20"/>
    </sheetView>
  </sheetViews>
  <sheetFormatPr defaultColWidth="8.875" defaultRowHeight="14.3" x14ac:dyDescent="0.25"/>
  <cols>
    <col min="1" max="1" width="16.375" customWidth="1"/>
    <col min="2" max="2" width="3.75" customWidth="1"/>
    <col min="3" max="5" width="4.125" customWidth="1"/>
    <col min="6" max="6" width="4.75" customWidth="1"/>
    <col min="7" max="7" width="16.375" customWidth="1"/>
    <col min="8" max="12" width="5.25" customWidth="1"/>
    <col min="13" max="13" width="16.375" customWidth="1"/>
    <col min="14" max="15" width="5.375" customWidth="1"/>
    <col min="16" max="51" width="5.75" customWidth="1"/>
  </cols>
  <sheetData>
    <row r="1" spans="1:58" ht="14.95" customHeight="1" thickBot="1" x14ac:dyDescent="0.3">
      <c r="A1" s="623" t="s">
        <v>851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5"/>
      <c r="M1" s="540" t="s">
        <v>509</v>
      </c>
      <c r="N1" s="617" t="s">
        <v>105</v>
      </c>
      <c r="O1" s="618"/>
      <c r="P1" s="619"/>
      <c r="Q1" s="617" t="s">
        <v>93</v>
      </c>
      <c r="R1" s="618"/>
      <c r="S1" s="619"/>
      <c r="T1" s="617" t="s">
        <v>508</v>
      </c>
      <c r="U1" s="619"/>
      <c r="V1" s="520" t="s">
        <v>649</v>
      </c>
      <c r="W1" s="521"/>
      <c r="X1" s="522"/>
      <c r="Y1" s="520" t="s">
        <v>863</v>
      </c>
      <c r="Z1" s="521"/>
      <c r="AA1" s="522"/>
      <c r="AB1" s="325"/>
      <c r="AC1" s="214"/>
      <c r="AD1" s="214"/>
      <c r="AE1" s="520" t="s">
        <v>622</v>
      </c>
      <c r="AF1" s="521"/>
      <c r="AG1" s="522"/>
      <c r="AH1" s="520" t="s">
        <v>448</v>
      </c>
      <c r="AI1" s="521"/>
      <c r="AJ1" s="522"/>
      <c r="AK1" s="520" t="s">
        <v>178</v>
      </c>
      <c r="AL1" s="521"/>
      <c r="AM1" s="522"/>
      <c r="AN1" s="520" t="s">
        <v>122</v>
      </c>
      <c r="AO1" s="521"/>
      <c r="AP1" s="522"/>
      <c r="AQ1" s="520" t="s">
        <v>113</v>
      </c>
      <c r="AR1" s="521"/>
      <c r="AS1" s="522"/>
      <c r="AT1" s="520" t="s">
        <v>85</v>
      </c>
      <c r="AU1" s="521"/>
      <c r="AV1" s="522"/>
      <c r="AW1" s="520" t="s">
        <v>106</v>
      </c>
      <c r="AX1" s="521"/>
      <c r="AY1" s="522"/>
      <c r="BA1" s="4"/>
      <c r="BB1" s="4"/>
      <c r="BC1" s="4"/>
      <c r="BF1" s="4"/>
    </row>
    <row r="2" spans="1:58" ht="14.95" customHeight="1" thickBot="1" x14ac:dyDescent="0.3">
      <c r="A2" s="140" t="s">
        <v>0</v>
      </c>
      <c r="B2" s="145" t="s">
        <v>620</v>
      </c>
      <c r="C2" s="132" t="s">
        <v>63</v>
      </c>
      <c r="D2" s="467" t="s">
        <v>64</v>
      </c>
      <c r="E2" s="443" t="s">
        <v>925</v>
      </c>
      <c r="F2" s="133" t="s">
        <v>1</v>
      </c>
      <c r="G2" s="141" t="s">
        <v>2</v>
      </c>
      <c r="H2" s="138" t="s">
        <v>620</v>
      </c>
      <c r="I2" s="195" t="s">
        <v>63</v>
      </c>
      <c r="J2" s="342" t="s">
        <v>64</v>
      </c>
      <c r="K2" s="373" t="s">
        <v>925</v>
      </c>
      <c r="L2" s="139" t="s">
        <v>1</v>
      </c>
      <c r="M2" s="541"/>
      <c r="N2" s="620"/>
      <c r="O2" s="621"/>
      <c r="P2" s="622"/>
      <c r="Q2" s="620"/>
      <c r="R2" s="621"/>
      <c r="S2" s="622"/>
      <c r="T2" s="620"/>
      <c r="U2" s="622"/>
      <c r="V2" s="523"/>
      <c r="W2" s="524"/>
      <c r="X2" s="525"/>
      <c r="Y2" s="523"/>
      <c r="Z2" s="524"/>
      <c r="AA2" s="525"/>
      <c r="AB2" s="325"/>
      <c r="AC2" s="214"/>
      <c r="AD2" s="214"/>
      <c r="AE2" s="523"/>
      <c r="AF2" s="524"/>
      <c r="AG2" s="525"/>
      <c r="AH2" s="523"/>
      <c r="AI2" s="524"/>
      <c r="AJ2" s="525"/>
      <c r="AK2" s="523"/>
      <c r="AL2" s="524"/>
      <c r="AM2" s="525"/>
      <c r="AN2" s="523"/>
      <c r="AO2" s="524"/>
      <c r="AP2" s="525"/>
      <c r="AQ2" s="523"/>
      <c r="AR2" s="524"/>
      <c r="AS2" s="525"/>
      <c r="AT2" s="523"/>
      <c r="AU2" s="524"/>
      <c r="AV2" s="525"/>
      <c r="AW2" s="523"/>
      <c r="AX2" s="524"/>
      <c r="AY2" s="525"/>
    </row>
    <row r="3" spans="1:58" ht="14.95" customHeight="1" thickBot="1" x14ac:dyDescent="0.3">
      <c r="A3" s="53" t="s">
        <v>555</v>
      </c>
      <c r="B3" s="91">
        <v>1</v>
      </c>
      <c r="C3" s="43">
        <v>1</v>
      </c>
      <c r="D3" s="468">
        <v>1</v>
      </c>
      <c r="E3" s="444">
        <v>0</v>
      </c>
      <c r="F3" s="5">
        <f>SUM(B3:E3)</f>
        <v>3</v>
      </c>
      <c r="G3" s="75" t="s">
        <v>555</v>
      </c>
      <c r="H3" s="92">
        <v>5</v>
      </c>
      <c r="I3" s="194">
        <v>5</v>
      </c>
      <c r="J3" s="343">
        <v>5</v>
      </c>
      <c r="K3" s="374">
        <v>0</v>
      </c>
      <c r="L3" s="74">
        <f>SUM(H3:K3)</f>
        <v>15</v>
      </c>
      <c r="M3" s="393" t="s">
        <v>44</v>
      </c>
      <c r="N3" s="219" t="s">
        <v>107</v>
      </c>
      <c r="O3" s="219" t="s">
        <v>23</v>
      </c>
      <c r="P3" s="219" t="s">
        <v>24</v>
      </c>
      <c r="Q3" s="219" t="s">
        <v>107</v>
      </c>
      <c r="R3" s="219" t="s">
        <v>23</v>
      </c>
      <c r="S3" s="219" t="s">
        <v>24</v>
      </c>
      <c r="T3" s="219" t="s">
        <v>34</v>
      </c>
      <c r="U3" s="219" t="s">
        <v>135</v>
      </c>
      <c r="V3" s="93" t="s">
        <v>107</v>
      </c>
      <c r="W3" s="93" t="s">
        <v>23</v>
      </c>
      <c r="X3" s="93" t="s">
        <v>24</v>
      </c>
      <c r="Y3" s="201" t="s">
        <v>107</v>
      </c>
      <c r="Z3" s="7" t="s">
        <v>23</v>
      </c>
      <c r="AA3" s="7" t="s">
        <v>24</v>
      </c>
      <c r="AB3" s="108"/>
      <c r="AC3" s="109"/>
      <c r="AD3" s="109"/>
      <c r="AE3" s="201" t="s">
        <v>107</v>
      </c>
      <c r="AF3" s="7" t="s">
        <v>23</v>
      </c>
      <c r="AG3" s="7" t="s">
        <v>24</v>
      </c>
      <c r="AH3" s="201" t="s">
        <v>107</v>
      </c>
      <c r="AI3" s="7" t="s">
        <v>23</v>
      </c>
      <c r="AJ3" s="7" t="s">
        <v>24</v>
      </c>
      <c r="AK3" s="201" t="s">
        <v>107</v>
      </c>
      <c r="AL3" s="7" t="s">
        <v>23</v>
      </c>
      <c r="AM3" s="7" t="s">
        <v>24</v>
      </c>
      <c r="AN3" s="201" t="s">
        <v>107</v>
      </c>
      <c r="AO3" s="7" t="s">
        <v>23</v>
      </c>
      <c r="AP3" s="7" t="s">
        <v>24</v>
      </c>
      <c r="AQ3" s="7" t="s">
        <v>107</v>
      </c>
      <c r="AR3" s="7" t="s">
        <v>23</v>
      </c>
      <c r="AS3" s="7" t="s">
        <v>24</v>
      </c>
      <c r="AT3" s="7" t="s">
        <v>107</v>
      </c>
      <c r="AU3" s="7" t="s">
        <v>23</v>
      </c>
      <c r="AV3" s="7" t="s">
        <v>24</v>
      </c>
      <c r="AW3" s="7" t="s">
        <v>107</v>
      </c>
      <c r="AX3" s="7" t="s">
        <v>23</v>
      </c>
      <c r="AY3" s="7" t="s">
        <v>24</v>
      </c>
    </row>
    <row r="4" spans="1:58" ht="14.95" customHeight="1" thickBot="1" x14ac:dyDescent="0.3">
      <c r="A4" s="53" t="s">
        <v>70</v>
      </c>
      <c r="B4" s="91">
        <v>2</v>
      </c>
      <c r="C4" s="43">
        <v>0</v>
      </c>
      <c r="D4" s="468">
        <v>0</v>
      </c>
      <c r="E4" s="444">
        <v>0</v>
      </c>
      <c r="F4" s="5">
        <f t="shared" ref="F4:F48" si="0">SUM(B4:E4)</f>
        <v>2</v>
      </c>
      <c r="G4" s="75" t="s">
        <v>70</v>
      </c>
      <c r="H4" s="92">
        <v>12</v>
      </c>
      <c r="I4" s="194">
        <v>2</v>
      </c>
      <c r="J4" s="343">
        <v>0</v>
      </c>
      <c r="K4" s="374">
        <v>2</v>
      </c>
      <c r="L4" s="74">
        <f t="shared" ref="L4:L47" si="1">SUM(H4:K4)</f>
        <v>16</v>
      </c>
      <c r="M4" s="15" t="s">
        <v>70</v>
      </c>
      <c r="N4" s="43">
        <v>1</v>
      </c>
      <c r="O4" s="43">
        <v>1</v>
      </c>
      <c r="P4" s="44">
        <f>SUM(N4/O4)*100</f>
        <v>100</v>
      </c>
      <c r="Q4" s="43">
        <v>1</v>
      </c>
      <c r="R4" s="43">
        <v>1</v>
      </c>
      <c r="S4" s="44">
        <f>SUM(Q4/R4)*100</f>
        <v>100</v>
      </c>
      <c r="T4" s="43">
        <v>3</v>
      </c>
      <c r="U4" s="43">
        <v>6</v>
      </c>
      <c r="V4" s="7">
        <v>2</v>
      </c>
      <c r="W4" s="7">
        <v>2</v>
      </c>
      <c r="X4" s="206">
        <f>SUM(V4/W4)*100</f>
        <v>100</v>
      </c>
      <c r="Y4" s="201" t="s">
        <v>30</v>
      </c>
      <c r="Z4" s="7" t="s">
        <v>30</v>
      </c>
      <c r="AA4" s="206" t="s">
        <v>30</v>
      </c>
      <c r="AB4" s="108"/>
      <c r="AC4" s="109"/>
      <c r="AD4" s="109"/>
      <c r="AE4" s="201" t="s">
        <v>30</v>
      </c>
      <c r="AF4" s="7" t="s">
        <v>30</v>
      </c>
      <c r="AG4" s="7" t="s">
        <v>30</v>
      </c>
      <c r="AH4" s="201" t="s">
        <v>30</v>
      </c>
      <c r="AI4" s="7" t="s">
        <v>30</v>
      </c>
      <c r="AJ4" s="7" t="s">
        <v>30</v>
      </c>
      <c r="AK4" s="201" t="s">
        <v>30</v>
      </c>
      <c r="AL4" s="7" t="s">
        <v>30</v>
      </c>
      <c r="AM4" s="7" t="s">
        <v>30</v>
      </c>
      <c r="AN4" s="201" t="s">
        <v>30</v>
      </c>
      <c r="AO4" s="7" t="s">
        <v>30</v>
      </c>
      <c r="AP4" s="7" t="s">
        <v>30</v>
      </c>
      <c r="AQ4" s="7" t="s">
        <v>30</v>
      </c>
      <c r="AR4" s="7" t="s">
        <v>30</v>
      </c>
      <c r="AS4" s="7" t="s">
        <v>30</v>
      </c>
      <c r="AT4" s="7" t="s">
        <v>30</v>
      </c>
      <c r="AU4" s="7" t="s">
        <v>30</v>
      </c>
      <c r="AV4" s="7" t="s">
        <v>30</v>
      </c>
      <c r="AW4" s="7" t="s">
        <v>30</v>
      </c>
      <c r="AX4" s="7" t="s">
        <v>30</v>
      </c>
      <c r="AY4" s="7" t="s">
        <v>30</v>
      </c>
    </row>
    <row r="5" spans="1:58" ht="14.95" customHeight="1" thickBot="1" x14ac:dyDescent="0.3">
      <c r="A5" s="53" t="s">
        <v>412</v>
      </c>
      <c r="B5" s="91">
        <v>5</v>
      </c>
      <c r="C5" s="43">
        <v>2</v>
      </c>
      <c r="D5" s="468">
        <v>4</v>
      </c>
      <c r="E5" s="444">
        <v>0</v>
      </c>
      <c r="F5" s="5">
        <f t="shared" si="0"/>
        <v>11</v>
      </c>
      <c r="G5" s="75" t="s">
        <v>412</v>
      </c>
      <c r="H5" s="92">
        <v>25</v>
      </c>
      <c r="I5" s="194">
        <v>10</v>
      </c>
      <c r="J5" s="343">
        <v>20</v>
      </c>
      <c r="K5" s="374">
        <v>0</v>
      </c>
      <c r="L5" s="74">
        <f t="shared" si="1"/>
        <v>55</v>
      </c>
      <c r="M5" s="15" t="s">
        <v>95</v>
      </c>
      <c r="N5" s="43">
        <v>66</v>
      </c>
      <c r="O5" s="43">
        <v>88</v>
      </c>
      <c r="P5" s="44">
        <f>SUM(N5/O5)*100</f>
        <v>75</v>
      </c>
      <c r="Q5" s="43">
        <v>1</v>
      </c>
      <c r="R5" s="43">
        <v>1</v>
      </c>
      <c r="S5" s="44">
        <f>SUM(Q5/R5)*100</f>
        <v>100</v>
      </c>
      <c r="T5" s="43">
        <v>1</v>
      </c>
      <c r="U5" s="43">
        <v>1</v>
      </c>
      <c r="V5" s="7">
        <v>27</v>
      </c>
      <c r="W5" s="7">
        <v>33</v>
      </c>
      <c r="X5" s="206">
        <f>SUM(V5/W5)*100</f>
        <v>81.818181818181827</v>
      </c>
      <c r="Y5" s="201">
        <v>66</v>
      </c>
      <c r="Z5" s="7">
        <v>76</v>
      </c>
      <c r="AA5" s="206">
        <f>SUM(Y5/Z5)*100</f>
        <v>86.842105263157904</v>
      </c>
      <c r="AB5" s="108"/>
      <c r="AC5" s="109"/>
      <c r="AD5" s="109"/>
      <c r="AE5" s="201" t="s">
        <v>30</v>
      </c>
      <c r="AF5" s="7" t="s">
        <v>30</v>
      </c>
      <c r="AG5" s="7" t="s">
        <v>30</v>
      </c>
      <c r="AH5" s="201">
        <v>57</v>
      </c>
      <c r="AI5" s="7">
        <v>72</v>
      </c>
      <c r="AJ5" s="206">
        <f>SUM(AH5/AI5)*100</f>
        <v>79.166666666666657</v>
      </c>
      <c r="AK5" s="201">
        <v>102</v>
      </c>
      <c r="AL5" s="7">
        <v>128</v>
      </c>
      <c r="AM5" s="206">
        <f>SUM(AK5/AL5)*100</f>
        <v>79.6875</v>
      </c>
      <c r="AN5" s="201">
        <v>71</v>
      </c>
      <c r="AO5" s="7">
        <v>91</v>
      </c>
      <c r="AP5" s="206">
        <f>SUM(AN5/AO5)*100</f>
        <v>78.021978021978029</v>
      </c>
      <c r="AQ5" s="7" t="s">
        <v>30</v>
      </c>
      <c r="AR5" s="7" t="s">
        <v>30</v>
      </c>
      <c r="AS5" s="7" t="s">
        <v>30</v>
      </c>
      <c r="AT5" s="7">
        <v>53</v>
      </c>
      <c r="AU5" s="7">
        <v>78</v>
      </c>
      <c r="AV5" s="206">
        <f>SUM(AT5/AU5)*100</f>
        <v>67.948717948717956</v>
      </c>
      <c r="AW5" s="7">
        <v>78</v>
      </c>
      <c r="AX5" s="7">
        <v>104</v>
      </c>
      <c r="AY5" s="206">
        <f>SUM(AW5/AX5)*100</f>
        <v>75</v>
      </c>
    </row>
    <row r="6" spans="1:58" ht="14.95" customHeight="1" thickBot="1" x14ac:dyDescent="0.3">
      <c r="A6" s="53" t="s">
        <v>14</v>
      </c>
      <c r="B6" s="91">
        <v>2</v>
      </c>
      <c r="C6" s="43">
        <v>0</v>
      </c>
      <c r="D6" s="468">
        <v>0</v>
      </c>
      <c r="E6" s="444">
        <v>0</v>
      </c>
      <c r="F6" s="5">
        <f t="shared" si="0"/>
        <v>2</v>
      </c>
      <c r="G6" s="75" t="s">
        <v>14</v>
      </c>
      <c r="H6" s="92">
        <v>10</v>
      </c>
      <c r="I6" s="194">
        <v>0</v>
      </c>
      <c r="J6" s="343">
        <v>0</v>
      </c>
      <c r="K6" s="374">
        <v>0</v>
      </c>
      <c r="L6" s="74">
        <f t="shared" si="1"/>
        <v>10</v>
      </c>
      <c r="M6" s="15" t="s">
        <v>1068</v>
      </c>
      <c r="N6" s="43" t="s">
        <v>30</v>
      </c>
      <c r="O6" s="43" t="s">
        <v>30</v>
      </c>
      <c r="P6" s="44" t="s">
        <v>30</v>
      </c>
      <c r="Q6" s="43" t="s">
        <v>30</v>
      </c>
      <c r="R6" s="43" t="s">
        <v>30</v>
      </c>
      <c r="S6" s="44" t="s">
        <v>30</v>
      </c>
      <c r="T6" s="43" t="s">
        <v>38</v>
      </c>
      <c r="U6" s="43">
        <v>1</v>
      </c>
      <c r="V6" s="7" t="s">
        <v>30</v>
      </c>
      <c r="W6" s="7" t="s">
        <v>30</v>
      </c>
      <c r="X6" s="206" t="s">
        <v>30</v>
      </c>
      <c r="Y6" s="201" t="s">
        <v>30</v>
      </c>
      <c r="Z6" s="7" t="s">
        <v>30</v>
      </c>
      <c r="AA6" s="206" t="s">
        <v>30</v>
      </c>
      <c r="AB6" s="108"/>
      <c r="AC6" s="109"/>
      <c r="AD6" s="109"/>
      <c r="AE6" s="201" t="s">
        <v>30</v>
      </c>
      <c r="AF6" s="7" t="s">
        <v>30</v>
      </c>
      <c r="AG6" s="7" t="s">
        <v>30</v>
      </c>
      <c r="AH6" s="201" t="s">
        <v>30</v>
      </c>
      <c r="AI6" s="7" t="s">
        <v>30</v>
      </c>
      <c r="AJ6" s="7" t="s">
        <v>30</v>
      </c>
      <c r="AK6" s="201" t="s">
        <v>30</v>
      </c>
      <c r="AL6" s="7" t="s">
        <v>30</v>
      </c>
      <c r="AM6" s="7" t="s">
        <v>30</v>
      </c>
      <c r="AN6" s="201" t="s">
        <v>30</v>
      </c>
      <c r="AO6" s="7" t="s">
        <v>30</v>
      </c>
      <c r="AP6" s="7" t="s">
        <v>30</v>
      </c>
      <c r="AQ6" s="7" t="s">
        <v>30</v>
      </c>
      <c r="AR6" s="7" t="s">
        <v>30</v>
      </c>
      <c r="AS6" s="7" t="s">
        <v>30</v>
      </c>
      <c r="AT6" s="7" t="s">
        <v>30</v>
      </c>
      <c r="AU6" s="7" t="s">
        <v>30</v>
      </c>
      <c r="AV6" s="7" t="s">
        <v>30</v>
      </c>
      <c r="AW6" s="7" t="s">
        <v>30</v>
      </c>
      <c r="AX6" s="7" t="s">
        <v>30</v>
      </c>
      <c r="AY6" s="7" t="s">
        <v>30</v>
      </c>
    </row>
    <row r="7" spans="1:58" ht="14.95" customHeight="1" thickBot="1" x14ac:dyDescent="0.3">
      <c r="A7" s="53" t="s">
        <v>483</v>
      </c>
      <c r="B7" s="91">
        <v>0</v>
      </c>
      <c r="C7" s="43">
        <v>0</v>
      </c>
      <c r="D7" s="468">
        <v>0</v>
      </c>
      <c r="E7" s="444">
        <v>0</v>
      </c>
      <c r="F7" s="5">
        <f t="shared" si="0"/>
        <v>0</v>
      </c>
      <c r="G7" s="75" t="s">
        <v>483</v>
      </c>
      <c r="H7" s="92">
        <v>0</v>
      </c>
      <c r="I7" s="194">
        <v>0</v>
      </c>
      <c r="J7" s="343">
        <v>0</v>
      </c>
      <c r="K7" s="374">
        <v>0</v>
      </c>
      <c r="L7" s="74">
        <f t="shared" si="1"/>
        <v>0</v>
      </c>
      <c r="M7" s="15" t="s">
        <v>103</v>
      </c>
      <c r="N7" s="43" t="s">
        <v>30</v>
      </c>
      <c r="O7" s="43" t="s">
        <v>30</v>
      </c>
      <c r="P7" s="44" t="s">
        <v>30</v>
      </c>
      <c r="Q7" s="43" t="s">
        <v>30</v>
      </c>
      <c r="R7" s="43" t="s">
        <v>30</v>
      </c>
      <c r="S7" s="44" t="s">
        <v>30</v>
      </c>
      <c r="T7" s="43" t="s">
        <v>30</v>
      </c>
      <c r="U7" s="43">
        <v>-1</v>
      </c>
      <c r="V7" s="7" t="s">
        <v>30</v>
      </c>
      <c r="W7" s="7" t="s">
        <v>30</v>
      </c>
      <c r="X7" s="206" t="s">
        <v>30</v>
      </c>
      <c r="Y7" s="201" t="s">
        <v>30</v>
      </c>
      <c r="Z7" s="7" t="s">
        <v>30</v>
      </c>
      <c r="AA7" s="206" t="s">
        <v>30</v>
      </c>
      <c r="AB7" s="108"/>
      <c r="AC7" s="109"/>
      <c r="AD7" s="109"/>
      <c r="AE7" s="201" t="s">
        <v>30</v>
      </c>
      <c r="AF7" s="7" t="s">
        <v>30</v>
      </c>
      <c r="AG7" s="7" t="s">
        <v>30</v>
      </c>
      <c r="AH7" s="201" t="s">
        <v>30</v>
      </c>
      <c r="AI7" s="7" t="s">
        <v>30</v>
      </c>
      <c r="AJ7" s="7" t="s">
        <v>30</v>
      </c>
      <c r="AK7" s="201" t="s">
        <v>30</v>
      </c>
      <c r="AL7" s="7" t="s">
        <v>30</v>
      </c>
      <c r="AM7" s="7" t="s">
        <v>30</v>
      </c>
      <c r="AN7" s="201" t="s">
        <v>30</v>
      </c>
      <c r="AO7" s="7" t="s">
        <v>30</v>
      </c>
      <c r="AP7" s="7" t="s">
        <v>30</v>
      </c>
      <c r="AQ7" s="7" t="s">
        <v>30</v>
      </c>
      <c r="AR7" s="7" t="s">
        <v>30</v>
      </c>
      <c r="AS7" s="7" t="s">
        <v>30</v>
      </c>
      <c r="AT7" s="7" t="s">
        <v>30</v>
      </c>
      <c r="AU7" s="7" t="s">
        <v>30</v>
      </c>
      <c r="AV7" s="7" t="s">
        <v>30</v>
      </c>
      <c r="AW7" s="7" t="s">
        <v>30</v>
      </c>
      <c r="AX7" s="7" t="s">
        <v>30</v>
      </c>
      <c r="AY7" s="7" t="s">
        <v>30</v>
      </c>
    </row>
    <row r="8" spans="1:58" ht="14.95" customHeight="1" thickBot="1" x14ac:dyDescent="0.3">
      <c r="A8" s="53" t="s">
        <v>1191</v>
      </c>
      <c r="B8" s="91">
        <v>0</v>
      </c>
      <c r="C8" s="43">
        <v>0</v>
      </c>
      <c r="D8" s="468">
        <v>0</v>
      </c>
      <c r="E8" s="444">
        <v>2</v>
      </c>
      <c r="F8" s="5">
        <f t="shared" si="0"/>
        <v>2</v>
      </c>
      <c r="G8" s="75" t="s">
        <v>1191</v>
      </c>
      <c r="H8" s="92">
        <v>0</v>
      </c>
      <c r="I8" s="194">
        <v>0</v>
      </c>
      <c r="J8" s="343">
        <v>0</v>
      </c>
      <c r="K8" s="374">
        <v>10</v>
      </c>
      <c r="L8" s="74">
        <f t="shared" si="1"/>
        <v>10</v>
      </c>
      <c r="M8" s="15" t="s">
        <v>128</v>
      </c>
      <c r="N8" s="43">
        <v>28</v>
      </c>
      <c r="O8" s="43">
        <v>39</v>
      </c>
      <c r="P8" s="44">
        <f>SUM(N8/O8)*100</f>
        <v>71.794871794871796</v>
      </c>
      <c r="Q8" s="43" t="s">
        <v>30</v>
      </c>
      <c r="R8" s="43" t="s">
        <v>30</v>
      </c>
      <c r="S8" s="44" t="s">
        <v>30</v>
      </c>
      <c r="T8" s="43">
        <v>2</v>
      </c>
      <c r="U8" s="43">
        <v>2</v>
      </c>
      <c r="V8" s="7">
        <v>39</v>
      </c>
      <c r="W8" s="7">
        <v>49</v>
      </c>
      <c r="X8" s="206">
        <f>SUM(V8/W8)*100</f>
        <v>79.591836734693871</v>
      </c>
      <c r="Y8" s="201">
        <v>20</v>
      </c>
      <c r="Z8" s="7">
        <v>28</v>
      </c>
      <c r="AA8" s="206">
        <f t="shared" ref="AA8:AA9" si="2">SUM(Y8/Z8)*100</f>
        <v>71.428571428571431</v>
      </c>
      <c r="AB8" s="108"/>
      <c r="AC8" s="109"/>
      <c r="AD8" s="109"/>
      <c r="AE8" s="201" t="s">
        <v>30</v>
      </c>
      <c r="AF8" s="7" t="s">
        <v>30</v>
      </c>
      <c r="AG8" s="7" t="s">
        <v>30</v>
      </c>
      <c r="AH8" s="201" t="s">
        <v>30</v>
      </c>
      <c r="AI8" s="7" t="s">
        <v>30</v>
      </c>
      <c r="AJ8" s="7" t="s">
        <v>30</v>
      </c>
      <c r="AK8" s="201" t="s">
        <v>30</v>
      </c>
      <c r="AL8" s="7" t="s">
        <v>30</v>
      </c>
      <c r="AM8" s="7" t="s">
        <v>30</v>
      </c>
      <c r="AN8" s="201" t="s">
        <v>30</v>
      </c>
      <c r="AO8" s="7" t="s">
        <v>30</v>
      </c>
      <c r="AP8" s="7" t="s">
        <v>30</v>
      </c>
      <c r="AQ8" s="7" t="s">
        <v>30</v>
      </c>
      <c r="AR8" s="7" t="s">
        <v>30</v>
      </c>
      <c r="AS8" s="7" t="s">
        <v>30</v>
      </c>
      <c r="AT8" s="7" t="s">
        <v>30</v>
      </c>
      <c r="AU8" s="7" t="s">
        <v>30</v>
      </c>
      <c r="AV8" s="7" t="s">
        <v>30</v>
      </c>
      <c r="AW8" s="7" t="s">
        <v>30</v>
      </c>
      <c r="AX8" s="7" t="s">
        <v>30</v>
      </c>
      <c r="AY8" s="7" t="s">
        <v>30</v>
      </c>
    </row>
    <row r="9" spans="1:58" ht="14.95" customHeight="1" thickBot="1" x14ac:dyDescent="0.3">
      <c r="A9" s="53" t="s">
        <v>1012</v>
      </c>
      <c r="B9" s="91">
        <v>3</v>
      </c>
      <c r="C9" s="43">
        <v>0</v>
      </c>
      <c r="D9" s="468">
        <v>0</v>
      </c>
      <c r="E9" s="444">
        <v>0</v>
      </c>
      <c r="F9" s="5">
        <f t="shared" si="0"/>
        <v>3</v>
      </c>
      <c r="G9" s="75" t="s">
        <v>1012</v>
      </c>
      <c r="H9" s="92">
        <v>15</v>
      </c>
      <c r="I9" s="194">
        <v>0</v>
      </c>
      <c r="J9" s="343">
        <v>0</v>
      </c>
      <c r="K9" s="374">
        <v>0</v>
      </c>
      <c r="L9" s="74">
        <f t="shared" si="1"/>
        <v>15</v>
      </c>
      <c r="M9" s="15" t="s">
        <v>993</v>
      </c>
      <c r="N9" s="43" t="s">
        <v>30</v>
      </c>
      <c r="O9" s="43" t="s">
        <v>30</v>
      </c>
      <c r="P9" s="44" t="s">
        <v>30</v>
      </c>
      <c r="Q9" s="43" t="s">
        <v>30</v>
      </c>
      <c r="R9" s="43" t="s">
        <v>30</v>
      </c>
      <c r="S9" s="44" t="s">
        <v>30</v>
      </c>
      <c r="T9" s="43">
        <v>2</v>
      </c>
      <c r="U9" s="43">
        <v>-1</v>
      </c>
      <c r="V9" s="7" t="s">
        <v>30</v>
      </c>
      <c r="W9" s="7" t="s">
        <v>30</v>
      </c>
      <c r="X9" s="206" t="s">
        <v>30</v>
      </c>
      <c r="Y9" s="201">
        <v>6</v>
      </c>
      <c r="Z9" s="7">
        <v>8</v>
      </c>
      <c r="AA9" s="206">
        <f t="shared" si="2"/>
        <v>75</v>
      </c>
      <c r="AB9" s="108"/>
      <c r="AC9" s="109"/>
      <c r="AD9" s="109"/>
      <c r="AE9" s="201">
        <v>14</v>
      </c>
      <c r="AF9" s="7">
        <v>15</v>
      </c>
      <c r="AG9" s="206">
        <f>SUM(AE9/AF9)*100</f>
        <v>93.333333333333329</v>
      </c>
      <c r="AH9" s="201">
        <v>2</v>
      </c>
      <c r="AI9" s="7">
        <v>3</v>
      </c>
      <c r="AJ9" s="206">
        <f>SUM(AH9/AI9)*100</f>
        <v>66.666666666666657</v>
      </c>
      <c r="AK9" s="201">
        <v>6</v>
      </c>
      <c r="AL9" s="7">
        <v>6</v>
      </c>
      <c r="AM9" s="206">
        <f>SUM(AK9/AL9)*100</f>
        <v>100</v>
      </c>
      <c r="AN9" s="201">
        <v>0</v>
      </c>
      <c r="AO9" s="7">
        <v>0</v>
      </c>
      <c r="AP9" s="7" t="s">
        <v>30</v>
      </c>
      <c r="AQ9" s="7">
        <v>3</v>
      </c>
      <c r="AR9" s="7">
        <v>4</v>
      </c>
      <c r="AS9" s="206">
        <f>SUM(AQ9/AR9)*100</f>
        <v>75</v>
      </c>
      <c r="AT9" s="7">
        <v>1</v>
      </c>
      <c r="AU9" s="7">
        <v>2</v>
      </c>
      <c r="AV9" s="7">
        <v>50</v>
      </c>
      <c r="AW9" s="7">
        <v>5</v>
      </c>
      <c r="AX9" s="7">
        <v>7</v>
      </c>
      <c r="AY9" s="7">
        <v>71</v>
      </c>
    </row>
    <row r="10" spans="1:58" ht="14.95" customHeight="1" thickBot="1" x14ac:dyDescent="0.3">
      <c r="A10" s="53" t="s">
        <v>118</v>
      </c>
      <c r="B10" s="91">
        <v>1</v>
      </c>
      <c r="C10" s="43">
        <v>0</v>
      </c>
      <c r="D10" s="468">
        <v>0</v>
      </c>
      <c r="E10" s="444">
        <v>0</v>
      </c>
      <c r="F10" s="5">
        <f t="shared" si="0"/>
        <v>1</v>
      </c>
      <c r="G10" s="75" t="s">
        <v>118</v>
      </c>
      <c r="H10" s="92">
        <v>5</v>
      </c>
      <c r="I10" s="194">
        <v>0</v>
      </c>
      <c r="J10" s="343">
        <v>0</v>
      </c>
      <c r="K10" s="374">
        <v>0</v>
      </c>
      <c r="L10" s="74">
        <f t="shared" si="1"/>
        <v>5</v>
      </c>
    </row>
    <row r="11" spans="1:58" ht="14.95" customHeight="1" thickBot="1" x14ac:dyDescent="0.3">
      <c r="A11" s="53" t="s">
        <v>547</v>
      </c>
      <c r="B11" s="91">
        <v>0</v>
      </c>
      <c r="C11" s="43">
        <v>0</v>
      </c>
      <c r="D11" s="468">
        <v>0</v>
      </c>
      <c r="E11" s="444">
        <v>0</v>
      </c>
      <c r="F11" s="5">
        <f t="shared" si="0"/>
        <v>0</v>
      </c>
      <c r="G11" s="75" t="s">
        <v>547</v>
      </c>
      <c r="H11" s="92">
        <v>0</v>
      </c>
      <c r="I11" s="194">
        <v>0</v>
      </c>
      <c r="J11" s="343">
        <v>0</v>
      </c>
      <c r="K11" s="374">
        <v>0</v>
      </c>
      <c r="L11" s="74">
        <f t="shared" si="1"/>
        <v>0</v>
      </c>
      <c r="M11" s="538" t="s">
        <v>510</v>
      </c>
      <c r="N11" s="617" t="s">
        <v>29</v>
      </c>
      <c r="O11" s="618"/>
      <c r="P11" s="619"/>
      <c r="Q11" s="520" t="s">
        <v>634</v>
      </c>
      <c r="R11" s="521"/>
      <c r="S11" s="522"/>
      <c r="T11" s="520" t="s">
        <v>863</v>
      </c>
      <c r="U11" s="521"/>
      <c r="V11" s="522"/>
      <c r="W11" s="520" t="s">
        <v>621</v>
      </c>
      <c r="X11" s="521"/>
      <c r="Y11" s="522"/>
      <c r="Z11" s="214"/>
      <c r="AA11" s="214"/>
      <c r="AB11" s="214"/>
      <c r="AE11" s="520" t="s">
        <v>714</v>
      </c>
      <c r="AF11" s="521"/>
      <c r="AG11" s="522"/>
      <c r="AH11" s="520" t="s">
        <v>715</v>
      </c>
      <c r="AI11" s="521"/>
      <c r="AJ11" s="522"/>
      <c r="AK11" s="520" t="s">
        <v>716</v>
      </c>
      <c r="AL11" s="521"/>
      <c r="AM11" s="522"/>
      <c r="AN11" s="520" t="s">
        <v>136</v>
      </c>
      <c r="AO11" s="521"/>
      <c r="AP11" s="522"/>
      <c r="AQ11" s="520" t="s">
        <v>85</v>
      </c>
      <c r="AR11" s="521"/>
      <c r="AS11" s="522"/>
      <c r="AT11" s="73"/>
    </row>
    <row r="12" spans="1:58" ht="14.95" customHeight="1" thickBot="1" x14ac:dyDescent="0.3">
      <c r="A12" s="53" t="s">
        <v>1041</v>
      </c>
      <c r="B12" s="91">
        <v>2</v>
      </c>
      <c r="C12" s="43">
        <v>0</v>
      </c>
      <c r="D12" s="468">
        <v>0</v>
      </c>
      <c r="E12" s="444">
        <v>0</v>
      </c>
      <c r="F12" s="5">
        <f t="shared" si="0"/>
        <v>2</v>
      </c>
      <c r="G12" s="75" t="s">
        <v>1041</v>
      </c>
      <c r="H12" s="92">
        <v>10</v>
      </c>
      <c r="I12" s="194">
        <v>0</v>
      </c>
      <c r="J12" s="343">
        <v>0</v>
      </c>
      <c r="K12" s="374">
        <v>0</v>
      </c>
      <c r="L12" s="74">
        <f t="shared" si="1"/>
        <v>10</v>
      </c>
      <c r="M12" s="539"/>
      <c r="N12" s="620"/>
      <c r="O12" s="621"/>
      <c r="P12" s="622"/>
      <c r="Q12" s="523"/>
      <c r="R12" s="524"/>
      <c r="S12" s="525"/>
      <c r="T12" s="523"/>
      <c r="U12" s="524"/>
      <c r="V12" s="525"/>
      <c r="W12" s="523"/>
      <c r="X12" s="524"/>
      <c r="Y12" s="525"/>
      <c r="Z12" s="214"/>
      <c r="AA12" s="214"/>
      <c r="AB12" s="214"/>
      <c r="AE12" s="523"/>
      <c r="AF12" s="524"/>
      <c r="AG12" s="525"/>
      <c r="AH12" s="523"/>
      <c r="AI12" s="524"/>
      <c r="AJ12" s="525"/>
      <c r="AK12" s="523"/>
      <c r="AL12" s="524"/>
      <c r="AM12" s="525"/>
      <c r="AN12" s="523"/>
      <c r="AO12" s="524"/>
      <c r="AP12" s="525"/>
      <c r="AQ12" s="523"/>
      <c r="AR12" s="524"/>
      <c r="AS12" s="525"/>
      <c r="AT12" s="73"/>
    </row>
    <row r="13" spans="1:58" ht="14.95" customHeight="1" thickBot="1" x14ac:dyDescent="0.3">
      <c r="A13" s="53" t="s">
        <v>1014</v>
      </c>
      <c r="B13" s="91">
        <v>6</v>
      </c>
      <c r="C13" s="43">
        <v>0</v>
      </c>
      <c r="D13" s="468">
        <v>0</v>
      </c>
      <c r="E13" s="444">
        <v>1</v>
      </c>
      <c r="F13" s="5">
        <f t="shared" si="0"/>
        <v>7</v>
      </c>
      <c r="G13" s="75" t="s">
        <v>1014</v>
      </c>
      <c r="H13" s="92">
        <v>30</v>
      </c>
      <c r="I13" s="194">
        <v>0</v>
      </c>
      <c r="J13" s="343">
        <v>0</v>
      </c>
      <c r="K13" s="374">
        <v>5</v>
      </c>
      <c r="L13" s="74">
        <f t="shared" si="1"/>
        <v>35</v>
      </c>
      <c r="M13" s="395" t="s">
        <v>44</v>
      </c>
      <c r="N13" s="219" t="s">
        <v>107</v>
      </c>
      <c r="O13" s="219" t="s">
        <v>23</v>
      </c>
      <c r="P13" s="219" t="s">
        <v>24</v>
      </c>
      <c r="Q13" s="7" t="s">
        <v>107</v>
      </c>
      <c r="R13" s="7" t="s">
        <v>23</v>
      </c>
      <c r="S13" s="7" t="s">
        <v>24</v>
      </c>
      <c r="T13" s="7" t="s">
        <v>107</v>
      </c>
      <c r="U13" s="7" t="s">
        <v>23</v>
      </c>
      <c r="V13" s="7" t="s">
        <v>24</v>
      </c>
      <c r="W13" s="201" t="s">
        <v>107</v>
      </c>
      <c r="X13" s="7" t="s">
        <v>23</v>
      </c>
      <c r="Y13" s="7" t="s">
        <v>24</v>
      </c>
      <c r="AE13" s="201" t="s">
        <v>107</v>
      </c>
      <c r="AF13" s="7" t="s">
        <v>23</v>
      </c>
      <c r="AG13" s="7" t="s">
        <v>24</v>
      </c>
      <c r="AH13" s="201" t="s">
        <v>107</v>
      </c>
      <c r="AI13" s="7" t="s">
        <v>23</v>
      </c>
      <c r="AJ13" s="7" t="s">
        <v>24</v>
      </c>
      <c r="AK13" s="201" t="s">
        <v>107</v>
      </c>
      <c r="AL13" s="7" t="s">
        <v>23</v>
      </c>
      <c r="AM13" s="7" t="s">
        <v>24</v>
      </c>
      <c r="AN13" s="201" t="s">
        <v>107</v>
      </c>
      <c r="AO13" s="7" t="s">
        <v>23</v>
      </c>
      <c r="AP13" s="7" t="s">
        <v>24</v>
      </c>
      <c r="AQ13" s="201" t="s">
        <v>107</v>
      </c>
      <c r="AR13" s="7" t="s">
        <v>23</v>
      </c>
      <c r="AS13" s="7" t="s">
        <v>24</v>
      </c>
      <c r="AT13" s="73"/>
    </row>
    <row r="14" spans="1:58" ht="14.95" customHeight="1" thickBot="1" x14ac:dyDescent="0.3">
      <c r="A14" s="53" t="s">
        <v>42</v>
      </c>
      <c r="B14" s="91">
        <v>0</v>
      </c>
      <c r="C14" s="43">
        <v>0</v>
      </c>
      <c r="D14" s="468">
        <v>0</v>
      </c>
      <c r="E14" s="444">
        <v>0</v>
      </c>
      <c r="F14" s="5">
        <f t="shared" si="0"/>
        <v>0</v>
      </c>
      <c r="G14" s="75" t="s">
        <v>42</v>
      </c>
      <c r="H14" s="92">
        <v>0</v>
      </c>
      <c r="I14" s="194">
        <v>0</v>
      </c>
      <c r="J14" s="343">
        <v>0</v>
      </c>
      <c r="K14" s="374">
        <v>0</v>
      </c>
      <c r="L14" s="74">
        <f t="shared" si="1"/>
        <v>0</v>
      </c>
      <c r="M14" s="231" t="s">
        <v>70</v>
      </c>
      <c r="N14" s="43">
        <v>1</v>
      </c>
      <c r="O14" s="43">
        <v>1</v>
      </c>
      <c r="P14" s="44">
        <f>SUM(N14/O14)*100</f>
        <v>100</v>
      </c>
      <c r="Q14" s="7">
        <v>1</v>
      </c>
      <c r="R14" s="7">
        <v>1</v>
      </c>
      <c r="S14" s="206">
        <f>SUM(Q14/R14)*100</f>
        <v>100</v>
      </c>
      <c r="T14" s="7" t="s">
        <v>30</v>
      </c>
      <c r="U14" s="7" t="s">
        <v>30</v>
      </c>
      <c r="V14" s="7" t="s">
        <v>30</v>
      </c>
      <c r="W14" s="201" t="s">
        <v>30</v>
      </c>
      <c r="X14" s="7" t="s">
        <v>30</v>
      </c>
      <c r="Y14" s="7" t="s">
        <v>30</v>
      </c>
      <c r="AE14" s="201" t="s">
        <v>30</v>
      </c>
      <c r="AF14" s="7" t="s">
        <v>30</v>
      </c>
      <c r="AG14" s="7" t="s">
        <v>30</v>
      </c>
      <c r="AH14" s="201" t="s">
        <v>30</v>
      </c>
      <c r="AI14" s="7" t="s">
        <v>30</v>
      </c>
      <c r="AJ14" s="7" t="s">
        <v>30</v>
      </c>
      <c r="AK14" s="201" t="s">
        <v>30</v>
      </c>
      <c r="AL14" s="7" t="s">
        <v>30</v>
      </c>
      <c r="AM14" s="7" t="s">
        <v>30</v>
      </c>
      <c r="AN14" s="6" t="s">
        <v>30</v>
      </c>
      <c r="AO14" s="7" t="s">
        <v>30</v>
      </c>
      <c r="AP14" s="7" t="s">
        <v>30</v>
      </c>
      <c r="AQ14" s="7" t="s">
        <v>30</v>
      </c>
      <c r="AR14" s="7" t="s">
        <v>30</v>
      </c>
      <c r="AS14" s="7" t="s">
        <v>30</v>
      </c>
      <c r="AT14" s="73"/>
    </row>
    <row r="15" spans="1:58" ht="14.95" customHeight="1" thickBot="1" x14ac:dyDescent="0.3">
      <c r="A15" s="53" t="s">
        <v>95</v>
      </c>
      <c r="B15" s="91">
        <v>2</v>
      </c>
      <c r="C15" s="43">
        <v>0</v>
      </c>
      <c r="D15" s="468">
        <v>2</v>
      </c>
      <c r="E15" s="444">
        <v>0</v>
      </c>
      <c r="F15" s="5">
        <f t="shared" si="0"/>
        <v>4</v>
      </c>
      <c r="G15" s="75" t="s">
        <v>95</v>
      </c>
      <c r="H15" s="92">
        <v>172</v>
      </c>
      <c r="I15" s="194">
        <v>19</v>
      </c>
      <c r="J15" s="343">
        <v>46</v>
      </c>
      <c r="K15" s="374">
        <v>0</v>
      </c>
      <c r="L15" s="74">
        <f t="shared" si="1"/>
        <v>237</v>
      </c>
      <c r="M15" s="45" t="s">
        <v>95</v>
      </c>
      <c r="N15" s="43">
        <v>8</v>
      </c>
      <c r="O15" s="43">
        <v>10</v>
      </c>
      <c r="P15" s="44">
        <f>SUM(N15/O15)*100</f>
        <v>80</v>
      </c>
      <c r="Q15" s="7">
        <v>5</v>
      </c>
      <c r="R15" s="7">
        <v>10</v>
      </c>
      <c r="S15" s="7">
        <f>SUM(Q15/R15)*100</f>
        <v>50</v>
      </c>
      <c r="T15" s="7" t="s">
        <v>30</v>
      </c>
      <c r="U15" s="7" t="s">
        <v>30</v>
      </c>
      <c r="V15" s="7" t="s">
        <v>30</v>
      </c>
      <c r="W15" s="201" t="s">
        <v>30</v>
      </c>
      <c r="X15" s="7" t="s">
        <v>30</v>
      </c>
      <c r="Y15" s="7" t="s">
        <v>30</v>
      </c>
      <c r="AE15" s="201">
        <v>10</v>
      </c>
      <c r="AF15" s="7">
        <v>13</v>
      </c>
      <c r="AG15" s="206">
        <f>SUM(AE15/AF15)*100</f>
        <v>76.923076923076934</v>
      </c>
      <c r="AH15" s="201">
        <v>23</v>
      </c>
      <c r="AI15" s="7">
        <v>27</v>
      </c>
      <c r="AJ15" s="206">
        <f>SUM(AH15/AI15)*100</f>
        <v>85.18518518518519</v>
      </c>
      <c r="AK15" s="201">
        <v>23</v>
      </c>
      <c r="AL15" s="7">
        <v>27</v>
      </c>
      <c r="AM15" s="206">
        <f>SUM(AK15/AL15)*100</f>
        <v>85.18518518518519</v>
      </c>
      <c r="AN15" s="201" t="s">
        <v>30</v>
      </c>
      <c r="AO15" s="7" t="s">
        <v>30</v>
      </c>
      <c r="AP15" s="7" t="s">
        <v>30</v>
      </c>
      <c r="AQ15" s="7" t="s">
        <v>30</v>
      </c>
      <c r="AR15" s="7" t="s">
        <v>30</v>
      </c>
      <c r="AS15" s="7" t="s">
        <v>30</v>
      </c>
      <c r="AT15" s="73"/>
    </row>
    <row r="16" spans="1:58" ht="14.95" customHeight="1" thickBot="1" x14ac:dyDescent="0.3">
      <c r="A16" s="53" t="s">
        <v>798</v>
      </c>
      <c r="B16" s="91">
        <v>0</v>
      </c>
      <c r="C16" s="43">
        <v>0</v>
      </c>
      <c r="D16" s="468">
        <v>0</v>
      </c>
      <c r="E16" s="444">
        <v>1</v>
      </c>
      <c r="F16" s="5">
        <f t="shared" si="0"/>
        <v>1</v>
      </c>
      <c r="G16" s="75" t="s">
        <v>798</v>
      </c>
      <c r="H16" s="92">
        <v>0</v>
      </c>
      <c r="I16" s="194">
        <v>0</v>
      </c>
      <c r="J16" s="343">
        <v>0</v>
      </c>
      <c r="K16" s="374">
        <v>5</v>
      </c>
      <c r="L16" s="74">
        <f t="shared" si="1"/>
        <v>5</v>
      </c>
      <c r="M16" s="15" t="s">
        <v>993</v>
      </c>
      <c r="N16" s="43" t="s">
        <v>30</v>
      </c>
      <c r="O16" s="43" t="s">
        <v>30</v>
      </c>
      <c r="P16" s="44" t="s">
        <v>30</v>
      </c>
      <c r="Q16" s="7" t="s">
        <v>30</v>
      </c>
      <c r="R16" s="7" t="s">
        <v>30</v>
      </c>
      <c r="S16" s="206" t="s">
        <v>30</v>
      </c>
      <c r="T16" s="7" t="s">
        <v>30</v>
      </c>
      <c r="U16" s="7" t="s">
        <v>30</v>
      </c>
      <c r="V16" s="7" t="s">
        <v>30</v>
      </c>
      <c r="W16" s="201">
        <v>1</v>
      </c>
      <c r="X16" s="7">
        <v>1</v>
      </c>
      <c r="Y16" s="206">
        <f>SUM(W16/X16)*100</f>
        <v>100</v>
      </c>
      <c r="AE16" s="201">
        <v>1</v>
      </c>
      <c r="AF16" s="7">
        <v>1</v>
      </c>
      <c r="AG16" s="206">
        <f>SUM(AE16/AF16)*100</f>
        <v>100</v>
      </c>
      <c r="AH16" s="201" t="s">
        <v>30</v>
      </c>
      <c r="AI16" s="7" t="s">
        <v>30</v>
      </c>
      <c r="AJ16" s="7" t="s">
        <v>30</v>
      </c>
      <c r="AK16" s="201" t="s">
        <v>30</v>
      </c>
      <c r="AL16" s="7" t="s">
        <v>30</v>
      </c>
      <c r="AM16" s="7" t="s">
        <v>30</v>
      </c>
      <c r="AN16" s="201" t="s">
        <v>30</v>
      </c>
      <c r="AO16" s="7" t="s">
        <v>30</v>
      </c>
      <c r="AP16" s="7" t="s">
        <v>30</v>
      </c>
      <c r="AQ16" s="7" t="s">
        <v>30</v>
      </c>
      <c r="AR16" s="7" t="s">
        <v>30</v>
      </c>
      <c r="AS16" s="7" t="s">
        <v>30</v>
      </c>
      <c r="AT16" s="73"/>
    </row>
    <row r="17" spans="1:46" ht="14.95" customHeight="1" thickBot="1" x14ac:dyDescent="0.3">
      <c r="A17" s="53" t="s">
        <v>520</v>
      </c>
      <c r="B17" s="91">
        <v>0</v>
      </c>
      <c r="C17" s="43">
        <v>0</v>
      </c>
      <c r="D17" s="468">
        <v>0</v>
      </c>
      <c r="E17" s="444">
        <v>0</v>
      </c>
      <c r="F17" s="5">
        <f t="shared" si="0"/>
        <v>0</v>
      </c>
      <c r="G17" s="75" t="s">
        <v>520</v>
      </c>
      <c r="H17" s="92">
        <v>0</v>
      </c>
      <c r="I17" s="194">
        <v>0</v>
      </c>
      <c r="J17" s="343">
        <v>0</v>
      </c>
      <c r="K17" s="374">
        <v>0</v>
      </c>
      <c r="L17" s="74">
        <f t="shared" si="1"/>
        <v>0</v>
      </c>
      <c r="M17" s="231" t="s">
        <v>128</v>
      </c>
      <c r="N17" s="43" t="s">
        <v>30</v>
      </c>
      <c r="O17" s="43" t="s">
        <v>30</v>
      </c>
      <c r="P17" s="44" t="s">
        <v>30</v>
      </c>
      <c r="Q17" s="6">
        <v>4</v>
      </c>
      <c r="R17" s="6">
        <v>5</v>
      </c>
      <c r="S17" s="211">
        <f>SUM(Q17/R17)*100</f>
        <v>80</v>
      </c>
      <c r="T17" s="7" t="s">
        <v>30</v>
      </c>
      <c r="U17" s="7" t="s">
        <v>30</v>
      </c>
      <c r="V17" s="7" t="s">
        <v>30</v>
      </c>
      <c r="W17" s="201" t="s">
        <v>30</v>
      </c>
      <c r="X17" s="7" t="s">
        <v>30</v>
      </c>
      <c r="Y17" s="7" t="s">
        <v>30</v>
      </c>
      <c r="AE17" s="201" t="s">
        <v>30</v>
      </c>
      <c r="AF17" s="7" t="s">
        <v>30</v>
      </c>
      <c r="AG17" s="7" t="s">
        <v>30</v>
      </c>
      <c r="AH17" s="201" t="s">
        <v>30</v>
      </c>
      <c r="AI17" s="7" t="s">
        <v>30</v>
      </c>
      <c r="AJ17" s="7" t="s">
        <v>30</v>
      </c>
      <c r="AK17" s="201" t="s">
        <v>30</v>
      </c>
      <c r="AL17" s="7" t="s">
        <v>30</v>
      </c>
      <c r="AM17" s="7" t="s">
        <v>30</v>
      </c>
      <c r="AN17" s="6" t="s">
        <v>30</v>
      </c>
      <c r="AO17" s="7" t="s">
        <v>30</v>
      </c>
      <c r="AP17" s="7" t="s">
        <v>30</v>
      </c>
      <c r="AQ17" s="7" t="s">
        <v>30</v>
      </c>
      <c r="AR17" s="7" t="s">
        <v>30</v>
      </c>
      <c r="AS17" s="7" t="s">
        <v>30</v>
      </c>
      <c r="AT17" s="73"/>
    </row>
    <row r="18" spans="1:46" ht="14.95" customHeight="1" thickBot="1" x14ac:dyDescent="0.3">
      <c r="A18" s="53" t="s">
        <v>1066</v>
      </c>
      <c r="B18" s="91">
        <v>0</v>
      </c>
      <c r="C18" s="43">
        <v>0</v>
      </c>
      <c r="D18" s="468">
        <v>0</v>
      </c>
      <c r="E18" s="444">
        <v>2</v>
      </c>
      <c r="F18" s="5">
        <f t="shared" si="0"/>
        <v>2</v>
      </c>
      <c r="G18" s="75" t="s">
        <v>1066</v>
      </c>
      <c r="H18" s="92">
        <v>0</v>
      </c>
      <c r="I18" s="194">
        <v>0</v>
      </c>
      <c r="J18" s="343">
        <v>0</v>
      </c>
      <c r="K18" s="374">
        <v>10</v>
      </c>
      <c r="L18" s="74">
        <f t="shared" si="1"/>
        <v>10</v>
      </c>
    </row>
    <row r="19" spans="1:46" ht="14.95" customHeight="1" thickBot="1" x14ac:dyDescent="0.3">
      <c r="A19" s="53" t="s">
        <v>1194</v>
      </c>
      <c r="B19" s="91">
        <v>2</v>
      </c>
      <c r="C19" s="43">
        <v>0</v>
      </c>
      <c r="D19" s="468">
        <v>0</v>
      </c>
      <c r="E19" s="444">
        <v>1</v>
      </c>
      <c r="F19" s="5">
        <f t="shared" si="0"/>
        <v>3</v>
      </c>
      <c r="G19" s="75" t="s">
        <v>1194</v>
      </c>
      <c r="H19" s="92">
        <v>10</v>
      </c>
      <c r="I19" s="194">
        <v>0</v>
      </c>
      <c r="J19" s="343">
        <v>0</v>
      </c>
      <c r="K19" s="374">
        <v>5</v>
      </c>
      <c r="L19" s="74">
        <f t="shared" si="1"/>
        <v>15</v>
      </c>
      <c r="M19" s="542" t="s">
        <v>511</v>
      </c>
      <c r="N19" s="617" t="s">
        <v>29</v>
      </c>
      <c r="O19" s="618"/>
      <c r="P19" s="619"/>
      <c r="Q19" s="520" t="s">
        <v>634</v>
      </c>
      <c r="R19" s="521"/>
      <c r="S19" s="522"/>
      <c r="T19" s="520" t="s">
        <v>863</v>
      </c>
      <c r="U19" s="521"/>
      <c r="V19" s="522"/>
      <c r="W19" s="520" t="s">
        <v>621</v>
      </c>
      <c r="X19" s="521"/>
      <c r="Y19" s="522"/>
      <c r="AE19" s="520" t="s">
        <v>714</v>
      </c>
      <c r="AF19" s="521"/>
      <c r="AG19" s="522"/>
      <c r="AH19" s="520" t="s">
        <v>715</v>
      </c>
      <c r="AI19" s="521"/>
      <c r="AJ19" s="522"/>
      <c r="AK19" s="520" t="s">
        <v>716</v>
      </c>
      <c r="AL19" s="521"/>
      <c r="AM19" s="522"/>
      <c r="AN19" s="520" t="s">
        <v>136</v>
      </c>
      <c r="AO19" s="521"/>
      <c r="AP19" s="522"/>
      <c r="AQ19" s="520" t="s">
        <v>85</v>
      </c>
      <c r="AR19" s="521"/>
      <c r="AS19" s="522"/>
      <c r="AT19" s="73"/>
    </row>
    <row r="20" spans="1:46" ht="14.95" customHeight="1" thickBot="1" x14ac:dyDescent="0.3">
      <c r="A20" s="53" t="s">
        <v>512</v>
      </c>
      <c r="B20" s="91">
        <v>4</v>
      </c>
      <c r="C20" s="43">
        <v>0</v>
      </c>
      <c r="D20" s="468">
        <v>0</v>
      </c>
      <c r="E20" s="444">
        <v>1</v>
      </c>
      <c r="F20" s="5">
        <f t="shared" si="0"/>
        <v>5</v>
      </c>
      <c r="G20" s="75" t="s">
        <v>512</v>
      </c>
      <c r="H20" s="92">
        <v>20</v>
      </c>
      <c r="I20" s="194">
        <v>0</v>
      </c>
      <c r="J20" s="343">
        <v>0</v>
      </c>
      <c r="K20" s="374">
        <v>5</v>
      </c>
      <c r="L20" s="74">
        <f t="shared" si="1"/>
        <v>25</v>
      </c>
      <c r="M20" s="543"/>
      <c r="N20" s="620"/>
      <c r="O20" s="621"/>
      <c r="P20" s="622"/>
      <c r="Q20" s="523"/>
      <c r="R20" s="524"/>
      <c r="S20" s="525"/>
      <c r="T20" s="523"/>
      <c r="U20" s="524"/>
      <c r="V20" s="525"/>
      <c r="W20" s="523"/>
      <c r="X20" s="524"/>
      <c r="Y20" s="525"/>
      <c r="AE20" s="523"/>
      <c r="AF20" s="524"/>
      <c r="AG20" s="525"/>
      <c r="AH20" s="523"/>
      <c r="AI20" s="524"/>
      <c r="AJ20" s="525"/>
      <c r="AK20" s="523"/>
      <c r="AL20" s="524"/>
      <c r="AM20" s="525"/>
      <c r="AN20" s="523"/>
      <c r="AO20" s="524"/>
      <c r="AP20" s="525"/>
      <c r="AQ20" s="523"/>
      <c r="AR20" s="524"/>
      <c r="AS20" s="525"/>
      <c r="AT20" s="73"/>
    </row>
    <row r="21" spans="1:46" ht="14.95" customHeight="1" thickBot="1" x14ac:dyDescent="0.3">
      <c r="A21" s="53" t="s">
        <v>16</v>
      </c>
      <c r="B21" s="91">
        <v>2</v>
      </c>
      <c r="C21" s="43">
        <v>0</v>
      </c>
      <c r="D21" s="468">
        <v>0</v>
      </c>
      <c r="E21" s="444">
        <v>0</v>
      </c>
      <c r="F21" s="5">
        <f t="shared" si="0"/>
        <v>2</v>
      </c>
      <c r="G21" s="75" t="s">
        <v>16</v>
      </c>
      <c r="H21" s="92">
        <v>10</v>
      </c>
      <c r="I21" s="194">
        <v>0</v>
      </c>
      <c r="J21" s="343">
        <v>0</v>
      </c>
      <c r="K21" s="374">
        <v>0</v>
      </c>
      <c r="L21" s="74">
        <f t="shared" si="1"/>
        <v>10</v>
      </c>
      <c r="M21" s="466" t="s">
        <v>44</v>
      </c>
      <c r="N21" s="219" t="s">
        <v>107</v>
      </c>
      <c r="O21" s="219" t="s">
        <v>23</v>
      </c>
      <c r="P21" s="219" t="s">
        <v>24</v>
      </c>
      <c r="Q21" s="7" t="s">
        <v>107</v>
      </c>
      <c r="R21" s="7" t="s">
        <v>23</v>
      </c>
      <c r="S21" s="7" t="s">
        <v>24</v>
      </c>
      <c r="T21" s="7" t="s">
        <v>107</v>
      </c>
      <c r="U21" s="7" t="s">
        <v>23</v>
      </c>
      <c r="V21" s="7" t="s">
        <v>24</v>
      </c>
      <c r="W21" s="201" t="s">
        <v>107</v>
      </c>
      <c r="X21" s="7" t="s">
        <v>23</v>
      </c>
      <c r="Y21" s="7" t="s">
        <v>24</v>
      </c>
      <c r="AE21" s="201" t="s">
        <v>107</v>
      </c>
      <c r="AF21" s="7" t="s">
        <v>23</v>
      </c>
      <c r="AG21" s="7" t="s">
        <v>24</v>
      </c>
      <c r="AH21" s="201" t="s">
        <v>107</v>
      </c>
      <c r="AI21" s="7" t="s">
        <v>23</v>
      </c>
      <c r="AJ21" s="7" t="s">
        <v>24</v>
      </c>
      <c r="AK21" s="201" t="s">
        <v>107</v>
      </c>
      <c r="AL21" s="7" t="s">
        <v>23</v>
      </c>
      <c r="AM21" s="7" t="s">
        <v>24</v>
      </c>
      <c r="AN21" s="201" t="s">
        <v>107</v>
      </c>
      <c r="AO21" s="7" t="s">
        <v>23</v>
      </c>
      <c r="AP21" s="7" t="s">
        <v>24</v>
      </c>
      <c r="AQ21" s="201" t="s">
        <v>107</v>
      </c>
      <c r="AR21" s="7" t="s">
        <v>23</v>
      </c>
      <c r="AS21" s="7" t="s">
        <v>24</v>
      </c>
      <c r="AT21" s="73"/>
    </row>
    <row r="22" spans="1:46" ht="14.95" customHeight="1" thickBot="1" x14ac:dyDescent="0.3">
      <c r="A22" s="53" t="s">
        <v>241</v>
      </c>
      <c r="B22" s="91">
        <v>0</v>
      </c>
      <c r="C22" s="43">
        <v>1</v>
      </c>
      <c r="D22" s="468">
        <v>0</v>
      </c>
      <c r="E22" s="444">
        <v>0</v>
      </c>
      <c r="F22" s="5">
        <f t="shared" si="0"/>
        <v>1</v>
      </c>
      <c r="G22" s="75" t="s">
        <v>241</v>
      </c>
      <c r="H22" s="92">
        <v>0</v>
      </c>
      <c r="I22" s="194">
        <v>5</v>
      </c>
      <c r="J22" s="343">
        <v>0</v>
      </c>
      <c r="K22" s="374">
        <v>0</v>
      </c>
      <c r="L22" s="74">
        <f t="shared" si="1"/>
        <v>5</v>
      </c>
      <c r="M22" s="499" t="s">
        <v>70</v>
      </c>
      <c r="N22" s="43" t="s">
        <v>30</v>
      </c>
      <c r="O22" s="43" t="s">
        <v>30</v>
      </c>
      <c r="P22" s="44" t="s">
        <v>30</v>
      </c>
      <c r="Q22" s="7" t="s">
        <v>30</v>
      </c>
      <c r="R22" s="7" t="s">
        <v>30</v>
      </c>
      <c r="S22" s="206" t="s">
        <v>30</v>
      </c>
      <c r="T22" s="7" t="s">
        <v>30</v>
      </c>
      <c r="U22" s="7" t="s">
        <v>30</v>
      </c>
      <c r="V22" s="7" t="s">
        <v>30</v>
      </c>
      <c r="W22" s="201" t="s">
        <v>30</v>
      </c>
      <c r="X22" s="7" t="s">
        <v>30</v>
      </c>
      <c r="Y22" s="7" t="s">
        <v>30</v>
      </c>
      <c r="AE22" s="201" t="s">
        <v>30</v>
      </c>
      <c r="AF22" s="7" t="s">
        <v>30</v>
      </c>
      <c r="AG22" s="7" t="s">
        <v>30</v>
      </c>
      <c r="AH22" s="201" t="s">
        <v>30</v>
      </c>
      <c r="AI22" s="7" t="s">
        <v>30</v>
      </c>
      <c r="AJ22" s="7" t="s">
        <v>30</v>
      </c>
      <c r="AK22" s="201" t="s">
        <v>30</v>
      </c>
      <c r="AL22" s="7" t="s">
        <v>30</v>
      </c>
      <c r="AM22" s="7" t="s">
        <v>30</v>
      </c>
      <c r="AN22" s="6" t="s">
        <v>30</v>
      </c>
      <c r="AO22" s="7" t="s">
        <v>30</v>
      </c>
      <c r="AP22" s="7" t="s">
        <v>30</v>
      </c>
      <c r="AQ22" s="7" t="s">
        <v>30</v>
      </c>
      <c r="AR22" s="7" t="s">
        <v>30</v>
      </c>
      <c r="AS22" s="7" t="s">
        <v>30</v>
      </c>
      <c r="AT22" s="73"/>
    </row>
    <row r="23" spans="1:46" ht="14.95" customHeight="1" thickBot="1" x14ac:dyDescent="0.3">
      <c r="A23" s="53" t="s">
        <v>1068</v>
      </c>
      <c r="B23" s="91">
        <v>0</v>
      </c>
      <c r="C23" s="43">
        <v>0</v>
      </c>
      <c r="D23" s="468">
        <v>0</v>
      </c>
      <c r="E23" s="444">
        <v>0</v>
      </c>
      <c r="F23" s="5">
        <f t="shared" si="0"/>
        <v>0</v>
      </c>
      <c r="G23" s="75" t="s">
        <v>1068</v>
      </c>
      <c r="H23" s="92">
        <v>0</v>
      </c>
      <c r="I23" s="194">
        <v>0</v>
      </c>
      <c r="J23" s="343">
        <v>0</v>
      </c>
      <c r="K23" s="374">
        <v>14</v>
      </c>
      <c r="L23" s="74">
        <f t="shared" si="1"/>
        <v>14</v>
      </c>
      <c r="M23" s="45" t="s">
        <v>95</v>
      </c>
      <c r="N23" s="43">
        <v>15</v>
      </c>
      <c r="O23" s="43">
        <v>17</v>
      </c>
      <c r="P23" s="44">
        <f>SUM(N23/O23)*100</f>
        <v>88.235294117647058</v>
      </c>
      <c r="Q23" s="7" t="s">
        <v>30</v>
      </c>
      <c r="R23" s="7" t="s">
        <v>30</v>
      </c>
      <c r="S23" s="206" t="s">
        <v>30</v>
      </c>
      <c r="T23" s="7">
        <v>1</v>
      </c>
      <c r="U23" s="7">
        <v>1</v>
      </c>
      <c r="V23" s="7">
        <f>SUM(T23/U23)*100</f>
        <v>100</v>
      </c>
      <c r="W23" s="201" t="s">
        <v>30</v>
      </c>
      <c r="X23" s="7" t="s">
        <v>30</v>
      </c>
      <c r="Y23" s="7" t="s">
        <v>30</v>
      </c>
      <c r="AE23" s="201" t="s">
        <v>30</v>
      </c>
      <c r="AF23" s="7" t="s">
        <v>30</v>
      </c>
      <c r="AG23" s="7" t="s">
        <v>30</v>
      </c>
      <c r="AH23" s="7" t="s">
        <v>30</v>
      </c>
      <c r="AI23" s="7" t="s">
        <v>30</v>
      </c>
      <c r="AJ23" s="7" t="s">
        <v>30</v>
      </c>
      <c r="AK23" s="7" t="s">
        <v>30</v>
      </c>
      <c r="AL23" s="7" t="s">
        <v>30</v>
      </c>
      <c r="AM23" s="7" t="s">
        <v>30</v>
      </c>
      <c r="AN23" s="201" t="s">
        <v>30</v>
      </c>
      <c r="AO23" s="7" t="s">
        <v>30</v>
      </c>
      <c r="AP23" s="7" t="s">
        <v>30</v>
      </c>
      <c r="AQ23" s="201">
        <v>19</v>
      </c>
      <c r="AR23" s="7">
        <v>27</v>
      </c>
      <c r="AS23" s="206">
        <f>SUM(AQ23/AR23)*100</f>
        <v>70.370370370370367</v>
      </c>
      <c r="AT23" s="73"/>
    </row>
    <row r="24" spans="1:46" ht="14.95" customHeight="1" thickBot="1" x14ac:dyDescent="0.3">
      <c r="A24" s="53" t="s">
        <v>1222</v>
      </c>
      <c r="B24" s="91">
        <v>0</v>
      </c>
      <c r="C24" s="43">
        <v>0</v>
      </c>
      <c r="D24" s="468">
        <v>0</v>
      </c>
      <c r="E24" s="444">
        <v>4</v>
      </c>
      <c r="F24" s="5">
        <f t="shared" si="0"/>
        <v>4</v>
      </c>
      <c r="G24" s="75" t="s">
        <v>1222</v>
      </c>
      <c r="H24" s="92">
        <v>0</v>
      </c>
      <c r="I24" s="194">
        <v>0</v>
      </c>
      <c r="J24" s="343">
        <v>0</v>
      </c>
      <c r="K24" s="374">
        <v>20</v>
      </c>
      <c r="L24" s="74">
        <f t="shared" si="1"/>
        <v>20</v>
      </c>
      <c r="M24" s="45" t="s">
        <v>993</v>
      </c>
      <c r="N24" s="43" t="s">
        <v>30</v>
      </c>
      <c r="O24" s="43" t="s">
        <v>30</v>
      </c>
      <c r="P24" s="44" t="s">
        <v>30</v>
      </c>
      <c r="Q24" s="7" t="s">
        <v>30</v>
      </c>
      <c r="R24" s="7" t="s">
        <v>30</v>
      </c>
      <c r="S24" s="206" t="s">
        <v>30</v>
      </c>
      <c r="T24" s="7" t="s">
        <v>30</v>
      </c>
      <c r="U24" s="7" t="s">
        <v>30</v>
      </c>
      <c r="V24" s="206" t="s">
        <v>30</v>
      </c>
      <c r="W24" s="201" t="s">
        <v>30</v>
      </c>
      <c r="X24" s="7" t="s">
        <v>30</v>
      </c>
      <c r="Y24" s="7" t="s">
        <v>30</v>
      </c>
      <c r="AE24" s="201" t="s">
        <v>30</v>
      </c>
      <c r="AF24" s="7" t="s">
        <v>30</v>
      </c>
      <c r="AG24" s="7" t="s">
        <v>30</v>
      </c>
      <c r="AH24" s="201" t="s">
        <v>30</v>
      </c>
      <c r="AI24" s="7" t="s">
        <v>30</v>
      </c>
      <c r="AJ24" s="7" t="s">
        <v>30</v>
      </c>
      <c r="AK24" s="201" t="s">
        <v>30</v>
      </c>
      <c r="AL24" s="7" t="s">
        <v>30</v>
      </c>
      <c r="AM24" s="7" t="s">
        <v>30</v>
      </c>
      <c r="AN24" s="201" t="s">
        <v>30</v>
      </c>
      <c r="AO24" s="7" t="s">
        <v>30</v>
      </c>
      <c r="AP24" s="7" t="s">
        <v>30</v>
      </c>
      <c r="AQ24" s="201">
        <v>3</v>
      </c>
      <c r="AR24" s="7">
        <v>5</v>
      </c>
      <c r="AS24" s="206">
        <v>60</v>
      </c>
      <c r="AT24" s="73"/>
    </row>
    <row r="25" spans="1:46" ht="14.95" customHeight="1" thickBot="1" x14ac:dyDescent="0.3">
      <c r="A25" s="53" t="s">
        <v>37</v>
      </c>
      <c r="B25" s="91">
        <v>1</v>
      </c>
      <c r="C25" s="43">
        <v>0</v>
      </c>
      <c r="D25" s="468">
        <v>0</v>
      </c>
      <c r="E25" s="444">
        <v>0</v>
      </c>
      <c r="F25" s="5">
        <f t="shared" si="0"/>
        <v>1</v>
      </c>
      <c r="G25" s="75" t="s">
        <v>37</v>
      </c>
      <c r="H25" s="92">
        <v>5</v>
      </c>
      <c r="I25" s="194">
        <v>0</v>
      </c>
      <c r="J25" s="343">
        <v>0</v>
      </c>
      <c r="K25" s="374">
        <v>14</v>
      </c>
      <c r="L25" s="74">
        <f t="shared" si="1"/>
        <v>19</v>
      </c>
      <c r="M25" s="499" t="s">
        <v>128</v>
      </c>
      <c r="N25" s="43" t="s">
        <v>30</v>
      </c>
      <c r="O25" s="43" t="s">
        <v>30</v>
      </c>
      <c r="P25" s="44" t="s">
        <v>30</v>
      </c>
      <c r="Q25" s="7" t="s">
        <v>30</v>
      </c>
      <c r="R25" s="7" t="s">
        <v>30</v>
      </c>
      <c r="S25" s="206" t="s">
        <v>30</v>
      </c>
      <c r="T25" s="274">
        <v>5</v>
      </c>
      <c r="U25" s="6">
        <v>6</v>
      </c>
      <c r="V25" s="204">
        <f t="shared" ref="V25" si="3">SUM(T25/U25)*100</f>
        <v>83.333333333333343</v>
      </c>
      <c r="W25" s="201" t="s">
        <v>30</v>
      </c>
      <c r="X25" s="7" t="s">
        <v>30</v>
      </c>
      <c r="Y25" s="7" t="s">
        <v>30</v>
      </c>
      <c r="AE25" s="201" t="s">
        <v>30</v>
      </c>
      <c r="AF25" s="7" t="s">
        <v>30</v>
      </c>
      <c r="AG25" s="7" t="s">
        <v>30</v>
      </c>
      <c r="AH25" s="201" t="s">
        <v>30</v>
      </c>
      <c r="AI25" s="7" t="s">
        <v>30</v>
      </c>
      <c r="AJ25" s="7" t="s">
        <v>30</v>
      </c>
      <c r="AK25" s="201" t="s">
        <v>30</v>
      </c>
      <c r="AL25" s="7" t="s">
        <v>30</v>
      </c>
      <c r="AM25" s="7" t="s">
        <v>30</v>
      </c>
      <c r="AN25" s="6" t="s">
        <v>30</v>
      </c>
      <c r="AO25" s="7" t="s">
        <v>30</v>
      </c>
      <c r="AP25" s="7" t="s">
        <v>30</v>
      </c>
      <c r="AQ25" s="7" t="s">
        <v>30</v>
      </c>
      <c r="AR25" s="7" t="s">
        <v>30</v>
      </c>
      <c r="AS25" s="7" t="s">
        <v>30</v>
      </c>
      <c r="AT25" s="73"/>
    </row>
    <row r="26" spans="1:46" ht="14.95" customHeight="1" thickBot="1" x14ac:dyDescent="0.3">
      <c r="A26" s="53" t="s">
        <v>549</v>
      </c>
      <c r="B26" s="91">
        <v>0</v>
      </c>
      <c r="C26" s="43">
        <v>0</v>
      </c>
      <c r="D26" s="468">
        <v>0</v>
      </c>
      <c r="E26" s="444">
        <v>0</v>
      </c>
      <c r="F26" s="5">
        <f t="shared" si="0"/>
        <v>0</v>
      </c>
      <c r="G26" s="75" t="s">
        <v>549</v>
      </c>
      <c r="H26" s="92">
        <v>0</v>
      </c>
      <c r="I26" s="194">
        <v>0</v>
      </c>
      <c r="J26" s="343">
        <v>0</v>
      </c>
      <c r="K26" s="374">
        <v>0</v>
      </c>
      <c r="L26" s="74">
        <f t="shared" si="1"/>
        <v>0</v>
      </c>
    </row>
    <row r="27" spans="1:46" ht="14.95" customHeight="1" thickBot="1" x14ac:dyDescent="0.3">
      <c r="A27" s="53" t="s">
        <v>730</v>
      </c>
      <c r="B27" s="91">
        <v>5</v>
      </c>
      <c r="C27" s="43">
        <v>0</v>
      </c>
      <c r="D27" s="468">
        <v>0</v>
      </c>
      <c r="E27" s="444">
        <v>1</v>
      </c>
      <c r="F27" s="5">
        <f t="shared" si="0"/>
        <v>6</v>
      </c>
      <c r="G27" s="75" t="s">
        <v>730</v>
      </c>
      <c r="H27" s="92">
        <v>25</v>
      </c>
      <c r="I27" s="194">
        <v>0</v>
      </c>
      <c r="J27" s="343">
        <v>0</v>
      </c>
      <c r="K27" s="374">
        <v>5</v>
      </c>
      <c r="L27" s="74">
        <f t="shared" si="1"/>
        <v>30</v>
      </c>
      <c r="M27" s="536" t="s">
        <v>179</v>
      </c>
      <c r="N27" s="617" t="s">
        <v>29</v>
      </c>
      <c r="O27" s="618"/>
      <c r="P27" s="619"/>
      <c r="Q27" s="520" t="s">
        <v>634</v>
      </c>
      <c r="R27" s="521"/>
      <c r="S27" s="522"/>
      <c r="T27" s="520" t="s">
        <v>863</v>
      </c>
      <c r="U27" s="521"/>
      <c r="V27" s="522"/>
      <c r="W27" s="520" t="s">
        <v>621</v>
      </c>
      <c r="X27" s="521"/>
      <c r="Y27" s="522"/>
      <c r="AE27" s="520" t="s">
        <v>448</v>
      </c>
      <c r="AF27" s="521"/>
      <c r="AG27" s="522"/>
      <c r="AH27" s="520" t="s">
        <v>178</v>
      </c>
      <c r="AI27" s="521"/>
      <c r="AJ27" s="522"/>
      <c r="AK27" s="520" t="s">
        <v>716</v>
      </c>
      <c r="AL27" s="521"/>
      <c r="AM27" s="522"/>
      <c r="AN27" s="521" t="s">
        <v>113</v>
      </c>
      <c r="AO27" s="521"/>
      <c r="AP27" s="522"/>
      <c r="AQ27" s="520" t="s">
        <v>85</v>
      </c>
      <c r="AR27" s="521"/>
      <c r="AS27" s="522"/>
    </row>
    <row r="28" spans="1:46" ht="14.95" customHeight="1" thickBot="1" x14ac:dyDescent="0.3">
      <c r="A28" s="53" t="s">
        <v>562</v>
      </c>
      <c r="B28" s="91">
        <v>9</v>
      </c>
      <c r="C28" s="43">
        <v>0</v>
      </c>
      <c r="D28" s="468">
        <v>0</v>
      </c>
      <c r="E28" s="444">
        <v>0</v>
      </c>
      <c r="F28" s="5">
        <f t="shared" si="0"/>
        <v>9</v>
      </c>
      <c r="G28" s="75" t="s">
        <v>562</v>
      </c>
      <c r="H28" s="92">
        <v>45</v>
      </c>
      <c r="I28" s="194">
        <v>0</v>
      </c>
      <c r="J28" s="343">
        <v>0</v>
      </c>
      <c r="K28" s="374">
        <v>0</v>
      </c>
      <c r="L28" s="74">
        <f t="shared" si="1"/>
        <v>45</v>
      </c>
      <c r="M28" s="537"/>
      <c r="N28" s="620"/>
      <c r="O28" s="621"/>
      <c r="P28" s="622"/>
      <c r="Q28" s="523"/>
      <c r="R28" s="524"/>
      <c r="S28" s="525"/>
      <c r="T28" s="523"/>
      <c r="U28" s="524"/>
      <c r="V28" s="525"/>
      <c r="W28" s="523"/>
      <c r="X28" s="524"/>
      <c r="Y28" s="525"/>
      <c r="AE28" s="523"/>
      <c r="AF28" s="524"/>
      <c r="AG28" s="525"/>
      <c r="AH28" s="523"/>
      <c r="AI28" s="524"/>
      <c r="AJ28" s="525"/>
      <c r="AK28" s="523"/>
      <c r="AL28" s="524"/>
      <c r="AM28" s="525"/>
      <c r="AN28" s="524"/>
      <c r="AO28" s="524"/>
      <c r="AP28" s="525"/>
      <c r="AQ28" s="523"/>
      <c r="AR28" s="524"/>
      <c r="AS28" s="525"/>
    </row>
    <row r="29" spans="1:46" ht="14.95" customHeight="1" thickBot="1" x14ac:dyDescent="0.3">
      <c r="A29" s="53" t="s">
        <v>709</v>
      </c>
      <c r="B29" s="91">
        <v>0</v>
      </c>
      <c r="C29" s="43">
        <v>0</v>
      </c>
      <c r="D29" s="468">
        <v>0</v>
      </c>
      <c r="E29" s="444">
        <v>0</v>
      </c>
      <c r="F29" s="5">
        <f t="shared" si="0"/>
        <v>0</v>
      </c>
      <c r="G29" s="75" t="s">
        <v>709</v>
      </c>
      <c r="H29" s="92">
        <v>0</v>
      </c>
      <c r="I29" s="194">
        <v>0</v>
      </c>
      <c r="J29" s="343">
        <v>0</v>
      </c>
      <c r="K29" s="374">
        <v>0</v>
      </c>
      <c r="L29" s="74">
        <f t="shared" si="1"/>
        <v>0</v>
      </c>
      <c r="M29" s="430" t="s">
        <v>44</v>
      </c>
      <c r="N29" s="219" t="s">
        <v>107</v>
      </c>
      <c r="O29" s="219" t="s">
        <v>23</v>
      </c>
      <c r="P29" s="219" t="s">
        <v>24</v>
      </c>
      <c r="Q29" s="7" t="s">
        <v>107</v>
      </c>
      <c r="R29" s="7" t="s">
        <v>23</v>
      </c>
      <c r="S29" s="7" t="s">
        <v>24</v>
      </c>
      <c r="T29" s="7" t="s">
        <v>107</v>
      </c>
      <c r="U29" s="7" t="s">
        <v>23</v>
      </c>
      <c r="V29" s="7" t="s">
        <v>24</v>
      </c>
      <c r="W29" s="201" t="s">
        <v>107</v>
      </c>
      <c r="X29" s="7" t="s">
        <v>23</v>
      </c>
      <c r="Y29" s="7" t="s">
        <v>24</v>
      </c>
      <c r="AE29" s="201" t="s">
        <v>107</v>
      </c>
      <c r="AF29" s="7" t="s">
        <v>23</v>
      </c>
      <c r="AG29" s="7" t="s">
        <v>24</v>
      </c>
      <c r="AH29" s="201" t="s">
        <v>107</v>
      </c>
      <c r="AI29" s="7" t="s">
        <v>23</v>
      </c>
      <c r="AJ29" s="7" t="s">
        <v>24</v>
      </c>
      <c r="AK29" s="201" t="s">
        <v>107</v>
      </c>
      <c r="AL29" s="7" t="s">
        <v>23</v>
      </c>
      <c r="AM29" s="7" t="s">
        <v>24</v>
      </c>
      <c r="AN29" s="7" t="s">
        <v>107</v>
      </c>
      <c r="AO29" s="7" t="s">
        <v>23</v>
      </c>
      <c r="AP29" s="7" t="s">
        <v>24</v>
      </c>
      <c r="AQ29" s="201" t="s">
        <v>107</v>
      </c>
      <c r="AR29" s="7" t="s">
        <v>23</v>
      </c>
      <c r="AS29" s="7" t="s">
        <v>24</v>
      </c>
    </row>
    <row r="30" spans="1:46" ht="14.95" customHeight="1" thickBot="1" x14ac:dyDescent="0.3">
      <c r="A30" s="53" t="s">
        <v>6</v>
      </c>
      <c r="B30" s="91">
        <v>1</v>
      </c>
      <c r="C30" s="43">
        <v>0</v>
      </c>
      <c r="D30" s="468">
        <v>0</v>
      </c>
      <c r="E30" s="444">
        <v>0</v>
      </c>
      <c r="F30" s="5">
        <f t="shared" si="0"/>
        <v>1</v>
      </c>
      <c r="G30" s="75" t="s">
        <v>6</v>
      </c>
      <c r="H30" s="92">
        <v>7</v>
      </c>
      <c r="I30" s="194">
        <v>0</v>
      </c>
      <c r="J30" s="343">
        <v>0</v>
      </c>
      <c r="K30" s="374">
        <v>0</v>
      </c>
      <c r="L30" s="74">
        <f t="shared" si="1"/>
        <v>7</v>
      </c>
      <c r="M30" s="231" t="s">
        <v>70</v>
      </c>
      <c r="N30" s="43">
        <v>1</v>
      </c>
      <c r="O30" s="43">
        <v>1</v>
      </c>
      <c r="P30" s="44">
        <f>SUM(N30/O30)*100</f>
        <v>100</v>
      </c>
      <c r="Q30" s="7" t="s">
        <v>30</v>
      </c>
      <c r="R30" s="7" t="s">
        <v>30</v>
      </c>
      <c r="S30" s="206" t="s">
        <v>30</v>
      </c>
      <c r="T30" s="7" t="s">
        <v>30</v>
      </c>
      <c r="U30" s="7" t="s">
        <v>30</v>
      </c>
      <c r="V30" s="7" t="s">
        <v>30</v>
      </c>
      <c r="W30" s="201" t="s">
        <v>30</v>
      </c>
      <c r="X30" s="7" t="s">
        <v>30</v>
      </c>
      <c r="Y30" s="7" t="s">
        <v>30</v>
      </c>
      <c r="AE30" s="201" t="s">
        <v>30</v>
      </c>
      <c r="AF30" s="7" t="s">
        <v>30</v>
      </c>
      <c r="AG30" s="7" t="s">
        <v>30</v>
      </c>
      <c r="AH30" s="201" t="s">
        <v>30</v>
      </c>
      <c r="AI30" s="7" t="s">
        <v>30</v>
      </c>
      <c r="AJ30" s="7" t="s">
        <v>30</v>
      </c>
      <c r="AK30" s="201" t="s">
        <v>30</v>
      </c>
      <c r="AL30" s="7" t="s">
        <v>30</v>
      </c>
      <c r="AM30" s="7" t="s">
        <v>30</v>
      </c>
      <c r="AN30" s="6" t="s">
        <v>30</v>
      </c>
      <c r="AO30" s="7" t="s">
        <v>30</v>
      </c>
      <c r="AP30" s="7" t="s">
        <v>30</v>
      </c>
      <c r="AQ30" s="7" t="s">
        <v>30</v>
      </c>
      <c r="AR30" s="7" t="s">
        <v>30</v>
      </c>
      <c r="AS30" s="7" t="s">
        <v>30</v>
      </c>
    </row>
    <row r="31" spans="1:46" ht="14.95" customHeight="1" thickBot="1" x14ac:dyDescent="0.3">
      <c r="A31" s="53" t="s">
        <v>711</v>
      </c>
      <c r="B31" s="91">
        <v>3</v>
      </c>
      <c r="C31" s="43">
        <v>0</v>
      </c>
      <c r="D31" s="468">
        <v>0</v>
      </c>
      <c r="E31" s="444">
        <v>1</v>
      </c>
      <c r="F31" s="5">
        <f t="shared" si="0"/>
        <v>4</v>
      </c>
      <c r="G31" s="75" t="s">
        <v>711</v>
      </c>
      <c r="H31" s="92">
        <v>15</v>
      </c>
      <c r="I31" s="194">
        <v>0</v>
      </c>
      <c r="J31" s="343">
        <v>0</v>
      </c>
      <c r="K31" s="374">
        <v>5</v>
      </c>
      <c r="L31" s="74">
        <f t="shared" si="1"/>
        <v>20</v>
      </c>
      <c r="M31" s="15" t="s">
        <v>103</v>
      </c>
      <c r="N31" s="43" t="s">
        <v>30</v>
      </c>
      <c r="O31" s="43" t="s">
        <v>30</v>
      </c>
      <c r="P31" s="44" t="s">
        <v>30</v>
      </c>
      <c r="Q31" s="7" t="s">
        <v>30</v>
      </c>
      <c r="R31" s="7" t="s">
        <v>30</v>
      </c>
      <c r="S31" s="206" t="s">
        <v>30</v>
      </c>
      <c r="T31" s="7" t="s">
        <v>30</v>
      </c>
      <c r="U31" s="7" t="s">
        <v>30</v>
      </c>
      <c r="V31" s="7" t="s">
        <v>30</v>
      </c>
      <c r="W31" s="201" t="s">
        <v>30</v>
      </c>
      <c r="X31" s="7" t="s">
        <v>30</v>
      </c>
      <c r="Y31" s="7" t="s">
        <v>30</v>
      </c>
      <c r="AE31" s="201" t="s">
        <v>30</v>
      </c>
      <c r="AF31" s="7" t="s">
        <v>30</v>
      </c>
      <c r="AG31" s="7" t="s">
        <v>30</v>
      </c>
      <c r="AH31" s="201">
        <v>0</v>
      </c>
      <c r="AI31" s="7">
        <v>1</v>
      </c>
      <c r="AJ31" s="206">
        <f>SUM(AH31/AI31)*100</f>
        <v>0</v>
      </c>
      <c r="AK31" s="201" t="s">
        <v>30</v>
      </c>
      <c r="AL31" s="7" t="s">
        <v>30</v>
      </c>
      <c r="AM31" s="7" t="s">
        <v>30</v>
      </c>
      <c r="AN31" s="7" t="s">
        <v>30</v>
      </c>
      <c r="AO31" s="7" t="s">
        <v>30</v>
      </c>
      <c r="AP31" s="7" t="s">
        <v>30</v>
      </c>
      <c r="AQ31" s="201" t="s">
        <v>30</v>
      </c>
      <c r="AR31" s="7" t="s">
        <v>30</v>
      </c>
      <c r="AS31" s="7" t="s">
        <v>30</v>
      </c>
    </row>
    <row r="32" spans="1:46" ht="14.95" customHeight="1" thickBot="1" x14ac:dyDescent="0.3">
      <c r="A32" s="53" t="s">
        <v>103</v>
      </c>
      <c r="B32" s="91">
        <v>2</v>
      </c>
      <c r="C32" s="43">
        <v>1</v>
      </c>
      <c r="D32" s="468">
        <v>2</v>
      </c>
      <c r="E32" s="444">
        <v>0</v>
      </c>
      <c r="F32" s="5">
        <f t="shared" si="0"/>
        <v>5</v>
      </c>
      <c r="G32" s="75" t="s">
        <v>103</v>
      </c>
      <c r="H32" s="92">
        <v>13</v>
      </c>
      <c r="I32" s="194">
        <v>5</v>
      </c>
      <c r="J32" s="343">
        <v>10</v>
      </c>
      <c r="K32" s="374">
        <v>0</v>
      </c>
      <c r="L32" s="74">
        <f t="shared" si="1"/>
        <v>28</v>
      </c>
      <c r="M32" s="15" t="s">
        <v>1068</v>
      </c>
      <c r="N32" s="43">
        <v>6</v>
      </c>
      <c r="O32" s="43">
        <v>7</v>
      </c>
      <c r="P32" s="44">
        <f>SUM(N32/O32)*100</f>
        <v>85.714285714285708</v>
      </c>
      <c r="Q32" s="7" t="s">
        <v>30</v>
      </c>
      <c r="R32" s="7" t="s">
        <v>30</v>
      </c>
      <c r="S32" s="206" t="s">
        <v>30</v>
      </c>
      <c r="T32" s="7" t="s">
        <v>30</v>
      </c>
      <c r="U32" s="7" t="s">
        <v>30</v>
      </c>
      <c r="V32" s="206" t="s">
        <v>30</v>
      </c>
      <c r="W32" s="7" t="s">
        <v>30</v>
      </c>
      <c r="X32" s="7" t="s">
        <v>30</v>
      </c>
      <c r="Y32" s="206" t="s">
        <v>30</v>
      </c>
      <c r="AE32" s="6" t="s">
        <v>30</v>
      </c>
      <c r="AF32" s="7" t="s">
        <v>30</v>
      </c>
      <c r="AG32" s="206" t="s">
        <v>30</v>
      </c>
      <c r="AH32" s="7" t="s">
        <v>30</v>
      </c>
      <c r="AI32" s="7" t="s">
        <v>30</v>
      </c>
      <c r="AJ32" s="206" t="s">
        <v>30</v>
      </c>
      <c r="AK32" s="7" t="s">
        <v>30</v>
      </c>
      <c r="AL32" s="7" t="s">
        <v>30</v>
      </c>
      <c r="AM32" s="206" t="s">
        <v>30</v>
      </c>
      <c r="AN32" s="7" t="s">
        <v>30</v>
      </c>
      <c r="AO32" s="7" t="s">
        <v>30</v>
      </c>
      <c r="AP32" s="206" t="s">
        <v>30</v>
      </c>
      <c r="AQ32" s="7" t="s">
        <v>30</v>
      </c>
      <c r="AR32" s="7" t="s">
        <v>30</v>
      </c>
      <c r="AS32" s="206" t="s">
        <v>30</v>
      </c>
    </row>
    <row r="33" spans="1:45" ht="14.95" customHeight="1" thickBot="1" x14ac:dyDescent="0.3">
      <c r="A33" s="53" t="s">
        <v>240</v>
      </c>
      <c r="B33" s="91">
        <v>1</v>
      </c>
      <c r="C33" s="43">
        <v>1</v>
      </c>
      <c r="D33" s="468">
        <v>0</v>
      </c>
      <c r="E33" s="444">
        <v>0</v>
      </c>
      <c r="F33" s="5">
        <f t="shared" si="0"/>
        <v>2</v>
      </c>
      <c r="G33" s="75" t="s">
        <v>240</v>
      </c>
      <c r="H33" s="92">
        <v>5</v>
      </c>
      <c r="I33" s="194">
        <v>5</v>
      </c>
      <c r="J33" s="343">
        <v>0</v>
      </c>
      <c r="K33" s="374">
        <v>0</v>
      </c>
      <c r="L33" s="74">
        <f t="shared" si="1"/>
        <v>10</v>
      </c>
      <c r="M33" s="15" t="s">
        <v>993</v>
      </c>
      <c r="N33" s="43">
        <v>7</v>
      </c>
      <c r="O33" s="43">
        <v>13</v>
      </c>
      <c r="P33" s="44">
        <f>SUM(N33/O33)*100</f>
        <v>53.846153846153847</v>
      </c>
      <c r="Q33" s="7" t="s">
        <v>30</v>
      </c>
      <c r="R33" s="7" t="s">
        <v>30</v>
      </c>
      <c r="S33" s="206" t="s">
        <v>30</v>
      </c>
      <c r="T33" s="7">
        <v>1</v>
      </c>
      <c r="U33" s="7">
        <v>1</v>
      </c>
      <c r="V33" s="7">
        <f>(T33/U33)*100</f>
        <v>100</v>
      </c>
      <c r="W33" s="201" t="s">
        <v>30</v>
      </c>
      <c r="X33" s="7" t="s">
        <v>30</v>
      </c>
      <c r="Y33" s="7" t="s">
        <v>30</v>
      </c>
      <c r="AE33" s="201">
        <v>5</v>
      </c>
      <c r="AF33" s="7">
        <v>8</v>
      </c>
      <c r="AG33" s="206">
        <f>SUM(AE33/AF33)*100</f>
        <v>62.5</v>
      </c>
      <c r="AH33" s="201" t="s">
        <v>30</v>
      </c>
      <c r="AI33" s="7" t="s">
        <v>30</v>
      </c>
      <c r="AJ33" s="7" t="s">
        <v>30</v>
      </c>
      <c r="AK33" s="201" t="s">
        <v>30</v>
      </c>
      <c r="AL33" s="7" t="s">
        <v>30</v>
      </c>
      <c r="AM33" s="7" t="s">
        <v>30</v>
      </c>
      <c r="AN33" s="7" t="s">
        <v>30</v>
      </c>
      <c r="AO33" s="7" t="s">
        <v>30</v>
      </c>
      <c r="AP33" s="7" t="s">
        <v>30</v>
      </c>
      <c r="AQ33" s="201" t="s">
        <v>30</v>
      </c>
      <c r="AR33" s="7" t="s">
        <v>30</v>
      </c>
      <c r="AS33" s="7" t="s">
        <v>30</v>
      </c>
    </row>
    <row r="34" spans="1:45" ht="14.95" customHeight="1" thickBot="1" x14ac:dyDescent="0.3">
      <c r="A34" s="53" t="s">
        <v>713</v>
      </c>
      <c r="B34" s="91">
        <v>0</v>
      </c>
      <c r="C34" s="43">
        <v>0</v>
      </c>
      <c r="D34" s="468">
        <v>0</v>
      </c>
      <c r="E34" s="444">
        <v>0</v>
      </c>
      <c r="F34" s="5">
        <f t="shared" si="0"/>
        <v>0</v>
      </c>
      <c r="G34" s="75" t="s">
        <v>713</v>
      </c>
      <c r="H34" s="92">
        <v>0</v>
      </c>
      <c r="I34" s="194">
        <v>0</v>
      </c>
      <c r="J34" s="343">
        <v>0</v>
      </c>
      <c r="K34" s="374">
        <v>0</v>
      </c>
      <c r="L34" s="74">
        <f t="shared" si="1"/>
        <v>0</v>
      </c>
      <c r="M34" s="418" t="s">
        <v>128</v>
      </c>
      <c r="N34" s="43" t="s">
        <v>30</v>
      </c>
      <c r="O34" s="43" t="s">
        <v>30</v>
      </c>
      <c r="P34" s="44" t="s">
        <v>30</v>
      </c>
      <c r="Q34" s="7" t="s">
        <v>30</v>
      </c>
      <c r="R34" s="7" t="s">
        <v>30</v>
      </c>
      <c r="S34" s="206" t="s">
        <v>30</v>
      </c>
      <c r="T34" s="7">
        <v>9</v>
      </c>
      <c r="U34" s="7">
        <v>13</v>
      </c>
      <c r="V34" s="206">
        <f>(T34/U34)*100</f>
        <v>69.230769230769226</v>
      </c>
      <c r="W34" s="201" t="s">
        <v>30</v>
      </c>
      <c r="X34" s="7" t="s">
        <v>30</v>
      </c>
      <c r="Y34" s="7" t="s">
        <v>30</v>
      </c>
      <c r="AE34" s="201">
        <v>6</v>
      </c>
      <c r="AF34" s="7">
        <v>8</v>
      </c>
      <c r="AG34" s="206">
        <f>SUM(AE34/AF34)*100</f>
        <v>75</v>
      </c>
      <c r="AH34" s="201">
        <v>0</v>
      </c>
      <c r="AI34" s="7">
        <v>2</v>
      </c>
      <c r="AJ34" s="206">
        <f>SUM(AH34/AI34)*100</f>
        <v>0</v>
      </c>
      <c r="AK34" s="201" t="s">
        <v>30</v>
      </c>
      <c r="AL34" s="7" t="s">
        <v>30</v>
      </c>
      <c r="AM34" s="7" t="s">
        <v>30</v>
      </c>
      <c r="AN34" s="7" t="s">
        <v>30</v>
      </c>
      <c r="AO34" s="7" t="s">
        <v>30</v>
      </c>
      <c r="AP34" s="7" t="s">
        <v>30</v>
      </c>
      <c r="AQ34" s="201" t="s">
        <v>30</v>
      </c>
      <c r="AR34" s="7" t="s">
        <v>30</v>
      </c>
      <c r="AS34" s="7" t="s">
        <v>30</v>
      </c>
    </row>
    <row r="35" spans="1:45" ht="14.95" customHeight="1" thickBot="1" x14ac:dyDescent="0.3">
      <c r="A35" s="53" t="s">
        <v>595</v>
      </c>
      <c r="B35" s="91">
        <v>2</v>
      </c>
      <c r="C35" s="43">
        <v>0</v>
      </c>
      <c r="D35" s="468">
        <v>0</v>
      </c>
      <c r="E35" s="444">
        <v>0</v>
      </c>
      <c r="F35" s="5">
        <f t="shared" si="0"/>
        <v>2</v>
      </c>
      <c r="G35" s="75" t="s">
        <v>595</v>
      </c>
      <c r="H35" s="92">
        <v>10</v>
      </c>
      <c r="I35" s="194">
        <v>0</v>
      </c>
      <c r="J35" s="343">
        <v>0</v>
      </c>
      <c r="K35" s="374">
        <v>0</v>
      </c>
      <c r="L35" s="74">
        <f t="shared" si="1"/>
        <v>10</v>
      </c>
      <c r="M35" s="518" t="s">
        <v>994</v>
      </c>
      <c r="N35" s="584"/>
      <c r="O35" s="584"/>
      <c r="P35" s="584"/>
      <c r="Q35" s="584"/>
      <c r="R35" s="584"/>
      <c r="S35" s="584"/>
      <c r="T35" s="584"/>
      <c r="U35" s="584"/>
      <c r="V35" s="584"/>
      <c r="W35" s="584"/>
      <c r="X35" s="584"/>
      <c r="Y35" s="584"/>
      <c r="Z35" s="584"/>
      <c r="AA35" s="584"/>
      <c r="AB35" s="584"/>
      <c r="AC35" s="584"/>
      <c r="AD35" s="584"/>
      <c r="AE35" s="584"/>
      <c r="AF35" s="584"/>
      <c r="AG35" s="584"/>
      <c r="AH35" s="584"/>
      <c r="AI35" s="584"/>
      <c r="AJ35" s="584"/>
      <c r="AK35" s="584"/>
      <c r="AL35" s="73"/>
      <c r="AM35" s="73"/>
      <c r="AN35" s="73"/>
      <c r="AO35" s="73"/>
    </row>
    <row r="36" spans="1:45" ht="14.95" customHeight="1" thickBot="1" x14ac:dyDescent="0.3">
      <c r="A36" s="53" t="s">
        <v>1139</v>
      </c>
      <c r="B36" s="91">
        <v>3</v>
      </c>
      <c r="C36" s="43">
        <v>0</v>
      </c>
      <c r="D36" s="468">
        <v>0</v>
      </c>
      <c r="E36" s="444">
        <v>0</v>
      </c>
      <c r="F36" s="5">
        <f t="shared" si="0"/>
        <v>3</v>
      </c>
      <c r="G36" s="75" t="s">
        <v>1139</v>
      </c>
      <c r="H36" s="92">
        <v>15</v>
      </c>
      <c r="I36" s="194">
        <v>0</v>
      </c>
      <c r="J36" s="343">
        <v>0</v>
      </c>
      <c r="K36" s="374">
        <v>0</v>
      </c>
      <c r="L36" s="74">
        <f t="shared" si="1"/>
        <v>15</v>
      </c>
    </row>
    <row r="37" spans="1:45" ht="14.95" customHeight="1" thickBot="1" x14ac:dyDescent="0.3">
      <c r="A37" s="53" t="s">
        <v>1152</v>
      </c>
      <c r="B37" s="91">
        <v>1</v>
      </c>
      <c r="C37" s="43">
        <v>0</v>
      </c>
      <c r="D37" s="468">
        <v>0</v>
      </c>
      <c r="E37" s="444">
        <v>0</v>
      </c>
      <c r="F37" s="5">
        <f t="shared" si="0"/>
        <v>1</v>
      </c>
      <c r="G37" s="75" t="s">
        <v>1152</v>
      </c>
      <c r="H37" s="92">
        <v>5</v>
      </c>
      <c r="I37" s="194">
        <v>0</v>
      </c>
      <c r="J37" s="343">
        <v>0</v>
      </c>
      <c r="K37" s="374">
        <v>0</v>
      </c>
      <c r="L37" s="74">
        <f t="shared" si="1"/>
        <v>5</v>
      </c>
    </row>
    <row r="38" spans="1:45" ht="14.95" customHeight="1" thickBot="1" x14ac:dyDescent="0.3">
      <c r="A38" s="53" t="s">
        <v>1064</v>
      </c>
      <c r="B38" s="91">
        <v>0</v>
      </c>
      <c r="C38" s="43">
        <v>0</v>
      </c>
      <c r="D38" s="468">
        <v>0</v>
      </c>
      <c r="E38" s="444">
        <v>1</v>
      </c>
      <c r="F38" s="5">
        <f t="shared" si="0"/>
        <v>1</v>
      </c>
      <c r="G38" s="75" t="s">
        <v>1064</v>
      </c>
      <c r="H38" s="92">
        <v>0</v>
      </c>
      <c r="I38" s="194">
        <v>0</v>
      </c>
      <c r="J38" s="343">
        <v>0</v>
      </c>
      <c r="K38" s="374">
        <v>5</v>
      </c>
      <c r="L38" s="74">
        <f t="shared" si="1"/>
        <v>5</v>
      </c>
    </row>
    <row r="39" spans="1:45" ht="14.95" customHeight="1" thickBot="1" x14ac:dyDescent="0.3">
      <c r="A39" s="53" t="s">
        <v>128</v>
      </c>
      <c r="B39" s="91">
        <v>4</v>
      </c>
      <c r="C39" s="43">
        <v>0</v>
      </c>
      <c r="D39" s="468">
        <v>1</v>
      </c>
      <c r="E39" s="444">
        <v>0</v>
      </c>
      <c r="F39" s="5">
        <f t="shared" si="0"/>
        <v>5</v>
      </c>
      <c r="G39" s="75" t="s">
        <v>128</v>
      </c>
      <c r="H39" s="92">
        <v>85</v>
      </c>
      <c r="I39" s="194">
        <v>0</v>
      </c>
      <c r="J39" s="343">
        <v>5</v>
      </c>
      <c r="K39" s="374">
        <v>0</v>
      </c>
      <c r="L39" s="74">
        <f t="shared" si="1"/>
        <v>90</v>
      </c>
    </row>
    <row r="40" spans="1:45" ht="14.95" customHeight="1" thickBot="1" x14ac:dyDescent="0.3">
      <c r="A40" s="53" t="s">
        <v>1062</v>
      </c>
      <c r="B40" s="91">
        <v>0</v>
      </c>
      <c r="C40" s="43">
        <v>0</v>
      </c>
      <c r="D40" s="468">
        <v>0</v>
      </c>
      <c r="E40" s="444">
        <v>1</v>
      </c>
      <c r="F40" s="5">
        <f t="shared" si="0"/>
        <v>1</v>
      </c>
      <c r="G40" s="75" t="s">
        <v>1062</v>
      </c>
      <c r="H40" s="92">
        <v>0</v>
      </c>
      <c r="I40" s="194">
        <v>0</v>
      </c>
      <c r="J40" s="343">
        <v>0</v>
      </c>
      <c r="K40" s="374">
        <v>5</v>
      </c>
      <c r="L40" s="74">
        <f t="shared" si="1"/>
        <v>5</v>
      </c>
    </row>
    <row r="41" spans="1:45" ht="14.95" customHeight="1" thickBot="1" x14ac:dyDescent="0.3">
      <c r="A41" s="53" t="s">
        <v>1189</v>
      </c>
      <c r="B41" s="91">
        <v>0</v>
      </c>
      <c r="C41" s="43">
        <v>0</v>
      </c>
      <c r="D41" s="468">
        <v>0</v>
      </c>
      <c r="E41" s="444">
        <v>1</v>
      </c>
      <c r="F41" s="5">
        <f t="shared" si="0"/>
        <v>1</v>
      </c>
      <c r="G41" s="75" t="s">
        <v>1189</v>
      </c>
      <c r="H41" s="92">
        <v>0</v>
      </c>
      <c r="I41" s="194">
        <v>0</v>
      </c>
      <c r="J41" s="343">
        <v>0</v>
      </c>
      <c r="K41" s="374">
        <v>5</v>
      </c>
      <c r="L41" s="74">
        <f t="shared" si="1"/>
        <v>5</v>
      </c>
    </row>
    <row r="42" spans="1:45" ht="14.95" customHeight="1" thickBot="1" x14ac:dyDescent="0.3">
      <c r="A42" s="53" t="s">
        <v>51</v>
      </c>
      <c r="B42" s="91">
        <v>1</v>
      </c>
      <c r="C42" s="43">
        <v>0</v>
      </c>
      <c r="D42" s="468">
        <v>0</v>
      </c>
      <c r="E42" s="444">
        <v>0</v>
      </c>
      <c r="F42" s="5">
        <f t="shared" si="0"/>
        <v>1</v>
      </c>
      <c r="G42" s="75" t="s">
        <v>51</v>
      </c>
      <c r="H42" s="92">
        <v>5</v>
      </c>
      <c r="I42" s="194">
        <v>0</v>
      </c>
      <c r="J42" s="343">
        <v>0</v>
      </c>
      <c r="K42" s="374">
        <v>0</v>
      </c>
      <c r="L42" s="74">
        <f t="shared" si="1"/>
        <v>5</v>
      </c>
    </row>
    <row r="43" spans="1:45" ht="14.95" customHeight="1" thickBot="1" x14ac:dyDescent="0.3">
      <c r="A43" s="53" t="s">
        <v>243</v>
      </c>
      <c r="B43" s="91">
        <v>2</v>
      </c>
      <c r="C43" s="43">
        <v>0</v>
      </c>
      <c r="D43" s="468">
        <v>1</v>
      </c>
      <c r="E43" s="444">
        <v>0</v>
      </c>
      <c r="F43" s="5">
        <f t="shared" si="0"/>
        <v>3</v>
      </c>
      <c r="G43" s="75" t="s">
        <v>243</v>
      </c>
      <c r="H43" s="92">
        <v>10</v>
      </c>
      <c r="I43" s="194">
        <v>0</v>
      </c>
      <c r="J43" s="343">
        <v>5</v>
      </c>
      <c r="K43" s="374">
        <v>0</v>
      </c>
      <c r="L43" s="74">
        <f t="shared" si="1"/>
        <v>15</v>
      </c>
    </row>
    <row r="44" spans="1:45" ht="14.95" customHeight="1" thickBot="1" x14ac:dyDescent="0.3">
      <c r="A44" s="53" t="s">
        <v>155</v>
      </c>
      <c r="B44" s="91">
        <v>0</v>
      </c>
      <c r="C44" s="43">
        <v>0</v>
      </c>
      <c r="D44" s="468">
        <v>0</v>
      </c>
      <c r="E44" s="444">
        <v>0</v>
      </c>
      <c r="F44" s="5">
        <f t="shared" si="0"/>
        <v>0</v>
      </c>
      <c r="G44" s="75" t="s">
        <v>155</v>
      </c>
      <c r="H44" s="92">
        <v>0</v>
      </c>
      <c r="I44" s="194">
        <v>0</v>
      </c>
      <c r="J44" s="343">
        <v>0</v>
      </c>
      <c r="K44" s="374">
        <v>0</v>
      </c>
      <c r="L44" s="74">
        <f t="shared" si="1"/>
        <v>0</v>
      </c>
    </row>
    <row r="45" spans="1:45" ht="14.95" customHeight="1" thickBot="1" x14ac:dyDescent="0.3">
      <c r="A45" s="53" t="s">
        <v>244</v>
      </c>
      <c r="B45" s="91">
        <v>6</v>
      </c>
      <c r="C45" s="43">
        <v>0</v>
      </c>
      <c r="D45" s="468">
        <v>0</v>
      </c>
      <c r="E45" s="444">
        <v>0</v>
      </c>
      <c r="F45" s="5">
        <f t="shared" si="0"/>
        <v>6</v>
      </c>
      <c r="G45" s="75" t="s">
        <v>244</v>
      </c>
      <c r="H45" s="92">
        <v>30</v>
      </c>
      <c r="I45" s="194">
        <v>0</v>
      </c>
      <c r="J45" s="343">
        <v>0</v>
      </c>
      <c r="K45" s="374">
        <v>0</v>
      </c>
      <c r="L45" s="74">
        <f t="shared" si="1"/>
        <v>30</v>
      </c>
    </row>
    <row r="46" spans="1:45" ht="14.95" customHeight="1" thickBot="1" x14ac:dyDescent="0.3">
      <c r="A46" s="53" t="s">
        <v>492</v>
      </c>
      <c r="B46" s="91">
        <v>1</v>
      </c>
      <c r="C46" s="43">
        <v>0</v>
      </c>
      <c r="D46" s="468">
        <v>0</v>
      </c>
      <c r="E46" s="444">
        <v>0</v>
      </c>
      <c r="F46" s="5">
        <f t="shared" si="0"/>
        <v>1</v>
      </c>
      <c r="G46" s="75" t="s">
        <v>492</v>
      </c>
      <c r="H46" s="92">
        <v>5</v>
      </c>
      <c r="I46" s="194">
        <v>0</v>
      </c>
      <c r="J46" s="343">
        <v>0</v>
      </c>
      <c r="K46" s="374">
        <v>0</v>
      </c>
      <c r="L46" s="74">
        <f t="shared" si="1"/>
        <v>5</v>
      </c>
    </row>
    <row r="47" spans="1:45" ht="14.95" customHeight="1" thickBot="1" x14ac:dyDescent="0.3">
      <c r="A47" s="53" t="s">
        <v>53</v>
      </c>
      <c r="B47" s="91">
        <v>2</v>
      </c>
      <c r="C47" s="43">
        <v>0</v>
      </c>
      <c r="D47" s="468">
        <v>0</v>
      </c>
      <c r="E47" s="444">
        <v>0</v>
      </c>
      <c r="F47" s="5">
        <f t="shared" si="0"/>
        <v>2</v>
      </c>
      <c r="G47" s="75" t="s">
        <v>53</v>
      </c>
      <c r="H47" s="92">
        <v>10</v>
      </c>
      <c r="I47" s="194">
        <v>0</v>
      </c>
      <c r="J47" s="343">
        <v>0</v>
      </c>
      <c r="K47" s="374">
        <v>0</v>
      </c>
      <c r="L47" s="74">
        <f t="shared" si="1"/>
        <v>10</v>
      </c>
    </row>
    <row r="48" spans="1:45" ht="14.95" thickBot="1" x14ac:dyDescent="0.3">
      <c r="A48" s="53" t="s">
        <v>3</v>
      </c>
      <c r="B48" s="91">
        <f>SUM(B3:B47)</f>
        <v>76</v>
      </c>
      <c r="C48" s="43">
        <f>SUM(C3:C47)</f>
        <v>6</v>
      </c>
      <c r="D48" s="468">
        <f>SUM(D3:D47)</f>
        <v>11</v>
      </c>
      <c r="E48" s="444">
        <f>SUM(E3:E47)</f>
        <v>17</v>
      </c>
      <c r="F48" s="5">
        <f t="shared" si="0"/>
        <v>110</v>
      </c>
      <c r="G48" s="75" t="s">
        <v>3</v>
      </c>
      <c r="H48" s="92">
        <f>SUM(H3:H47)</f>
        <v>614</v>
      </c>
      <c r="I48" s="194">
        <f>SUM(I3:I47)</f>
        <v>51</v>
      </c>
      <c r="J48" s="343">
        <f>SUM(J3:J47)</f>
        <v>91</v>
      </c>
      <c r="K48" s="374">
        <f>SUM(K3:K47)</f>
        <v>115</v>
      </c>
      <c r="L48" s="74">
        <f>SUM(H48:K48)</f>
        <v>871</v>
      </c>
    </row>
    <row r="49" spans="1:12" x14ac:dyDescent="0.25">
      <c r="G49" s="72"/>
      <c r="H49" s="35"/>
      <c r="I49" s="35"/>
      <c r="J49" s="35"/>
      <c r="K49" s="35"/>
      <c r="L49" s="35"/>
    </row>
    <row r="50" spans="1:12" ht="14.95" thickBot="1" x14ac:dyDescent="0.3">
      <c r="A50" t="s">
        <v>26</v>
      </c>
      <c r="G50" s="73"/>
      <c r="H50" s="37"/>
      <c r="I50" s="37"/>
      <c r="J50" s="37"/>
      <c r="K50" s="37"/>
      <c r="L50" s="37"/>
    </row>
    <row r="51" spans="1:12" ht="14.95" thickBot="1" x14ac:dyDescent="0.3">
      <c r="A51" s="140" t="s">
        <v>0</v>
      </c>
      <c r="B51" s="145" t="s">
        <v>620</v>
      </c>
      <c r="C51" s="132" t="s">
        <v>63</v>
      </c>
      <c r="D51" s="467" t="s">
        <v>64</v>
      </c>
      <c r="E51" s="443" t="s">
        <v>925</v>
      </c>
      <c r="F51" s="133" t="s">
        <v>1</v>
      </c>
      <c r="G51" s="141" t="s">
        <v>2</v>
      </c>
      <c r="H51" s="138" t="s">
        <v>620</v>
      </c>
      <c r="I51" s="195" t="s">
        <v>63</v>
      </c>
      <c r="J51" s="342" t="s">
        <v>64</v>
      </c>
      <c r="K51" s="373" t="s">
        <v>925</v>
      </c>
      <c r="L51" s="139" t="s">
        <v>1</v>
      </c>
    </row>
    <row r="52" spans="1:12" ht="14.95" thickBot="1" x14ac:dyDescent="0.3">
      <c r="A52" s="53" t="s">
        <v>412</v>
      </c>
      <c r="B52" s="91">
        <v>5</v>
      </c>
      <c r="C52" s="43">
        <v>2</v>
      </c>
      <c r="D52" s="468">
        <v>4</v>
      </c>
      <c r="E52" s="444">
        <v>0</v>
      </c>
      <c r="F52" s="5">
        <f t="shared" ref="F52:F96" si="4">SUM(B52:E52)</f>
        <v>11</v>
      </c>
      <c r="G52" s="75" t="s">
        <v>95</v>
      </c>
      <c r="H52" s="92">
        <v>172</v>
      </c>
      <c r="I52" s="194">
        <v>19</v>
      </c>
      <c r="J52" s="343">
        <v>46</v>
      </c>
      <c r="K52" s="374">
        <v>0</v>
      </c>
      <c r="L52" s="74">
        <f t="shared" ref="L52:L97" si="5">SUM(H52:K52)</f>
        <v>237</v>
      </c>
    </row>
    <row r="53" spans="1:12" ht="14.95" thickBot="1" x14ac:dyDescent="0.3">
      <c r="A53" s="53" t="s">
        <v>562</v>
      </c>
      <c r="B53" s="91">
        <v>9</v>
      </c>
      <c r="C53" s="43">
        <v>0</v>
      </c>
      <c r="D53" s="468">
        <v>0</v>
      </c>
      <c r="E53" s="444">
        <v>0</v>
      </c>
      <c r="F53" s="5">
        <f t="shared" si="4"/>
        <v>9</v>
      </c>
      <c r="G53" s="75" t="s">
        <v>128</v>
      </c>
      <c r="H53" s="92">
        <v>85</v>
      </c>
      <c r="I53" s="194">
        <v>0</v>
      </c>
      <c r="J53" s="343">
        <v>5</v>
      </c>
      <c r="K53" s="374">
        <v>0</v>
      </c>
      <c r="L53" s="74">
        <f t="shared" si="5"/>
        <v>90</v>
      </c>
    </row>
    <row r="54" spans="1:12" ht="14.95" thickBot="1" x14ac:dyDescent="0.3">
      <c r="A54" s="53" t="s">
        <v>1014</v>
      </c>
      <c r="B54" s="91">
        <v>6</v>
      </c>
      <c r="C54" s="43">
        <v>0</v>
      </c>
      <c r="D54" s="468">
        <v>0</v>
      </c>
      <c r="E54" s="444">
        <v>1</v>
      </c>
      <c r="F54" s="5">
        <f t="shared" si="4"/>
        <v>7</v>
      </c>
      <c r="G54" s="75" t="s">
        <v>412</v>
      </c>
      <c r="H54" s="92">
        <v>25</v>
      </c>
      <c r="I54" s="194">
        <v>10</v>
      </c>
      <c r="J54" s="343">
        <v>20</v>
      </c>
      <c r="K54" s="374">
        <v>0</v>
      </c>
      <c r="L54" s="74">
        <f t="shared" si="5"/>
        <v>55</v>
      </c>
    </row>
    <row r="55" spans="1:12" ht="14.95" thickBot="1" x14ac:dyDescent="0.3">
      <c r="A55" s="53" t="s">
        <v>730</v>
      </c>
      <c r="B55" s="91">
        <v>5</v>
      </c>
      <c r="C55" s="43">
        <v>0</v>
      </c>
      <c r="D55" s="468">
        <v>0</v>
      </c>
      <c r="E55" s="444">
        <v>1</v>
      </c>
      <c r="F55" s="5">
        <f t="shared" si="4"/>
        <v>6</v>
      </c>
      <c r="G55" s="75" t="s">
        <v>562</v>
      </c>
      <c r="H55" s="92">
        <v>45</v>
      </c>
      <c r="I55" s="194">
        <v>0</v>
      </c>
      <c r="J55" s="343">
        <v>0</v>
      </c>
      <c r="K55" s="374">
        <v>0</v>
      </c>
      <c r="L55" s="74">
        <f t="shared" si="5"/>
        <v>45</v>
      </c>
    </row>
    <row r="56" spans="1:12" ht="14.95" thickBot="1" x14ac:dyDescent="0.3">
      <c r="A56" s="53" t="s">
        <v>244</v>
      </c>
      <c r="B56" s="91">
        <v>6</v>
      </c>
      <c r="C56" s="43">
        <v>0</v>
      </c>
      <c r="D56" s="468">
        <v>0</v>
      </c>
      <c r="E56" s="444">
        <v>0</v>
      </c>
      <c r="F56" s="5">
        <f t="shared" si="4"/>
        <v>6</v>
      </c>
      <c r="G56" s="75" t="s">
        <v>1014</v>
      </c>
      <c r="H56" s="92">
        <v>30</v>
      </c>
      <c r="I56" s="194">
        <v>0</v>
      </c>
      <c r="J56" s="343">
        <v>0</v>
      </c>
      <c r="K56" s="374">
        <v>5</v>
      </c>
      <c r="L56" s="74">
        <f t="shared" si="5"/>
        <v>35</v>
      </c>
    </row>
    <row r="57" spans="1:12" ht="14.95" thickBot="1" x14ac:dyDescent="0.3">
      <c r="A57" s="53" t="s">
        <v>512</v>
      </c>
      <c r="B57" s="91">
        <v>4</v>
      </c>
      <c r="C57" s="43">
        <v>0</v>
      </c>
      <c r="D57" s="468">
        <v>0</v>
      </c>
      <c r="E57" s="444">
        <v>1</v>
      </c>
      <c r="F57" s="5">
        <f t="shared" si="4"/>
        <v>5</v>
      </c>
      <c r="G57" s="75" t="s">
        <v>730</v>
      </c>
      <c r="H57" s="92">
        <v>25</v>
      </c>
      <c r="I57" s="194">
        <v>0</v>
      </c>
      <c r="J57" s="343">
        <v>0</v>
      </c>
      <c r="K57" s="374">
        <v>5</v>
      </c>
      <c r="L57" s="74">
        <f t="shared" si="5"/>
        <v>30</v>
      </c>
    </row>
    <row r="58" spans="1:12" ht="14.95" thickBot="1" x14ac:dyDescent="0.3">
      <c r="A58" s="53" t="s">
        <v>103</v>
      </c>
      <c r="B58" s="91">
        <v>2</v>
      </c>
      <c r="C58" s="43">
        <v>1</v>
      </c>
      <c r="D58" s="468">
        <v>2</v>
      </c>
      <c r="E58" s="444">
        <v>0</v>
      </c>
      <c r="F58" s="5">
        <f t="shared" si="4"/>
        <v>5</v>
      </c>
      <c r="G58" s="75" t="s">
        <v>244</v>
      </c>
      <c r="H58" s="92">
        <v>30</v>
      </c>
      <c r="I58" s="194">
        <v>0</v>
      </c>
      <c r="J58" s="343">
        <v>0</v>
      </c>
      <c r="K58" s="374">
        <v>0</v>
      </c>
      <c r="L58" s="74">
        <f t="shared" si="5"/>
        <v>30</v>
      </c>
    </row>
    <row r="59" spans="1:12" ht="14.95" thickBot="1" x14ac:dyDescent="0.3">
      <c r="A59" s="53" t="s">
        <v>128</v>
      </c>
      <c r="B59" s="91">
        <v>4</v>
      </c>
      <c r="C59" s="43">
        <v>0</v>
      </c>
      <c r="D59" s="468">
        <v>1</v>
      </c>
      <c r="E59" s="444">
        <v>0</v>
      </c>
      <c r="F59" s="5">
        <f t="shared" si="4"/>
        <v>5</v>
      </c>
      <c r="G59" s="75" t="s">
        <v>103</v>
      </c>
      <c r="H59" s="92">
        <v>13</v>
      </c>
      <c r="I59" s="194">
        <v>5</v>
      </c>
      <c r="J59" s="343">
        <v>10</v>
      </c>
      <c r="K59" s="374">
        <v>0</v>
      </c>
      <c r="L59" s="74">
        <f t="shared" si="5"/>
        <v>28</v>
      </c>
    </row>
    <row r="60" spans="1:12" ht="14.95" thickBot="1" x14ac:dyDescent="0.3">
      <c r="A60" s="53" t="s">
        <v>95</v>
      </c>
      <c r="B60" s="91">
        <v>2</v>
      </c>
      <c r="C60" s="43">
        <v>0</v>
      </c>
      <c r="D60" s="468">
        <v>2</v>
      </c>
      <c r="E60" s="444">
        <v>0</v>
      </c>
      <c r="F60" s="5">
        <f t="shared" si="4"/>
        <v>4</v>
      </c>
      <c r="G60" s="75" t="s">
        <v>512</v>
      </c>
      <c r="H60" s="92">
        <v>20</v>
      </c>
      <c r="I60" s="194">
        <v>0</v>
      </c>
      <c r="J60" s="343">
        <v>0</v>
      </c>
      <c r="K60" s="374">
        <v>5</v>
      </c>
      <c r="L60" s="74">
        <f t="shared" si="5"/>
        <v>25</v>
      </c>
    </row>
    <row r="61" spans="1:12" ht="14.95" thickBot="1" x14ac:dyDescent="0.3">
      <c r="A61" s="53" t="s">
        <v>1222</v>
      </c>
      <c r="B61" s="91">
        <v>0</v>
      </c>
      <c r="C61" s="43">
        <v>0</v>
      </c>
      <c r="D61" s="468">
        <v>0</v>
      </c>
      <c r="E61" s="444">
        <v>4</v>
      </c>
      <c r="F61" s="5">
        <f t="shared" si="4"/>
        <v>4</v>
      </c>
      <c r="G61" s="75" t="s">
        <v>1222</v>
      </c>
      <c r="H61" s="92">
        <v>0</v>
      </c>
      <c r="I61" s="194">
        <v>0</v>
      </c>
      <c r="J61" s="343">
        <v>0</v>
      </c>
      <c r="K61" s="374">
        <v>20</v>
      </c>
      <c r="L61" s="74">
        <f t="shared" si="5"/>
        <v>20</v>
      </c>
    </row>
    <row r="62" spans="1:12" ht="14.95" thickBot="1" x14ac:dyDescent="0.3">
      <c r="A62" s="53" t="s">
        <v>711</v>
      </c>
      <c r="B62" s="91">
        <v>3</v>
      </c>
      <c r="C62" s="43">
        <v>0</v>
      </c>
      <c r="D62" s="468">
        <v>0</v>
      </c>
      <c r="E62" s="444">
        <v>1</v>
      </c>
      <c r="F62" s="5">
        <f t="shared" si="4"/>
        <v>4</v>
      </c>
      <c r="G62" s="75" t="s">
        <v>711</v>
      </c>
      <c r="H62" s="92">
        <v>15</v>
      </c>
      <c r="I62" s="194">
        <v>0</v>
      </c>
      <c r="J62" s="343">
        <v>0</v>
      </c>
      <c r="K62" s="374">
        <v>5</v>
      </c>
      <c r="L62" s="74">
        <f t="shared" si="5"/>
        <v>20</v>
      </c>
    </row>
    <row r="63" spans="1:12" ht="14.95" thickBot="1" x14ac:dyDescent="0.3">
      <c r="A63" s="53" t="s">
        <v>555</v>
      </c>
      <c r="B63" s="91">
        <v>1</v>
      </c>
      <c r="C63" s="43">
        <v>1</v>
      </c>
      <c r="D63" s="468">
        <v>1</v>
      </c>
      <c r="E63" s="444">
        <v>0</v>
      </c>
      <c r="F63" s="5">
        <f t="shared" si="4"/>
        <v>3</v>
      </c>
      <c r="G63" s="75" t="s">
        <v>37</v>
      </c>
      <c r="H63" s="92">
        <v>5</v>
      </c>
      <c r="I63" s="194">
        <v>0</v>
      </c>
      <c r="J63" s="343">
        <v>0</v>
      </c>
      <c r="K63" s="374">
        <v>14</v>
      </c>
      <c r="L63" s="74">
        <f t="shared" si="5"/>
        <v>19</v>
      </c>
    </row>
    <row r="64" spans="1:12" ht="14.95" thickBot="1" x14ac:dyDescent="0.3">
      <c r="A64" s="53" t="s">
        <v>1012</v>
      </c>
      <c r="B64" s="91">
        <v>3</v>
      </c>
      <c r="C64" s="43">
        <v>0</v>
      </c>
      <c r="D64" s="468">
        <v>0</v>
      </c>
      <c r="E64" s="444">
        <v>0</v>
      </c>
      <c r="F64" s="5">
        <f t="shared" si="4"/>
        <v>3</v>
      </c>
      <c r="G64" s="75" t="s">
        <v>70</v>
      </c>
      <c r="H64" s="92">
        <v>12</v>
      </c>
      <c r="I64" s="194">
        <v>2</v>
      </c>
      <c r="J64" s="343">
        <v>0</v>
      </c>
      <c r="K64" s="374">
        <v>2</v>
      </c>
      <c r="L64" s="74">
        <f t="shared" si="5"/>
        <v>16</v>
      </c>
    </row>
    <row r="65" spans="1:12" ht="14.95" thickBot="1" x14ac:dyDescent="0.3">
      <c r="A65" s="53" t="s">
        <v>1194</v>
      </c>
      <c r="B65" s="91">
        <v>2</v>
      </c>
      <c r="C65" s="43">
        <v>0</v>
      </c>
      <c r="D65" s="468">
        <v>0</v>
      </c>
      <c r="E65" s="444">
        <v>1</v>
      </c>
      <c r="F65" s="5">
        <f t="shared" si="4"/>
        <v>3</v>
      </c>
      <c r="G65" s="75" t="s">
        <v>555</v>
      </c>
      <c r="H65" s="92">
        <v>5</v>
      </c>
      <c r="I65" s="194">
        <v>5</v>
      </c>
      <c r="J65" s="343">
        <v>5</v>
      </c>
      <c r="K65" s="374">
        <v>0</v>
      </c>
      <c r="L65" s="74">
        <f t="shared" si="5"/>
        <v>15</v>
      </c>
    </row>
    <row r="66" spans="1:12" ht="14.95" thickBot="1" x14ac:dyDescent="0.3">
      <c r="A66" s="53" t="s">
        <v>1139</v>
      </c>
      <c r="B66" s="91">
        <v>3</v>
      </c>
      <c r="C66" s="43">
        <v>0</v>
      </c>
      <c r="D66" s="468">
        <v>0</v>
      </c>
      <c r="E66" s="444">
        <v>0</v>
      </c>
      <c r="F66" s="5">
        <f t="shared" si="4"/>
        <v>3</v>
      </c>
      <c r="G66" s="75" t="s">
        <v>1012</v>
      </c>
      <c r="H66" s="92">
        <v>15</v>
      </c>
      <c r="I66" s="194">
        <v>0</v>
      </c>
      <c r="J66" s="343">
        <v>0</v>
      </c>
      <c r="K66" s="374">
        <v>0</v>
      </c>
      <c r="L66" s="74">
        <f t="shared" si="5"/>
        <v>15</v>
      </c>
    </row>
    <row r="67" spans="1:12" ht="14.95" thickBot="1" x14ac:dyDescent="0.3">
      <c r="A67" s="53" t="s">
        <v>243</v>
      </c>
      <c r="B67" s="91">
        <v>2</v>
      </c>
      <c r="C67" s="43">
        <v>0</v>
      </c>
      <c r="D67" s="468">
        <v>1</v>
      </c>
      <c r="E67" s="444">
        <v>0</v>
      </c>
      <c r="F67" s="5">
        <f t="shared" si="4"/>
        <v>3</v>
      </c>
      <c r="G67" s="75" t="s">
        <v>1194</v>
      </c>
      <c r="H67" s="92">
        <v>10</v>
      </c>
      <c r="I67" s="194">
        <v>0</v>
      </c>
      <c r="J67" s="343">
        <v>0</v>
      </c>
      <c r="K67" s="374">
        <v>5</v>
      </c>
      <c r="L67" s="74">
        <f t="shared" si="5"/>
        <v>15</v>
      </c>
    </row>
    <row r="68" spans="1:12" ht="14.95" thickBot="1" x14ac:dyDescent="0.3">
      <c r="A68" s="53" t="s">
        <v>70</v>
      </c>
      <c r="B68" s="91">
        <v>2</v>
      </c>
      <c r="C68" s="43">
        <v>0</v>
      </c>
      <c r="D68" s="468">
        <v>0</v>
      </c>
      <c r="E68" s="444">
        <v>0</v>
      </c>
      <c r="F68" s="5">
        <f t="shared" si="4"/>
        <v>2</v>
      </c>
      <c r="G68" s="75" t="s">
        <v>1139</v>
      </c>
      <c r="H68" s="92">
        <v>15</v>
      </c>
      <c r="I68" s="194">
        <v>0</v>
      </c>
      <c r="J68" s="343">
        <v>0</v>
      </c>
      <c r="K68" s="374">
        <v>0</v>
      </c>
      <c r="L68" s="74">
        <f t="shared" si="5"/>
        <v>15</v>
      </c>
    </row>
    <row r="69" spans="1:12" ht="14.95" thickBot="1" x14ac:dyDescent="0.3">
      <c r="A69" s="53" t="s">
        <v>14</v>
      </c>
      <c r="B69" s="91">
        <v>2</v>
      </c>
      <c r="C69" s="43">
        <v>0</v>
      </c>
      <c r="D69" s="468">
        <v>0</v>
      </c>
      <c r="E69" s="444">
        <v>0</v>
      </c>
      <c r="F69" s="5">
        <f t="shared" si="4"/>
        <v>2</v>
      </c>
      <c r="G69" s="75" t="s">
        <v>243</v>
      </c>
      <c r="H69" s="92">
        <v>10</v>
      </c>
      <c r="I69" s="194">
        <v>0</v>
      </c>
      <c r="J69" s="343">
        <v>5</v>
      </c>
      <c r="K69" s="374">
        <v>0</v>
      </c>
      <c r="L69" s="74">
        <f t="shared" si="5"/>
        <v>15</v>
      </c>
    </row>
    <row r="70" spans="1:12" ht="14.95" thickBot="1" x14ac:dyDescent="0.3">
      <c r="A70" s="53" t="s">
        <v>1191</v>
      </c>
      <c r="B70" s="91">
        <v>0</v>
      </c>
      <c r="C70" s="43">
        <v>0</v>
      </c>
      <c r="D70" s="468">
        <v>0</v>
      </c>
      <c r="E70" s="444">
        <v>2</v>
      </c>
      <c r="F70" s="5">
        <f t="shared" si="4"/>
        <v>2</v>
      </c>
      <c r="G70" s="75" t="s">
        <v>1068</v>
      </c>
      <c r="H70" s="92">
        <v>0</v>
      </c>
      <c r="I70" s="194">
        <v>0</v>
      </c>
      <c r="J70" s="343">
        <v>0</v>
      </c>
      <c r="K70" s="374">
        <v>14</v>
      </c>
      <c r="L70" s="74">
        <f t="shared" si="5"/>
        <v>14</v>
      </c>
    </row>
    <row r="71" spans="1:12" ht="14.95" thickBot="1" x14ac:dyDescent="0.3">
      <c r="A71" s="53" t="s">
        <v>1041</v>
      </c>
      <c r="B71" s="91">
        <v>2</v>
      </c>
      <c r="C71" s="43">
        <v>0</v>
      </c>
      <c r="D71" s="468">
        <v>0</v>
      </c>
      <c r="E71" s="444">
        <v>0</v>
      </c>
      <c r="F71" s="5">
        <f t="shared" si="4"/>
        <v>2</v>
      </c>
      <c r="G71" s="75" t="s">
        <v>14</v>
      </c>
      <c r="H71" s="92">
        <v>10</v>
      </c>
      <c r="I71" s="194">
        <v>0</v>
      </c>
      <c r="J71" s="343">
        <v>0</v>
      </c>
      <c r="K71" s="374">
        <v>0</v>
      </c>
      <c r="L71" s="74">
        <f t="shared" si="5"/>
        <v>10</v>
      </c>
    </row>
    <row r="72" spans="1:12" ht="14.95" thickBot="1" x14ac:dyDescent="0.3">
      <c r="A72" s="53" t="s">
        <v>1066</v>
      </c>
      <c r="B72" s="91">
        <v>0</v>
      </c>
      <c r="C72" s="43">
        <v>0</v>
      </c>
      <c r="D72" s="468">
        <v>0</v>
      </c>
      <c r="E72" s="444">
        <v>2</v>
      </c>
      <c r="F72" s="5">
        <f t="shared" si="4"/>
        <v>2</v>
      </c>
      <c r="G72" s="75" t="s">
        <v>1191</v>
      </c>
      <c r="H72" s="92">
        <v>0</v>
      </c>
      <c r="I72" s="194">
        <v>0</v>
      </c>
      <c r="J72" s="343">
        <v>0</v>
      </c>
      <c r="K72" s="374">
        <v>10</v>
      </c>
      <c r="L72" s="74">
        <f t="shared" si="5"/>
        <v>10</v>
      </c>
    </row>
    <row r="73" spans="1:12" ht="14.95" thickBot="1" x14ac:dyDescent="0.3">
      <c r="A73" s="53" t="s">
        <v>16</v>
      </c>
      <c r="B73" s="91">
        <v>2</v>
      </c>
      <c r="C73" s="43">
        <v>0</v>
      </c>
      <c r="D73" s="468">
        <v>0</v>
      </c>
      <c r="E73" s="444">
        <v>0</v>
      </c>
      <c r="F73" s="5">
        <f t="shared" si="4"/>
        <v>2</v>
      </c>
      <c r="G73" s="75" t="s">
        <v>1041</v>
      </c>
      <c r="H73" s="92">
        <v>10</v>
      </c>
      <c r="I73" s="194">
        <v>0</v>
      </c>
      <c r="J73" s="343">
        <v>0</v>
      </c>
      <c r="K73" s="374">
        <v>0</v>
      </c>
      <c r="L73" s="74">
        <f t="shared" si="5"/>
        <v>10</v>
      </c>
    </row>
    <row r="74" spans="1:12" ht="14.95" thickBot="1" x14ac:dyDescent="0.3">
      <c r="A74" s="53" t="s">
        <v>240</v>
      </c>
      <c r="B74" s="91">
        <v>1</v>
      </c>
      <c r="C74" s="43">
        <v>1</v>
      </c>
      <c r="D74" s="468">
        <v>0</v>
      </c>
      <c r="E74" s="444">
        <v>0</v>
      </c>
      <c r="F74" s="5">
        <f t="shared" si="4"/>
        <v>2</v>
      </c>
      <c r="G74" s="75" t="s">
        <v>1066</v>
      </c>
      <c r="H74" s="92">
        <v>0</v>
      </c>
      <c r="I74" s="194">
        <v>0</v>
      </c>
      <c r="J74" s="343">
        <v>0</v>
      </c>
      <c r="K74" s="374">
        <v>10</v>
      </c>
      <c r="L74" s="74">
        <f t="shared" si="5"/>
        <v>10</v>
      </c>
    </row>
    <row r="75" spans="1:12" ht="14.95" thickBot="1" x14ac:dyDescent="0.3">
      <c r="A75" s="53" t="s">
        <v>595</v>
      </c>
      <c r="B75" s="91">
        <v>2</v>
      </c>
      <c r="C75" s="43">
        <v>0</v>
      </c>
      <c r="D75" s="468">
        <v>0</v>
      </c>
      <c r="E75" s="444">
        <v>0</v>
      </c>
      <c r="F75" s="5">
        <f t="shared" si="4"/>
        <v>2</v>
      </c>
      <c r="G75" s="75" t="s">
        <v>16</v>
      </c>
      <c r="H75" s="92">
        <v>10</v>
      </c>
      <c r="I75" s="194">
        <v>0</v>
      </c>
      <c r="J75" s="343">
        <v>0</v>
      </c>
      <c r="K75" s="374">
        <v>0</v>
      </c>
      <c r="L75" s="74">
        <f t="shared" si="5"/>
        <v>10</v>
      </c>
    </row>
    <row r="76" spans="1:12" ht="14.95" thickBot="1" x14ac:dyDescent="0.3">
      <c r="A76" s="53" t="s">
        <v>53</v>
      </c>
      <c r="B76" s="91">
        <v>2</v>
      </c>
      <c r="C76" s="43">
        <v>0</v>
      </c>
      <c r="D76" s="468">
        <v>0</v>
      </c>
      <c r="E76" s="444">
        <v>0</v>
      </c>
      <c r="F76" s="5">
        <f t="shared" si="4"/>
        <v>2</v>
      </c>
      <c r="G76" s="75" t="s">
        <v>240</v>
      </c>
      <c r="H76" s="92">
        <v>5</v>
      </c>
      <c r="I76" s="194">
        <v>5</v>
      </c>
      <c r="J76" s="343">
        <v>0</v>
      </c>
      <c r="K76" s="374">
        <v>0</v>
      </c>
      <c r="L76" s="74">
        <f t="shared" si="5"/>
        <v>10</v>
      </c>
    </row>
    <row r="77" spans="1:12" ht="14.95" thickBot="1" x14ac:dyDescent="0.3">
      <c r="A77" s="53" t="s">
        <v>118</v>
      </c>
      <c r="B77" s="91">
        <v>1</v>
      </c>
      <c r="C77" s="43">
        <v>0</v>
      </c>
      <c r="D77" s="468">
        <v>0</v>
      </c>
      <c r="E77" s="444">
        <v>0</v>
      </c>
      <c r="F77" s="5">
        <f t="shared" si="4"/>
        <v>1</v>
      </c>
      <c r="G77" s="75" t="s">
        <v>595</v>
      </c>
      <c r="H77" s="92">
        <v>10</v>
      </c>
      <c r="I77" s="194">
        <v>0</v>
      </c>
      <c r="J77" s="343">
        <v>0</v>
      </c>
      <c r="K77" s="374">
        <v>0</v>
      </c>
      <c r="L77" s="74">
        <f t="shared" si="5"/>
        <v>10</v>
      </c>
    </row>
    <row r="78" spans="1:12" ht="14.95" thickBot="1" x14ac:dyDescent="0.3">
      <c r="A78" s="53" t="s">
        <v>798</v>
      </c>
      <c r="B78" s="91">
        <v>0</v>
      </c>
      <c r="C78" s="43">
        <v>0</v>
      </c>
      <c r="D78" s="468">
        <v>0</v>
      </c>
      <c r="E78" s="444">
        <v>1</v>
      </c>
      <c r="F78" s="5">
        <f t="shared" si="4"/>
        <v>1</v>
      </c>
      <c r="G78" s="75" t="s">
        <v>53</v>
      </c>
      <c r="H78" s="92">
        <v>10</v>
      </c>
      <c r="I78" s="194">
        <v>0</v>
      </c>
      <c r="J78" s="343">
        <v>0</v>
      </c>
      <c r="K78" s="374">
        <v>0</v>
      </c>
      <c r="L78" s="74">
        <f t="shared" si="5"/>
        <v>10</v>
      </c>
    </row>
    <row r="79" spans="1:12" ht="14.95" thickBot="1" x14ac:dyDescent="0.3">
      <c r="A79" s="53" t="s">
        <v>241</v>
      </c>
      <c r="B79" s="91">
        <v>0</v>
      </c>
      <c r="C79" s="43">
        <v>1</v>
      </c>
      <c r="D79" s="468">
        <v>0</v>
      </c>
      <c r="E79" s="444">
        <v>0</v>
      </c>
      <c r="F79" s="5">
        <f t="shared" si="4"/>
        <v>1</v>
      </c>
      <c r="G79" s="75" t="s">
        <v>6</v>
      </c>
      <c r="H79" s="92">
        <v>7</v>
      </c>
      <c r="I79" s="194">
        <v>0</v>
      </c>
      <c r="J79" s="343">
        <v>0</v>
      </c>
      <c r="K79" s="374">
        <v>0</v>
      </c>
      <c r="L79" s="74">
        <f t="shared" si="5"/>
        <v>7</v>
      </c>
    </row>
    <row r="80" spans="1:12" ht="14.95" thickBot="1" x14ac:dyDescent="0.3">
      <c r="A80" s="53" t="s">
        <v>37</v>
      </c>
      <c r="B80" s="91">
        <v>1</v>
      </c>
      <c r="C80" s="43">
        <v>0</v>
      </c>
      <c r="D80" s="468">
        <v>0</v>
      </c>
      <c r="E80" s="444">
        <v>0</v>
      </c>
      <c r="F80" s="5">
        <f t="shared" si="4"/>
        <v>1</v>
      </c>
      <c r="G80" s="75" t="s">
        <v>118</v>
      </c>
      <c r="H80" s="92">
        <v>5</v>
      </c>
      <c r="I80" s="194">
        <v>0</v>
      </c>
      <c r="J80" s="343">
        <v>0</v>
      </c>
      <c r="K80" s="374">
        <v>0</v>
      </c>
      <c r="L80" s="74">
        <f t="shared" si="5"/>
        <v>5</v>
      </c>
    </row>
    <row r="81" spans="1:12" ht="14.95" thickBot="1" x14ac:dyDescent="0.3">
      <c r="A81" s="53" t="s">
        <v>6</v>
      </c>
      <c r="B81" s="91">
        <v>1</v>
      </c>
      <c r="C81" s="43">
        <v>0</v>
      </c>
      <c r="D81" s="468">
        <v>0</v>
      </c>
      <c r="E81" s="444">
        <v>0</v>
      </c>
      <c r="F81" s="5">
        <f t="shared" si="4"/>
        <v>1</v>
      </c>
      <c r="G81" s="75" t="s">
        <v>798</v>
      </c>
      <c r="H81" s="92">
        <v>0</v>
      </c>
      <c r="I81" s="194">
        <v>0</v>
      </c>
      <c r="J81" s="343">
        <v>0</v>
      </c>
      <c r="K81" s="374">
        <v>5</v>
      </c>
      <c r="L81" s="74">
        <f t="shared" si="5"/>
        <v>5</v>
      </c>
    </row>
    <row r="82" spans="1:12" ht="14.95" thickBot="1" x14ac:dyDescent="0.3">
      <c r="A82" s="53" t="s">
        <v>1152</v>
      </c>
      <c r="B82" s="91">
        <v>1</v>
      </c>
      <c r="C82" s="43">
        <v>0</v>
      </c>
      <c r="D82" s="468">
        <v>0</v>
      </c>
      <c r="E82" s="444">
        <v>0</v>
      </c>
      <c r="F82" s="5">
        <f t="shared" si="4"/>
        <v>1</v>
      </c>
      <c r="G82" s="75" t="s">
        <v>241</v>
      </c>
      <c r="H82" s="92">
        <v>0</v>
      </c>
      <c r="I82" s="194">
        <v>5</v>
      </c>
      <c r="J82" s="343">
        <v>0</v>
      </c>
      <c r="K82" s="374">
        <v>0</v>
      </c>
      <c r="L82" s="74">
        <f t="shared" si="5"/>
        <v>5</v>
      </c>
    </row>
    <row r="83" spans="1:12" ht="14.95" thickBot="1" x14ac:dyDescent="0.3">
      <c r="A83" s="53" t="s">
        <v>1064</v>
      </c>
      <c r="B83" s="91">
        <v>0</v>
      </c>
      <c r="C83" s="43">
        <v>0</v>
      </c>
      <c r="D83" s="468">
        <v>0</v>
      </c>
      <c r="E83" s="444">
        <v>1</v>
      </c>
      <c r="F83" s="5">
        <f t="shared" si="4"/>
        <v>1</v>
      </c>
      <c r="G83" s="75" t="s">
        <v>1152</v>
      </c>
      <c r="H83" s="92">
        <v>5</v>
      </c>
      <c r="I83" s="194">
        <v>0</v>
      </c>
      <c r="J83" s="343">
        <v>0</v>
      </c>
      <c r="K83" s="374">
        <v>0</v>
      </c>
      <c r="L83" s="74">
        <f t="shared" si="5"/>
        <v>5</v>
      </c>
    </row>
    <row r="84" spans="1:12" ht="14.95" thickBot="1" x14ac:dyDescent="0.3">
      <c r="A84" s="53" t="s">
        <v>1062</v>
      </c>
      <c r="B84" s="91">
        <v>0</v>
      </c>
      <c r="C84" s="43">
        <v>0</v>
      </c>
      <c r="D84" s="468">
        <v>0</v>
      </c>
      <c r="E84" s="444">
        <v>1</v>
      </c>
      <c r="F84" s="5">
        <f t="shared" si="4"/>
        <v>1</v>
      </c>
      <c r="G84" s="75" t="s">
        <v>1064</v>
      </c>
      <c r="H84" s="92">
        <v>0</v>
      </c>
      <c r="I84" s="194">
        <v>0</v>
      </c>
      <c r="J84" s="343">
        <v>0</v>
      </c>
      <c r="K84" s="374">
        <v>5</v>
      </c>
      <c r="L84" s="74">
        <f t="shared" si="5"/>
        <v>5</v>
      </c>
    </row>
    <row r="85" spans="1:12" ht="14.95" thickBot="1" x14ac:dyDescent="0.3">
      <c r="A85" s="53" t="s">
        <v>1189</v>
      </c>
      <c r="B85" s="91">
        <v>0</v>
      </c>
      <c r="C85" s="43">
        <v>0</v>
      </c>
      <c r="D85" s="468">
        <v>0</v>
      </c>
      <c r="E85" s="444">
        <v>1</v>
      </c>
      <c r="F85" s="5">
        <f t="shared" si="4"/>
        <v>1</v>
      </c>
      <c r="G85" s="75" t="s">
        <v>1062</v>
      </c>
      <c r="H85" s="92">
        <v>0</v>
      </c>
      <c r="I85" s="194">
        <v>0</v>
      </c>
      <c r="J85" s="343">
        <v>0</v>
      </c>
      <c r="K85" s="374">
        <v>5</v>
      </c>
      <c r="L85" s="74">
        <f t="shared" si="5"/>
        <v>5</v>
      </c>
    </row>
    <row r="86" spans="1:12" ht="14.95" thickBot="1" x14ac:dyDescent="0.3">
      <c r="A86" s="53" t="s">
        <v>51</v>
      </c>
      <c r="B86" s="91">
        <v>1</v>
      </c>
      <c r="C86" s="43">
        <v>0</v>
      </c>
      <c r="D86" s="468">
        <v>0</v>
      </c>
      <c r="E86" s="444">
        <v>0</v>
      </c>
      <c r="F86" s="5">
        <f t="shared" si="4"/>
        <v>1</v>
      </c>
      <c r="G86" s="75" t="s">
        <v>1189</v>
      </c>
      <c r="H86" s="92">
        <v>0</v>
      </c>
      <c r="I86" s="194">
        <v>0</v>
      </c>
      <c r="J86" s="343">
        <v>0</v>
      </c>
      <c r="K86" s="374">
        <v>5</v>
      </c>
      <c r="L86" s="74">
        <f t="shared" si="5"/>
        <v>5</v>
      </c>
    </row>
    <row r="87" spans="1:12" ht="14.95" thickBot="1" x14ac:dyDescent="0.3">
      <c r="A87" s="53" t="s">
        <v>492</v>
      </c>
      <c r="B87" s="91">
        <v>1</v>
      </c>
      <c r="C87" s="43">
        <v>0</v>
      </c>
      <c r="D87" s="468">
        <v>0</v>
      </c>
      <c r="E87" s="444">
        <v>0</v>
      </c>
      <c r="F87" s="5">
        <f t="shared" si="4"/>
        <v>1</v>
      </c>
      <c r="G87" s="75" t="s">
        <v>51</v>
      </c>
      <c r="H87" s="92">
        <v>5</v>
      </c>
      <c r="I87" s="194">
        <v>0</v>
      </c>
      <c r="J87" s="343">
        <v>0</v>
      </c>
      <c r="K87" s="374">
        <v>0</v>
      </c>
      <c r="L87" s="74">
        <f t="shared" si="5"/>
        <v>5</v>
      </c>
    </row>
    <row r="88" spans="1:12" ht="14.95" thickBot="1" x14ac:dyDescent="0.3">
      <c r="A88" s="53" t="s">
        <v>483</v>
      </c>
      <c r="B88" s="91">
        <v>0</v>
      </c>
      <c r="C88" s="43">
        <v>0</v>
      </c>
      <c r="D88" s="468">
        <v>0</v>
      </c>
      <c r="E88" s="444">
        <v>0</v>
      </c>
      <c r="F88" s="5">
        <f t="shared" si="4"/>
        <v>0</v>
      </c>
      <c r="G88" s="75" t="s">
        <v>492</v>
      </c>
      <c r="H88" s="92">
        <v>5</v>
      </c>
      <c r="I88" s="194">
        <v>0</v>
      </c>
      <c r="J88" s="343">
        <v>0</v>
      </c>
      <c r="K88" s="374">
        <v>0</v>
      </c>
      <c r="L88" s="74">
        <f t="shared" si="5"/>
        <v>5</v>
      </c>
    </row>
    <row r="89" spans="1:12" ht="14.95" thickBot="1" x14ac:dyDescent="0.3">
      <c r="A89" s="53" t="s">
        <v>547</v>
      </c>
      <c r="B89" s="91">
        <v>0</v>
      </c>
      <c r="C89" s="43">
        <v>0</v>
      </c>
      <c r="D89" s="468">
        <v>0</v>
      </c>
      <c r="E89" s="444">
        <v>0</v>
      </c>
      <c r="F89" s="5">
        <f t="shared" si="4"/>
        <v>0</v>
      </c>
      <c r="G89" s="75" t="s">
        <v>483</v>
      </c>
      <c r="H89" s="92">
        <v>0</v>
      </c>
      <c r="I89" s="194">
        <v>0</v>
      </c>
      <c r="J89" s="343">
        <v>0</v>
      </c>
      <c r="K89" s="374">
        <v>0</v>
      </c>
      <c r="L89" s="74">
        <f t="shared" si="5"/>
        <v>0</v>
      </c>
    </row>
    <row r="90" spans="1:12" ht="14.95" thickBot="1" x14ac:dyDescent="0.3">
      <c r="A90" s="53" t="s">
        <v>42</v>
      </c>
      <c r="B90" s="91">
        <v>0</v>
      </c>
      <c r="C90" s="43">
        <v>0</v>
      </c>
      <c r="D90" s="468">
        <v>0</v>
      </c>
      <c r="E90" s="444">
        <v>0</v>
      </c>
      <c r="F90" s="5">
        <f t="shared" si="4"/>
        <v>0</v>
      </c>
      <c r="G90" s="75" t="s">
        <v>547</v>
      </c>
      <c r="H90" s="92">
        <v>0</v>
      </c>
      <c r="I90" s="194">
        <v>0</v>
      </c>
      <c r="J90" s="343">
        <v>0</v>
      </c>
      <c r="K90" s="374">
        <v>0</v>
      </c>
      <c r="L90" s="74">
        <f t="shared" si="5"/>
        <v>0</v>
      </c>
    </row>
    <row r="91" spans="1:12" ht="14.95" customHeight="1" thickBot="1" x14ac:dyDescent="0.3">
      <c r="A91" s="53" t="s">
        <v>520</v>
      </c>
      <c r="B91" s="91">
        <v>0</v>
      </c>
      <c r="C91" s="43">
        <v>0</v>
      </c>
      <c r="D91" s="468">
        <v>0</v>
      </c>
      <c r="E91" s="444">
        <v>0</v>
      </c>
      <c r="F91" s="5">
        <f t="shared" si="4"/>
        <v>0</v>
      </c>
      <c r="G91" s="75" t="s">
        <v>42</v>
      </c>
      <c r="H91" s="92">
        <v>0</v>
      </c>
      <c r="I91" s="194">
        <v>0</v>
      </c>
      <c r="J91" s="343">
        <v>0</v>
      </c>
      <c r="K91" s="374">
        <v>0</v>
      </c>
      <c r="L91" s="74">
        <f t="shared" si="5"/>
        <v>0</v>
      </c>
    </row>
    <row r="92" spans="1:12" ht="14.95" customHeight="1" thickBot="1" x14ac:dyDescent="0.3">
      <c r="A92" s="53" t="s">
        <v>1068</v>
      </c>
      <c r="B92" s="91">
        <v>0</v>
      </c>
      <c r="C92" s="43">
        <v>0</v>
      </c>
      <c r="D92" s="468">
        <v>0</v>
      </c>
      <c r="E92" s="444">
        <v>0</v>
      </c>
      <c r="F92" s="5">
        <f t="shared" si="4"/>
        <v>0</v>
      </c>
      <c r="G92" s="75" t="s">
        <v>520</v>
      </c>
      <c r="H92" s="92">
        <v>0</v>
      </c>
      <c r="I92" s="194">
        <v>0</v>
      </c>
      <c r="J92" s="343">
        <v>0</v>
      </c>
      <c r="K92" s="374">
        <v>0</v>
      </c>
      <c r="L92" s="74">
        <f t="shared" si="5"/>
        <v>0</v>
      </c>
    </row>
    <row r="93" spans="1:12" ht="14.95" thickBot="1" x14ac:dyDescent="0.3">
      <c r="A93" s="53" t="s">
        <v>549</v>
      </c>
      <c r="B93" s="91">
        <v>0</v>
      </c>
      <c r="C93" s="43">
        <v>0</v>
      </c>
      <c r="D93" s="468">
        <v>0</v>
      </c>
      <c r="E93" s="444">
        <v>0</v>
      </c>
      <c r="F93" s="5">
        <f t="shared" si="4"/>
        <v>0</v>
      </c>
      <c r="G93" s="75" t="s">
        <v>549</v>
      </c>
      <c r="H93" s="92">
        <v>0</v>
      </c>
      <c r="I93" s="194">
        <v>0</v>
      </c>
      <c r="J93" s="343">
        <v>0</v>
      </c>
      <c r="K93" s="374">
        <v>0</v>
      </c>
      <c r="L93" s="74">
        <f t="shared" si="5"/>
        <v>0</v>
      </c>
    </row>
    <row r="94" spans="1:12" ht="14.95" thickBot="1" x14ac:dyDescent="0.3">
      <c r="A94" s="53" t="s">
        <v>709</v>
      </c>
      <c r="B94" s="91">
        <v>0</v>
      </c>
      <c r="C94" s="43">
        <v>0</v>
      </c>
      <c r="D94" s="468">
        <v>0</v>
      </c>
      <c r="E94" s="444">
        <v>0</v>
      </c>
      <c r="F94" s="5">
        <f t="shared" si="4"/>
        <v>0</v>
      </c>
      <c r="G94" s="75" t="s">
        <v>709</v>
      </c>
      <c r="H94" s="92">
        <v>0</v>
      </c>
      <c r="I94" s="194">
        <v>0</v>
      </c>
      <c r="J94" s="343">
        <v>0</v>
      </c>
      <c r="K94" s="374">
        <v>0</v>
      </c>
      <c r="L94" s="74">
        <f t="shared" si="5"/>
        <v>0</v>
      </c>
    </row>
    <row r="95" spans="1:12" ht="14.95" thickBot="1" x14ac:dyDescent="0.3">
      <c r="A95" s="53" t="s">
        <v>713</v>
      </c>
      <c r="B95" s="91">
        <v>0</v>
      </c>
      <c r="C95" s="43">
        <v>0</v>
      </c>
      <c r="D95" s="468">
        <v>0</v>
      </c>
      <c r="E95" s="444">
        <v>0</v>
      </c>
      <c r="F95" s="5">
        <f t="shared" si="4"/>
        <v>0</v>
      </c>
      <c r="G95" s="75" t="s">
        <v>713</v>
      </c>
      <c r="H95" s="92">
        <v>0</v>
      </c>
      <c r="I95" s="194">
        <v>0</v>
      </c>
      <c r="J95" s="343">
        <v>0</v>
      </c>
      <c r="K95" s="374">
        <v>0</v>
      </c>
      <c r="L95" s="74">
        <f t="shared" si="5"/>
        <v>0</v>
      </c>
    </row>
    <row r="96" spans="1:12" ht="14.95" customHeight="1" thickBot="1" x14ac:dyDescent="0.3">
      <c r="A96" s="53" t="s">
        <v>155</v>
      </c>
      <c r="B96" s="91">
        <v>0</v>
      </c>
      <c r="C96" s="43">
        <v>0</v>
      </c>
      <c r="D96" s="468">
        <v>0</v>
      </c>
      <c r="E96" s="444">
        <v>0</v>
      </c>
      <c r="F96" s="5">
        <f t="shared" si="4"/>
        <v>0</v>
      </c>
      <c r="G96" s="75" t="s">
        <v>155</v>
      </c>
      <c r="H96" s="92">
        <v>0</v>
      </c>
      <c r="I96" s="194">
        <v>0</v>
      </c>
      <c r="J96" s="343">
        <v>0</v>
      </c>
      <c r="K96" s="374">
        <v>0</v>
      </c>
      <c r="L96" s="74">
        <f t="shared" si="5"/>
        <v>0</v>
      </c>
    </row>
    <row r="97" spans="1:12" ht="14.95" thickBot="1" x14ac:dyDescent="0.3">
      <c r="A97" s="53" t="s">
        <v>3</v>
      </c>
      <c r="B97" s="91">
        <f>SUM(B52:B96)</f>
        <v>76</v>
      </c>
      <c r="C97" s="43">
        <f>SUM(C52:C96)</f>
        <v>6</v>
      </c>
      <c r="D97" s="468">
        <f>SUM(D52:D96)</f>
        <v>11</v>
      </c>
      <c r="E97" s="444">
        <f>SUM(E52:E96)</f>
        <v>17</v>
      </c>
      <c r="F97" s="5">
        <f t="shared" ref="F97" si="6">SUM(B97:E97)</f>
        <v>110</v>
      </c>
      <c r="G97" s="75" t="s">
        <v>3</v>
      </c>
      <c r="H97" s="92">
        <f>SUM(H52:H96)</f>
        <v>614</v>
      </c>
      <c r="I97" s="194">
        <f>SUM(I52:I96)</f>
        <v>51</v>
      </c>
      <c r="J97" s="343">
        <f>SUM(J52:J96)</f>
        <v>91</v>
      </c>
      <c r="K97" s="374">
        <f>SUM(K52:K96)</f>
        <v>115</v>
      </c>
      <c r="L97" s="74">
        <f t="shared" si="5"/>
        <v>871</v>
      </c>
    </row>
    <row r="98" spans="1:12" x14ac:dyDescent="0.25">
      <c r="A98" s="532" t="s">
        <v>81</v>
      </c>
      <c r="B98" s="519"/>
      <c r="C98" s="519"/>
      <c r="D98" s="519"/>
      <c r="E98" s="519"/>
      <c r="F98" s="519"/>
      <c r="G98" s="519"/>
      <c r="H98" s="519"/>
      <c r="I98" s="519"/>
      <c r="J98" s="519"/>
    </row>
  </sheetData>
  <sortState xmlns:xlrd2="http://schemas.microsoft.com/office/spreadsheetml/2017/richdata2" ref="G52:L96">
    <sortCondition descending="1" ref="L52:L96"/>
  </sortState>
  <mergeCells count="46">
    <mergeCell ref="AN27:AP28"/>
    <mergeCell ref="AW1:AY2"/>
    <mergeCell ref="AT1:AV2"/>
    <mergeCell ref="T1:U2"/>
    <mergeCell ref="M11:M12"/>
    <mergeCell ref="M1:M2"/>
    <mergeCell ref="AQ1:AS2"/>
    <mergeCell ref="N11:P12"/>
    <mergeCell ref="AN1:AP2"/>
    <mergeCell ref="AQ11:AS12"/>
    <mergeCell ref="N1:P2"/>
    <mergeCell ref="Q1:S2"/>
    <mergeCell ref="AK1:AM2"/>
    <mergeCell ref="AK11:AM12"/>
    <mergeCell ref="A1:L1"/>
    <mergeCell ref="AH1:AJ2"/>
    <mergeCell ref="AH11:AJ12"/>
    <mergeCell ref="AK27:AM28"/>
    <mergeCell ref="Y1:AA2"/>
    <mergeCell ref="T11:V12"/>
    <mergeCell ref="V1:X2"/>
    <mergeCell ref="AE1:AG2"/>
    <mergeCell ref="M19:M20"/>
    <mergeCell ref="N19:P20"/>
    <mergeCell ref="T19:V20"/>
    <mergeCell ref="W19:Y20"/>
    <mergeCell ref="AH19:AJ20"/>
    <mergeCell ref="AK19:AM20"/>
    <mergeCell ref="Q27:S28"/>
    <mergeCell ref="Q11:S12"/>
    <mergeCell ref="A98:J98"/>
    <mergeCell ref="M35:AK35"/>
    <mergeCell ref="AN11:AP12"/>
    <mergeCell ref="AE27:AG28"/>
    <mergeCell ref="AQ27:AS28"/>
    <mergeCell ref="M27:M28"/>
    <mergeCell ref="N27:P28"/>
    <mergeCell ref="AH27:AJ28"/>
    <mergeCell ref="W11:Y12"/>
    <mergeCell ref="AN19:AP20"/>
    <mergeCell ref="T27:V28"/>
    <mergeCell ref="AQ19:AS20"/>
    <mergeCell ref="AE11:AG12"/>
    <mergeCell ref="Q19:S20"/>
    <mergeCell ref="AE19:AG20"/>
    <mergeCell ref="W27:Y2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W86"/>
  <sheetViews>
    <sheetView topLeftCell="A49" workbookViewId="0">
      <selection activeCell="Y69" sqref="Y69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5.375" customWidth="1"/>
    <col min="12" max="13" width="5.375" customWidth="1"/>
    <col min="14" max="14" width="5.75" customWidth="1"/>
    <col min="15" max="15" width="4.75" customWidth="1"/>
    <col min="16" max="16" width="5.375" customWidth="1"/>
    <col min="17" max="49" width="5.75" customWidth="1"/>
  </cols>
  <sheetData>
    <row r="1" spans="1:49" ht="14.95" customHeight="1" thickBot="1" x14ac:dyDescent="0.3">
      <c r="A1" s="626" t="s">
        <v>852</v>
      </c>
      <c r="B1" s="627"/>
      <c r="C1" s="627"/>
      <c r="D1" s="627"/>
      <c r="E1" s="627"/>
      <c r="F1" s="627"/>
      <c r="G1" s="627"/>
      <c r="H1" s="627"/>
      <c r="I1" s="627"/>
      <c r="J1" s="628"/>
      <c r="K1" s="540" t="s">
        <v>509</v>
      </c>
      <c r="L1" s="526" t="s">
        <v>29</v>
      </c>
      <c r="M1" s="527"/>
      <c r="N1" s="528"/>
      <c r="O1" s="526" t="s">
        <v>93</v>
      </c>
      <c r="P1" s="527"/>
      <c r="Q1" s="528"/>
      <c r="R1" s="526" t="s">
        <v>508</v>
      </c>
      <c r="S1" s="528"/>
      <c r="T1" s="520" t="s">
        <v>634</v>
      </c>
      <c r="U1" s="521"/>
      <c r="V1" s="522"/>
      <c r="W1" s="520" t="s">
        <v>863</v>
      </c>
      <c r="X1" s="521"/>
      <c r="Y1" s="522"/>
      <c r="Z1" s="325"/>
      <c r="AA1" s="214"/>
      <c r="AB1" s="326"/>
      <c r="AC1" s="520" t="s">
        <v>621</v>
      </c>
      <c r="AD1" s="521"/>
      <c r="AE1" s="522"/>
      <c r="AF1" s="520" t="s">
        <v>448</v>
      </c>
      <c r="AG1" s="521"/>
      <c r="AH1" s="522"/>
      <c r="AI1" s="520" t="s">
        <v>178</v>
      </c>
      <c r="AJ1" s="521"/>
      <c r="AK1" s="522"/>
      <c r="AL1" s="520" t="s">
        <v>122</v>
      </c>
      <c r="AM1" s="521"/>
      <c r="AN1" s="522"/>
      <c r="AO1" s="520" t="s">
        <v>113</v>
      </c>
      <c r="AP1" s="521"/>
      <c r="AQ1" s="522"/>
      <c r="AR1" s="520" t="s">
        <v>96</v>
      </c>
      <c r="AS1" s="521"/>
      <c r="AT1" s="522"/>
      <c r="AU1" s="520" t="s">
        <v>106</v>
      </c>
      <c r="AV1" s="521"/>
      <c r="AW1" s="522"/>
    </row>
    <row r="2" spans="1:49" ht="14.95" customHeight="1" thickBot="1" x14ac:dyDescent="0.3">
      <c r="A2" s="311" t="s">
        <v>0</v>
      </c>
      <c r="B2" s="193" t="s">
        <v>620</v>
      </c>
      <c r="C2" s="496" t="s">
        <v>64</v>
      </c>
      <c r="D2" s="456" t="s">
        <v>925</v>
      </c>
      <c r="E2" s="312" t="s">
        <v>1</v>
      </c>
      <c r="F2" s="486" t="s">
        <v>2</v>
      </c>
      <c r="G2" s="487" t="s">
        <v>620</v>
      </c>
      <c r="H2" s="494" t="s">
        <v>64</v>
      </c>
      <c r="I2" s="488" t="s">
        <v>925</v>
      </c>
      <c r="J2" s="489" t="s">
        <v>1</v>
      </c>
      <c r="K2" s="541"/>
      <c r="L2" s="529"/>
      <c r="M2" s="530"/>
      <c r="N2" s="531"/>
      <c r="O2" s="529"/>
      <c r="P2" s="530"/>
      <c r="Q2" s="531"/>
      <c r="R2" s="529"/>
      <c r="S2" s="531"/>
      <c r="T2" s="523"/>
      <c r="U2" s="524"/>
      <c r="V2" s="525"/>
      <c r="W2" s="523"/>
      <c r="X2" s="524"/>
      <c r="Y2" s="525"/>
      <c r="Z2" s="325"/>
      <c r="AA2" s="214"/>
      <c r="AB2" s="326"/>
      <c r="AC2" s="523"/>
      <c r="AD2" s="524"/>
      <c r="AE2" s="525"/>
      <c r="AF2" s="523"/>
      <c r="AG2" s="524"/>
      <c r="AH2" s="525"/>
      <c r="AI2" s="523"/>
      <c r="AJ2" s="524"/>
      <c r="AK2" s="525"/>
      <c r="AL2" s="523"/>
      <c r="AM2" s="524"/>
      <c r="AN2" s="525"/>
      <c r="AO2" s="523"/>
      <c r="AP2" s="524"/>
      <c r="AQ2" s="525"/>
      <c r="AR2" s="523"/>
      <c r="AS2" s="524"/>
      <c r="AT2" s="525"/>
      <c r="AU2" s="523"/>
      <c r="AV2" s="524"/>
      <c r="AW2" s="525"/>
    </row>
    <row r="3" spans="1:49" ht="14.95" customHeight="1" thickBot="1" x14ac:dyDescent="0.3">
      <c r="A3" s="313" t="s">
        <v>104</v>
      </c>
      <c r="B3" s="171">
        <v>1</v>
      </c>
      <c r="C3" s="497">
        <v>2</v>
      </c>
      <c r="D3" s="457">
        <v>1</v>
      </c>
      <c r="E3" s="318">
        <f t="shared" ref="E3:E41" si="0">SUM(B3:D3)</f>
        <v>4</v>
      </c>
      <c r="F3" s="490" t="s">
        <v>104</v>
      </c>
      <c r="G3" s="491">
        <v>5</v>
      </c>
      <c r="H3" s="495">
        <v>10</v>
      </c>
      <c r="I3" s="492">
        <v>5</v>
      </c>
      <c r="J3" s="493">
        <f>SUM(G3:I3)</f>
        <v>20</v>
      </c>
      <c r="K3" s="393"/>
      <c r="L3" s="3" t="s">
        <v>107</v>
      </c>
      <c r="M3" s="3" t="s">
        <v>23</v>
      </c>
      <c r="N3" s="3" t="s">
        <v>24</v>
      </c>
      <c r="O3" s="3" t="s">
        <v>107</v>
      </c>
      <c r="P3" s="3" t="s">
        <v>23</v>
      </c>
      <c r="Q3" s="3" t="s">
        <v>24</v>
      </c>
      <c r="R3" s="3" t="s">
        <v>34</v>
      </c>
      <c r="S3" s="3" t="s">
        <v>135</v>
      </c>
      <c r="T3" s="7" t="s">
        <v>107</v>
      </c>
      <c r="U3" s="7" t="s">
        <v>23</v>
      </c>
      <c r="V3" s="7" t="s">
        <v>24</v>
      </c>
      <c r="W3" s="201" t="s">
        <v>107</v>
      </c>
      <c r="X3" s="7" t="s">
        <v>23</v>
      </c>
      <c r="Y3" s="7" t="s">
        <v>24</v>
      </c>
      <c r="Z3" s="108"/>
      <c r="AA3" s="109"/>
      <c r="AB3" s="327"/>
      <c r="AC3" s="201" t="s">
        <v>107</v>
      </c>
      <c r="AD3" s="7" t="s">
        <v>23</v>
      </c>
      <c r="AE3" s="7" t="s">
        <v>24</v>
      </c>
      <c r="AF3" s="201" t="s">
        <v>107</v>
      </c>
      <c r="AG3" s="7" t="s">
        <v>23</v>
      </c>
      <c r="AH3" s="7" t="s">
        <v>24</v>
      </c>
      <c r="AI3" s="201" t="s">
        <v>107</v>
      </c>
      <c r="AJ3" s="7" t="s">
        <v>23</v>
      </c>
      <c r="AK3" s="7" t="s">
        <v>24</v>
      </c>
      <c r="AL3" s="7" t="s">
        <v>107</v>
      </c>
      <c r="AM3" s="7" t="s">
        <v>23</v>
      </c>
      <c r="AN3" s="7" t="s">
        <v>24</v>
      </c>
      <c r="AO3" s="7" t="s">
        <v>107</v>
      </c>
      <c r="AP3" s="7" t="s">
        <v>23</v>
      </c>
      <c r="AQ3" s="7" t="s">
        <v>24</v>
      </c>
      <c r="AR3" s="7" t="s">
        <v>107</v>
      </c>
      <c r="AS3" s="7" t="s">
        <v>23</v>
      </c>
      <c r="AT3" s="7" t="s">
        <v>24</v>
      </c>
      <c r="AU3" s="7" t="s">
        <v>107</v>
      </c>
      <c r="AV3" s="7" t="s">
        <v>23</v>
      </c>
      <c r="AW3" s="7" t="s">
        <v>24</v>
      </c>
    </row>
    <row r="4" spans="1:49" ht="14.95" customHeight="1" thickBot="1" x14ac:dyDescent="0.3">
      <c r="A4" s="313" t="s">
        <v>70</v>
      </c>
      <c r="B4" s="171">
        <v>1</v>
      </c>
      <c r="C4" s="497">
        <v>0</v>
      </c>
      <c r="D4" s="457">
        <v>0</v>
      </c>
      <c r="E4" s="318">
        <f t="shared" si="0"/>
        <v>1</v>
      </c>
      <c r="F4" s="490" t="s">
        <v>70</v>
      </c>
      <c r="G4" s="491">
        <v>5</v>
      </c>
      <c r="H4" s="495">
        <v>0</v>
      </c>
      <c r="I4" s="492">
        <v>0</v>
      </c>
      <c r="J4" s="493">
        <f>SUM(G4:I4)</f>
        <v>5</v>
      </c>
      <c r="K4" s="313" t="s">
        <v>125</v>
      </c>
      <c r="L4" s="318">
        <v>0</v>
      </c>
      <c r="M4" s="318">
        <v>2</v>
      </c>
      <c r="N4" s="319">
        <f>(L4/M4)*100</f>
        <v>0</v>
      </c>
      <c r="O4" s="318" t="s">
        <v>30</v>
      </c>
      <c r="P4" s="318" t="s">
        <v>30</v>
      </c>
      <c r="Q4" s="319" t="s">
        <v>30</v>
      </c>
      <c r="R4" s="318">
        <v>-2</v>
      </c>
      <c r="S4" s="318">
        <v>-1</v>
      </c>
      <c r="T4" s="7">
        <v>19</v>
      </c>
      <c r="U4" s="7">
        <v>24</v>
      </c>
      <c r="V4" s="206">
        <f>(T4/U4)*100</f>
        <v>79.166666666666657</v>
      </c>
      <c r="W4" s="201" t="s">
        <v>30</v>
      </c>
      <c r="X4" s="7" t="s">
        <v>30</v>
      </c>
      <c r="Y4" s="206" t="s">
        <v>30</v>
      </c>
      <c r="Z4" s="108"/>
      <c r="AA4" s="109"/>
      <c r="AB4" s="327"/>
      <c r="AC4" s="201">
        <v>0</v>
      </c>
      <c r="AD4" s="7">
        <v>1</v>
      </c>
      <c r="AE4" s="7">
        <v>0</v>
      </c>
      <c r="AF4" s="201">
        <v>8</v>
      </c>
      <c r="AG4" s="7">
        <v>14</v>
      </c>
      <c r="AH4" s="206">
        <f t="shared" ref="AH4" si="1">SUM(AF4/AG4)*100</f>
        <v>57.142857142857139</v>
      </c>
      <c r="AI4" s="201">
        <v>13</v>
      </c>
      <c r="AJ4" s="7">
        <v>18</v>
      </c>
      <c r="AK4" s="206">
        <f>SUM(AI4/AJ4)*100</f>
        <v>72.222222222222214</v>
      </c>
      <c r="AL4" s="7" t="s">
        <v>30</v>
      </c>
      <c r="AM4" s="7" t="s">
        <v>30</v>
      </c>
      <c r="AN4" s="7" t="s">
        <v>30</v>
      </c>
      <c r="AO4" s="7" t="s">
        <v>30</v>
      </c>
      <c r="AP4" s="7" t="s">
        <v>30</v>
      </c>
      <c r="AQ4" s="7" t="s">
        <v>30</v>
      </c>
      <c r="AR4" s="7" t="s">
        <v>30</v>
      </c>
      <c r="AS4" s="7" t="s">
        <v>30</v>
      </c>
      <c r="AT4" s="7" t="s">
        <v>30</v>
      </c>
      <c r="AU4" s="7" t="s">
        <v>30</v>
      </c>
      <c r="AV4" s="7" t="s">
        <v>30</v>
      </c>
      <c r="AW4" s="7" t="s">
        <v>30</v>
      </c>
    </row>
    <row r="5" spans="1:49" ht="14.95" customHeight="1" thickBot="1" x14ac:dyDescent="0.3">
      <c r="A5" s="313" t="s">
        <v>795</v>
      </c>
      <c r="B5" s="171">
        <v>3</v>
      </c>
      <c r="C5" s="497">
        <v>0</v>
      </c>
      <c r="D5" s="457">
        <v>0</v>
      </c>
      <c r="E5" s="318">
        <f t="shared" si="0"/>
        <v>3</v>
      </c>
      <c r="F5" s="490" t="s">
        <v>795</v>
      </c>
      <c r="G5" s="491">
        <v>15</v>
      </c>
      <c r="H5" s="495">
        <v>0</v>
      </c>
      <c r="I5" s="492">
        <v>0</v>
      </c>
      <c r="J5" s="493">
        <f t="shared" ref="J5:J42" si="2">SUM(G5:I5)</f>
        <v>15</v>
      </c>
      <c r="K5" s="313" t="s">
        <v>755</v>
      </c>
      <c r="L5" s="318">
        <v>11</v>
      </c>
      <c r="M5" s="318">
        <v>20</v>
      </c>
      <c r="N5" s="319">
        <f>(L5/M5)*100</f>
        <v>55.000000000000007</v>
      </c>
      <c r="O5" s="318" t="s">
        <v>30</v>
      </c>
      <c r="P5" s="318" t="s">
        <v>30</v>
      </c>
      <c r="Q5" s="319" t="s">
        <v>30</v>
      </c>
      <c r="R5" s="318">
        <v>1</v>
      </c>
      <c r="S5" s="318">
        <v>2</v>
      </c>
      <c r="T5" s="7">
        <v>23</v>
      </c>
      <c r="U5" s="7">
        <v>31</v>
      </c>
      <c r="V5" s="206">
        <f>(T5/U5)*100</f>
        <v>74.193548387096769</v>
      </c>
      <c r="W5" s="201">
        <v>8</v>
      </c>
      <c r="X5" s="7">
        <v>13</v>
      </c>
      <c r="Y5" s="206">
        <f t="shared" ref="Y5" si="3">(W5/X5)*100</f>
        <v>61.53846153846154</v>
      </c>
      <c r="Z5" s="108"/>
      <c r="AA5" s="109"/>
      <c r="AB5" s="327"/>
      <c r="AC5" s="201">
        <v>17</v>
      </c>
      <c r="AD5" s="7">
        <v>22</v>
      </c>
      <c r="AE5" s="206">
        <f>SUM(AC5/AD5)*100</f>
        <v>77.272727272727266</v>
      </c>
      <c r="AF5" s="201" t="s">
        <v>30</v>
      </c>
      <c r="AG5" s="7" t="s">
        <v>30</v>
      </c>
      <c r="AH5" s="7" t="s">
        <v>30</v>
      </c>
      <c r="AI5" s="201">
        <v>10</v>
      </c>
      <c r="AJ5" s="7">
        <v>11</v>
      </c>
      <c r="AK5" s="206">
        <f>SUM(AI5/AJ5)*100</f>
        <v>90.909090909090907</v>
      </c>
      <c r="AL5" s="201" t="s">
        <v>30</v>
      </c>
      <c r="AM5" s="7" t="s">
        <v>30</v>
      </c>
      <c r="AN5" s="7" t="s">
        <v>30</v>
      </c>
      <c r="AO5" s="201" t="s">
        <v>30</v>
      </c>
      <c r="AP5" s="7" t="s">
        <v>30</v>
      </c>
      <c r="AQ5" s="7" t="s">
        <v>30</v>
      </c>
      <c r="AR5" s="201" t="s">
        <v>30</v>
      </c>
      <c r="AS5" s="7" t="s">
        <v>30</v>
      </c>
      <c r="AT5" s="7" t="s">
        <v>30</v>
      </c>
      <c r="AU5" s="201" t="s">
        <v>30</v>
      </c>
      <c r="AV5" s="7" t="s">
        <v>30</v>
      </c>
      <c r="AW5" s="7" t="s">
        <v>30</v>
      </c>
    </row>
    <row r="6" spans="1:49" ht="14.95" customHeight="1" thickBot="1" x14ac:dyDescent="0.3">
      <c r="A6" s="313" t="s">
        <v>245</v>
      </c>
      <c r="B6" s="171">
        <v>4</v>
      </c>
      <c r="C6" s="497">
        <v>0</v>
      </c>
      <c r="D6" s="457">
        <v>0</v>
      </c>
      <c r="E6" s="318">
        <f t="shared" si="0"/>
        <v>4</v>
      </c>
      <c r="F6" s="490" t="s">
        <v>245</v>
      </c>
      <c r="G6" s="491">
        <v>20</v>
      </c>
      <c r="H6" s="495">
        <v>0</v>
      </c>
      <c r="I6" s="492">
        <v>0</v>
      </c>
      <c r="J6" s="493">
        <f t="shared" si="2"/>
        <v>20</v>
      </c>
      <c r="K6" s="313" t="s">
        <v>48</v>
      </c>
      <c r="L6" s="318">
        <v>39</v>
      </c>
      <c r="M6" s="318">
        <v>54</v>
      </c>
      <c r="N6" s="319">
        <f>(L6/M6)*100</f>
        <v>72.222222222222214</v>
      </c>
      <c r="O6" s="318">
        <v>6</v>
      </c>
      <c r="P6" s="318">
        <v>7</v>
      </c>
      <c r="Q6" s="319">
        <f>(O6/P6)*100</f>
        <v>85.714285714285708</v>
      </c>
      <c r="R6" s="318">
        <v>1</v>
      </c>
      <c r="S6" s="318">
        <v>1</v>
      </c>
      <c r="T6" s="7">
        <v>2</v>
      </c>
      <c r="U6" s="7">
        <v>5</v>
      </c>
      <c r="V6" s="206">
        <f>(T6/U6)*100</f>
        <v>40</v>
      </c>
      <c r="W6" s="201" t="s">
        <v>30</v>
      </c>
      <c r="X6" s="7" t="s">
        <v>30</v>
      </c>
      <c r="Y6" s="7" t="s">
        <v>30</v>
      </c>
      <c r="Z6" s="108"/>
      <c r="AA6" s="109"/>
      <c r="AB6" s="327"/>
      <c r="AC6" s="201" t="s">
        <v>30</v>
      </c>
      <c r="AD6" s="7" t="s">
        <v>30</v>
      </c>
      <c r="AE6" s="7" t="s">
        <v>30</v>
      </c>
      <c r="AF6" s="201" t="s">
        <v>30</v>
      </c>
      <c r="AG6" s="7" t="s">
        <v>30</v>
      </c>
      <c r="AH6" s="7" t="s">
        <v>30</v>
      </c>
      <c r="AI6" s="201" t="s">
        <v>30</v>
      </c>
      <c r="AJ6" s="7" t="s">
        <v>30</v>
      </c>
      <c r="AK6" s="7" t="s">
        <v>30</v>
      </c>
      <c r="AL6" s="201" t="s">
        <v>30</v>
      </c>
      <c r="AM6" s="7" t="s">
        <v>30</v>
      </c>
      <c r="AN6" s="7" t="s">
        <v>30</v>
      </c>
      <c r="AO6" s="201" t="s">
        <v>30</v>
      </c>
      <c r="AP6" s="7" t="s">
        <v>30</v>
      </c>
      <c r="AQ6" s="7" t="s">
        <v>30</v>
      </c>
      <c r="AR6" s="201" t="s">
        <v>30</v>
      </c>
      <c r="AS6" s="7" t="s">
        <v>30</v>
      </c>
      <c r="AT6" s="7" t="s">
        <v>30</v>
      </c>
      <c r="AU6" s="201" t="s">
        <v>30</v>
      </c>
      <c r="AV6" s="7" t="s">
        <v>30</v>
      </c>
      <c r="AW6" s="7" t="s">
        <v>30</v>
      </c>
    </row>
    <row r="7" spans="1:49" ht="14.95" customHeight="1" thickBot="1" x14ac:dyDescent="0.3">
      <c r="A7" s="313" t="s">
        <v>176</v>
      </c>
      <c r="B7" s="171">
        <v>0</v>
      </c>
      <c r="C7" s="497">
        <v>0</v>
      </c>
      <c r="D7" s="457">
        <v>0</v>
      </c>
      <c r="E7" s="318">
        <f t="shared" si="0"/>
        <v>0</v>
      </c>
      <c r="F7" s="490" t="s">
        <v>176</v>
      </c>
      <c r="G7" s="491">
        <v>0</v>
      </c>
      <c r="H7" s="495">
        <v>0</v>
      </c>
      <c r="I7" s="492">
        <v>0</v>
      </c>
      <c r="J7" s="493">
        <f t="shared" si="2"/>
        <v>0</v>
      </c>
      <c r="K7" s="313" t="s">
        <v>988</v>
      </c>
      <c r="L7" s="412">
        <v>11</v>
      </c>
      <c r="M7" s="412">
        <v>14</v>
      </c>
      <c r="N7" s="413">
        <f>(L7/M7)*100</f>
        <v>78.571428571428569</v>
      </c>
      <c r="O7" s="318" t="s">
        <v>30</v>
      </c>
      <c r="P7" s="318" t="s">
        <v>30</v>
      </c>
      <c r="Q7" s="319" t="s">
        <v>30</v>
      </c>
      <c r="R7" s="412">
        <v>-1</v>
      </c>
      <c r="S7" s="412">
        <v>-1</v>
      </c>
      <c r="T7" s="201" t="s">
        <v>30</v>
      </c>
      <c r="U7" s="7" t="s">
        <v>30</v>
      </c>
      <c r="V7" s="7" t="s">
        <v>30</v>
      </c>
      <c r="W7" s="6">
        <v>3</v>
      </c>
      <c r="X7" s="6">
        <v>3</v>
      </c>
      <c r="Y7" s="211">
        <v>100</v>
      </c>
      <c r="Z7" s="109"/>
      <c r="AA7" s="109"/>
      <c r="AB7" s="109"/>
      <c r="AC7" s="6">
        <v>0</v>
      </c>
      <c r="AD7" s="7">
        <v>1</v>
      </c>
      <c r="AE7" s="7">
        <v>0</v>
      </c>
      <c r="AF7" s="201">
        <v>8</v>
      </c>
      <c r="AG7" s="7">
        <v>15</v>
      </c>
      <c r="AH7" s="206">
        <f>SUM(AF7/AG7)*100</f>
        <v>53.333333333333336</v>
      </c>
      <c r="AI7" s="201">
        <v>43</v>
      </c>
      <c r="AJ7" s="7">
        <v>56</v>
      </c>
      <c r="AK7" s="206">
        <f>SUM(AI7/AJ7)*100</f>
        <v>76.785714285714292</v>
      </c>
      <c r="AL7" s="201">
        <v>33</v>
      </c>
      <c r="AM7" s="7">
        <v>42</v>
      </c>
      <c r="AN7" s="206">
        <f>SUM(AL7/AM7)*100</f>
        <v>78.571428571428569</v>
      </c>
      <c r="AO7" s="7">
        <v>36</v>
      </c>
      <c r="AP7" s="7">
        <v>46</v>
      </c>
      <c r="AQ7" s="206">
        <f>SUM(AO7/AP7)*100</f>
        <v>78.260869565217391</v>
      </c>
      <c r="AR7" s="7">
        <v>51</v>
      </c>
      <c r="AS7" s="7">
        <v>72</v>
      </c>
      <c r="AT7" s="206">
        <f>SUM(AR7/AS7)*100</f>
        <v>70.833333333333343</v>
      </c>
      <c r="AU7" s="7" t="s">
        <v>30</v>
      </c>
      <c r="AV7" s="7" t="s">
        <v>30</v>
      </c>
      <c r="AW7" s="7" t="s">
        <v>30</v>
      </c>
    </row>
    <row r="8" spans="1:49" ht="14.95" customHeight="1" thickBot="1" x14ac:dyDescent="0.3">
      <c r="A8" s="313" t="s">
        <v>1011</v>
      </c>
      <c r="B8" s="171">
        <v>3</v>
      </c>
      <c r="C8" s="497">
        <v>1</v>
      </c>
      <c r="D8" s="457">
        <v>1</v>
      </c>
      <c r="E8" s="318">
        <f t="shared" si="0"/>
        <v>5</v>
      </c>
      <c r="F8" s="490" t="s">
        <v>1011</v>
      </c>
      <c r="G8" s="491">
        <v>15</v>
      </c>
      <c r="H8" s="495">
        <v>5</v>
      </c>
      <c r="I8" s="492">
        <v>5</v>
      </c>
      <c r="J8" s="493">
        <f t="shared" si="2"/>
        <v>25</v>
      </c>
      <c r="K8" s="316"/>
      <c r="L8" s="66"/>
    </row>
    <row r="9" spans="1:49" ht="14.95" customHeight="1" thickBot="1" x14ac:dyDescent="0.3">
      <c r="A9" s="313" t="s">
        <v>395</v>
      </c>
      <c r="B9" s="171">
        <v>1</v>
      </c>
      <c r="C9" s="497">
        <v>0</v>
      </c>
      <c r="D9" s="457">
        <v>1</v>
      </c>
      <c r="E9" s="318">
        <f t="shared" si="0"/>
        <v>2</v>
      </c>
      <c r="F9" s="490" t="s">
        <v>395</v>
      </c>
      <c r="G9" s="491">
        <v>5</v>
      </c>
      <c r="H9" s="495">
        <v>0</v>
      </c>
      <c r="I9" s="492">
        <v>5</v>
      </c>
      <c r="J9" s="493">
        <f t="shared" si="2"/>
        <v>10</v>
      </c>
      <c r="K9" s="574" t="s">
        <v>510</v>
      </c>
      <c r="L9" s="520" t="s">
        <v>29</v>
      </c>
      <c r="M9" s="521"/>
      <c r="N9" s="522"/>
      <c r="O9" s="520" t="s">
        <v>634</v>
      </c>
      <c r="P9" s="521"/>
      <c r="Q9" s="522"/>
      <c r="R9" s="520" t="s">
        <v>863</v>
      </c>
      <c r="S9" s="521"/>
      <c r="T9" s="522"/>
      <c r="U9" s="520" t="s">
        <v>621</v>
      </c>
      <c r="V9" s="521"/>
      <c r="W9" s="522"/>
      <c r="X9" s="325"/>
      <c r="Y9" s="214"/>
      <c r="Z9" s="214"/>
      <c r="AB9" s="276"/>
      <c r="AC9" s="520" t="s">
        <v>448</v>
      </c>
      <c r="AD9" s="521"/>
      <c r="AE9" s="522"/>
      <c r="AF9" s="520" t="s">
        <v>178</v>
      </c>
      <c r="AG9" s="521"/>
      <c r="AH9" s="522"/>
      <c r="AI9" s="520" t="s">
        <v>122</v>
      </c>
      <c r="AJ9" s="521"/>
      <c r="AK9" s="522"/>
      <c r="AL9" s="520" t="s">
        <v>113</v>
      </c>
      <c r="AM9" s="521"/>
      <c r="AN9" s="522"/>
      <c r="AO9" s="520" t="s">
        <v>85</v>
      </c>
      <c r="AP9" s="521"/>
      <c r="AQ9" s="522"/>
    </row>
    <row r="10" spans="1:49" ht="14.95" customHeight="1" thickBot="1" x14ac:dyDescent="0.3">
      <c r="A10" s="313" t="s">
        <v>569</v>
      </c>
      <c r="B10" s="171">
        <v>0</v>
      </c>
      <c r="C10" s="497">
        <v>0</v>
      </c>
      <c r="D10" s="457">
        <v>0</v>
      </c>
      <c r="E10" s="318">
        <f t="shared" si="0"/>
        <v>0</v>
      </c>
      <c r="F10" s="490" t="s">
        <v>569</v>
      </c>
      <c r="G10" s="491">
        <v>0</v>
      </c>
      <c r="H10" s="495">
        <v>0</v>
      </c>
      <c r="I10" s="492">
        <v>0</v>
      </c>
      <c r="J10" s="493">
        <f t="shared" si="2"/>
        <v>0</v>
      </c>
      <c r="K10" s="575"/>
      <c r="L10" s="523"/>
      <c r="M10" s="524"/>
      <c r="N10" s="525"/>
      <c r="O10" s="523"/>
      <c r="P10" s="524"/>
      <c r="Q10" s="525"/>
      <c r="R10" s="523"/>
      <c r="S10" s="524"/>
      <c r="T10" s="525"/>
      <c r="U10" s="523"/>
      <c r="V10" s="524"/>
      <c r="W10" s="525"/>
      <c r="X10" s="325"/>
      <c r="Y10" s="214"/>
      <c r="Z10" s="214"/>
      <c r="AB10" s="276"/>
      <c r="AC10" s="523"/>
      <c r="AD10" s="524"/>
      <c r="AE10" s="525"/>
      <c r="AF10" s="523"/>
      <c r="AG10" s="524"/>
      <c r="AH10" s="525"/>
      <c r="AI10" s="523"/>
      <c r="AJ10" s="524"/>
      <c r="AK10" s="525"/>
      <c r="AL10" s="523"/>
      <c r="AM10" s="524"/>
      <c r="AN10" s="525"/>
      <c r="AO10" s="523"/>
      <c r="AP10" s="524"/>
      <c r="AQ10" s="525"/>
    </row>
    <row r="11" spans="1:49" ht="14.95" customHeight="1" thickBot="1" x14ac:dyDescent="0.3">
      <c r="A11" s="313" t="s">
        <v>1096</v>
      </c>
      <c r="B11" s="171">
        <v>2</v>
      </c>
      <c r="C11" s="497">
        <v>2</v>
      </c>
      <c r="D11" s="457">
        <v>1</v>
      </c>
      <c r="E11" s="318">
        <f t="shared" si="0"/>
        <v>5</v>
      </c>
      <c r="F11" s="490" t="s">
        <v>1096</v>
      </c>
      <c r="G11" s="491">
        <v>10</v>
      </c>
      <c r="H11" s="495">
        <v>10</v>
      </c>
      <c r="I11" s="492">
        <v>5</v>
      </c>
      <c r="J11" s="493">
        <f t="shared" si="2"/>
        <v>25</v>
      </c>
      <c r="K11" s="414" t="s">
        <v>44</v>
      </c>
      <c r="L11" s="7" t="s">
        <v>107</v>
      </c>
      <c r="M11" s="7" t="s">
        <v>23</v>
      </c>
      <c r="N11" s="7" t="s">
        <v>24</v>
      </c>
      <c r="O11" s="7" t="s">
        <v>107</v>
      </c>
      <c r="P11" s="7" t="s">
        <v>23</v>
      </c>
      <c r="Q11" s="7" t="s">
        <v>24</v>
      </c>
      <c r="R11" s="7" t="s">
        <v>107</v>
      </c>
      <c r="S11" s="7" t="s">
        <v>23</v>
      </c>
      <c r="T11" s="7" t="s">
        <v>24</v>
      </c>
      <c r="U11" s="201" t="s">
        <v>107</v>
      </c>
      <c r="V11" s="7" t="s">
        <v>23</v>
      </c>
      <c r="W11" s="7" t="s">
        <v>24</v>
      </c>
      <c r="X11" s="107"/>
      <c r="AB11" s="276"/>
      <c r="AC11" s="201" t="s">
        <v>107</v>
      </c>
      <c r="AD11" s="7" t="s">
        <v>23</v>
      </c>
      <c r="AE11" s="7" t="s">
        <v>24</v>
      </c>
      <c r="AF11" s="201" t="s">
        <v>107</v>
      </c>
      <c r="AG11" s="7" t="s">
        <v>23</v>
      </c>
      <c r="AH11" s="7" t="s">
        <v>24</v>
      </c>
      <c r="AI11" s="201" t="s">
        <v>107</v>
      </c>
      <c r="AJ11" s="7" t="s">
        <v>23</v>
      </c>
      <c r="AK11" s="7" t="s">
        <v>24</v>
      </c>
      <c r="AL11" s="201" t="s">
        <v>107</v>
      </c>
      <c r="AM11" s="7" t="s">
        <v>23</v>
      </c>
      <c r="AN11" s="7" t="s">
        <v>24</v>
      </c>
      <c r="AO11" s="201" t="s">
        <v>25</v>
      </c>
      <c r="AP11" s="7" t="s">
        <v>23</v>
      </c>
      <c r="AQ11" s="7" t="s">
        <v>24</v>
      </c>
    </row>
    <row r="12" spans="1:49" ht="14.95" customHeight="1" thickBot="1" x14ac:dyDescent="0.3">
      <c r="A12" s="313" t="s">
        <v>1093</v>
      </c>
      <c r="B12" s="171">
        <v>0</v>
      </c>
      <c r="C12" s="497">
        <v>0</v>
      </c>
      <c r="D12" s="457">
        <v>1</v>
      </c>
      <c r="E12" s="318">
        <f t="shared" si="0"/>
        <v>1</v>
      </c>
      <c r="F12" s="490" t="s">
        <v>1093</v>
      </c>
      <c r="G12" s="491">
        <v>0</v>
      </c>
      <c r="H12" s="495">
        <v>0</v>
      </c>
      <c r="I12" s="492">
        <v>5</v>
      </c>
      <c r="J12" s="493">
        <f t="shared" si="2"/>
        <v>5</v>
      </c>
      <c r="K12" s="320" t="s">
        <v>988</v>
      </c>
      <c r="L12" s="7" t="s">
        <v>30</v>
      </c>
      <c r="M12" s="7" t="s">
        <v>30</v>
      </c>
      <c r="N12" s="206" t="s">
        <v>30</v>
      </c>
      <c r="O12" s="7" t="s">
        <v>30</v>
      </c>
      <c r="P12" s="7" t="s">
        <v>30</v>
      </c>
      <c r="Q12" s="206" t="s">
        <v>30</v>
      </c>
      <c r="R12" s="7" t="s">
        <v>30</v>
      </c>
      <c r="S12" s="7" t="s">
        <v>30</v>
      </c>
      <c r="T12" s="206" t="s">
        <v>30</v>
      </c>
      <c r="U12" s="201">
        <v>3</v>
      </c>
      <c r="V12" s="7">
        <v>5</v>
      </c>
      <c r="W12" s="206">
        <f t="shared" ref="W12" si="4">SUM(U12/V12)*100</f>
        <v>60</v>
      </c>
      <c r="X12" s="107"/>
      <c r="AB12" s="276"/>
      <c r="AC12" s="201" t="s">
        <v>30</v>
      </c>
      <c r="AD12" s="7" t="s">
        <v>30</v>
      </c>
      <c r="AE12" s="7" t="s">
        <v>30</v>
      </c>
      <c r="AF12" s="201">
        <v>11</v>
      </c>
      <c r="AG12" s="7">
        <v>13</v>
      </c>
      <c r="AH12" s="206">
        <f>SUM(AF12/AG12)*100</f>
        <v>84.615384615384613</v>
      </c>
      <c r="AI12" s="201">
        <v>11</v>
      </c>
      <c r="AJ12" s="7">
        <v>18</v>
      </c>
      <c r="AK12" s="206">
        <f>SUM(AI12/AJ12)*100</f>
        <v>61.111111111111114</v>
      </c>
      <c r="AL12" s="201">
        <v>13</v>
      </c>
      <c r="AM12" s="7">
        <v>18</v>
      </c>
      <c r="AN12" s="206">
        <f>SUM(AL12/AM12)*100</f>
        <v>72.222222222222214</v>
      </c>
      <c r="AO12" s="201">
        <v>6</v>
      </c>
      <c r="AP12" s="7">
        <v>9</v>
      </c>
      <c r="AQ12" s="206">
        <f>SUM(AO12/AP12)*100</f>
        <v>66.666666666666657</v>
      </c>
    </row>
    <row r="13" spans="1:49" ht="14.95" customHeight="1" thickBot="1" x14ac:dyDescent="0.3">
      <c r="A13" s="313" t="s">
        <v>1019</v>
      </c>
      <c r="B13" s="171">
        <v>3</v>
      </c>
      <c r="C13" s="497">
        <v>0</v>
      </c>
      <c r="D13" s="457">
        <v>1</v>
      </c>
      <c r="E13" s="318">
        <f t="shared" si="0"/>
        <v>4</v>
      </c>
      <c r="F13" s="490" t="s">
        <v>1019</v>
      </c>
      <c r="G13" s="491">
        <v>15</v>
      </c>
      <c r="H13" s="495">
        <v>0</v>
      </c>
      <c r="I13" s="492">
        <v>5</v>
      </c>
      <c r="J13" s="493">
        <f t="shared" si="2"/>
        <v>20</v>
      </c>
      <c r="AF13" s="100"/>
      <c r="AI13" s="100"/>
    </row>
    <row r="14" spans="1:49" ht="14.95" customHeight="1" thickBot="1" x14ac:dyDescent="0.3">
      <c r="A14" s="313" t="s">
        <v>717</v>
      </c>
      <c r="B14" s="171">
        <v>4</v>
      </c>
      <c r="C14" s="497">
        <v>0</v>
      </c>
      <c r="D14" s="457">
        <v>1</v>
      </c>
      <c r="E14" s="318">
        <f t="shared" si="0"/>
        <v>5</v>
      </c>
      <c r="F14" s="490" t="s">
        <v>717</v>
      </c>
      <c r="G14" s="491">
        <v>20</v>
      </c>
      <c r="H14" s="495">
        <v>0</v>
      </c>
      <c r="I14" s="492">
        <v>5</v>
      </c>
      <c r="J14" s="493">
        <f t="shared" si="2"/>
        <v>25</v>
      </c>
      <c r="K14" s="569" t="s">
        <v>511</v>
      </c>
      <c r="L14" s="526" t="s">
        <v>29</v>
      </c>
      <c r="M14" s="527"/>
      <c r="N14" s="528"/>
      <c r="O14" s="520" t="s">
        <v>634</v>
      </c>
      <c r="P14" s="521"/>
      <c r="Q14" s="522"/>
      <c r="R14" s="520" t="s">
        <v>863</v>
      </c>
      <c r="S14" s="521"/>
      <c r="T14" s="522"/>
      <c r="U14" s="520" t="s">
        <v>621</v>
      </c>
      <c r="V14" s="521"/>
      <c r="W14" s="522"/>
      <c r="X14" s="325"/>
      <c r="Y14" s="214"/>
      <c r="Z14" s="214"/>
      <c r="AB14" s="276"/>
      <c r="AC14" s="520" t="s">
        <v>448</v>
      </c>
      <c r="AD14" s="521"/>
      <c r="AE14" s="522"/>
      <c r="AF14" s="520" t="s">
        <v>178</v>
      </c>
      <c r="AG14" s="521"/>
      <c r="AH14" s="522"/>
      <c r="AI14" s="520" t="s">
        <v>122</v>
      </c>
      <c r="AJ14" s="521"/>
      <c r="AK14" s="522"/>
      <c r="AL14" s="520" t="s">
        <v>113</v>
      </c>
      <c r="AM14" s="521"/>
      <c r="AN14" s="522"/>
      <c r="AO14" s="520" t="s">
        <v>85</v>
      </c>
      <c r="AP14" s="521"/>
      <c r="AQ14" s="522"/>
    </row>
    <row r="15" spans="1:49" ht="14.95" customHeight="1" thickBot="1" x14ac:dyDescent="0.3">
      <c r="A15" s="313" t="s">
        <v>91</v>
      </c>
      <c r="B15" s="171">
        <v>2</v>
      </c>
      <c r="C15" s="497">
        <v>0</v>
      </c>
      <c r="D15" s="457">
        <v>0</v>
      </c>
      <c r="E15" s="318">
        <f t="shared" si="0"/>
        <v>2</v>
      </c>
      <c r="F15" s="490" t="s">
        <v>91</v>
      </c>
      <c r="G15" s="491">
        <v>10</v>
      </c>
      <c r="H15" s="495">
        <v>0</v>
      </c>
      <c r="I15" s="492">
        <v>0</v>
      </c>
      <c r="J15" s="493">
        <f t="shared" si="2"/>
        <v>10</v>
      </c>
      <c r="K15" s="570"/>
      <c r="L15" s="529"/>
      <c r="M15" s="530"/>
      <c r="N15" s="531"/>
      <c r="O15" s="523"/>
      <c r="P15" s="524"/>
      <c r="Q15" s="525"/>
      <c r="R15" s="523"/>
      <c r="S15" s="524"/>
      <c r="T15" s="525"/>
      <c r="U15" s="523"/>
      <c r="V15" s="524"/>
      <c r="W15" s="525"/>
      <c r="X15" s="325"/>
      <c r="Y15" s="214"/>
      <c r="Z15" s="214"/>
      <c r="AB15" s="276"/>
      <c r="AC15" s="523"/>
      <c r="AD15" s="524"/>
      <c r="AE15" s="525"/>
      <c r="AF15" s="523"/>
      <c r="AG15" s="524"/>
      <c r="AH15" s="525"/>
      <c r="AI15" s="523"/>
      <c r="AJ15" s="524"/>
      <c r="AK15" s="525"/>
      <c r="AL15" s="523"/>
      <c r="AM15" s="524"/>
      <c r="AN15" s="525"/>
      <c r="AO15" s="523"/>
      <c r="AP15" s="524"/>
      <c r="AQ15" s="525"/>
    </row>
    <row r="16" spans="1:49" ht="14.95" customHeight="1" thickBot="1" x14ac:dyDescent="0.3">
      <c r="A16" s="313" t="s">
        <v>527</v>
      </c>
      <c r="B16" s="171">
        <v>5</v>
      </c>
      <c r="C16" s="497">
        <v>0</v>
      </c>
      <c r="D16" s="457">
        <v>0</v>
      </c>
      <c r="E16" s="318">
        <f t="shared" si="0"/>
        <v>5</v>
      </c>
      <c r="F16" s="490" t="s">
        <v>527</v>
      </c>
      <c r="G16" s="491">
        <v>25</v>
      </c>
      <c r="H16" s="495">
        <v>0</v>
      </c>
      <c r="I16" s="492">
        <v>0</v>
      </c>
      <c r="J16" s="493">
        <f t="shared" si="2"/>
        <v>25</v>
      </c>
      <c r="K16" s="471" t="s">
        <v>44</v>
      </c>
      <c r="L16" s="3" t="s">
        <v>107</v>
      </c>
      <c r="M16" s="3" t="s">
        <v>23</v>
      </c>
      <c r="N16" s="3" t="s">
        <v>24</v>
      </c>
      <c r="O16" s="7" t="s">
        <v>107</v>
      </c>
      <c r="P16" s="7" t="s">
        <v>23</v>
      </c>
      <c r="Q16" s="7" t="s">
        <v>24</v>
      </c>
      <c r="R16" s="7" t="s">
        <v>107</v>
      </c>
      <c r="S16" s="7" t="s">
        <v>23</v>
      </c>
      <c r="T16" s="7" t="s">
        <v>24</v>
      </c>
      <c r="U16" s="201" t="s">
        <v>107</v>
      </c>
      <c r="V16" s="7" t="s">
        <v>23</v>
      </c>
      <c r="W16" s="7" t="s">
        <v>24</v>
      </c>
      <c r="X16" s="107"/>
      <c r="AB16" s="276"/>
      <c r="AC16" s="201" t="s">
        <v>107</v>
      </c>
      <c r="AD16" s="7" t="s">
        <v>23</v>
      </c>
      <c r="AE16" s="7" t="s">
        <v>24</v>
      </c>
      <c r="AF16" s="201" t="s">
        <v>107</v>
      </c>
      <c r="AG16" s="7" t="s">
        <v>23</v>
      </c>
      <c r="AH16" s="7" t="s">
        <v>24</v>
      </c>
      <c r="AI16" s="201" t="s">
        <v>107</v>
      </c>
      <c r="AJ16" s="7" t="s">
        <v>23</v>
      </c>
      <c r="AK16" s="7" t="s">
        <v>24</v>
      </c>
      <c r="AL16" s="201" t="s">
        <v>107</v>
      </c>
      <c r="AM16" s="7" t="s">
        <v>23</v>
      </c>
      <c r="AN16" s="7" t="s">
        <v>24</v>
      </c>
      <c r="AO16" s="201" t="s">
        <v>107</v>
      </c>
      <c r="AP16" s="7" t="s">
        <v>23</v>
      </c>
      <c r="AQ16" s="7" t="s">
        <v>24</v>
      </c>
    </row>
    <row r="17" spans="1:43" ht="14.95" customHeight="1" thickBot="1" x14ac:dyDescent="0.3">
      <c r="A17" s="313" t="s">
        <v>61</v>
      </c>
      <c r="B17" s="171">
        <v>3</v>
      </c>
      <c r="C17" s="497">
        <v>2</v>
      </c>
      <c r="D17" s="457">
        <v>0</v>
      </c>
      <c r="E17" s="318">
        <f t="shared" si="0"/>
        <v>5</v>
      </c>
      <c r="F17" s="490" t="s">
        <v>61</v>
      </c>
      <c r="G17" s="491">
        <v>15</v>
      </c>
      <c r="H17" s="495">
        <v>10</v>
      </c>
      <c r="I17" s="492">
        <v>0</v>
      </c>
      <c r="J17" s="493">
        <f t="shared" si="2"/>
        <v>25</v>
      </c>
      <c r="K17" s="320" t="s">
        <v>125</v>
      </c>
      <c r="L17" s="318" t="s">
        <v>30</v>
      </c>
      <c r="M17" s="318" t="s">
        <v>30</v>
      </c>
      <c r="N17" s="319" t="s">
        <v>30</v>
      </c>
      <c r="O17" s="7">
        <v>7</v>
      </c>
      <c r="P17" s="7">
        <v>11</v>
      </c>
      <c r="Q17" s="206">
        <f>(O17/P17)*100</f>
        <v>63.636363636363633</v>
      </c>
      <c r="R17" s="7">
        <v>20</v>
      </c>
      <c r="S17" s="7">
        <v>25</v>
      </c>
      <c r="T17" s="206">
        <f>(R17/S17)*100</f>
        <v>80</v>
      </c>
      <c r="U17" s="201">
        <v>7</v>
      </c>
      <c r="V17" s="7">
        <v>8</v>
      </c>
      <c r="W17" s="206">
        <f t="shared" ref="W17" si="5">SUM(U17/V17)*100</f>
        <v>87.5</v>
      </c>
      <c r="X17" s="107"/>
      <c r="AB17" s="276"/>
      <c r="AC17" s="201">
        <v>0</v>
      </c>
      <c r="AD17" s="7">
        <v>3</v>
      </c>
      <c r="AE17" s="206">
        <f>SUM(AC17/AD17)*100</f>
        <v>0</v>
      </c>
      <c r="AF17" s="201">
        <v>3</v>
      </c>
      <c r="AG17" s="7">
        <v>4</v>
      </c>
      <c r="AH17" s="206">
        <f>SUM(AF17/AG17)*100</f>
        <v>75</v>
      </c>
      <c r="AI17" s="201" t="s">
        <v>30</v>
      </c>
      <c r="AJ17" s="7" t="s">
        <v>30</v>
      </c>
      <c r="AK17" s="7" t="s">
        <v>30</v>
      </c>
      <c r="AL17" s="201" t="s">
        <v>30</v>
      </c>
      <c r="AM17" s="7" t="s">
        <v>30</v>
      </c>
      <c r="AN17" s="7" t="s">
        <v>30</v>
      </c>
      <c r="AO17" s="201" t="s">
        <v>30</v>
      </c>
      <c r="AP17" s="7" t="s">
        <v>30</v>
      </c>
      <c r="AQ17" s="7" t="s">
        <v>30</v>
      </c>
    </row>
    <row r="18" spans="1:43" ht="14.95" customHeight="1" thickBot="1" x14ac:dyDescent="0.3">
      <c r="A18" s="313" t="s">
        <v>1118</v>
      </c>
      <c r="B18" s="171">
        <v>0</v>
      </c>
      <c r="C18" s="497">
        <v>0</v>
      </c>
      <c r="D18" s="457">
        <v>1</v>
      </c>
      <c r="E18" s="318">
        <f t="shared" si="0"/>
        <v>1</v>
      </c>
      <c r="F18" s="490" t="s">
        <v>1119</v>
      </c>
      <c r="G18" s="491">
        <v>0</v>
      </c>
      <c r="H18" s="495">
        <v>0</v>
      </c>
      <c r="I18" s="492">
        <v>5</v>
      </c>
      <c r="J18" s="493">
        <f t="shared" si="2"/>
        <v>5</v>
      </c>
      <c r="K18" s="320" t="s">
        <v>756</v>
      </c>
      <c r="L18" s="318">
        <v>8</v>
      </c>
      <c r="M18" s="318">
        <v>10</v>
      </c>
      <c r="N18" s="319">
        <f>(L18/M18)*100</f>
        <v>80</v>
      </c>
      <c r="O18" s="7" t="s">
        <v>30</v>
      </c>
      <c r="P18" s="7" t="s">
        <v>30</v>
      </c>
      <c r="Q18" s="206" t="s">
        <v>30</v>
      </c>
      <c r="R18" s="7" t="s">
        <v>30</v>
      </c>
      <c r="S18" s="7" t="s">
        <v>30</v>
      </c>
      <c r="T18" s="206" t="s">
        <v>30</v>
      </c>
      <c r="U18" s="201">
        <v>7</v>
      </c>
      <c r="V18" s="7">
        <v>10</v>
      </c>
      <c r="W18" s="206">
        <f>SUM(U18/V18)*100</f>
        <v>70</v>
      </c>
      <c r="X18" s="107"/>
      <c r="AB18" s="276"/>
      <c r="AC18" s="201" t="s">
        <v>30</v>
      </c>
      <c r="AD18" s="7" t="s">
        <v>30</v>
      </c>
      <c r="AE18" s="7" t="s">
        <v>30</v>
      </c>
      <c r="AF18" s="6">
        <v>8</v>
      </c>
      <c r="AG18" s="7">
        <v>13</v>
      </c>
      <c r="AH18" s="206">
        <f>SUM(AF18/AG18)*100</f>
        <v>61.53846153846154</v>
      </c>
      <c r="AI18" s="201" t="s">
        <v>30</v>
      </c>
      <c r="AJ18" s="7" t="s">
        <v>30</v>
      </c>
      <c r="AK18" s="7" t="s">
        <v>30</v>
      </c>
      <c r="AL18" s="201" t="s">
        <v>30</v>
      </c>
      <c r="AM18" s="7" t="s">
        <v>30</v>
      </c>
      <c r="AN18" s="7" t="s">
        <v>30</v>
      </c>
      <c r="AO18" s="201" t="s">
        <v>30</v>
      </c>
      <c r="AP18" s="7" t="s">
        <v>30</v>
      </c>
      <c r="AQ18" s="7" t="s">
        <v>30</v>
      </c>
    </row>
    <row r="19" spans="1:43" ht="14.95" customHeight="1" thickBot="1" x14ac:dyDescent="0.3">
      <c r="A19" s="313" t="s">
        <v>129</v>
      </c>
      <c r="B19" s="171">
        <v>2</v>
      </c>
      <c r="C19" s="497">
        <v>2</v>
      </c>
      <c r="D19" s="457">
        <v>5</v>
      </c>
      <c r="E19" s="318">
        <f t="shared" si="0"/>
        <v>9</v>
      </c>
      <c r="F19" s="490" t="s">
        <v>129</v>
      </c>
      <c r="G19" s="491">
        <v>10</v>
      </c>
      <c r="H19" s="495">
        <v>10</v>
      </c>
      <c r="I19" s="492">
        <v>25</v>
      </c>
      <c r="J19" s="493">
        <f t="shared" si="2"/>
        <v>45</v>
      </c>
      <c r="K19" s="320" t="s">
        <v>48</v>
      </c>
      <c r="L19" s="318">
        <v>9</v>
      </c>
      <c r="M19" s="318">
        <v>14</v>
      </c>
      <c r="N19" s="319">
        <f>(L19/M19)*100</f>
        <v>64.285714285714292</v>
      </c>
      <c r="O19" s="7" t="s">
        <v>30</v>
      </c>
      <c r="P19" s="7" t="s">
        <v>30</v>
      </c>
      <c r="Q19" s="206" t="s">
        <v>30</v>
      </c>
      <c r="R19" s="7" t="s">
        <v>30</v>
      </c>
      <c r="S19" s="7" t="s">
        <v>30</v>
      </c>
      <c r="T19" s="206" t="s">
        <v>30</v>
      </c>
      <c r="U19" s="7" t="s">
        <v>30</v>
      </c>
      <c r="V19" s="7" t="s">
        <v>30</v>
      </c>
      <c r="W19" s="206" t="s">
        <v>30</v>
      </c>
      <c r="X19" s="107"/>
      <c r="AB19" s="276"/>
      <c r="AC19" s="7" t="s">
        <v>30</v>
      </c>
      <c r="AD19" s="7" t="s">
        <v>30</v>
      </c>
      <c r="AE19" s="206" t="s">
        <v>30</v>
      </c>
      <c r="AF19" s="7" t="s">
        <v>30</v>
      </c>
      <c r="AG19" s="7" t="s">
        <v>30</v>
      </c>
      <c r="AH19" s="206" t="s">
        <v>30</v>
      </c>
      <c r="AI19" s="7" t="s">
        <v>30</v>
      </c>
      <c r="AJ19" s="7" t="s">
        <v>30</v>
      </c>
      <c r="AK19" s="206" t="s">
        <v>30</v>
      </c>
      <c r="AL19" s="201" t="s">
        <v>30</v>
      </c>
      <c r="AM19" s="7" t="s">
        <v>30</v>
      </c>
      <c r="AN19" s="7" t="s">
        <v>30</v>
      </c>
      <c r="AO19" s="201" t="s">
        <v>30</v>
      </c>
      <c r="AP19" s="7" t="s">
        <v>30</v>
      </c>
      <c r="AQ19" s="7" t="s">
        <v>30</v>
      </c>
    </row>
    <row r="20" spans="1:43" ht="14.95" customHeight="1" thickBot="1" x14ac:dyDescent="0.3">
      <c r="A20" s="313" t="s">
        <v>120</v>
      </c>
      <c r="B20" s="171">
        <v>2</v>
      </c>
      <c r="C20" s="497">
        <v>0</v>
      </c>
      <c r="D20" s="457">
        <v>1</v>
      </c>
      <c r="E20" s="318">
        <f t="shared" si="0"/>
        <v>3</v>
      </c>
      <c r="F20" s="490" t="s">
        <v>121</v>
      </c>
      <c r="G20" s="491">
        <v>10</v>
      </c>
      <c r="H20" s="495">
        <v>0</v>
      </c>
      <c r="I20" s="492">
        <v>5</v>
      </c>
      <c r="J20" s="493">
        <f t="shared" si="2"/>
        <v>15</v>
      </c>
      <c r="K20" s="320" t="s">
        <v>988</v>
      </c>
      <c r="L20" s="318" t="s">
        <v>30</v>
      </c>
      <c r="M20" s="318" t="s">
        <v>30</v>
      </c>
      <c r="N20" s="319" t="s">
        <v>30</v>
      </c>
      <c r="O20" s="7" t="s">
        <v>30</v>
      </c>
      <c r="P20" s="7" t="s">
        <v>30</v>
      </c>
      <c r="Q20" s="206" t="s">
        <v>30</v>
      </c>
      <c r="R20" s="7" t="s">
        <v>30</v>
      </c>
      <c r="S20" s="7" t="s">
        <v>30</v>
      </c>
      <c r="T20" s="206" t="s">
        <v>30</v>
      </c>
      <c r="U20" s="7" t="s">
        <v>30</v>
      </c>
      <c r="V20" s="7" t="s">
        <v>30</v>
      </c>
      <c r="W20" s="206" t="s">
        <v>30</v>
      </c>
      <c r="X20" s="107"/>
      <c r="AB20" s="276"/>
      <c r="AC20" s="201">
        <v>21</v>
      </c>
      <c r="AD20" s="7">
        <v>25</v>
      </c>
      <c r="AE20" s="7">
        <v>84</v>
      </c>
      <c r="AF20" s="201" t="s">
        <v>30</v>
      </c>
      <c r="AG20" s="7" t="s">
        <v>30</v>
      </c>
      <c r="AH20" s="7" t="s">
        <v>30</v>
      </c>
      <c r="AI20" s="201" t="s">
        <v>30</v>
      </c>
      <c r="AJ20" s="7" t="s">
        <v>30</v>
      </c>
      <c r="AK20" s="7" t="s">
        <v>30</v>
      </c>
      <c r="AL20" s="201" t="s">
        <v>30</v>
      </c>
      <c r="AM20" s="7" t="s">
        <v>30</v>
      </c>
      <c r="AN20" s="7" t="s">
        <v>30</v>
      </c>
      <c r="AO20" s="201" t="s">
        <v>30</v>
      </c>
      <c r="AP20" s="7" t="s">
        <v>30</v>
      </c>
      <c r="AQ20" s="7" t="s">
        <v>30</v>
      </c>
    </row>
    <row r="21" spans="1:43" ht="14.95" customHeight="1" thickBot="1" x14ac:dyDescent="0.3">
      <c r="A21" s="313" t="s">
        <v>15</v>
      </c>
      <c r="B21" s="171">
        <v>0</v>
      </c>
      <c r="C21" s="497">
        <v>0</v>
      </c>
      <c r="D21" s="457">
        <v>2</v>
      </c>
      <c r="E21" s="318">
        <f t="shared" si="0"/>
        <v>2</v>
      </c>
      <c r="F21" s="490" t="s">
        <v>15</v>
      </c>
      <c r="G21" s="491">
        <v>0</v>
      </c>
      <c r="H21" s="495">
        <v>0</v>
      </c>
      <c r="I21" s="492">
        <v>10</v>
      </c>
      <c r="J21" s="493">
        <f t="shared" si="2"/>
        <v>10</v>
      </c>
      <c r="AF21" s="100"/>
      <c r="AI21" s="100"/>
    </row>
    <row r="22" spans="1:43" ht="14.95" customHeight="1" thickBot="1" x14ac:dyDescent="0.3">
      <c r="A22" s="313" t="s">
        <v>56</v>
      </c>
      <c r="B22" s="171">
        <v>1</v>
      </c>
      <c r="C22" s="497">
        <v>0</v>
      </c>
      <c r="D22" s="457">
        <v>1</v>
      </c>
      <c r="E22" s="318">
        <f t="shared" si="0"/>
        <v>2</v>
      </c>
      <c r="F22" s="490" t="s">
        <v>56</v>
      </c>
      <c r="G22" s="491">
        <v>5</v>
      </c>
      <c r="H22" s="495">
        <v>0</v>
      </c>
      <c r="I22" s="492">
        <v>5</v>
      </c>
      <c r="J22" s="493">
        <f t="shared" si="2"/>
        <v>10</v>
      </c>
      <c r="K22" s="547" t="s">
        <v>179</v>
      </c>
      <c r="L22" s="526" t="s">
        <v>29</v>
      </c>
      <c r="M22" s="527"/>
      <c r="N22" s="528"/>
      <c r="O22" s="520" t="s">
        <v>634</v>
      </c>
      <c r="P22" s="521"/>
      <c r="Q22" s="522"/>
      <c r="R22" s="520" t="s">
        <v>863</v>
      </c>
      <c r="S22" s="521"/>
      <c r="T22" s="522"/>
      <c r="U22" s="520" t="s">
        <v>621</v>
      </c>
      <c r="V22" s="521"/>
      <c r="W22" s="522"/>
      <c r="X22" s="325"/>
      <c r="Y22" s="214"/>
      <c r="Z22" s="214"/>
      <c r="AA22" s="109"/>
      <c r="AB22" s="327"/>
      <c r="AC22" s="520" t="s">
        <v>448</v>
      </c>
      <c r="AD22" s="521"/>
      <c r="AE22" s="522"/>
      <c r="AF22" s="520" t="s">
        <v>178</v>
      </c>
      <c r="AG22" s="521"/>
      <c r="AH22" s="522"/>
      <c r="AI22" s="520" t="s">
        <v>113</v>
      </c>
      <c r="AJ22" s="521"/>
      <c r="AK22" s="522"/>
      <c r="AL22" s="520" t="s">
        <v>85</v>
      </c>
      <c r="AM22" s="521"/>
      <c r="AN22" s="522"/>
    </row>
    <row r="23" spans="1:43" ht="14.95" customHeight="1" thickBot="1" x14ac:dyDescent="0.3">
      <c r="A23" s="313" t="s">
        <v>160</v>
      </c>
      <c r="B23" s="171">
        <v>1</v>
      </c>
      <c r="C23" s="497">
        <v>0</v>
      </c>
      <c r="D23" s="457">
        <v>0</v>
      </c>
      <c r="E23" s="318">
        <f t="shared" si="0"/>
        <v>1</v>
      </c>
      <c r="F23" s="490" t="s">
        <v>160</v>
      </c>
      <c r="G23" s="491">
        <v>5</v>
      </c>
      <c r="H23" s="495">
        <v>0</v>
      </c>
      <c r="I23" s="492">
        <v>0</v>
      </c>
      <c r="J23" s="493">
        <f t="shared" si="2"/>
        <v>5</v>
      </c>
      <c r="K23" s="548"/>
      <c r="L23" s="529"/>
      <c r="M23" s="530"/>
      <c r="N23" s="531"/>
      <c r="O23" s="523"/>
      <c r="P23" s="524"/>
      <c r="Q23" s="525"/>
      <c r="R23" s="523"/>
      <c r="S23" s="524"/>
      <c r="T23" s="525"/>
      <c r="U23" s="523"/>
      <c r="V23" s="524"/>
      <c r="W23" s="525"/>
      <c r="X23" s="325"/>
      <c r="Y23" s="214"/>
      <c r="Z23" s="214"/>
      <c r="AA23" s="109"/>
      <c r="AB23" s="327"/>
      <c r="AC23" s="523"/>
      <c r="AD23" s="524"/>
      <c r="AE23" s="525"/>
      <c r="AF23" s="523"/>
      <c r="AG23" s="524"/>
      <c r="AH23" s="525"/>
      <c r="AI23" s="523"/>
      <c r="AJ23" s="524"/>
      <c r="AK23" s="525"/>
      <c r="AL23" s="523"/>
      <c r="AM23" s="524"/>
      <c r="AN23" s="525"/>
    </row>
    <row r="24" spans="1:43" ht="14.95" customHeight="1" thickBot="1" x14ac:dyDescent="0.3">
      <c r="A24" s="313" t="s">
        <v>52</v>
      </c>
      <c r="B24" s="171">
        <v>1</v>
      </c>
      <c r="C24" s="497">
        <v>0</v>
      </c>
      <c r="D24" s="457">
        <v>0</v>
      </c>
      <c r="E24" s="318">
        <f t="shared" si="0"/>
        <v>1</v>
      </c>
      <c r="F24" s="490" t="s">
        <v>52</v>
      </c>
      <c r="G24" s="491">
        <v>5</v>
      </c>
      <c r="H24" s="495">
        <v>0</v>
      </c>
      <c r="I24" s="492">
        <v>0</v>
      </c>
      <c r="J24" s="493">
        <f t="shared" si="2"/>
        <v>5</v>
      </c>
      <c r="K24" s="400" t="s">
        <v>44</v>
      </c>
      <c r="L24" s="3" t="s">
        <v>107</v>
      </c>
      <c r="M24" s="3" t="s">
        <v>23</v>
      </c>
      <c r="N24" s="3" t="s">
        <v>24</v>
      </c>
      <c r="O24" s="7" t="s">
        <v>107</v>
      </c>
      <c r="P24" s="7" t="s">
        <v>23</v>
      </c>
      <c r="Q24" s="7" t="s">
        <v>24</v>
      </c>
      <c r="R24" s="7" t="s">
        <v>107</v>
      </c>
      <c r="S24" s="7" t="s">
        <v>23</v>
      </c>
      <c r="T24" s="7" t="s">
        <v>24</v>
      </c>
      <c r="U24" s="201" t="s">
        <v>107</v>
      </c>
      <c r="V24" s="7" t="s">
        <v>23</v>
      </c>
      <c r="W24" s="7" t="s">
        <v>24</v>
      </c>
      <c r="X24" s="108"/>
      <c r="Y24" s="109"/>
      <c r="Z24" s="109"/>
      <c r="AA24" s="109"/>
      <c r="AB24" s="327"/>
      <c r="AC24" s="201" t="s">
        <v>107</v>
      </c>
      <c r="AD24" s="7" t="s">
        <v>23</v>
      </c>
      <c r="AE24" s="7" t="s">
        <v>24</v>
      </c>
      <c r="AF24" s="201" t="s">
        <v>107</v>
      </c>
      <c r="AG24" s="7" t="s">
        <v>23</v>
      </c>
      <c r="AH24" s="7" t="s">
        <v>24</v>
      </c>
      <c r="AI24" s="201" t="s">
        <v>107</v>
      </c>
      <c r="AJ24" s="7" t="s">
        <v>23</v>
      </c>
      <c r="AK24" s="7" t="s">
        <v>24</v>
      </c>
      <c r="AL24" s="201" t="s">
        <v>107</v>
      </c>
      <c r="AM24" s="7" t="s">
        <v>23</v>
      </c>
      <c r="AN24" s="7" t="s">
        <v>24</v>
      </c>
    </row>
    <row r="25" spans="1:43" ht="14.95" customHeight="1" thickBot="1" x14ac:dyDescent="0.3">
      <c r="A25" s="313" t="s">
        <v>37</v>
      </c>
      <c r="B25" s="171">
        <v>0</v>
      </c>
      <c r="C25" s="497">
        <v>0</v>
      </c>
      <c r="D25" s="457">
        <v>1</v>
      </c>
      <c r="E25" s="318">
        <f t="shared" si="0"/>
        <v>1</v>
      </c>
      <c r="F25" s="490" t="s">
        <v>37</v>
      </c>
      <c r="G25" s="491">
        <v>0</v>
      </c>
      <c r="H25" s="495">
        <v>0</v>
      </c>
      <c r="I25" s="492">
        <v>5</v>
      </c>
      <c r="J25" s="493">
        <f t="shared" si="2"/>
        <v>5</v>
      </c>
      <c r="K25" s="320" t="s">
        <v>756</v>
      </c>
      <c r="L25" s="318">
        <v>15</v>
      </c>
      <c r="M25" s="318">
        <v>18</v>
      </c>
      <c r="N25" s="319">
        <f>(L25/M25)*100</f>
        <v>83.333333333333343</v>
      </c>
      <c r="O25" s="7" t="s">
        <v>30</v>
      </c>
      <c r="P25" s="7" t="s">
        <v>30</v>
      </c>
      <c r="Q25" s="206" t="s">
        <v>30</v>
      </c>
      <c r="R25" s="7">
        <v>3</v>
      </c>
      <c r="S25" s="7">
        <v>4</v>
      </c>
      <c r="T25" s="206">
        <v>75</v>
      </c>
      <c r="U25" s="201">
        <v>2</v>
      </c>
      <c r="V25" s="7">
        <v>3</v>
      </c>
      <c r="W25" s="206">
        <v>67</v>
      </c>
      <c r="X25" s="108"/>
      <c r="Y25" s="109"/>
      <c r="Z25" s="109"/>
      <c r="AA25" s="109"/>
      <c r="AB25" s="327"/>
      <c r="AC25" s="201" t="s">
        <v>30</v>
      </c>
      <c r="AD25" s="7" t="s">
        <v>30</v>
      </c>
      <c r="AE25" s="7" t="s">
        <v>30</v>
      </c>
      <c r="AF25" s="201">
        <v>9</v>
      </c>
      <c r="AG25" s="7">
        <v>12</v>
      </c>
      <c r="AH25" s="7">
        <v>75</v>
      </c>
      <c r="AI25" s="201" t="s">
        <v>30</v>
      </c>
      <c r="AJ25" s="7" t="s">
        <v>30</v>
      </c>
      <c r="AK25" s="7" t="s">
        <v>30</v>
      </c>
      <c r="AL25" s="201" t="s">
        <v>30</v>
      </c>
      <c r="AM25" s="7" t="s">
        <v>30</v>
      </c>
      <c r="AN25" s="7" t="s">
        <v>30</v>
      </c>
    </row>
    <row r="26" spans="1:43" ht="14.95" customHeight="1" thickBot="1" x14ac:dyDescent="0.3">
      <c r="A26" s="313" t="s">
        <v>718</v>
      </c>
      <c r="B26" s="171">
        <v>0</v>
      </c>
      <c r="C26" s="497">
        <v>0</v>
      </c>
      <c r="D26" s="457">
        <v>0</v>
      </c>
      <c r="E26" s="318">
        <f t="shared" si="0"/>
        <v>0</v>
      </c>
      <c r="F26" s="490" t="s">
        <v>718</v>
      </c>
      <c r="G26" s="491">
        <v>0</v>
      </c>
      <c r="H26" s="495">
        <v>0</v>
      </c>
      <c r="I26" s="492">
        <v>0</v>
      </c>
      <c r="J26" s="493">
        <f t="shared" si="2"/>
        <v>0</v>
      </c>
      <c r="K26" s="320" t="s">
        <v>125</v>
      </c>
      <c r="L26" s="318">
        <v>5</v>
      </c>
      <c r="M26" s="318">
        <v>7</v>
      </c>
      <c r="N26" s="319">
        <f>(L26/M26)*100</f>
        <v>71.428571428571431</v>
      </c>
      <c r="O26" s="7" t="s">
        <v>30</v>
      </c>
      <c r="P26" s="7" t="s">
        <v>30</v>
      </c>
      <c r="Q26" s="206" t="s">
        <v>30</v>
      </c>
      <c r="R26" s="7">
        <v>2</v>
      </c>
      <c r="S26" s="7">
        <v>2</v>
      </c>
      <c r="T26" s="206">
        <f>(R26/S26)*100</f>
        <v>100</v>
      </c>
      <c r="U26" s="201">
        <v>1</v>
      </c>
      <c r="V26" s="7">
        <v>1</v>
      </c>
      <c r="W26" s="206">
        <f t="shared" ref="W26" si="6">SUM(U26/V26)*100</f>
        <v>100</v>
      </c>
      <c r="X26" s="108"/>
      <c r="Y26" s="109"/>
      <c r="Z26" s="109"/>
      <c r="AA26" s="109"/>
      <c r="AB26" s="327"/>
      <c r="AC26" s="201">
        <v>3</v>
      </c>
      <c r="AD26" s="7">
        <v>5</v>
      </c>
      <c r="AE26" s="206">
        <f>SUM(AC26/AD26)*100</f>
        <v>60</v>
      </c>
      <c r="AF26" s="201" t="s">
        <v>30</v>
      </c>
      <c r="AG26" s="7" t="s">
        <v>30</v>
      </c>
      <c r="AH26" s="7" t="s">
        <v>30</v>
      </c>
      <c r="AI26" s="201" t="s">
        <v>30</v>
      </c>
      <c r="AJ26" s="7" t="s">
        <v>30</v>
      </c>
      <c r="AK26" s="7" t="s">
        <v>30</v>
      </c>
      <c r="AL26" s="201" t="s">
        <v>30</v>
      </c>
      <c r="AM26" s="7" t="s">
        <v>30</v>
      </c>
      <c r="AN26" s="7" t="s">
        <v>30</v>
      </c>
    </row>
    <row r="27" spans="1:43" ht="15.8" thickBot="1" x14ac:dyDescent="0.3">
      <c r="A27" s="313" t="s">
        <v>771</v>
      </c>
      <c r="B27" s="171">
        <v>0</v>
      </c>
      <c r="C27" s="497">
        <v>0</v>
      </c>
      <c r="D27" s="457">
        <v>0</v>
      </c>
      <c r="E27" s="318">
        <f t="shared" si="0"/>
        <v>0</v>
      </c>
      <c r="F27" s="490" t="s">
        <v>771</v>
      </c>
      <c r="G27" s="491">
        <v>0</v>
      </c>
      <c r="H27" s="495">
        <v>0</v>
      </c>
      <c r="I27" s="492">
        <v>0</v>
      </c>
      <c r="J27" s="493">
        <f t="shared" si="2"/>
        <v>0</v>
      </c>
      <c r="K27" s="320" t="s">
        <v>48</v>
      </c>
      <c r="L27" s="318">
        <v>2</v>
      </c>
      <c r="M27" s="318">
        <v>4</v>
      </c>
      <c r="N27" s="319">
        <f>(L27/M27)*100</f>
        <v>50</v>
      </c>
      <c r="O27" s="7" t="s">
        <v>30</v>
      </c>
      <c r="P27" s="7" t="s">
        <v>30</v>
      </c>
      <c r="Q27" s="206" t="s">
        <v>30</v>
      </c>
      <c r="R27" s="7" t="s">
        <v>30</v>
      </c>
      <c r="S27" s="7" t="s">
        <v>30</v>
      </c>
      <c r="T27" s="206" t="s">
        <v>30</v>
      </c>
      <c r="U27" s="7" t="s">
        <v>30</v>
      </c>
      <c r="V27" s="7" t="s">
        <v>30</v>
      </c>
      <c r="W27" s="206" t="s">
        <v>30</v>
      </c>
      <c r="X27" s="108"/>
      <c r="Y27" s="109"/>
      <c r="Z27" s="109"/>
      <c r="AA27" s="109"/>
      <c r="AB27" s="327"/>
      <c r="AC27" s="7" t="s">
        <v>30</v>
      </c>
      <c r="AD27" s="7" t="s">
        <v>30</v>
      </c>
      <c r="AE27" s="206" t="s">
        <v>30</v>
      </c>
      <c r="AF27" s="7" t="s">
        <v>30</v>
      </c>
      <c r="AG27" s="7" t="s">
        <v>30</v>
      </c>
      <c r="AH27" s="206" t="s">
        <v>30</v>
      </c>
      <c r="AI27" s="7" t="s">
        <v>30</v>
      </c>
      <c r="AJ27" s="7" t="s">
        <v>30</v>
      </c>
      <c r="AK27" s="206" t="s">
        <v>30</v>
      </c>
      <c r="AL27" s="7" t="s">
        <v>30</v>
      </c>
      <c r="AM27" s="7" t="s">
        <v>30</v>
      </c>
      <c r="AN27" s="206" t="s">
        <v>30</v>
      </c>
    </row>
    <row r="28" spans="1:43" ht="16" customHeight="1" thickBot="1" x14ac:dyDescent="0.3">
      <c r="A28" s="313" t="s">
        <v>585</v>
      </c>
      <c r="B28" s="171">
        <v>1</v>
      </c>
      <c r="C28" s="497">
        <v>0</v>
      </c>
      <c r="D28" s="457">
        <v>0</v>
      </c>
      <c r="E28" s="318">
        <f t="shared" si="0"/>
        <v>1</v>
      </c>
      <c r="F28" s="490" t="s">
        <v>585</v>
      </c>
      <c r="G28" s="491">
        <v>5</v>
      </c>
      <c r="H28" s="495">
        <v>0</v>
      </c>
      <c r="I28" s="492">
        <v>0</v>
      </c>
      <c r="J28" s="493">
        <f t="shared" si="2"/>
        <v>5</v>
      </c>
      <c r="K28" s="320" t="s">
        <v>988</v>
      </c>
      <c r="L28" s="318" t="s">
        <v>30</v>
      </c>
      <c r="M28" s="318" t="s">
        <v>30</v>
      </c>
      <c r="N28" s="319" t="s">
        <v>30</v>
      </c>
      <c r="O28" s="7" t="s">
        <v>30</v>
      </c>
      <c r="P28" s="7" t="s">
        <v>30</v>
      </c>
      <c r="Q28" s="206" t="s">
        <v>30</v>
      </c>
      <c r="R28" s="7" t="s">
        <v>30</v>
      </c>
      <c r="S28" s="7" t="s">
        <v>30</v>
      </c>
      <c r="T28" s="206" t="s">
        <v>30</v>
      </c>
      <c r="U28" s="7">
        <v>2</v>
      </c>
      <c r="V28" s="7">
        <v>3</v>
      </c>
      <c r="W28" s="206">
        <f>SUM(U28/V28)*100</f>
        <v>66.666666666666657</v>
      </c>
      <c r="X28" s="108"/>
      <c r="Y28" s="109"/>
      <c r="Z28" s="109"/>
      <c r="AA28" s="109"/>
      <c r="AB28" s="327"/>
      <c r="AC28" s="7">
        <v>2</v>
      </c>
      <c r="AD28" s="7">
        <v>3</v>
      </c>
      <c r="AE28" s="206">
        <f>SUM(AC28/AD28)*100</f>
        <v>66.666666666666657</v>
      </c>
      <c r="AF28" s="201">
        <v>5</v>
      </c>
      <c r="AG28" s="7">
        <v>6</v>
      </c>
      <c r="AH28" s="206">
        <f>SUM(AF28/AG28)*100</f>
        <v>83.333333333333343</v>
      </c>
      <c r="AI28" s="201">
        <v>7</v>
      </c>
      <c r="AJ28" s="7">
        <v>8</v>
      </c>
      <c r="AK28" s="206">
        <f>SUM(AI28/AJ28)*100</f>
        <v>87.5</v>
      </c>
      <c r="AL28" s="201">
        <v>1</v>
      </c>
      <c r="AM28" s="7">
        <v>2</v>
      </c>
      <c r="AN28" s="206">
        <f>SUM(AL28/AM28)*100</f>
        <v>50</v>
      </c>
    </row>
    <row r="29" spans="1:43" ht="16" customHeight="1" thickBot="1" x14ac:dyDescent="0.3">
      <c r="A29" s="313" t="s">
        <v>1116</v>
      </c>
      <c r="B29" s="171">
        <v>0</v>
      </c>
      <c r="C29" s="497">
        <v>0</v>
      </c>
      <c r="D29" s="457">
        <v>1</v>
      </c>
      <c r="E29" s="318">
        <f t="shared" si="0"/>
        <v>1</v>
      </c>
      <c r="F29" s="490" t="s">
        <v>1116</v>
      </c>
      <c r="G29" s="491">
        <v>0</v>
      </c>
      <c r="H29" s="495">
        <v>0</v>
      </c>
      <c r="I29" s="492">
        <v>5</v>
      </c>
      <c r="J29" s="493">
        <f t="shared" si="2"/>
        <v>5</v>
      </c>
      <c r="K29" s="518" t="s">
        <v>989</v>
      </c>
      <c r="L29" s="519"/>
      <c r="M29" s="519"/>
      <c r="N29" s="519"/>
      <c r="O29" s="519"/>
      <c r="P29" s="519"/>
      <c r="Q29" s="519"/>
      <c r="R29" s="519"/>
      <c r="S29" s="519"/>
      <c r="T29" s="519"/>
      <c r="U29" s="519"/>
      <c r="V29" s="519"/>
      <c r="W29" s="519"/>
      <c r="X29" s="519"/>
      <c r="Y29" s="519"/>
      <c r="Z29" s="519"/>
      <c r="AA29" s="519"/>
      <c r="AB29" s="519"/>
      <c r="AC29" s="519"/>
      <c r="AD29" s="519"/>
      <c r="AE29" s="519"/>
      <c r="AF29" s="519"/>
      <c r="AG29" s="519"/>
      <c r="AH29" s="519"/>
      <c r="AI29" s="519"/>
    </row>
    <row r="30" spans="1:43" ht="15.8" customHeight="1" thickBot="1" x14ac:dyDescent="0.3">
      <c r="A30" s="313" t="s">
        <v>6</v>
      </c>
      <c r="B30" s="171">
        <v>0</v>
      </c>
      <c r="C30" s="497">
        <v>1</v>
      </c>
      <c r="D30" s="457">
        <v>1</v>
      </c>
      <c r="E30" s="318">
        <f t="shared" si="0"/>
        <v>2</v>
      </c>
      <c r="F30" s="490" t="s">
        <v>6</v>
      </c>
      <c r="G30" s="491">
        <v>0</v>
      </c>
      <c r="H30" s="495">
        <v>7</v>
      </c>
      <c r="I30" s="492">
        <v>7</v>
      </c>
      <c r="J30" s="493">
        <f t="shared" si="2"/>
        <v>14</v>
      </c>
      <c r="K30" s="518" t="s">
        <v>990</v>
      </c>
      <c r="L30" s="605"/>
      <c r="M30" s="605"/>
      <c r="N30" s="605"/>
      <c r="O30" s="605"/>
      <c r="P30" s="605"/>
      <c r="Q30" s="605"/>
      <c r="R30" s="605"/>
      <c r="S30" s="605"/>
      <c r="T30" s="605"/>
      <c r="U30" s="605"/>
      <c r="V30" s="605"/>
      <c r="W30" s="605"/>
      <c r="X30" s="605"/>
      <c r="Y30" s="605"/>
      <c r="Z30" s="605"/>
      <c r="AA30" s="605"/>
      <c r="AB30" s="605"/>
      <c r="AC30" s="605"/>
      <c r="AD30" s="605"/>
      <c r="AE30" s="605"/>
      <c r="AF30" s="605"/>
      <c r="AG30" s="605"/>
      <c r="AH30" s="605"/>
      <c r="AI30" s="605"/>
      <c r="AJ30" s="605"/>
      <c r="AK30" s="605"/>
    </row>
    <row r="31" spans="1:43" ht="15.8" thickBot="1" x14ac:dyDescent="0.3">
      <c r="A31" s="313" t="s">
        <v>719</v>
      </c>
      <c r="B31" s="171">
        <v>1</v>
      </c>
      <c r="C31" s="497">
        <v>2</v>
      </c>
      <c r="D31" s="457">
        <v>1</v>
      </c>
      <c r="E31" s="318">
        <f t="shared" si="0"/>
        <v>4</v>
      </c>
      <c r="F31" s="490" t="s">
        <v>719</v>
      </c>
      <c r="G31" s="491">
        <v>32</v>
      </c>
      <c r="H31" s="495">
        <v>27</v>
      </c>
      <c r="I31" s="492">
        <v>38</v>
      </c>
      <c r="J31" s="493">
        <f t="shared" si="2"/>
        <v>97</v>
      </c>
    </row>
    <row r="32" spans="1:43" ht="15.8" thickBot="1" x14ac:dyDescent="0.3">
      <c r="A32" s="313" t="s">
        <v>125</v>
      </c>
      <c r="B32" s="171">
        <v>6</v>
      </c>
      <c r="C32" s="497">
        <v>0</v>
      </c>
      <c r="D32" s="457">
        <v>0</v>
      </c>
      <c r="E32" s="318">
        <f t="shared" si="0"/>
        <v>6</v>
      </c>
      <c r="F32" s="490" t="s">
        <v>125</v>
      </c>
      <c r="G32" s="491">
        <v>30</v>
      </c>
      <c r="H32" s="495">
        <v>0</v>
      </c>
      <c r="I32" s="492">
        <v>12</v>
      </c>
      <c r="J32" s="493">
        <f t="shared" si="2"/>
        <v>42</v>
      </c>
    </row>
    <row r="33" spans="1:10" ht="15.8" thickBot="1" x14ac:dyDescent="0.3">
      <c r="A33" s="313" t="s">
        <v>33</v>
      </c>
      <c r="B33" s="171">
        <v>4</v>
      </c>
      <c r="C33" s="497">
        <v>0</v>
      </c>
      <c r="D33" s="457">
        <v>4</v>
      </c>
      <c r="E33" s="318">
        <f t="shared" si="0"/>
        <v>8</v>
      </c>
      <c r="F33" s="490" t="s">
        <v>33</v>
      </c>
      <c r="G33" s="491">
        <v>20</v>
      </c>
      <c r="H33" s="495">
        <v>0</v>
      </c>
      <c r="I33" s="492">
        <v>20</v>
      </c>
      <c r="J33" s="493">
        <f t="shared" si="2"/>
        <v>40</v>
      </c>
    </row>
    <row r="34" spans="1:10" ht="15.8" thickBot="1" x14ac:dyDescent="0.3">
      <c r="A34" s="313" t="s">
        <v>48</v>
      </c>
      <c r="B34" s="171">
        <v>0</v>
      </c>
      <c r="C34" s="497">
        <v>0</v>
      </c>
      <c r="D34" s="457">
        <v>1</v>
      </c>
      <c r="E34" s="318">
        <f t="shared" si="0"/>
        <v>1</v>
      </c>
      <c r="F34" s="490" t="s">
        <v>48</v>
      </c>
      <c r="G34" s="491">
        <v>88</v>
      </c>
      <c r="H34" s="495">
        <v>13</v>
      </c>
      <c r="I34" s="492">
        <v>19</v>
      </c>
      <c r="J34" s="493">
        <f t="shared" si="2"/>
        <v>120</v>
      </c>
    </row>
    <row r="35" spans="1:10" ht="15.8" thickBot="1" x14ac:dyDescent="0.3">
      <c r="A35" s="313" t="s">
        <v>1136</v>
      </c>
      <c r="B35" s="171">
        <v>1</v>
      </c>
      <c r="C35" s="497">
        <v>0</v>
      </c>
      <c r="D35" s="457">
        <v>0</v>
      </c>
      <c r="E35" s="318">
        <f t="shared" si="0"/>
        <v>1</v>
      </c>
      <c r="F35" s="490" t="s">
        <v>1136</v>
      </c>
      <c r="G35" s="491">
        <v>5</v>
      </c>
      <c r="H35" s="495">
        <v>0</v>
      </c>
      <c r="I35" s="492">
        <v>0</v>
      </c>
      <c r="J35" s="493">
        <f t="shared" si="2"/>
        <v>5</v>
      </c>
    </row>
    <row r="36" spans="1:10" ht="15.8" thickBot="1" x14ac:dyDescent="0.3">
      <c r="A36" s="313" t="s">
        <v>1009</v>
      </c>
      <c r="B36" s="171">
        <v>1</v>
      </c>
      <c r="C36" s="497">
        <v>0</v>
      </c>
      <c r="D36" s="457">
        <v>1</v>
      </c>
      <c r="E36" s="318">
        <f t="shared" si="0"/>
        <v>2</v>
      </c>
      <c r="F36" s="490" t="s">
        <v>1009</v>
      </c>
      <c r="G36" s="491">
        <v>5</v>
      </c>
      <c r="H36" s="495">
        <v>0</v>
      </c>
      <c r="I36" s="492">
        <v>5</v>
      </c>
      <c r="J36" s="493">
        <f t="shared" si="2"/>
        <v>10</v>
      </c>
    </row>
    <row r="37" spans="1:10" ht="15.8" thickBot="1" x14ac:dyDescent="0.3">
      <c r="A37" s="313" t="s">
        <v>164</v>
      </c>
      <c r="B37" s="171">
        <v>3</v>
      </c>
      <c r="C37" s="497">
        <v>0</v>
      </c>
      <c r="D37" s="457">
        <v>0</v>
      </c>
      <c r="E37" s="318">
        <f t="shared" si="0"/>
        <v>3</v>
      </c>
      <c r="F37" s="490" t="s">
        <v>164</v>
      </c>
      <c r="G37" s="491">
        <v>15</v>
      </c>
      <c r="H37" s="495">
        <v>0</v>
      </c>
      <c r="I37" s="492">
        <v>0</v>
      </c>
      <c r="J37" s="493">
        <f t="shared" si="2"/>
        <v>15</v>
      </c>
    </row>
    <row r="38" spans="1:10" ht="15.8" thickBot="1" x14ac:dyDescent="0.3">
      <c r="A38" s="313" t="s">
        <v>1035</v>
      </c>
      <c r="B38" s="171">
        <v>4</v>
      </c>
      <c r="C38" s="497">
        <v>2</v>
      </c>
      <c r="D38" s="457">
        <v>1</v>
      </c>
      <c r="E38" s="318">
        <f t="shared" si="0"/>
        <v>7</v>
      </c>
      <c r="F38" s="490" t="s">
        <v>1035</v>
      </c>
      <c r="G38" s="491">
        <v>20</v>
      </c>
      <c r="H38" s="495">
        <v>10</v>
      </c>
      <c r="I38" s="492">
        <v>5</v>
      </c>
      <c r="J38" s="493">
        <f t="shared" si="2"/>
        <v>35</v>
      </c>
    </row>
    <row r="39" spans="1:10" ht="15.8" thickBot="1" x14ac:dyDescent="0.3">
      <c r="A39" s="313" t="s">
        <v>246</v>
      </c>
      <c r="B39" s="171">
        <v>2</v>
      </c>
      <c r="C39" s="497">
        <v>0</v>
      </c>
      <c r="D39" s="457">
        <v>0</v>
      </c>
      <c r="E39" s="318">
        <f t="shared" si="0"/>
        <v>2</v>
      </c>
      <c r="F39" s="490" t="s">
        <v>246</v>
      </c>
      <c r="G39" s="491">
        <v>10</v>
      </c>
      <c r="H39" s="495">
        <v>0</v>
      </c>
      <c r="I39" s="492">
        <v>0</v>
      </c>
      <c r="J39" s="493">
        <f t="shared" si="2"/>
        <v>10</v>
      </c>
    </row>
    <row r="40" spans="1:10" ht="14.95" customHeight="1" thickBot="1" x14ac:dyDescent="0.3">
      <c r="A40" s="313" t="s">
        <v>146</v>
      </c>
      <c r="B40" s="171">
        <v>0</v>
      </c>
      <c r="C40" s="497">
        <v>0</v>
      </c>
      <c r="D40" s="457">
        <v>0</v>
      </c>
      <c r="E40" s="318">
        <f t="shared" si="0"/>
        <v>0</v>
      </c>
      <c r="F40" s="490" t="s">
        <v>146</v>
      </c>
      <c r="G40" s="491">
        <v>0</v>
      </c>
      <c r="H40" s="495">
        <v>0</v>
      </c>
      <c r="I40" s="492">
        <v>0</v>
      </c>
      <c r="J40" s="493">
        <f t="shared" si="2"/>
        <v>0</v>
      </c>
    </row>
    <row r="41" spans="1:10" ht="15.8" thickBot="1" x14ac:dyDescent="0.3">
      <c r="A41" s="313" t="s">
        <v>7</v>
      </c>
      <c r="B41" s="171">
        <v>0</v>
      </c>
      <c r="C41" s="497">
        <v>0</v>
      </c>
      <c r="D41" s="457">
        <v>0</v>
      </c>
      <c r="E41" s="318">
        <f t="shared" si="0"/>
        <v>0</v>
      </c>
      <c r="F41" s="490" t="s">
        <v>7</v>
      </c>
      <c r="G41" s="491">
        <v>26</v>
      </c>
      <c r="H41" s="495">
        <v>0</v>
      </c>
      <c r="I41" s="492">
        <v>0</v>
      </c>
      <c r="J41" s="493">
        <f t="shared" si="2"/>
        <v>26</v>
      </c>
    </row>
    <row r="42" spans="1:10" ht="15.8" thickBot="1" x14ac:dyDescent="0.3">
      <c r="A42" s="313" t="s">
        <v>3</v>
      </c>
      <c r="B42" s="171">
        <f>SUM(B3:B41)</f>
        <v>62</v>
      </c>
      <c r="C42" s="497">
        <f>SUM(C3:C41)</f>
        <v>14</v>
      </c>
      <c r="D42" s="457">
        <f>SUM(D3:D41)</f>
        <v>28</v>
      </c>
      <c r="E42" s="318">
        <f>SUM(B42:D42)</f>
        <v>104</v>
      </c>
      <c r="F42" s="490" t="s">
        <v>3</v>
      </c>
      <c r="G42" s="491">
        <f>SUM(G3:G41)</f>
        <v>451</v>
      </c>
      <c r="H42" s="495">
        <f>SUM(H3:H41)</f>
        <v>102</v>
      </c>
      <c r="I42" s="492">
        <f>SUM(I3:I41)</f>
        <v>201</v>
      </c>
      <c r="J42" s="493">
        <f t="shared" si="2"/>
        <v>754</v>
      </c>
    </row>
    <row r="43" spans="1:10" ht="14.95" x14ac:dyDescent="0.25">
      <c r="A43" s="314"/>
      <c r="B43" s="167"/>
      <c r="C43" s="79"/>
      <c r="D43" s="79"/>
      <c r="E43" s="191"/>
      <c r="F43" s="315"/>
      <c r="G43" s="189"/>
      <c r="H43" s="50"/>
      <c r="I43" s="482"/>
      <c r="J43" s="317"/>
    </row>
    <row r="44" spans="1:10" ht="15.8" thickBot="1" x14ac:dyDescent="0.3">
      <c r="A44" s="52" t="s">
        <v>26</v>
      </c>
      <c r="B44" s="167"/>
      <c r="C44" s="79"/>
      <c r="D44" s="79"/>
      <c r="E44" s="191"/>
      <c r="F44" s="316"/>
      <c r="G44" s="190"/>
      <c r="H44" s="48"/>
      <c r="I44" s="435"/>
      <c r="J44" s="102"/>
    </row>
    <row r="45" spans="1:10" ht="14.95" customHeight="1" thickBot="1" x14ac:dyDescent="0.3">
      <c r="A45" s="311" t="s">
        <v>0</v>
      </c>
      <c r="B45" s="193" t="s">
        <v>620</v>
      </c>
      <c r="C45" s="496" t="s">
        <v>64</v>
      </c>
      <c r="D45" s="456" t="s">
        <v>925</v>
      </c>
      <c r="E45" s="312" t="s">
        <v>1</v>
      </c>
      <c r="F45" s="486" t="s">
        <v>2</v>
      </c>
      <c r="G45" s="487" t="s">
        <v>620</v>
      </c>
      <c r="H45" s="494" t="s">
        <v>64</v>
      </c>
      <c r="I45" s="488" t="s">
        <v>925</v>
      </c>
      <c r="J45" s="489" t="s">
        <v>1</v>
      </c>
    </row>
    <row r="46" spans="1:10" ht="15.8" thickBot="1" x14ac:dyDescent="0.3">
      <c r="A46" s="313" t="s">
        <v>129</v>
      </c>
      <c r="B46" s="171">
        <v>2</v>
      </c>
      <c r="C46" s="497">
        <v>2</v>
      </c>
      <c r="D46" s="457">
        <v>5</v>
      </c>
      <c r="E46" s="318">
        <f t="shared" ref="E46:E85" si="7">SUM(B46:D46)</f>
        <v>9</v>
      </c>
      <c r="F46" s="490" t="s">
        <v>48</v>
      </c>
      <c r="G46" s="491">
        <v>88</v>
      </c>
      <c r="H46" s="495">
        <v>13</v>
      </c>
      <c r="I46" s="492">
        <v>19</v>
      </c>
      <c r="J46" s="493">
        <f t="shared" ref="J46:J84" si="8">SUM(G46:I46)</f>
        <v>120</v>
      </c>
    </row>
    <row r="47" spans="1:10" ht="15.8" thickBot="1" x14ac:dyDescent="0.3">
      <c r="A47" s="313" t="s">
        <v>33</v>
      </c>
      <c r="B47" s="171">
        <v>4</v>
      </c>
      <c r="C47" s="497">
        <v>0</v>
      </c>
      <c r="D47" s="457">
        <v>4</v>
      </c>
      <c r="E47" s="318">
        <f t="shared" si="7"/>
        <v>8</v>
      </c>
      <c r="F47" s="490" t="s">
        <v>719</v>
      </c>
      <c r="G47" s="491">
        <v>32</v>
      </c>
      <c r="H47" s="495">
        <v>27</v>
      </c>
      <c r="I47" s="492">
        <v>38</v>
      </c>
      <c r="J47" s="493">
        <f t="shared" si="8"/>
        <v>97</v>
      </c>
    </row>
    <row r="48" spans="1:10" ht="14.95" customHeight="1" thickBot="1" x14ac:dyDescent="0.3">
      <c r="A48" s="313" t="s">
        <v>1035</v>
      </c>
      <c r="B48" s="171">
        <v>4</v>
      </c>
      <c r="C48" s="497">
        <v>2</v>
      </c>
      <c r="D48" s="457">
        <v>1</v>
      </c>
      <c r="E48" s="318">
        <f t="shared" si="7"/>
        <v>7</v>
      </c>
      <c r="F48" s="490" t="s">
        <v>129</v>
      </c>
      <c r="G48" s="491">
        <v>10</v>
      </c>
      <c r="H48" s="495">
        <v>10</v>
      </c>
      <c r="I48" s="492">
        <v>25</v>
      </c>
      <c r="J48" s="493">
        <f t="shared" si="8"/>
        <v>45</v>
      </c>
    </row>
    <row r="49" spans="1:10" ht="15.8" thickBot="1" x14ac:dyDescent="0.3">
      <c r="A49" s="313" t="s">
        <v>125</v>
      </c>
      <c r="B49" s="171">
        <v>6</v>
      </c>
      <c r="C49" s="497">
        <v>0</v>
      </c>
      <c r="D49" s="457">
        <v>0</v>
      </c>
      <c r="E49" s="318">
        <f t="shared" si="7"/>
        <v>6</v>
      </c>
      <c r="F49" s="490" t="s">
        <v>125</v>
      </c>
      <c r="G49" s="491">
        <v>30</v>
      </c>
      <c r="H49" s="495">
        <v>0</v>
      </c>
      <c r="I49" s="492">
        <v>12</v>
      </c>
      <c r="J49" s="493">
        <f t="shared" si="8"/>
        <v>42</v>
      </c>
    </row>
    <row r="50" spans="1:10" ht="15.8" thickBot="1" x14ac:dyDescent="0.3">
      <c r="A50" s="313" t="s">
        <v>1011</v>
      </c>
      <c r="B50" s="171">
        <v>3</v>
      </c>
      <c r="C50" s="497">
        <v>1</v>
      </c>
      <c r="D50" s="457">
        <v>1</v>
      </c>
      <c r="E50" s="318">
        <f t="shared" si="7"/>
        <v>5</v>
      </c>
      <c r="F50" s="490" t="s">
        <v>33</v>
      </c>
      <c r="G50" s="491">
        <v>20</v>
      </c>
      <c r="H50" s="495">
        <v>0</v>
      </c>
      <c r="I50" s="492">
        <v>20</v>
      </c>
      <c r="J50" s="493">
        <f t="shared" si="8"/>
        <v>40</v>
      </c>
    </row>
    <row r="51" spans="1:10" ht="14.95" customHeight="1" thickBot="1" x14ac:dyDescent="0.3">
      <c r="A51" s="313" t="s">
        <v>1096</v>
      </c>
      <c r="B51" s="171">
        <v>2</v>
      </c>
      <c r="C51" s="497">
        <v>2</v>
      </c>
      <c r="D51" s="457">
        <v>1</v>
      </c>
      <c r="E51" s="318">
        <f t="shared" si="7"/>
        <v>5</v>
      </c>
      <c r="F51" s="490" t="s">
        <v>1035</v>
      </c>
      <c r="G51" s="491">
        <v>20</v>
      </c>
      <c r="H51" s="495">
        <v>10</v>
      </c>
      <c r="I51" s="492">
        <v>5</v>
      </c>
      <c r="J51" s="493">
        <f t="shared" si="8"/>
        <v>35</v>
      </c>
    </row>
    <row r="52" spans="1:10" ht="15.8" thickBot="1" x14ac:dyDescent="0.3">
      <c r="A52" s="313" t="s">
        <v>717</v>
      </c>
      <c r="B52" s="171">
        <v>4</v>
      </c>
      <c r="C52" s="497">
        <v>0</v>
      </c>
      <c r="D52" s="457">
        <v>1</v>
      </c>
      <c r="E52" s="318">
        <f t="shared" si="7"/>
        <v>5</v>
      </c>
      <c r="F52" s="490" t="s">
        <v>7</v>
      </c>
      <c r="G52" s="491">
        <v>26</v>
      </c>
      <c r="H52" s="495">
        <v>0</v>
      </c>
      <c r="I52" s="492">
        <v>0</v>
      </c>
      <c r="J52" s="493">
        <f t="shared" si="8"/>
        <v>26</v>
      </c>
    </row>
    <row r="53" spans="1:10" ht="15.8" thickBot="1" x14ac:dyDescent="0.3">
      <c r="A53" s="313" t="s">
        <v>527</v>
      </c>
      <c r="B53" s="171">
        <v>5</v>
      </c>
      <c r="C53" s="497">
        <v>0</v>
      </c>
      <c r="D53" s="457">
        <v>0</v>
      </c>
      <c r="E53" s="318">
        <f t="shared" si="7"/>
        <v>5</v>
      </c>
      <c r="F53" s="490" t="s">
        <v>1011</v>
      </c>
      <c r="G53" s="491">
        <v>15</v>
      </c>
      <c r="H53" s="495">
        <v>5</v>
      </c>
      <c r="I53" s="492">
        <v>5</v>
      </c>
      <c r="J53" s="493">
        <f t="shared" si="8"/>
        <v>25</v>
      </c>
    </row>
    <row r="54" spans="1:10" ht="15.8" thickBot="1" x14ac:dyDescent="0.3">
      <c r="A54" s="313" t="s">
        <v>61</v>
      </c>
      <c r="B54" s="171">
        <v>3</v>
      </c>
      <c r="C54" s="497">
        <v>2</v>
      </c>
      <c r="D54" s="457">
        <v>0</v>
      </c>
      <c r="E54" s="318">
        <f t="shared" si="7"/>
        <v>5</v>
      </c>
      <c r="F54" s="490" t="s">
        <v>1096</v>
      </c>
      <c r="G54" s="491">
        <v>10</v>
      </c>
      <c r="H54" s="495">
        <v>10</v>
      </c>
      <c r="I54" s="492">
        <v>5</v>
      </c>
      <c r="J54" s="493">
        <f t="shared" si="8"/>
        <v>25</v>
      </c>
    </row>
    <row r="55" spans="1:10" ht="15.8" thickBot="1" x14ac:dyDescent="0.3">
      <c r="A55" s="313" t="s">
        <v>104</v>
      </c>
      <c r="B55" s="171">
        <v>1</v>
      </c>
      <c r="C55" s="497">
        <v>2</v>
      </c>
      <c r="D55" s="457">
        <v>1</v>
      </c>
      <c r="E55" s="318">
        <f t="shared" si="7"/>
        <v>4</v>
      </c>
      <c r="F55" s="490" t="s">
        <v>717</v>
      </c>
      <c r="G55" s="491">
        <v>20</v>
      </c>
      <c r="H55" s="495">
        <v>0</v>
      </c>
      <c r="I55" s="492">
        <v>5</v>
      </c>
      <c r="J55" s="493">
        <f t="shared" si="8"/>
        <v>25</v>
      </c>
    </row>
    <row r="56" spans="1:10" ht="15.8" thickBot="1" x14ac:dyDescent="0.3">
      <c r="A56" s="313" t="s">
        <v>245</v>
      </c>
      <c r="B56" s="171">
        <v>4</v>
      </c>
      <c r="C56" s="497">
        <v>0</v>
      </c>
      <c r="D56" s="457">
        <v>0</v>
      </c>
      <c r="E56" s="318">
        <f t="shared" si="7"/>
        <v>4</v>
      </c>
      <c r="F56" s="490" t="s">
        <v>527</v>
      </c>
      <c r="G56" s="491">
        <v>25</v>
      </c>
      <c r="H56" s="495">
        <v>0</v>
      </c>
      <c r="I56" s="492">
        <v>0</v>
      </c>
      <c r="J56" s="493">
        <f t="shared" si="8"/>
        <v>25</v>
      </c>
    </row>
    <row r="57" spans="1:10" ht="15.8" thickBot="1" x14ac:dyDescent="0.3">
      <c r="A57" s="313" t="s">
        <v>1019</v>
      </c>
      <c r="B57" s="171">
        <v>3</v>
      </c>
      <c r="C57" s="497">
        <v>0</v>
      </c>
      <c r="D57" s="457">
        <v>1</v>
      </c>
      <c r="E57" s="318">
        <f t="shared" si="7"/>
        <v>4</v>
      </c>
      <c r="F57" s="490" t="s">
        <v>61</v>
      </c>
      <c r="G57" s="491">
        <v>15</v>
      </c>
      <c r="H57" s="495">
        <v>10</v>
      </c>
      <c r="I57" s="492">
        <v>0</v>
      </c>
      <c r="J57" s="493">
        <f t="shared" si="8"/>
        <v>25</v>
      </c>
    </row>
    <row r="58" spans="1:10" ht="15.8" thickBot="1" x14ac:dyDescent="0.3">
      <c r="A58" s="313" t="s">
        <v>719</v>
      </c>
      <c r="B58" s="171">
        <v>1</v>
      </c>
      <c r="C58" s="497">
        <v>2</v>
      </c>
      <c r="D58" s="457">
        <v>1</v>
      </c>
      <c r="E58" s="318">
        <f t="shared" si="7"/>
        <v>4</v>
      </c>
      <c r="F58" s="490" t="s">
        <v>104</v>
      </c>
      <c r="G58" s="491">
        <v>5</v>
      </c>
      <c r="H58" s="495">
        <v>10</v>
      </c>
      <c r="I58" s="492">
        <v>5</v>
      </c>
      <c r="J58" s="493">
        <f t="shared" si="8"/>
        <v>20</v>
      </c>
    </row>
    <row r="59" spans="1:10" ht="15.8" thickBot="1" x14ac:dyDescent="0.3">
      <c r="A59" s="313" t="s">
        <v>795</v>
      </c>
      <c r="B59" s="171">
        <v>3</v>
      </c>
      <c r="C59" s="497">
        <v>0</v>
      </c>
      <c r="D59" s="457">
        <v>0</v>
      </c>
      <c r="E59" s="318">
        <f t="shared" si="7"/>
        <v>3</v>
      </c>
      <c r="F59" s="490" t="s">
        <v>245</v>
      </c>
      <c r="G59" s="491">
        <v>20</v>
      </c>
      <c r="H59" s="495">
        <v>0</v>
      </c>
      <c r="I59" s="492">
        <v>0</v>
      </c>
      <c r="J59" s="493">
        <f t="shared" si="8"/>
        <v>20</v>
      </c>
    </row>
    <row r="60" spans="1:10" ht="15.8" thickBot="1" x14ac:dyDescent="0.3">
      <c r="A60" s="313" t="s">
        <v>120</v>
      </c>
      <c r="B60" s="171">
        <v>2</v>
      </c>
      <c r="C60" s="497">
        <v>0</v>
      </c>
      <c r="D60" s="457">
        <v>1</v>
      </c>
      <c r="E60" s="318">
        <f t="shared" si="7"/>
        <v>3</v>
      </c>
      <c r="F60" s="490" t="s">
        <v>1019</v>
      </c>
      <c r="G60" s="491">
        <v>15</v>
      </c>
      <c r="H60" s="495">
        <v>0</v>
      </c>
      <c r="I60" s="492">
        <v>5</v>
      </c>
      <c r="J60" s="493">
        <f t="shared" si="8"/>
        <v>20</v>
      </c>
    </row>
    <row r="61" spans="1:10" ht="15.8" thickBot="1" x14ac:dyDescent="0.3">
      <c r="A61" s="313" t="s">
        <v>164</v>
      </c>
      <c r="B61" s="171">
        <v>3</v>
      </c>
      <c r="C61" s="497">
        <v>0</v>
      </c>
      <c r="D61" s="457">
        <v>0</v>
      </c>
      <c r="E61" s="318">
        <f t="shared" si="7"/>
        <v>3</v>
      </c>
      <c r="F61" s="490" t="s">
        <v>795</v>
      </c>
      <c r="G61" s="491">
        <v>15</v>
      </c>
      <c r="H61" s="495">
        <v>0</v>
      </c>
      <c r="I61" s="492">
        <v>0</v>
      </c>
      <c r="J61" s="493">
        <f t="shared" si="8"/>
        <v>15</v>
      </c>
    </row>
    <row r="62" spans="1:10" ht="15.8" thickBot="1" x14ac:dyDescent="0.3">
      <c r="A62" s="313" t="s">
        <v>395</v>
      </c>
      <c r="B62" s="171">
        <v>1</v>
      </c>
      <c r="C62" s="497">
        <v>0</v>
      </c>
      <c r="D62" s="457">
        <v>1</v>
      </c>
      <c r="E62" s="318">
        <f t="shared" si="7"/>
        <v>2</v>
      </c>
      <c r="F62" s="490" t="s">
        <v>121</v>
      </c>
      <c r="G62" s="491">
        <v>10</v>
      </c>
      <c r="H62" s="495">
        <v>0</v>
      </c>
      <c r="I62" s="492">
        <v>5</v>
      </c>
      <c r="J62" s="493">
        <f t="shared" si="8"/>
        <v>15</v>
      </c>
    </row>
    <row r="63" spans="1:10" ht="15.8" thickBot="1" x14ac:dyDescent="0.3">
      <c r="A63" s="313" t="s">
        <v>91</v>
      </c>
      <c r="B63" s="171">
        <v>2</v>
      </c>
      <c r="C63" s="497">
        <v>0</v>
      </c>
      <c r="D63" s="457">
        <v>0</v>
      </c>
      <c r="E63" s="318">
        <f t="shared" si="7"/>
        <v>2</v>
      </c>
      <c r="F63" s="490" t="s">
        <v>164</v>
      </c>
      <c r="G63" s="491">
        <v>15</v>
      </c>
      <c r="H63" s="495">
        <v>0</v>
      </c>
      <c r="I63" s="492">
        <v>0</v>
      </c>
      <c r="J63" s="493">
        <f t="shared" si="8"/>
        <v>15</v>
      </c>
    </row>
    <row r="64" spans="1:10" ht="15.8" thickBot="1" x14ac:dyDescent="0.3">
      <c r="A64" s="313" t="s">
        <v>15</v>
      </c>
      <c r="B64" s="171">
        <v>0</v>
      </c>
      <c r="C64" s="497">
        <v>0</v>
      </c>
      <c r="D64" s="457">
        <v>2</v>
      </c>
      <c r="E64" s="318">
        <f t="shared" si="7"/>
        <v>2</v>
      </c>
      <c r="F64" s="490" t="s">
        <v>6</v>
      </c>
      <c r="G64" s="491">
        <v>0</v>
      </c>
      <c r="H64" s="495">
        <v>7</v>
      </c>
      <c r="I64" s="492">
        <v>7</v>
      </c>
      <c r="J64" s="493">
        <f t="shared" si="8"/>
        <v>14</v>
      </c>
    </row>
    <row r="65" spans="1:10" ht="15.8" thickBot="1" x14ac:dyDescent="0.3">
      <c r="A65" s="313" t="s">
        <v>56</v>
      </c>
      <c r="B65" s="171">
        <v>1</v>
      </c>
      <c r="C65" s="497">
        <v>0</v>
      </c>
      <c r="D65" s="457">
        <v>1</v>
      </c>
      <c r="E65" s="318">
        <f t="shared" si="7"/>
        <v>2</v>
      </c>
      <c r="F65" s="490" t="s">
        <v>395</v>
      </c>
      <c r="G65" s="491">
        <v>5</v>
      </c>
      <c r="H65" s="495">
        <v>0</v>
      </c>
      <c r="I65" s="492">
        <v>5</v>
      </c>
      <c r="J65" s="493">
        <f t="shared" si="8"/>
        <v>10</v>
      </c>
    </row>
    <row r="66" spans="1:10" ht="15.8" thickBot="1" x14ac:dyDescent="0.3">
      <c r="A66" s="313" t="s">
        <v>6</v>
      </c>
      <c r="B66" s="171">
        <v>0</v>
      </c>
      <c r="C66" s="497">
        <v>1</v>
      </c>
      <c r="D66" s="457">
        <v>1</v>
      </c>
      <c r="E66" s="318">
        <f t="shared" si="7"/>
        <v>2</v>
      </c>
      <c r="F66" s="490" t="s">
        <v>91</v>
      </c>
      <c r="G66" s="491">
        <v>10</v>
      </c>
      <c r="H66" s="495">
        <v>0</v>
      </c>
      <c r="I66" s="492">
        <v>0</v>
      </c>
      <c r="J66" s="493">
        <f t="shared" si="8"/>
        <v>10</v>
      </c>
    </row>
    <row r="67" spans="1:10" ht="15.8" thickBot="1" x14ac:dyDescent="0.3">
      <c r="A67" s="313" t="s">
        <v>1009</v>
      </c>
      <c r="B67" s="171">
        <v>1</v>
      </c>
      <c r="C67" s="497">
        <v>0</v>
      </c>
      <c r="D67" s="457">
        <v>1</v>
      </c>
      <c r="E67" s="318">
        <f t="shared" si="7"/>
        <v>2</v>
      </c>
      <c r="F67" s="490" t="s">
        <v>15</v>
      </c>
      <c r="G67" s="491">
        <v>0</v>
      </c>
      <c r="H67" s="495">
        <v>0</v>
      </c>
      <c r="I67" s="492">
        <v>10</v>
      </c>
      <c r="J67" s="493">
        <f t="shared" si="8"/>
        <v>10</v>
      </c>
    </row>
    <row r="68" spans="1:10" ht="15.8" thickBot="1" x14ac:dyDescent="0.3">
      <c r="A68" s="313" t="s">
        <v>246</v>
      </c>
      <c r="B68" s="171">
        <v>2</v>
      </c>
      <c r="C68" s="497">
        <v>0</v>
      </c>
      <c r="D68" s="457">
        <v>0</v>
      </c>
      <c r="E68" s="318">
        <f t="shared" si="7"/>
        <v>2</v>
      </c>
      <c r="F68" s="490" t="s">
        <v>56</v>
      </c>
      <c r="G68" s="491">
        <v>5</v>
      </c>
      <c r="H68" s="495">
        <v>0</v>
      </c>
      <c r="I68" s="492">
        <v>5</v>
      </c>
      <c r="J68" s="493">
        <f t="shared" si="8"/>
        <v>10</v>
      </c>
    </row>
    <row r="69" spans="1:10" ht="15.8" thickBot="1" x14ac:dyDescent="0.3">
      <c r="A69" s="313" t="s">
        <v>70</v>
      </c>
      <c r="B69" s="171">
        <v>1</v>
      </c>
      <c r="C69" s="497">
        <v>0</v>
      </c>
      <c r="D69" s="457">
        <v>0</v>
      </c>
      <c r="E69" s="318">
        <f t="shared" si="7"/>
        <v>1</v>
      </c>
      <c r="F69" s="490" t="s">
        <v>1009</v>
      </c>
      <c r="G69" s="491">
        <v>5</v>
      </c>
      <c r="H69" s="495">
        <v>0</v>
      </c>
      <c r="I69" s="492">
        <v>5</v>
      </c>
      <c r="J69" s="493">
        <f t="shared" si="8"/>
        <v>10</v>
      </c>
    </row>
    <row r="70" spans="1:10" ht="15.8" thickBot="1" x14ac:dyDescent="0.3">
      <c r="A70" s="313" t="s">
        <v>1093</v>
      </c>
      <c r="B70" s="171">
        <v>0</v>
      </c>
      <c r="C70" s="497">
        <v>0</v>
      </c>
      <c r="D70" s="457">
        <v>1</v>
      </c>
      <c r="E70" s="318">
        <f t="shared" si="7"/>
        <v>1</v>
      </c>
      <c r="F70" s="490" t="s">
        <v>246</v>
      </c>
      <c r="G70" s="491">
        <v>10</v>
      </c>
      <c r="H70" s="495">
        <v>0</v>
      </c>
      <c r="I70" s="492">
        <v>0</v>
      </c>
      <c r="J70" s="493">
        <f t="shared" si="8"/>
        <v>10</v>
      </c>
    </row>
    <row r="71" spans="1:10" ht="15.8" thickBot="1" x14ac:dyDescent="0.3">
      <c r="A71" s="313" t="s">
        <v>1118</v>
      </c>
      <c r="B71" s="171">
        <v>0</v>
      </c>
      <c r="C71" s="497">
        <v>0</v>
      </c>
      <c r="D71" s="457">
        <v>1</v>
      </c>
      <c r="E71" s="318">
        <f t="shared" si="7"/>
        <v>1</v>
      </c>
      <c r="F71" s="490" t="s">
        <v>70</v>
      </c>
      <c r="G71" s="491">
        <v>5</v>
      </c>
      <c r="H71" s="495">
        <v>0</v>
      </c>
      <c r="I71" s="492">
        <v>0</v>
      </c>
      <c r="J71" s="493">
        <f t="shared" si="8"/>
        <v>5</v>
      </c>
    </row>
    <row r="72" spans="1:10" ht="15.8" thickBot="1" x14ac:dyDescent="0.3">
      <c r="A72" s="313" t="s">
        <v>160</v>
      </c>
      <c r="B72" s="171">
        <v>1</v>
      </c>
      <c r="C72" s="497">
        <v>0</v>
      </c>
      <c r="D72" s="457">
        <v>0</v>
      </c>
      <c r="E72" s="318">
        <f t="shared" si="7"/>
        <v>1</v>
      </c>
      <c r="F72" s="490" t="s">
        <v>1093</v>
      </c>
      <c r="G72" s="491">
        <v>0</v>
      </c>
      <c r="H72" s="495">
        <v>0</v>
      </c>
      <c r="I72" s="492">
        <v>5</v>
      </c>
      <c r="J72" s="493">
        <f t="shared" si="8"/>
        <v>5</v>
      </c>
    </row>
    <row r="73" spans="1:10" ht="15.8" thickBot="1" x14ac:dyDescent="0.3">
      <c r="A73" s="313" t="s">
        <v>52</v>
      </c>
      <c r="B73" s="171">
        <v>1</v>
      </c>
      <c r="C73" s="497">
        <v>0</v>
      </c>
      <c r="D73" s="457">
        <v>0</v>
      </c>
      <c r="E73" s="318">
        <f t="shared" si="7"/>
        <v>1</v>
      </c>
      <c r="F73" s="490" t="s">
        <v>1119</v>
      </c>
      <c r="G73" s="491">
        <v>0</v>
      </c>
      <c r="H73" s="495">
        <v>0</v>
      </c>
      <c r="I73" s="492">
        <v>5</v>
      </c>
      <c r="J73" s="493">
        <f t="shared" si="8"/>
        <v>5</v>
      </c>
    </row>
    <row r="74" spans="1:10" ht="15.8" thickBot="1" x14ac:dyDescent="0.3">
      <c r="A74" s="313" t="s">
        <v>37</v>
      </c>
      <c r="B74" s="171">
        <v>0</v>
      </c>
      <c r="C74" s="497">
        <v>0</v>
      </c>
      <c r="D74" s="457">
        <v>1</v>
      </c>
      <c r="E74" s="318">
        <f t="shared" si="7"/>
        <v>1</v>
      </c>
      <c r="F74" s="490" t="s">
        <v>160</v>
      </c>
      <c r="G74" s="491">
        <v>5</v>
      </c>
      <c r="H74" s="495">
        <v>0</v>
      </c>
      <c r="I74" s="492">
        <v>0</v>
      </c>
      <c r="J74" s="493">
        <f t="shared" si="8"/>
        <v>5</v>
      </c>
    </row>
    <row r="75" spans="1:10" ht="15.8" thickBot="1" x14ac:dyDescent="0.3">
      <c r="A75" s="313" t="s">
        <v>585</v>
      </c>
      <c r="B75" s="171">
        <v>1</v>
      </c>
      <c r="C75" s="497">
        <v>0</v>
      </c>
      <c r="D75" s="457">
        <v>0</v>
      </c>
      <c r="E75" s="318">
        <f t="shared" si="7"/>
        <v>1</v>
      </c>
      <c r="F75" s="490" t="s">
        <v>52</v>
      </c>
      <c r="G75" s="491">
        <v>5</v>
      </c>
      <c r="H75" s="495">
        <v>0</v>
      </c>
      <c r="I75" s="492">
        <v>0</v>
      </c>
      <c r="J75" s="493">
        <f t="shared" si="8"/>
        <v>5</v>
      </c>
    </row>
    <row r="76" spans="1:10" ht="15.8" thickBot="1" x14ac:dyDescent="0.3">
      <c r="A76" s="313" t="s">
        <v>1116</v>
      </c>
      <c r="B76" s="171">
        <v>0</v>
      </c>
      <c r="C76" s="497">
        <v>0</v>
      </c>
      <c r="D76" s="457">
        <v>1</v>
      </c>
      <c r="E76" s="318">
        <f t="shared" si="7"/>
        <v>1</v>
      </c>
      <c r="F76" s="490" t="s">
        <v>37</v>
      </c>
      <c r="G76" s="491">
        <v>0</v>
      </c>
      <c r="H76" s="495">
        <v>0</v>
      </c>
      <c r="I76" s="492">
        <v>5</v>
      </c>
      <c r="J76" s="493">
        <f t="shared" si="8"/>
        <v>5</v>
      </c>
    </row>
    <row r="77" spans="1:10" ht="15.8" thickBot="1" x14ac:dyDescent="0.3">
      <c r="A77" s="313" t="s">
        <v>48</v>
      </c>
      <c r="B77" s="171">
        <v>0</v>
      </c>
      <c r="C77" s="497">
        <v>0</v>
      </c>
      <c r="D77" s="457">
        <v>1</v>
      </c>
      <c r="E77" s="318">
        <f t="shared" si="7"/>
        <v>1</v>
      </c>
      <c r="F77" s="490" t="s">
        <v>585</v>
      </c>
      <c r="G77" s="491">
        <v>5</v>
      </c>
      <c r="H77" s="495">
        <v>0</v>
      </c>
      <c r="I77" s="492">
        <v>0</v>
      </c>
      <c r="J77" s="493">
        <f t="shared" si="8"/>
        <v>5</v>
      </c>
    </row>
    <row r="78" spans="1:10" ht="15.8" thickBot="1" x14ac:dyDescent="0.3">
      <c r="A78" s="313" t="s">
        <v>1136</v>
      </c>
      <c r="B78" s="171">
        <v>1</v>
      </c>
      <c r="C78" s="497">
        <v>0</v>
      </c>
      <c r="D78" s="457">
        <v>0</v>
      </c>
      <c r="E78" s="318">
        <f t="shared" si="7"/>
        <v>1</v>
      </c>
      <c r="F78" s="490" t="s">
        <v>1116</v>
      </c>
      <c r="G78" s="491">
        <v>0</v>
      </c>
      <c r="H78" s="495">
        <v>0</v>
      </c>
      <c r="I78" s="492">
        <v>5</v>
      </c>
      <c r="J78" s="493">
        <f t="shared" si="8"/>
        <v>5</v>
      </c>
    </row>
    <row r="79" spans="1:10" ht="14.95" thickBot="1" x14ac:dyDescent="0.3">
      <c r="A79" s="313" t="s">
        <v>176</v>
      </c>
      <c r="B79" s="171">
        <v>0</v>
      </c>
      <c r="C79" s="497">
        <v>0</v>
      </c>
      <c r="D79" s="457">
        <v>0</v>
      </c>
      <c r="E79" s="318">
        <f t="shared" si="7"/>
        <v>0</v>
      </c>
      <c r="F79" s="490" t="s">
        <v>1136</v>
      </c>
      <c r="G79" s="491">
        <v>5</v>
      </c>
      <c r="H79" s="495">
        <v>0</v>
      </c>
      <c r="I79" s="492">
        <v>0</v>
      </c>
      <c r="J79" s="493">
        <f t="shared" si="8"/>
        <v>5</v>
      </c>
    </row>
    <row r="80" spans="1:10" ht="14.95" thickBot="1" x14ac:dyDescent="0.3">
      <c r="A80" s="313" t="s">
        <v>569</v>
      </c>
      <c r="B80" s="171">
        <v>0</v>
      </c>
      <c r="C80" s="497">
        <v>0</v>
      </c>
      <c r="D80" s="457">
        <v>0</v>
      </c>
      <c r="E80" s="318">
        <f t="shared" si="7"/>
        <v>0</v>
      </c>
      <c r="F80" s="490" t="s">
        <v>176</v>
      </c>
      <c r="G80" s="491">
        <v>0</v>
      </c>
      <c r="H80" s="495">
        <v>0</v>
      </c>
      <c r="I80" s="492">
        <v>0</v>
      </c>
      <c r="J80" s="493">
        <f t="shared" si="8"/>
        <v>0</v>
      </c>
    </row>
    <row r="81" spans="1:10" ht="14.95" thickBot="1" x14ac:dyDescent="0.3">
      <c r="A81" s="313" t="s">
        <v>718</v>
      </c>
      <c r="B81" s="171">
        <v>0</v>
      </c>
      <c r="C81" s="497">
        <v>0</v>
      </c>
      <c r="D81" s="457">
        <v>0</v>
      </c>
      <c r="E81" s="318">
        <f t="shared" si="7"/>
        <v>0</v>
      </c>
      <c r="F81" s="490" t="s">
        <v>569</v>
      </c>
      <c r="G81" s="491">
        <v>0</v>
      </c>
      <c r="H81" s="495">
        <v>0</v>
      </c>
      <c r="I81" s="492">
        <v>0</v>
      </c>
      <c r="J81" s="493">
        <f t="shared" si="8"/>
        <v>0</v>
      </c>
    </row>
    <row r="82" spans="1:10" ht="14.95" thickBot="1" x14ac:dyDescent="0.3">
      <c r="A82" s="313" t="s">
        <v>771</v>
      </c>
      <c r="B82" s="171">
        <v>0</v>
      </c>
      <c r="C82" s="497">
        <v>0</v>
      </c>
      <c r="D82" s="457">
        <v>0</v>
      </c>
      <c r="E82" s="318">
        <f t="shared" si="7"/>
        <v>0</v>
      </c>
      <c r="F82" s="490" t="s">
        <v>718</v>
      </c>
      <c r="G82" s="491">
        <v>0</v>
      </c>
      <c r="H82" s="495">
        <v>0</v>
      </c>
      <c r="I82" s="492">
        <v>0</v>
      </c>
      <c r="J82" s="493">
        <f t="shared" si="8"/>
        <v>0</v>
      </c>
    </row>
    <row r="83" spans="1:10" ht="14.95" thickBot="1" x14ac:dyDescent="0.3">
      <c r="A83" s="313" t="s">
        <v>146</v>
      </c>
      <c r="B83" s="171">
        <v>0</v>
      </c>
      <c r="C83" s="497">
        <v>0</v>
      </c>
      <c r="D83" s="457">
        <v>0</v>
      </c>
      <c r="E83" s="318">
        <f t="shared" si="7"/>
        <v>0</v>
      </c>
      <c r="F83" s="490" t="s">
        <v>771</v>
      </c>
      <c r="G83" s="491">
        <v>0</v>
      </c>
      <c r="H83" s="495">
        <v>0</v>
      </c>
      <c r="I83" s="492">
        <v>0</v>
      </c>
      <c r="J83" s="493">
        <f t="shared" si="8"/>
        <v>0</v>
      </c>
    </row>
    <row r="84" spans="1:10" ht="14.95" thickBot="1" x14ac:dyDescent="0.3">
      <c r="A84" s="313" t="s">
        <v>7</v>
      </c>
      <c r="B84" s="171">
        <v>0</v>
      </c>
      <c r="C84" s="497">
        <v>0</v>
      </c>
      <c r="D84" s="457">
        <v>0</v>
      </c>
      <c r="E84" s="318">
        <f t="shared" si="7"/>
        <v>0</v>
      </c>
      <c r="F84" s="490" t="s">
        <v>146</v>
      </c>
      <c r="G84" s="491">
        <v>0</v>
      </c>
      <c r="H84" s="495">
        <v>0</v>
      </c>
      <c r="I84" s="492">
        <v>0</v>
      </c>
      <c r="J84" s="493">
        <f t="shared" si="8"/>
        <v>0</v>
      </c>
    </row>
    <row r="85" spans="1:10" ht="14.95" thickBot="1" x14ac:dyDescent="0.3">
      <c r="A85" s="313" t="s">
        <v>3</v>
      </c>
      <c r="B85" s="171">
        <f>SUM(B46:B84)</f>
        <v>62</v>
      </c>
      <c r="C85" s="497">
        <f>SUM(C46:C84)</f>
        <v>14</v>
      </c>
      <c r="D85" s="457">
        <f>SUM(D46:D84)</f>
        <v>28</v>
      </c>
      <c r="E85" s="318">
        <f t="shared" si="7"/>
        <v>104</v>
      </c>
      <c r="F85" s="490" t="s">
        <v>3</v>
      </c>
      <c r="G85" s="491">
        <f>SUM(G46:G84)</f>
        <v>451</v>
      </c>
      <c r="H85" s="495">
        <f>SUM(H46:H84)</f>
        <v>102</v>
      </c>
      <c r="I85" s="492">
        <f>SUM(I46:I84)</f>
        <v>201</v>
      </c>
      <c r="J85" s="493">
        <f t="shared" ref="J85" si="9">SUM(G85:I85)</f>
        <v>754</v>
      </c>
    </row>
    <row r="86" spans="1:10" x14ac:dyDescent="0.25">
      <c r="A86" s="532" t="s">
        <v>81</v>
      </c>
      <c r="B86" s="519"/>
      <c r="C86" s="519"/>
      <c r="D86" s="519"/>
      <c r="E86" s="519"/>
      <c r="F86" s="519"/>
      <c r="G86" s="519"/>
      <c r="H86" s="519"/>
    </row>
  </sheetData>
  <sortState xmlns:xlrd2="http://schemas.microsoft.com/office/spreadsheetml/2017/richdata2" ref="F46:J84">
    <sortCondition descending="1" ref="J46:J84"/>
  </sortState>
  <mergeCells count="46">
    <mergeCell ref="O22:Q23"/>
    <mergeCell ref="AC22:AE23"/>
    <mergeCell ref="A1:J1"/>
    <mergeCell ref="K22:K23"/>
    <mergeCell ref="L22:N23"/>
    <mergeCell ref="K14:K15"/>
    <mergeCell ref="L14:N15"/>
    <mergeCell ref="K1:K2"/>
    <mergeCell ref="L1:N2"/>
    <mergeCell ref="K30:AK30"/>
    <mergeCell ref="K29:AI29"/>
    <mergeCell ref="U22:W23"/>
    <mergeCell ref="R1:S2"/>
    <mergeCell ref="U14:W15"/>
    <mergeCell ref="W1:Y2"/>
    <mergeCell ref="AC9:AE10"/>
    <mergeCell ref="R14:T15"/>
    <mergeCell ref="AC14:AE15"/>
    <mergeCell ref="AF1:AH2"/>
    <mergeCell ref="AF14:AH15"/>
    <mergeCell ref="AF9:AH10"/>
    <mergeCell ref="AI9:AK10"/>
    <mergeCell ref="O1:Q2"/>
    <mergeCell ref="AI1:AK2"/>
    <mergeCell ref="R22:T23"/>
    <mergeCell ref="AU1:AW2"/>
    <mergeCell ref="AL1:AN2"/>
    <mergeCell ref="AL14:AN15"/>
    <mergeCell ref="AL9:AN10"/>
    <mergeCell ref="AO9:AQ10"/>
    <mergeCell ref="A86:H86"/>
    <mergeCell ref="AO14:AQ15"/>
    <mergeCell ref="AL22:AN23"/>
    <mergeCell ref="AO1:AQ2"/>
    <mergeCell ref="AR1:AT2"/>
    <mergeCell ref="K9:K10"/>
    <mergeCell ref="L9:N10"/>
    <mergeCell ref="O9:Q10"/>
    <mergeCell ref="R9:T10"/>
    <mergeCell ref="U9:W10"/>
    <mergeCell ref="AI14:AK15"/>
    <mergeCell ref="AI22:AK23"/>
    <mergeCell ref="T1:V2"/>
    <mergeCell ref="AF22:AH23"/>
    <mergeCell ref="O14:Q15"/>
    <mergeCell ref="AC1:AE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644"/>
  <sheetViews>
    <sheetView workbookViewId="0">
      <selection activeCell="T51" sqref="T51"/>
    </sheetView>
  </sheetViews>
  <sheetFormatPr defaultColWidth="8.875" defaultRowHeight="14.3" x14ac:dyDescent="0.25"/>
  <cols>
    <col min="1" max="1" width="21.375" bestFit="1" customWidth="1"/>
    <col min="2" max="2" width="5.375" bestFit="1" customWidth="1"/>
    <col min="3" max="3" width="5.75" customWidth="1"/>
    <col min="4" max="4" width="21.375" bestFit="1" customWidth="1"/>
    <col min="5" max="5" width="5.375" bestFit="1" customWidth="1"/>
    <col min="6" max="6" width="5.75" customWidth="1"/>
    <col min="7" max="7" width="17.75" customWidth="1"/>
    <col min="8" max="8" width="5.375" bestFit="1" customWidth="1"/>
    <col min="9" max="9" width="5.75" customWidth="1"/>
    <col min="10" max="10" width="5.25" customWidth="1"/>
    <col min="11" max="11" width="5.75" customWidth="1"/>
    <col min="12" max="12" width="16.75" customWidth="1"/>
    <col min="13" max="13" width="5.375" bestFit="1" customWidth="1"/>
    <col min="14" max="14" width="3.75" customWidth="1"/>
    <col min="15" max="15" width="14.375" customWidth="1"/>
    <col min="16" max="16" width="5.375" bestFit="1" customWidth="1"/>
    <col min="17" max="17" width="4.875" customWidth="1"/>
  </cols>
  <sheetData>
    <row r="1" spans="1:23" ht="14.95" customHeight="1" thickBot="1" x14ac:dyDescent="0.3">
      <c r="A1" s="32" t="s">
        <v>58</v>
      </c>
      <c r="B1" s="147"/>
      <c r="C1" s="11"/>
      <c r="D1" s="27" t="s">
        <v>18</v>
      </c>
      <c r="E1" s="27"/>
      <c r="F1" s="24"/>
      <c r="G1" s="110" t="s">
        <v>82</v>
      </c>
      <c r="H1" s="148"/>
      <c r="I1" s="28" t="s">
        <v>107</v>
      </c>
      <c r="J1" s="28" t="s">
        <v>23</v>
      </c>
      <c r="K1" s="29" t="s">
        <v>24</v>
      </c>
      <c r="L1" s="630" t="s">
        <v>442</v>
      </c>
      <c r="M1" s="630"/>
      <c r="N1" s="631"/>
      <c r="O1" s="629" t="s">
        <v>443</v>
      </c>
      <c r="P1" s="630"/>
      <c r="Q1" s="631"/>
    </row>
    <row r="2" spans="1:23" ht="14.95" customHeight="1" thickBot="1" x14ac:dyDescent="0.3">
      <c r="A2" s="71" t="s">
        <v>332</v>
      </c>
      <c r="B2" s="71" t="s">
        <v>890</v>
      </c>
      <c r="C2" s="9">
        <f>Malinssartriescorrect</f>
        <v>16</v>
      </c>
      <c r="D2" s="2" t="s">
        <v>191</v>
      </c>
      <c r="E2" s="2" t="s">
        <v>209</v>
      </c>
      <c r="F2" s="19">
        <f>fordleicpts</f>
        <v>220</v>
      </c>
      <c r="G2" s="30" t="s">
        <v>878</v>
      </c>
      <c r="H2" s="30" t="s">
        <v>215</v>
      </c>
      <c r="I2" s="308">
        <f>Whiteleybrigls</f>
        <v>9</v>
      </c>
      <c r="J2" s="310">
        <f>whiteleybriatt</f>
        <v>10</v>
      </c>
      <c r="K2" s="31">
        <f t="shared" ref="K2:K33" si="0">SUM(I2/J2)*100</f>
        <v>90</v>
      </c>
      <c r="L2" s="71" t="s">
        <v>332</v>
      </c>
      <c r="M2" s="71" t="s">
        <v>890</v>
      </c>
      <c r="N2" s="9">
        <v>16</v>
      </c>
      <c r="O2" s="2" t="s">
        <v>191</v>
      </c>
      <c r="P2" s="2" t="s">
        <v>209</v>
      </c>
      <c r="Q2" s="19">
        <v>193</v>
      </c>
    </row>
    <row r="3" spans="1:23" ht="14.95" customHeight="1" thickBot="1" x14ac:dyDescent="0.3">
      <c r="A3" s="71" t="s">
        <v>681</v>
      </c>
      <c r="B3" s="71" t="s">
        <v>669</v>
      </c>
      <c r="C3" s="6">
        <f>Griffithssartries</f>
        <v>15</v>
      </c>
      <c r="D3" s="2" t="s">
        <v>464</v>
      </c>
      <c r="E3" s="2" t="s">
        <v>450</v>
      </c>
      <c r="F3" s="20">
        <f>Jacksonlirpts</f>
        <v>200</v>
      </c>
      <c r="G3" s="33" t="s">
        <v>898</v>
      </c>
      <c r="H3" s="55" t="s">
        <v>890</v>
      </c>
      <c r="I3" s="310">
        <f>farrellsarglscorrect</f>
        <v>55</v>
      </c>
      <c r="J3" s="310">
        <f>farrellsarattcorrect</f>
        <v>65</v>
      </c>
      <c r="K3" s="417">
        <f t="shared" si="0"/>
        <v>84.615384615384613</v>
      </c>
      <c r="L3" s="71" t="s">
        <v>681</v>
      </c>
      <c r="M3" s="71" t="s">
        <v>669</v>
      </c>
      <c r="N3" s="6">
        <v>15</v>
      </c>
      <c r="O3" s="2" t="s">
        <v>464</v>
      </c>
      <c r="P3" s="2" t="s">
        <v>450</v>
      </c>
      <c r="Q3" s="19">
        <v>185</v>
      </c>
      <c r="T3" s="4"/>
      <c r="U3" s="4"/>
      <c r="V3" s="4"/>
      <c r="W3" s="4"/>
    </row>
    <row r="4" spans="1:23" ht="14.95" customHeight="1" thickBot="1" x14ac:dyDescent="0.3">
      <c r="A4" s="71" t="s">
        <v>433</v>
      </c>
      <c r="B4" s="71" t="s">
        <v>206</v>
      </c>
      <c r="C4" s="9">
        <f>Murleyhartries</f>
        <v>15</v>
      </c>
      <c r="D4" s="2" t="s">
        <v>906</v>
      </c>
      <c r="E4" s="2" t="s">
        <v>890</v>
      </c>
      <c r="F4" s="19">
        <f>Lozowskisarptscorrect</f>
        <v>178</v>
      </c>
      <c r="G4" s="33" t="s">
        <v>272</v>
      </c>
      <c r="H4" s="30" t="s">
        <v>184</v>
      </c>
      <c r="I4" s="308">
        <f>mylergoals</f>
        <v>71</v>
      </c>
      <c r="J4" s="310">
        <f>myleratt</f>
        <v>86</v>
      </c>
      <c r="K4" s="31">
        <f t="shared" si="0"/>
        <v>82.558139534883722</v>
      </c>
      <c r="L4" s="71" t="s">
        <v>584</v>
      </c>
      <c r="M4" s="71" t="s">
        <v>450</v>
      </c>
      <c r="N4" s="9">
        <v>14</v>
      </c>
      <c r="O4" s="2" t="s">
        <v>1003</v>
      </c>
      <c r="P4" s="2" t="s">
        <v>180</v>
      </c>
      <c r="Q4" s="19">
        <v>175</v>
      </c>
      <c r="S4" s="4"/>
    </row>
    <row r="5" spans="1:23" ht="14.95" customHeight="1" thickBot="1" x14ac:dyDescent="0.3">
      <c r="A5" s="71" t="s">
        <v>584</v>
      </c>
      <c r="B5" s="71" t="s">
        <v>450</v>
      </c>
      <c r="C5" s="9">
        <f>Collettnewtries</f>
        <v>14</v>
      </c>
      <c r="D5" s="2" t="s">
        <v>1003</v>
      </c>
      <c r="E5" s="2" t="s">
        <v>180</v>
      </c>
      <c r="F5" s="19">
        <f>Hudsonglopts</f>
        <v>175</v>
      </c>
      <c r="G5" s="33" t="s">
        <v>701</v>
      </c>
      <c r="H5" s="30" t="s">
        <v>669</v>
      </c>
      <c r="I5" s="310">
        <f>Hodgsoncharliegoals</f>
        <v>22</v>
      </c>
      <c r="J5" s="310">
        <f>hodgsoncharlieatt</f>
        <v>27</v>
      </c>
      <c r="K5" s="31">
        <f t="shared" si="0"/>
        <v>81.481481481481481</v>
      </c>
      <c r="L5" s="71" t="s">
        <v>433</v>
      </c>
      <c r="M5" s="71" t="s">
        <v>206</v>
      </c>
      <c r="N5" s="9">
        <v>14</v>
      </c>
      <c r="O5" s="2" t="s">
        <v>906</v>
      </c>
      <c r="P5" s="2" t="s">
        <v>890</v>
      </c>
      <c r="Q5" s="20">
        <v>168</v>
      </c>
      <c r="S5" s="4"/>
    </row>
    <row r="6" spans="1:23" ht="14.95" customHeight="1" thickBot="1" x14ac:dyDescent="0.3">
      <c r="A6" s="71" t="s">
        <v>784</v>
      </c>
      <c r="B6" s="71" t="s">
        <v>184</v>
      </c>
      <c r="C6" s="9">
        <f>Freemannortries</f>
        <v>13</v>
      </c>
      <c r="D6" s="2" t="s">
        <v>272</v>
      </c>
      <c r="E6" s="2" t="s">
        <v>184</v>
      </c>
      <c r="F6" s="19">
        <f>Biggarnorpts</f>
        <v>174</v>
      </c>
      <c r="G6" s="30" t="s">
        <v>421</v>
      </c>
      <c r="H6" s="30" t="s">
        <v>182</v>
      </c>
      <c r="I6" s="308">
        <f>dupreezsalgls</f>
        <v>24</v>
      </c>
      <c r="J6" s="310">
        <f>dupreezsalatt</f>
        <v>30</v>
      </c>
      <c r="K6" s="31">
        <f t="shared" si="0"/>
        <v>80</v>
      </c>
      <c r="L6" s="71" t="s">
        <v>784</v>
      </c>
      <c r="M6" s="71" t="s">
        <v>184</v>
      </c>
      <c r="N6" s="9">
        <v>12</v>
      </c>
      <c r="O6" s="2" t="s">
        <v>272</v>
      </c>
      <c r="P6" s="2" t="s">
        <v>184</v>
      </c>
      <c r="Q6" s="19">
        <v>163</v>
      </c>
      <c r="S6" s="4"/>
    </row>
    <row r="7" spans="1:23" ht="14.95" customHeight="1" thickBot="1" x14ac:dyDescent="0.3">
      <c r="A7" s="71" t="s">
        <v>291</v>
      </c>
      <c r="B7" s="71" t="s">
        <v>890</v>
      </c>
      <c r="C7" s="9">
        <f>Earlsartriescorrect</f>
        <v>11</v>
      </c>
      <c r="D7" s="2" t="s">
        <v>302</v>
      </c>
      <c r="E7" s="2" t="s">
        <v>208</v>
      </c>
      <c r="F7" s="19">
        <f>Goodewaspts</f>
        <v>172</v>
      </c>
      <c r="G7" s="30" t="s">
        <v>112</v>
      </c>
      <c r="H7" s="30" t="s">
        <v>180</v>
      </c>
      <c r="I7" s="308">
        <f>evanslglogoals</f>
        <v>15</v>
      </c>
      <c r="J7" s="434">
        <f>evanslgloatt</f>
        <v>19</v>
      </c>
      <c r="K7" s="31">
        <f t="shared" si="0"/>
        <v>78.94736842105263</v>
      </c>
      <c r="L7" s="71" t="s">
        <v>338</v>
      </c>
      <c r="M7" s="71" t="s">
        <v>184</v>
      </c>
      <c r="N7" s="9">
        <v>11</v>
      </c>
      <c r="O7" s="2" t="s">
        <v>302</v>
      </c>
      <c r="P7" s="2" t="s">
        <v>208</v>
      </c>
      <c r="Q7" s="18">
        <v>162</v>
      </c>
      <c r="S7" s="4"/>
    </row>
    <row r="8" spans="1:23" ht="14.95" customHeight="1" thickBot="1" x14ac:dyDescent="0.3">
      <c r="A8" s="71" t="s">
        <v>338</v>
      </c>
      <c r="B8" s="71" t="s">
        <v>184</v>
      </c>
      <c r="C8" s="9">
        <f>Mitchellnortries</f>
        <v>11</v>
      </c>
      <c r="D8" s="2" t="s">
        <v>362</v>
      </c>
      <c r="E8" s="2" t="s">
        <v>215</v>
      </c>
      <c r="F8" s="19">
        <f>Paulolirpts</f>
        <v>170</v>
      </c>
      <c r="G8" s="30" t="s">
        <v>362</v>
      </c>
      <c r="H8" s="30" t="s">
        <v>215</v>
      </c>
      <c r="I8" s="308">
        <f>atkinslirgls</f>
        <v>66</v>
      </c>
      <c r="J8" s="434">
        <f>atkinsliratt</f>
        <v>84</v>
      </c>
      <c r="K8" s="31">
        <f t="shared" si="0"/>
        <v>78.571428571428569</v>
      </c>
      <c r="L8" s="71" t="s">
        <v>1031</v>
      </c>
      <c r="M8" s="71" t="s">
        <v>184</v>
      </c>
      <c r="N8" s="9">
        <v>11</v>
      </c>
      <c r="O8" s="2" t="s">
        <v>362</v>
      </c>
      <c r="P8" s="2" t="s">
        <v>215</v>
      </c>
      <c r="Q8" s="19">
        <v>160</v>
      </c>
      <c r="S8" s="4"/>
    </row>
    <row r="9" spans="1:23" ht="14.95" customHeight="1" thickBot="1" x14ac:dyDescent="0.3">
      <c r="A9" s="71" t="s">
        <v>1031</v>
      </c>
      <c r="B9" s="71" t="s">
        <v>184</v>
      </c>
      <c r="C9" s="6">
        <f>Taylornortries</f>
        <v>11</v>
      </c>
      <c r="D9" s="2" t="s">
        <v>898</v>
      </c>
      <c r="E9" s="2" t="s">
        <v>890</v>
      </c>
      <c r="F9" s="19">
        <f>Farrellsarptscorrect</f>
        <v>133</v>
      </c>
      <c r="G9" s="30" t="s">
        <v>991</v>
      </c>
      <c r="H9" s="30" t="s">
        <v>181</v>
      </c>
      <c r="I9" s="308">
        <f>Williamsworgls</f>
        <v>11</v>
      </c>
      <c r="J9" s="310">
        <f>williamsworatt</f>
        <v>14</v>
      </c>
      <c r="K9" s="31">
        <f t="shared" si="0"/>
        <v>78.571428571428569</v>
      </c>
      <c r="L9" s="10" t="s">
        <v>506</v>
      </c>
      <c r="M9" s="10" t="s">
        <v>450</v>
      </c>
      <c r="N9" s="9">
        <v>10</v>
      </c>
      <c r="O9" s="2" t="s">
        <v>203</v>
      </c>
      <c r="P9" s="2" t="s">
        <v>207</v>
      </c>
      <c r="Q9" s="19">
        <v>116</v>
      </c>
      <c r="S9" s="4"/>
    </row>
    <row r="10" spans="1:23" ht="14.95" customHeight="1" thickBot="1" x14ac:dyDescent="0.3">
      <c r="A10" s="71" t="s">
        <v>506</v>
      </c>
      <c r="B10" s="71" t="s">
        <v>450</v>
      </c>
      <c r="C10" s="9">
        <f>Hassell_Collinslirtries</f>
        <v>10</v>
      </c>
      <c r="D10" s="2" t="s">
        <v>203</v>
      </c>
      <c r="E10" s="2" t="s">
        <v>207</v>
      </c>
      <c r="F10" s="19">
        <f>Simmondsexepts</f>
        <v>131</v>
      </c>
      <c r="G10" s="30" t="s">
        <v>933</v>
      </c>
      <c r="H10" s="30" t="s">
        <v>209</v>
      </c>
      <c r="I10" s="308">
        <f>Diaz_Bonillaleicgls</f>
        <v>36</v>
      </c>
      <c r="J10" s="310">
        <f>diazbonillaleicatt</f>
        <v>46</v>
      </c>
      <c r="K10" s="31">
        <f t="shared" si="0"/>
        <v>78.260869565217391</v>
      </c>
      <c r="L10" s="71" t="s">
        <v>764</v>
      </c>
      <c r="M10" s="71" t="s">
        <v>206</v>
      </c>
      <c r="N10" s="6">
        <v>10</v>
      </c>
      <c r="O10" s="2" t="s">
        <v>898</v>
      </c>
      <c r="P10" s="2" t="s">
        <v>890</v>
      </c>
      <c r="Q10" s="20">
        <v>115</v>
      </c>
      <c r="S10" s="4"/>
    </row>
    <row r="11" spans="1:23" ht="14.95" customHeight="1" thickBot="1" x14ac:dyDescent="0.3">
      <c r="A11" s="71" t="s">
        <v>764</v>
      </c>
      <c r="B11" s="71" t="s">
        <v>206</v>
      </c>
      <c r="C11" s="9">
        <f>Lynaghhartries</f>
        <v>10</v>
      </c>
      <c r="D11" s="17" t="s">
        <v>933</v>
      </c>
      <c r="E11" s="17" t="s">
        <v>209</v>
      </c>
      <c r="F11" s="18">
        <f>Burnsleicpts</f>
        <v>102</v>
      </c>
      <c r="G11" s="30" t="s">
        <v>1003</v>
      </c>
      <c r="H11" s="30" t="s">
        <v>180</v>
      </c>
      <c r="I11" s="308">
        <f>Hastingsglogls</f>
        <v>72</v>
      </c>
      <c r="J11" s="308">
        <f>hastingsgloatt</f>
        <v>93</v>
      </c>
      <c r="K11" s="31">
        <f t="shared" si="0"/>
        <v>77.41935483870968</v>
      </c>
      <c r="L11" s="71" t="s">
        <v>632</v>
      </c>
      <c r="M11" s="71" t="s">
        <v>183</v>
      </c>
      <c r="N11" s="6">
        <v>10</v>
      </c>
      <c r="O11" s="2" t="s">
        <v>794</v>
      </c>
      <c r="P11" s="2" t="s">
        <v>183</v>
      </c>
      <c r="Q11" s="20">
        <v>101</v>
      </c>
      <c r="S11" s="4"/>
    </row>
    <row r="12" spans="1:23" ht="14.95" customHeight="1" thickBot="1" x14ac:dyDescent="0.3">
      <c r="A12" s="71" t="s">
        <v>632</v>
      </c>
      <c r="B12" s="71" t="s">
        <v>183</v>
      </c>
      <c r="C12" s="9">
        <f>Muirbthtries</f>
        <v>10</v>
      </c>
      <c r="D12" s="2" t="s">
        <v>794</v>
      </c>
      <c r="E12" s="2" t="s">
        <v>183</v>
      </c>
      <c r="F12" s="19">
        <f>Baileybthpts</f>
        <v>101</v>
      </c>
      <c r="G12" s="33" t="s">
        <v>794</v>
      </c>
      <c r="H12" s="30" t="s">
        <v>183</v>
      </c>
      <c r="I12" s="308">
        <f>Baileybthgls</f>
        <v>41</v>
      </c>
      <c r="J12" s="310">
        <f>baileybthatt</f>
        <v>53</v>
      </c>
      <c r="K12" s="31">
        <f t="shared" si="0"/>
        <v>77.358490566037744</v>
      </c>
      <c r="L12" s="71" t="s">
        <v>606</v>
      </c>
      <c r="M12" s="71" t="s">
        <v>209</v>
      </c>
      <c r="N12" s="9">
        <v>10</v>
      </c>
      <c r="O12" s="632" t="s">
        <v>398</v>
      </c>
      <c r="P12" s="583"/>
      <c r="Q12" s="583"/>
      <c r="S12" s="4"/>
    </row>
    <row r="13" spans="1:23" ht="14.95" customHeight="1" thickBot="1" x14ac:dyDescent="0.3">
      <c r="A13" s="10" t="s">
        <v>606</v>
      </c>
      <c r="B13" s="10" t="s">
        <v>209</v>
      </c>
      <c r="C13" s="9">
        <f>Parlingleitries</f>
        <v>10</v>
      </c>
      <c r="D13" s="2" t="s">
        <v>397</v>
      </c>
      <c r="E13" s="2" t="s">
        <v>206</v>
      </c>
      <c r="F13" s="19">
        <f>Smithharpts</f>
        <v>100</v>
      </c>
      <c r="G13" s="30" t="s">
        <v>203</v>
      </c>
      <c r="H13" s="30" t="s">
        <v>207</v>
      </c>
      <c r="I13" s="308">
        <f>simmondsexegoals</f>
        <v>54</v>
      </c>
      <c r="J13" s="308">
        <f>simmondsexeatt</f>
        <v>70</v>
      </c>
      <c r="K13" s="31">
        <f t="shared" si="0"/>
        <v>77.142857142857153</v>
      </c>
      <c r="L13" s="71" t="s">
        <v>921</v>
      </c>
      <c r="M13" s="71" t="s">
        <v>890</v>
      </c>
      <c r="N13" s="9">
        <v>10</v>
      </c>
      <c r="O13" s="509" t="s">
        <v>1227</v>
      </c>
      <c r="S13" s="4"/>
    </row>
    <row r="14" spans="1:23" ht="14.95" customHeight="1" thickBot="1" x14ac:dyDescent="0.3">
      <c r="A14" s="71" t="s">
        <v>921</v>
      </c>
      <c r="B14" s="71" t="s">
        <v>890</v>
      </c>
      <c r="C14" s="9">
        <f>Woolstencroftsartriescorrect</f>
        <v>10</v>
      </c>
      <c r="D14" s="2" t="s">
        <v>331</v>
      </c>
      <c r="E14" s="2" t="s">
        <v>182</v>
      </c>
      <c r="F14" s="19">
        <f>MacKenziephilpts</f>
        <v>96</v>
      </c>
      <c r="G14" s="33" t="s">
        <v>906</v>
      </c>
      <c r="H14" s="55" t="s">
        <v>890</v>
      </c>
      <c r="I14" s="310">
        <f>lozowskisarglscorrect</f>
        <v>66</v>
      </c>
      <c r="J14" s="310">
        <f>lozowksisarattcorrect</f>
        <v>87</v>
      </c>
      <c r="K14" s="417">
        <f t="shared" si="0"/>
        <v>75.862068965517238</v>
      </c>
      <c r="L14" s="71" t="s">
        <v>563</v>
      </c>
      <c r="M14" s="71" t="s">
        <v>208</v>
      </c>
      <c r="N14" s="9">
        <v>9</v>
      </c>
      <c r="S14" s="4"/>
    </row>
    <row r="15" spans="1:23" ht="14.95" customHeight="1" thickBot="1" x14ac:dyDescent="0.3">
      <c r="A15" s="71" t="s">
        <v>563</v>
      </c>
      <c r="B15" s="71" t="s">
        <v>208</v>
      </c>
      <c r="C15" s="9">
        <f>Nealwastries</f>
        <v>9</v>
      </c>
      <c r="D15" s="2" t="s">
        <v>797</v>
      </c>
      <c r="E15" s="2" t="s">
        <v>181</v>
      </c>
      <c r="F15" s="19">
        <f>Smithworpts</f>
        <v>88</v>
      </c>
      <c r="G15" s="30" t="s">
        <v>856</v>
      </c>
      <c r="H15" s="30" t="s">
        <v>183</v>
      </c>
      <c r="I15" s="308">
        <f>ciprianibthgls</f>
        <v>22</v>
      </c>
      <c r="J15" s="308">
        <f>ciprianibthatt</f>
        <v>29</v>
      </c>
      <c r="K15" s="31">
        <f t="shared" si="0"/>
        <v>75.862068965517238</v>
      </c>
      <c r="L15" s="71" t="s">
        <v>478</v>
      </c>
      <c r="M15" s="71" t="s">
        <v>180</v>
      </c>
      <c r="N15" s="9">
        <v>9</v>
      </c>
      <c r="S15" s="4"/>
    </row>
    <row r="16" spans="1:23" ht="14.95" customHeight="1" thickBot="1" x14ac:dyDescent="0.3">
      <c r="A16" s="71" t="s">
        <v>478</v>
      </c>
      <c r="B16" s="71" t="s">
        <v>180</v>
      </c>
      <c r="C16" s="9">
        <f>Rees_Zammitglotries</f>
        <v>9</v>
      </c>
      <c r="D16" s="2" t="s">
        <v>377</v>
      </c>
      <c r="E16" s="2" t="s">
        <v>208</v>
      </c>
      <c r="F16" s="19">
        <f>Umagawaspts</f>
        <v>85</v>
      </c>
      <c r="G16" s="30" t="s">
        <v>998</v>
      </c>
      <c r="H16" s="30" t="s">
        <v>669</v>
      </c>
      <c r="I16" s="308">
        <f>Haydon_Woodnewgls</f>
        <v>25</v>
      </c>
      <c r="J16" s="310">
        <f>haydonwoodnewatt</f>
        <v>33</v>
      </c>
      <c r="K16" s="31">
        <f t="shared" si="0"/>
        <v>75.757575757575751</v>
      </c>
      <c r="L16" s="10" t="s">
        <v>283</v>
      </c>
      <c r="M16" s="10" t="s">
        <v>184</v>
      </c>
      <c r="N16" s="9">
        <v>8</v>
      </c>
    </row>
    <row r="17" spans="1:22" ht="14.95" customHeight="1" thickBot="1" x14ac:dyDescent="0.3">
      <c r="A17" s="71" t="s">
        <v>283</v>
      </c>
      <c r="B17" s="71" t="s">
        <v>184</v>
      </c>
      <c r="C17" s="9">
        <f>Collinstomtries</f>
        <v>8</v>
      </c>
      <c r="D17" s="2" t="s">
        <v>303</v>
      </c>
      <c r="E17" s="2" t="s">
        <v>184</v>
      </c>
      <c r="F17" s="19">
        <f>Graysonnorpts</f>
        <v>81</v>
      </c>
      <c r="G17" s="30" t="s">
        <v>302</v>
      </c>
      <c r="H17" s="30" t="s">
        <v>208</v>
      </c>
      <c r="I17" s="308">
        <f>goodeandygoals</f>
        <v>66</v>
      </c>
      <c r="J17" s="310">
        <f>goodeandyatt</f>
        <v>88</v>
      </c>
      <c r="K17" s="31">
        <f t="shared" si="0"/>
        <v>75</v>
      </c>
      <c r="L17" s="71" t="s">
        <v>291</v>
      </c>
      <c r="M17" s="71" t="s">
        <v>890</v>
      </c>
      <c r="N17" s="9">
        <v>8</v>
      </c>
    </row>
    <row r="18" spans="1:22" ht="14.95" customHeight="1" thickBot="1" x14ac:dyDescent="0.3">
      <c r="A18" s="71" t="s">
        <v>288</v>
      </c>
      <c r="B18" s="71" t="s">
        <v>206</v>
      </c>
      <c r="C18" s="9">
        <f>Dombrandthartries</f>
        <v>8</v>
      </c>
      <c r="D18" s="2" t="s">
        <v>332</v>
      </c>
      <c r="E18" s="2" t="s">
        <v>890</v>
      </c>
      <c r="F18" s="19">
        <f>Malinssarptscorrect</f>
        <v>80</v>
      </c>
      <c r="G18" s="30" t="s">
        <v>978</v>
      </c>
      <c r="H18" s="30" t="s">
        <v>206</v>
      </c>
      <c r="I18" s="308">
        <f>Langhargls</f>
        <v>21</v>
      </c>
      <c r="J18" s="310">
        <f>langharatt</f>
        <v>28</v>
      </c>
      <c r="K18" s="31">
        <f t="shared" si="0"/>
        <v>75</v>
      </c>
      <c r="L18" s="71" t="s">
        <v>775</v>
      </c>
      <c r="M18" s="71" t="s">
        <v>206</v>
      </c>
      <c r="N18" s="9">
        <v>8</v>
      </c>
    </row>
    <row r="19" spans="1:22" ht="14.95" customHeight="1" thickBot="1" x14ac:dyDescent="0.3">
      <c r="A19" s="71" t="s">
        <v>775</v>
      </c>
      <c r="B19" s="71" t="s">
        <v>206</v>
      </c>
      <c r="C19" s="9">
        <f>Esterhuizenhartries</f>
        <v>8</v>
      </c>
      <c r="D19" s="2" t="s">
        <v>681</v>
      </c>
      <c r="E19" s="2" t="s">
        <v>669</v>
      </c>
      <c r="F19" s="19">
        <f>Griffithssarpts</f>
        <v>75</v>
      </c>
      <c r="G19" s="30" t="s">
        <v>147</v>
      </c>
      <c r="H19" s="30" t="s">
        <v>209</v>
      </c>
      <c r="I19" s="308">
        <f>burnsleigoals</f>
        <v>81</v>
      </c>
      <c r="J19" s="310">
        <f>burnsleiatt</f>
        <v>109</v>
      </c>
      <c r="K19" s="31">
        <f t="shared" si="0"/>
        <v>74.311926605504581</v>
      </c>
      <c r="L19" s="8" t="s">
        <v>526</v>
      </c>
      <c r="M19" s="511" t="s">
        <v>215</v>
      </c>
      <c r="N19" s="511">
        <v>8</v>
      </c>
    </row>
    <row r="20" spans="1:22" ht="14.95" customHeight="1" thickBot="1" x14ac:dyDescent="0.3">
      <c r="A20" s="71" t="s">
        <v>526</v>
      </c>
      <c r="B20" s="71" t="s">
        <v>215</v>
      </c>
      <c r="C20" s="9">
        <f>Dorrianlitries</f>
        <v>8</v>
      </c>
      <c r="D20" s="2" t="s">
        <v>433</v>
      </c>
      <c r="E20" s="2" t="s">
        <v>206</v>
      </c>
      <c r="F20" s="19">
        <f>Murleyharpts</f>
        <v>75</v>
      </c>
      <c r="G20" s="33" t="s">
        <v>397</v>
      </c>
      <c r="H20" s="30" t="s">
        <v>206</v>
      </c>
      <c r="I20" s="310">
        <f>boticagoals</f>
        <v>40</v>
      </c>
      <c r="J20" s="310">
        <f>boticaatt</f>
        <v>55</v>
      </c>
      <c r="K20" s="31">
        <f t="shared" si="0"/>
        <v>72.727272727272734</v>
      </c>
      <c r="L20" s="511" t="s">
        <v>904</v>
      </c>
      <c r="M20" s="511" t="s">
        <v>890</v>
      </c>
      <c r="N20" s="511">
        <v>8</v>
      </c>
    </row>
    <row r="21" spans="1:22" ht="14.95" customHeight="1" thickBot="1" x14ac:dyDescent="0.3">
      <c r="A21" s="71" t="s">
        <v>904</v>
      </c>
      <c r="B21" s="71" t="s">
        <v>890</v>
      </c>
      <c r="C21" s="9">
        <f>Lewingtonsartriescorrect</f>
        <v>8</v>
      </c>
      <c r="D21" s="2" t="s">
        <v>421</v>
      </c>
      <c r="E21" s="2" t="s">
        <v>182</v>
      </c>
      <c r="F21" s="19">
        <f>du_Preez_Rsalpts</f>
        <v>72</v>
      </c>
      <c r="G21" s="30" t="s">
        <v>303</v>
      </c>
      <c r="H21" s="30" t="s">
        <v>184</v>
      </c>
      <c r="I21" s="308">
        <f>graysonnorgls</f>
        <v>29</v>
      </c>
      <c r="J21" s="310">
        <f>graysonnoratt</f>
        <v>40</v>
      </c>
      <c r="K21" s="31">
        <f t="shared" si="0"/>
        <v>72.5</v>
      </c>
      <c r="L21" s="511" t="s">
        <v>553</v>
      </c>
      <c r="M21" s="511" t="s">
        <v>206</v>
      </c>
      <c r="N21" s="511">
        <v>8</v>
      </c>
      <c r="V21" t="s">
        <v>44</v>
      </c>
    </row>
    <row r="22" spans="1:22" ht="14.95" customHeight="1" thickBot="1" x14ac:dyDescent="0.3">
      <c r="A22" s="71" t="s">
        <v>553</v>
      </c>
      <c r="B22" s="71" t="s">
        <v>206</v>
      </c>
      <c r="C22" s="9">
        <f>Northmorehartries</f>
        <v>8</v>
      </c>
      <c r="D22" s="2" t="s">
        <v>584</v>
      </c>
      <c r="E22" s="2" t="s">
        <v>450</v>
      </c>
      <c r="F22" s="19">
        <f>Collettnewpts</f>
        <v>70</v>
      </c>
      <c r="G22" s="30" t="s">
        <v>797</v>
      </c>
      <c r="H22" s="30" t="s">
        <v>181</v>
      </c>
      <c r="I22" s="308">
        <f>Smithworgls</f>
        <v>39</v>
      </c>
      <c r="J22" s="310">
        <f>smithworatt</f>
        <v>54</v>
      </c>
      <c r="K22" s="31">
        <f t="shared" si="0"/>
        <v>72.222222222222214</v>
      </c>
      <c r="L22" s="511" t="s">
        <v>1040</v>
      </c>
      <c r="M22" s="4" t="s">
        <v>450</v>
      </c>
      <c r="N22" s="511">
        <v>8</v>
      </c>
    </row>
    <row r="23" spans="1:22" ht="14.95" customHeight="1" thickBot="1" x14ac:dyDescent="0.3">
      <c r="A23" s="71" t="s">
        <v>1040</v>
      </c>
      <c r="B23" s="71" t="s">
        <v>450</v>
      </c>
      <c r="C23" s="9">
        <f>Rowelirtries</f>
        <v>8</v>
      </c>
      <c r="D23" s="2" t="s">
        <v>784</v>
      </c>
      <c r="E23" s="2" t="s">
        <v>184</v>
      </c>
      <c r="F23" s="19">
        <f>Freemannorpts</f>
        <v>65</v>
      </c>
      <c r="G23" s="30" t="s">
        <v>369</v>
      </c>
      <c r="H23" s="30" t="s">
        <v>207</v>
      </c>
      <c r="I23" s="308">
        <f>sladegoals</f>
        <v>18</v>
      </c>
      <c r="J23" s="310">
        <f>sladeatt</f>
        <v>25</v>
      </c>
      <c r="K23" s="31">
        <f t="shared" si="0"/>
        <v>72</v>
      </c>
      <c r="L23" s="511" t="s">
        <v>733</v>
      </c>
      <c r="M23" s="511" t="s">
        <v>180</v>
      </c>
      <c r="N23" s="511">
        <v>8</v>
      </c>
    </row>
    <row r="24" spans="1:22" ht="14.95" customHeight="1" thickBot="1" x14ac:dyDescent="0.3">
      <c r="A24" s="10" t="s">
        <v>733</v>
      </c>
      <c r="B24" s="71" t="s">
        <v>180</v>
      </c>
      <c r="C24" s="9">
        <f>Terryglotries</f>
        <v>8</v>
      </c>
      <c r="D24" s="17" t="s">
        <v>998</v>
      </c>
      <c r="E24" s="17" t="s">
        <v>669</v>
      </c>
      <c r="F24" s="19">
        <f>Haydon_Woodnewpts</f>
        <v>65</v>
      </c>
      <c r="G24" s="30" t="s">
        <v>464</v>
      </c>
      <c r="H24" s="30" t="s">
        <v>450</v>
      </c>
      <c r="I24" s="308">
        <f>connonnewgoals</f>
        <v>82</v>
      </c>
      <c r="J24" s="310">
        <f>connonnewatt</f>
        <v>114</v>
      </c>
      <c r="K24" s="31">
        <f t="shared" si="0"/>
        <v>71.929824561403507</v>
      </c>
      <c r="L24" s="365" t="s">
        <v>398</v>
      </c>
    </row>
    <row r="25" spans="1:22" ht="14.95" customHeight="1" thickBot="1" x14ac:dyDescent="0.3">
      <c r="A25" s="71" t="s">
        <v>1107</v>
      </c>
      <c r="B25" s="71" t="s">
        <v>184</v>
      </c>
      <c r="C25" s="9">
        <f>Augustusnortries</f>
        <v>7</v>
      </c>
      <c r="D25" s="2" t="s">
        <v>369</v>
      </c>
      <c r="E25" s="2" t="s">
        <v>207</v>
      </c>
      <c r="F25" s="19">
        <f>Sladeexepts</f>
        <v>62</v>
      </c>
      <c r="G25" s="30" t="s">
        <v>377</v>
      </c>
      <c r="H25" s="30" t="s">
        <v>208</v>
      </c>
      <c r="I25" s="308">
        <f>umagawasgoals</f>
        <v>28</v>
      </c>
      <c r="J25" s="310">
        <f>umagawasatt</f>
        <v>39</v>
      </c>
      <c r="K25" s="31">
        <f t="shared" si="0"/>
        <v>71.794871794871796</v>
      </c>
    </row>
    <row r="26" spans="1:22" ht="14.95" customHeight="1" thickBot="1" x14ac:dyDescent="0.3">
      <c r="A26" s="71" t="s">
        <v>276</v>
      </c>
      <c r="B26" s="71" t="s">
        <v>206</v>
      </c>
      <c r="C26" s="6">
        <f>caretries</f>
        <v>7</v>
      </c>
      <c r="D26" s="2" t="s">
        <v>701</v>
      </c>
      <c r="E26" s="2" t="s">
        <v>669</v>
      </c>
      <c r="F26" s="19">
        <f>Connonnewptscorrectthisone</f>
        <v>58</v>
      </c>
      <c r="G26" s="30" t="s">
        <v>331</v>
      </c>
      <c r="H26" s="30" t="s">
        <v>182</v>
      </c>
      <c r="I26" s="308">
        <f>ciprianigoals</f>
        <v>38</v>
      </c>
      <c r="J26" s="308">
        <f>ciprianiatt</f>
        <v>53</v>
      </c>
      <c r="K26" s="31">
        <f t="shared" si="0"/>
        <v>71.698113207547166</v>
      </c>
    </row>
    <row r="27" spans="1:22" ht="14.95" customHeight="1" thickBot="1" x14ac:dyDescent="0.3">
      <c r="A27" s="71" t="s">
        <v>935</v>
      </c>
      <c r="B27" s="71" t="s">
        <v>209</v>
      </c>
      <c r="C27" s="54">
        <f>Diaz_Bonilla_Jleictries</f>
        <v>7</v>
      </c>
      <c r="D27" s="2" t="s">
        <v>291</v>
      </c>
      <c r="E27" s="2" t="s">
        <v>890</v>
      </c>
      <c r="F27" s="19">
        <f>Earlsarptscorrect</f>
        <v>55</v>
      </c>
      <c r="G27" s="30" t="s">
        <v>298</v>
      </c>
      <c r="H27" s="30" t="s">
        <v>184</v>
      </c>
      <c r="I27" s="308">
        <f>furbanknorgls</f>
        <v>11</v>
      </c>
      <c r="J27" s="310">
        <f>furbanknoratt</f>
        <v>16</v>
      </c>
      <c r="K27" s="31">
        <f t="shared" si="0"/>
        <v>68.75</v>
      </c>
    </row>
    <row r="28" spans="1:22" ht="14.95" customHeight="1" thickBot="1" x14ac:dyDescent="0.3">
      <c r="A28" s="71" t="s">
        <v>540</v>
      </c>
      <c r="B28" s="71" t="s">
        <v>180</v>
      </c>
      <c r="C28" s="9">
        <f>Harrisglotries</f>
        <v>7</v>
      </c>
      <c r="D28" s="2" t="s">
        <v>338</v>
      </c>
      <c r="E28" s="2" t="s">
        <v>184</v>
      </c>
      <c r="F28" s="19">
        <f>Mitchellnorpts</f>
        <v>55</v>
      </c>
      <c r="G28" s="30" t="s">
        <v>418</v>
      </c>
      <c r="H28" s="30" t="s">
        <v>215</v>
      </c>
      <c r="I28" s="308">
        <f>Edenbriglscorrect</f>
        <v>10</v>
      </c>
      <c r="J28" s="310">
        <f>edenbriattcorrect</f>
        <v>16</v>
      </c>
      <c r="K28" s="31">
        <f t="shared" si="0"/>
        <v>62.5</v>
      </c>
    </row>
    <row r="29" spans="1:22" ht="14.95" customHeight="1" thickBot="1" x14ac:dyDescent="0.3">
      <c r="A29" s="71" t="s">
        <v>313</v>
      </c>
      <c r="B29" s="71" t="s">
        <v>184</v>
      </c>
      <c r="C29" s="9">
        <f>Hutchinsonnortries</f>
        <v>7</v>
      </c>
      <c r="D29" s="2" t="s">
        <v>1031</v>
      </c>
      <c r="E29" s="2" t="s">
        <v>184</v>
      </c>
      <c r="F29" s="18">
        <f>Taylornorpts</f>
        <v>55</v>
      </c>
      <c r="G29" s="30" t="s">
        <v>702</v>
      </c>
      <c r="H29" s="30" t="s">
        <v>669</v>
      </c>
      <c r="I29" s="308">
        <f>spencerbengoals</f>
        <v>15</v>
      </c>
      <c r="J29" s="310">
        <f>spencerbenatt</f>
        <v>25</v>
      </c>
      <c r="K29" s="31">
        <f t="shared" si="0"/>
        <v>60</v>
      </c>
    </row>
    <row r="30" spans="1:22" ht="14.95" customHeight="1" thickBot="1" x14ac:dyDescent="0.3">
      <c r="A30" s="71" t="s">
        <v>1033</v>
      </c>
      <c r="B30" s="71" t="s">
        <v>450</v>
      </c>
      <c r="C30" s="9">
        <f>Janse_v_Rensburglirtries</f>
        <v>7</v>
      </c>
      <c r="D30" s="331" t="s">
        <v>856</v>
      </c>
      <c r="E30" s="331" t="s">
        <v>183</v>
      </c>
      <c r="F30" s="19">
        <f>ciprianibthpts</f>
        <v>53</v>
      </c>
      <c r="G30" s="30" t="s">
        <v>817</v>
      </c>
      <c r="H30" s="30" t="s">
        <v>206</v>
      </c>
      <c r="I30" s="308">
        <f>edwardshargls</f>
        <v>14</v>
      </c>
      <c r="J30" s="310">
        <f>edwardsharatt</f>
        <v>25</v>
      </c>
      <c r="K30" s="31">
        <f t="shared" si="0"/>
        <v>56.000000000000007</v>
      </c>
    </row>
    <row r="31" spans="1:22" ht="14.95" customHeight="1" thickBot="1" x14ac:dyDescent="0.3">
      <c r="A31" s="71" t="s">
        <v>333</v>
      </c>
      <c r="B31" s="71" t="s">
        <v>206</v>
      </c>
      <c r="C31" s="6">
        <f>Marchanthartries</f>
        <v>7</v>
      </c>
      <c r="D31" s="2" t="s">
        <v>506</v>
      </c>
      <c r="E31" s="2" t="s">
        <v>450</v>
      </c>
      <c r="F31" s="19">
        <f>Hassell_Collinslirpts</f>
        <v>50</v>
      </c>
      <c r="G31" s="30" t="s">
        <v>361</v>
      </c>
      <c r="H31" s="30" t="s">
        <v>181</v>
      </c>
      <c r="I31" s="308">
        <f>Searleworgls</f>
        <v>11</v>
      </c>
      <c r="J31" s="310">
        <f>searleworatt</f>
        <v>20</v>
      </c>
      <c r="K31" s="31">
        <f t="shared" si="0"/>
        <v>55.000000000000007</v>
      </c>
    </row>
    <row r="32" spans="1:22" ht="14.95" customHeight="1" thickBot="1" x14ac:dyDescent="0.3">
      <c r="A32" s="10" t="s">
        <v>769</v>
      </c>
      <c r="B32" s="71" t="s">
        <v>209</v>
      </c>
      <c r="C32" s="9">
        <f>Mayleictries</f>
        <v>7</v>
      </c>
      <c r="D32" s="2" t="s">
        <v>764</v>
      </c>
      <c r="E32" s="2" t="s">
        <v>206</v>
      </c>
      <c r="F32" s="19">
        <f>Lynaghharpts</f>
        <v>50</v>
      </c>
      <c r="G32" s="30" t="s">
        <v>524</v>
      </c>
      <c r="H32" s="30" t="s">
        <v>207</v>
      </c>
      <c r="I32" s="308">
        <f>hoggexegls</f>
        <v>3</v>
      </c>
      <c r="J32" s="309">
        <f>hoggexeatt</f>
        <v>3</v>
      </c>
      <c r="K32" s="31">
        <f t="shared" si="0"/>
        <v>100</v>
      </c>
    </row>
    <row r="33" spans="1:15" ht="14.95" customHeight="1" thickBot="1" x14ac:dyDescent="0.3">
      <c r="A33" s="71" t="s">
        <v>582</v>
      </c>
      <c r="B33" s="71" t="s">
        <v>209</v>
      </c>
      <c r="C33" s="9">
        <f>Owenleictries</f>
        <v>7</v>
      </c>
      <c r="D33" s="2" t="s">
        <v>632</v>
      </c>
      <c r="E33" s="2" t="s">
        <v>183</v>
      </c>
      <c r="F33" s="19">
        <f>Muirbthpts</f>
        <v>50</v>
      </c>
      <c r="G33" s="30" t="s">
        <v>574</v>
      </c>
      <c r="H33" s="30" t="s">
        <v>183</v>
      </c>
      <c r="I33" s="308">
        <f>de_Glanvillebthgls</f>
        <v>2</v>
      </c>
      <c r="J33" s="309">
        <f>deglanvillebthatt</f>
        <v>2</v>
      </c>
      <c r="K33" s="31">
        <f t="shared" si="0"/>
        <v>100</v>
      </c>
    </row>
    <row r="34" spans="1:15" ht="14.95" customHeight="1" thickBot="1" x14ac:dyDescent="0.3">
      <c r="A34" s="10" t="s">
        <v>703</v>
      </c>
      <c r="B34" s="10" t="s">
        <v>669</v>
      </c>
      <c r="C34" s="9">
        <f>Radwannewtriescorrect</f>
        <v>7</v>
      </c>
      <c r="D34" s="17" t="s">
        <v>606</v>
      </c>
      <c r="E34" s="17" t="s">
        <v>209</v>
      </c>
      <c r="F34" s="19">
        <f>Parlingleipts</f>
        <v>50</v>
      </c>
      <c r="G34" s="30" t="s">
        <v>394</v>
      </c>
      <c r="H34" s="30" t="s">
        <v>184</v>
      </c>
      <c r="I34" s="308">
        <f>Hanrahannorgoals</f>
        <v>2</v>
      </c>
      <c r="J34" s="309">
        <f>hanrahannoratt</f>
        <v>2</v>
      </c>
      <c r="K34" s="31">
        <f t="shared" ref="K34:K50" si="1">SUM(I34/J34)*100</f>
        <v>100</v>
      </c>
    </row>
    <row r="35" spans="1:15" ht="14.95" customHeight="1" thickBot="1" x14ac:dyDescent="0.3">
      <c r="A35" s="71" t="s">
        <v>355</v>
      </c>
      <c r="B35" s="71" t="s">
        <v>182</v>
      </c>
      <c r="C35" s="9">
        <f>Readsaltries</f>
        <v>7</v>
      </c>
      <c r="D35" s="2" t="s">
        <v>921</v>
      </c>
      <c r="E35" s="2" t="s">
        <v>890</v>
      </c>
      <c r="F35" s="19">
        <f>Woolstencroftsarptscorrect</f>
        <v>50</v>
      </c>
      <c r="G35" s="33" t="s">
        <v>839</v>
      </c>
      <c r="H35" s="55" t="s">
        <v>890</v>
      </c>
      <c r="I35" s="310">
        <f>vunipolasarglscorrect</f>
        <v>2</v>
      </c>
      <c r="J35" s="309">
        <f>vunipolasarattcorrect</f>
        <v>2</v>
      </c>
      <c r="K35" s="417">
        <f t="shared" si="1"/>
        <v>100</v>
      </c>
    </row>
    <row r="36" spans="1:15" ht="14.95" customHeight="1" thickBot="1" x14ac:dyDescent="0.3">
      <c r="A36" s="71" t="s">
        <v>915</v>
      </c>
      <c r="B36" s="71" t="s">
        <v>890</v>
      </c>
      <c r="C36" s="9">
        <f>Segunsartriescorrect</f>
        <v>7</v>
      </c>
      <c r="D36" s="2" t="s">
        <v>978</v>
      </c>
      <c r="E36" s="2" t="s">
        <v>206</v>
      </c>
      <c r="F36" s="19">
        <f>Baldwinharpts</f>
        <v>49</v>
      </c>
      <c r="G36" s="33" t="s">
        <v>741</v>
      </c>
      <c r="H36" s="30" t="s">
        <v>208</v>
      </c>
      <c r="I36" s="308">
        <f>atkinsonwasgls</f>
        <v>1</v>
      </c>
      <c r="J36" s="309">
        <f>atkinsonwasatt</f>
        <v>1</v>
      </c>
      <c r="K36" s="31">
        <f t="shared" si="1"/>
        <v>100</v>
      </c>
    </row>
    <row r="37" spans="1:15" ht="14.95" customHeight="1" thickBot="1" x14ac:dyDescent="0.3">
      <c r="A37" s="71" t="s">
        <v>1023</v>
      </c>
      <c r="B37" s="71" t="s">
        <v>182</v>
      </c>
      <c r="C37" s="9">
        <f>Ashmansaltries</f>
        <v>6</v>
      </c>
      <c r="D37" s="2" t="s">
        <v>775</v>
      </c>
      <c r="E37" s="2" t="s">
        <v>206</v>
      </c>
      <c r="F37" s="19">
        <f>Esterhuizenharpts</f>
        <v>48</v>
      </c>
      <c r="G37" s="30" t="s">
        <v>749</v>
      </c>
      <c r="H37" s="30" t="s">
        <v>209</v>
      </c>
      <c r="I37" s="308">
        <f>Kellyleicgls</f>
        <v>1</v>
      </c>
      <c r="J37" s="309">
        <f>kellyleicatt</f>
        <v>1</v>
      </c>
      <c r="K37" s="31">
        <f t="shared" si="1"/>
        <v>100</v>
      </c>
    </row>
    <row r="38" spans="1:15" ht="14.95" customHeight="1" thickBot="1" x14ac:dyDescent="0.3">
      <c r="A38" s="10" t="s">
        <v>1170</v>
      </c>
      <c r="B38" s="10" t="s">
        <v>209</v>
      </c>
      <c r="C38" s="9">
        <f>Barbierileitries</f>
        <v>6</v>
      </c>
      <c r="D38" s="2" t="s">
        <v>298</v>
      </c>
      <c r="E38" s="2" t="s">
        <v>184</v>
      </c>
      <c r="F38" s="18">
        <f>Furbanknorptscorrect</f>
        <v>45</v>
      </c>
      <c r="G38" s="30" t="s">
        <v>257</v>
      </c>
      <c r="H38" s="30" t="s">
        <v>183</v>
      </c>
      <c r="I38" s="308">
        <f>spcncerbthgls</f>
        <v>7</v>
      </c>
      <c r="J38" s="309">
        <f>spencerbthatt</f>
        <v>9</v>
      </c>
      <c r="K38" s="31">
        <f t="shared" si="1"/>
        <v>77.777777777777786</v>
      </c>
    </row>
    <row r="39" spans="1:15" ht="14.95" customHeight="1" thickBot="1" x14ac:dyDescent="0.3">
      <c r="A39" s="71" t="s">
        <v>295</v>
      </c>
      <c r="B39" s="71" t="s">
        <v>207</v>
      </c>
      <c r="C39" s="9">
        <f>Ewersexetries</f>
        <v>6</v>
      </c>
      <c r="D39" s="2" t="s">
        <v>563</v>
      </c>
      <c r="E39" s="2" t="s">
        <v>208</v>
      </c>
      <c r="F39" s="19">
        <f>Nealwaspts</f>
        <v>45</v>
      </c>
      <c r="G39" s="33" t="s">
        <v>900</v>
      </c>
      <c r="H39" s="55" t="s">
        <v>890</v>
      </c>
      <c r="I39" s="310">
        <f>goodesarglscorrect</f>
        <v>6</v>
      </c>
      <c r="J39" s="309">
        <f>GOODESARATTCORRECT</f>
        <v>8</v>
      </c>
      <c r="K39" s="417">
        <f t="shared" si="1"/>
        <v>75</v>
      </c>
    </row>
    <row r="40" spans="1:15" ht="14.95" customHeight="1" thickBot="1" x14ac:dyDescent="0.3">
      <c r="A40" s="71" t="s">
        <v>1015</v>
      </c>
      <c r="B40" s="71" t="s">
        <v>208</v>
      </c>
      <c r="C40" s="9">
        <f>Frostwastries</f>
        <v>6</v>
      </c>
      <c r="D40" s="2" t="s">
        <v>478</v>
      </c>
      <c r="E40" s="2" t="s">
        <v>180</v>
      </c>
      <c r="F40" s="19">
        <f>Rees_Zammitglopts</f>
        <v>45</v>
      </c>
      <c r="G40" s="382" t="s">
        <v>775</v>
      </c>
      <c r="H40" s="30" t="s">
        <v>206</v>
      </c>
      <c r="I40" s="308">
        <f>Esterhuizenhargls</f>
        <v>4</v>
      </c>
      <c r="J40" s="309">
        <f>esterhuizenharatt</f>
        <v>6</v>
      </c>
      <c r="K40" s="31">
        <f t="shared" si="1"/>
        <v>66.666666666666657</v>
      </c>
      <c r="L40" s="47" t="s">
        <v>44</v>
      </c>
      <c r="O40" s="47" t="s">
        <v>44</v>
      </c>
    </row>
    <row r="41" spans="1:15" ht="14.95" customHeight="1" thickBot="1" x14ac:dyDescent="0.3">
      <c r="A41" s="12" t="s">
        <v>782</v>
      </c>
      <c r="B41" s="12" t="s">
        <v>206</v>
      </c>
      <c r="C41" s="6">
        <f>Greenhartries</f>
        <v>6</v>
      </c>
      <c r="D41" s="2" t="s">
        <v>257</v>
      </c>
      <c r="E41" s="2" t="s">
        <v>183</v>
      </c>
      <c r="F41" s="19">
        <f>Spencer_Bbthpts</f>
        <v>43</v>
      </c>
      <c r="G41" s="30" t="s">
        <v>475</v>
      </c>
      <c r="H41" s="30" t="s">
        <v>180</v>
      </c>
      <c r="I41" s="308">
        <f>Bartonglogls</f>
        <v>3</v>
      </c>
      <c r="J41" s="309">
        <f>Bartongloatt</f>
        <v>5</v>
      </c>
      <c r="K41" s="31">
        <f t="shared" si="1"/>
        <v>60</v>
      </c>
    </row>
    <row r="42" spans="1:15" ht="14.95" customHeight="1" thickBot="1" x14ac:dyDescent="0.3">
      <c r="A42" s="71" t="s">
        <v>327</v>
      </c>
      <c r="B42" s="71" t="s">
        <v>215</v>
      </c>
      <c r="C42" s="9">
        <f>Loaderlirtries</f>
        <v>6</v>
      </c>
      <c r="D42" s="2" t="s">
        <v>283</v>
      </c>
      <c r="E42" s="2" t="s">
        <v>184</v>
      </c>
      <c r="F42" s="19">
        <f>Collinstompts</f>
        <v>40</v>
      </c>
      <c r="G42" s="30" t="s">
        <v>1047</v>
      </c>
      <c r="H42" s="30" t="s">
        <v>450</v>
      </c>
      <c r="I42" s="308">
        <f>Jenningslirgls</f>
        <v>3</v>
      </c>
      <c r="J42" s="309">
        <f>jenningsliratt</f>
        <v>5</v>
      </c>
      <c r="K42" s="31">
        <f t="shared" si="1"/>
        <v>60</v>
      </c>
    </row>
    <row r="43" spans="1:15" ht="14.95" customHeight="1" thickBot="1" x14ac:dyDescent="0.3">
      <c r="A43" s="10" t="s">
        <v>588</v>
      </c>
      <c r="B43" s="10" t="s">
        <v>209</v>
      </c>
      <c r="C43" s="9">
        <f>Liebenbergleictries</f>
        <v>6</v>
      </c>
      <c r="D43" s="2" t="s">
        <v>288</v>
      </c>
      <c r="E43" s="2" t="s">
        <v>206</v>
      </c>
      <c r="F43" s="19">
        <f>Dombrandtharpts</f>
        <v>40</v>
      </c>
      <c r="G43" s="30" t="s">
        <v>286</v>
      </c>
      <c r="H43" s="30" t="s">
        <v>182</v>
      </c>
      <c r="I43" s="308">
        <f>de_Klerksalgls</f>
        <v>4</v>
      </c>
      <c r="J43" s="309">
        <f>deklerksalatt</f>
        <v>7</v>
      </c>
      <c r="K43" s="31">
        <f t="shared" si="1"/>
        <v>57.142857142857139</v>
      </c>
    </row>
    <row r="44" spans="1:15" ht="14.95" customHeight="1" thickBot="1" x14ac:dyDescent="0.3">
      <c r="A44" s="71" t="s">
        <v>341</v>
      </c>
      <c r="B44" s="71" t="s">
        <v>180</v>
      </c>
      <c r="C44" s="9">
        <f>Morganbentries</f>
        <v>6</v>
      </c>
      <c r="D44" s="2" t="s">
        <v>526</v>
      </c>
      <c r="E44" s="2" t="s">
        <v>215</v>
      </c>
      <c r="F44" s="19">
        <f>Dorrianlipts</f>
        <v>40</v>
      </c>
      <c r="G44" s="30" t="s">
        <v>313</v>
      </c>
      <c r="H44" s="30" t="s">
        <v>184</v>
      </c>
      <c r="I44" s="308">
        <f>hutchinsonnorgls</f>
        <v>2</v>
      </c>
      <c r="J44" s="309">
        <f>hutchinsonnoratt</f>
        <v>4</v>
      </c>
      <c r="K44" s="31">
        <f t="shared" si="1"/>
        <v>50</v>
      </c>
    </row>
    <row r="45" spans="1:15" ht="14.95" customHeight="1" thickBot="1" x14ac:dyDescent="0.3">
      <c r="A45" s="71" t="s">
        <v>514</v>
      </c>
      <c r="B45" s="71" t="s">
        <v>450</v>
      </c>
      <c r="C45" s="9">
        <f>Mulipolanewtries</f>
        <v>6</v>
      </c>
      <c r="D45" s="2" t="s">
        <v>904</v>
      </c>
      <c r="E45" s="2" t="s">
        <v>890</v>
      </c>
      <c r="F45" s="19">
        <f>Lewingtonsarptscorrect</f>
        <v>40</v>
      </c>
      <c r="G45" s="33" t="s">
        <v>895</v>
      </c>
      <c r="H45" s="55" t="s">
        <v>890</v>
      </c>
      <c r="I45" s="310">
        <f>dalysarglscorrect</f>
        <v>1</v>
      </c>
      <c r="J45" s="309">
        <f>dalysarattcorrect</f>
        <v>2</v>
      </c>
      <c r="K45" s="417">
        <f t="shared" si="1"/>
        <v>50</v>
      </c>
    </row>
    <row r="46" spans="1:15" ht="14.95" customHeight="1" thickBot="1" x14ac:dyDescent="0.3">
      <c r="A46" s="71" t="s">
        <v>522</v>
      </c>
      <c r="B46" s="71" t="s">
        <v>184</v>
      </c>
      <c r="C46" s="6">
        <f>Pisikentriescorrect</f>
        <v>6</v>
      </c>
      <c r="D46" s="2" t="s">
        <v>553</v>
      </c>
      <c r="E46" s="2" t="s">
        <v>206</v>
      </c>
      <c r="F46" s="19">
        <f>Northmoreharpts</f>
        <v>40</v>
      </c>
      <c r="G46" s="30" t="s">
        <v>414</v>
      </c>
      <c r="H46" s="30" t="s">
        <v>207</v>
      </c>
      <c r="I46" s="308">
        <f>Skinnerexegls</f>
        <v>3</v>
      </c>
      <c r="J46" s="309">
        <f>Skinnerexeatt</f>
        <v>7</v>
      </c>
      <c r="K46" s="31">
        <f t="shared" si="1"/>
        <v>42.857142857142854</v>
      </c>
    </row>
    <row r="47" spans="1:15" ht="14.95" customHeight="1" thickBot="1" x14ac:dyDescent="0.3">
      <c r="A47" s="71" t="s">
        <v>364</v>
      </c>
      <c r="B47" s="71" t="s">
        <v>181</v>
      </c>
      <c r="C47" s="9">
        <f>Shillcockwortries</f>
        <v>6</v>
      </c>
      <c r="D47" s="2" t="s">
        <v>1040</v>
      </c>
      <c r="E47" s="2" t="s">
        <v>450</v>
      </c>
      <c r="F47" s="19">
        <f>Rowelirpts</f>
        <v>40</v>
      </c>
      <c r="G47" s="30" t="s">
        <v>489</v>
      </c>
      <c r="H47" s="30" t="s">
        <v>182</v>
      </c>
      <c r="I47" s="308">
        <f>redpathsalegls</f>
        <v>2</v>
      </c>
      <c r="J47" s="309">
        <f>redpathsalatt</f>
        <v>6</v>
      </c>
      <c r="K47" s="31">
        <f t="shared" si="1"/>
        <v>33.333333333333329</v>
      </c>
    </row>
    <row r="48" spans="1:15" ht="14.95" customHeight="1" thickBot="1" x14ac:dyDescent="0.3">
      <c r="A48" s="71" t="s">
        <v>535</v>
      </c>
      <c r="B48" s="71" t="s">
        <v>209</v>
      </c>
      <c r="C48" s="6">
        <f>Stevensleictries</f>
        <v>6</v>
      </c>
      <c r="D48" s="2" t="s">
        <v>733</v>
      </c>
      <c r="E48" s="2" t="s">
        <v>180</v>
      </c>
      <c r="F48" s="19">
        <f>Terryglopts</f>
        <v>40</v>
      </c>
      <c r="G48" s="30" t="s">
        <v>937</v>
      </c>
      <c r="H48" s="30" t="s">
        <v>209</v>
      </c>
      <c r="I48" s="308">
        <f>Bellleigoals</f>
        <v>1</v>
      </c>
      <c r="J48" s="309">
        <f>bellleiatt</f>
        <v>4</v>
      </c>
      <c r="K48" s="31">
        <f t="shared" si="1"/>
        <v>25</v>
      </c>
    </row>
    <row r="49" spans="1:11" ht="14.95" customHeight="1" thickBot="1" x14ac:dyDescent="0.3">
      <c r="A49" s="71" t="s">
        <v>108</v>
      </c>
      <c r="B49" s="71" t="s">
        <v>215</v>
      </c>
      <c r="C49" s="9">
        <f>Poreckilirtries</f>
        <v>6</v>
      </c>
      <c r="D49" s="2" t="s">
        <v>702</v>
      </c>
      <c r="E49" s="2" t="s">
        <v>669</v>
      </c>
      <c r="F49" s="19">
        <f>Hodgsonnewptscorrect</f>
        <v>39</v>
      </c>
      <c r="G49" s="30" t="s">
        <v>504</v>
      </c>
      <c r="H49" s="30" t="s">
        <v>215</v>
      </c>
      <c r="I49" s="308">
        <f>LloydBriGls</f>
        <v>1</v>
      </c>
      <c r="J49" s="309">
        <f>LloydBriAtt</f>
        <v>4</v>
      </c>
      <c r="K49" s="31">
        <f t="shared" si="1"/>
        <v>25</v>
      </c>
    </row>
    <row r="50" spans="1:11" ht="14.95" customHeight="1" thickBot="1" x14ac:dyDescent="0.3">
      <c r="A50" s="71" t="s">
        <v>918</v>
      </c>
      <c r="B50" s="71" t="s">
        <v>890</v>
      </c>
      <c r="C50" s="9">
        <f>Tompkinssartriescorrect</f>
        <v>6</v>
      </c>
      <c r="D50" s="2" t="s">
        <v>313</v>
      </c>
      <c r="E50" s="2" t="s">
        <v>184</v>
      </c>
      <c r="F50" s="19">
        <f>Hutchinsonnorpts</f>
        <v>39</v>
      </c>
      <c r="G50" s="30" t="s">
        <v>364</v>
      </c>
      <c r="H50" s="30" t="s">
        <v>181</v>
      </c>
      <c r="I50" s="308">
        <f>shilllcockworgoals</f>
        <v>0</v>
      </c>
      <c r="J50" s="309">
        <f>shilllcockworatt</f>
        <v>2</v>
      </c>
      <c r="K50" s="31">
        <f t="shared" si="1"/>
        <v>0</v>
      </c>
    </row>
    <row r="51" spans="1:11" ht="14.95" customHeight="1" thickBot="1" x14ac:dyDescent="0.3">
      <c r="A51" s="71" t="s">
        <v>507</v>
      </c>
      <c r="B51" s="71" t="s">
        <v>182</v>
      </c>
      <c r="C51" s="9">
        <f>Van_der_Merwe_Asaltries</f>
        <v>6</v>
      </c>
      <c r="D51" s="2" t="s">
        <v>276</v>
      </c>
      <c r="E51" s="2" t="s">
        <v>206</v>
      </c>
      <c r="F51" s="19">
        <f>Carepts</f>
        <v>38</v>
      </c>
      <c r="G51" s="30" t="s">
        <v>411</v>
      </c>
      <c r="H51" s="30" t="s">
        <v>180</v>
      </c>
      <c r="I51" s="308">
        <f>chapmanglogls</f>
        <v>0</v>
      </c>
      <c r="J51" s="309">
        <f>chapmangloatt</f>
        <v>1</v>
      </c>
      <c r="K51" s="31">
        <v>0</v>
      </c>
    </row>
    <row r="52" spans="1:11" ht="14.95" customHeight="1" thickBot="1" x14ac:dyDescent="0.3">
      <c r="A52" s="10" t="s">
        <v>244</v>
      </c>
      <c r="B52" s="10" t="s">
        <v>208</v>
      </c>
      <c r="C52" s="9">
        <f>Willis_Twastries</f>
        <v>6</v>
      </c>
      <c r="D52" s="17" t="s">
        <v>188</v>
      </c>
      <c r="E52" s="17" t="s">
        <v>180</v>
      </c>
      <c r="F52" s="19">
        <f>Evans_Lglopts</f>
        <v>36</v>
      </c>
      <c r="G52" s="30" t="s">
        <v>1164</v>
      </c>
      <c r="H52" s="30" t="s">
        <v>450</v>
      </c>
      <c r="I52" s="308">
        <f>jansevrensburglirgls</f>
        <v>0</v>
      </c>
      <c r="J52" s="309">
        <f>jansevrensburgliratt</f>
        <v>1</v>
      </c>
      <c r="K52" s="31">
        <v>0</v>
      </c>
    </row>
    <row r="53" spans="1:11" ht="14.95" customHeight="1" thickBot="1" x14ac:dyDescent="0.3">
      <c r="A53" s="71" t="s">
        <v>389</v>
      </c>
      <c r="B53" s="71" t="s">
        <v>207</v>
      </c>
      <c r="C53" s="9">
        <f>Woodburnexetries</f>
        <v>6</v>
      </c>
      <c r="D53" s="2" t="s">
        <v>1107</v>
      </c>
      <c r="E53" s="2" t="s">
        <v>184</v>
      </c>
      <c r="F53" s="19">
        <f>Augustusnorpts</f>
        <v>35</v>
      </c>
      <c r="G53" s="30" t="s">
        <v>535</v>
      </c>
      <c r="H53" s="30" t="s">
        <v>209</v>
      </c>
      <c r="I53" s="308">
        <f>Stewardleicgls</f>
        <v>0</v>
      </c>
      <c r="J53" s="309">
        <f>stewardleicatt</f>
        <v>1</v>
      </c>
      <c r="K53" s="31">
        <f>SUM(I53/J53)*100</f>
        <v>0</v>
      </c>
    </row>
    <row r="54" spans="1:11" ht="14.95" customHeight="1" thickBot="1" x14ac:dyDescent="0.3">
      <c r="A54" s="71" t="s">
        <v>413</v>
      </c>
      <c r="B54" s="71" t="s">
        <v>208</v>
      </c>
      <c r="C54" s="9">
        <f>Barbearywastrie</f>
        <v>5</v>
      </c>
      <c r="D54" s="2" t="s">
        <v>935</v>
      </c>
      <c r="E54" s="2" t="s">
        <v>209</v>
      </c>
      <c r="F54" s="19">
        <f>Diaz_Bonilla_Jleicpts</f>
        <v>35</v>
      </c>
      <c r="G54" s="30" t="s">
        <v>376</v>
      </c>
      <c r="H54" s="30" t="s">
        <v>180</v>
      </c>
      <c r="I54" s="308">
        <f>twelvetreesgoals</f>
        <v>0</v>
      </c>
      <c r="J54" s="309">
        <f>twelvetreesatt</f>
        <v>1</v>
      </c>
      <c r="K54" s="31">
        <f>SUM(I54/J54)*100</f>
        <v>0</v>
      </c>
    </row>
    <row r="55" spans="1:11" ht="14.95" customHeight="1" thickBot="1" x14ac:dyDescent="0.3">
      <c r="A55" s="71" t="s">
        <v>280</v>
      </c>
      <c r="B55" s="71" t="s">
        <v>183</v>
      </c>
      <c r="C55" s="9">
        <f>Cokanasigabthtries</f>
        <v>5</v>
      </c>
      <c r="D55" s="2" t="s">
        <v>540</v>
      </c>
      <c r="E55" s="2" t="s">
        <v>180</v>
      </c>
      <c r="F55" s="19">
        <f>Harrisglopts</f>
        <v>35</v>
      </c>
      <c r="G55" s="382" t="s">
        <v>419</v>
      </c>
      <c r="H55" s="30" t="s">
        <v>183</v>
      </c>
      <c r="I55" s="308" t="str">
        <f>Atkinsbthgls</f>
        <v>-</v>
      </c>
      <c r="J55" s="309" t="str">
        <f>Atkinsbthatt</f>
        <v>-</v>
      </c>
      <c r="K55" s="31">
        <v>0</v>
      </c>
    </row>
    <row r="56" spans="1:11" ht="14.95" customHeight="1" thickBot="1" x14ac:dyDescent="0.3">
      <c r="A56" s="71" t="s">
        <v>574</v>
      </c>
      <c r="B56" s="71" t="s">
        <v>183</v>
      </c>
      <c r="C56" s="9">
        <f>Delmasbthtries</f>
        <v>5</v>
      </c>
      <c r="D56" s="2" t="s">
        <v>1033</v>
      </c>
      <c r="E56" s="2" t="s">
        <v>450</v>
      </c>
      <c r="F56" s="19">
        <f>Janse_v_Rensburglirpts</f>
        <v>35</v>
      </c>
      <c r="G56" s="33" t="s">
        <v>463</v>
      </c>
      <c r="H56" s="30" t="s">
        <v>450</v>
      </c>
      <c r="I56" s="308" t="str">
        <f>arscottnewgls</f>
        <v>-</v>
      </c>
      <c r="J56" s="309" t="str">
        <f>arscottnewatt</f>
        <v>-</v>
      </c>
      <c r="K56" s="31">
        <v>0</v>
      </c>
    </row>
    <row r="57" spans="1:11" ht="14.95" customHeight="1" thickBot="1" x14ac:dyDescent="0.3">
      <c r="A57" s="10" t="s">
        <v>485</v>
      </c>
      <c r="B57" s="71" t="s">
        <v>182</v>
      </c>
      <c r="C57" s="9">
        <f>du_Preez_Dsaltries</f>
        <v>5</v>
      </c>
      <c r="D57" s="2" t="s">
        <v>333</v>
      </c>
      <c r="E57" s="2" t="s">
        <v>206</v>
      </c>
      <c r="F57" s="19">
        <f>Marchantharpts</f>
        <v>35</v>
      </c>
      <c r="G57" s="33" t="s">
        <v>1104</v>
      </c>
      <c r="H57" s="30" t="s">
        <v>206</v>
      </c>
      <c r="I57" s="308" t="str">
        <f>beardhargls</f>
        <v>-</v>
      </c>
      <c r="J57" s="309" t="str">
        <f>beardharatt</f>
        <v>-</v>
      </c>
      <c r="K57" s="31">
        <v>0</v>
      </c>
    </row>
    <row r="58" spans="1:11" ht="14.95" customHeight="1" thickBot="1" x14ac:dyDescent="0.3">
      <c r="A58" s="71" t="s">
        <v>528</v>
      </c>
      <c r="B58" s="71" t="s">
        <v>181</v>
      </c>
      <c r="C58" s="9">
        <f>Galarzamarianotries</f>
        <v>5</v>
      </c>
      <c r="D58" s="2" t="s">
        <v>769</v>
      </c>
      <c r="E58" s="2" t="s">
        <v>209</v>
      </c>
      <c r="F58" s="19">
        <f>Mayleicpts</f>
        <v>35</v>
      </c>
      <c r="G58" s="30" t="s">
        <v>416</v>
      </c>
      <c r="H58" s="30" t="s">
        <v>215</v>
      </c>
      <c r="I58" s="308" t="str">
        <f>Bedlowbrigls</f>
        <v>-</v>
      </c>
      <c r="J58" s="309" t="str">
        <f>bedlowbriatt</f>
        <v>-</v>
      </c>
      <c r="K58" s="31">
        <v>0</v>
      </c>
    </row>
    <row r="59" spans="1:11" ht="14.95" customHeight="1" thickBot="1" x14ac:dyDescent="0.3">
      <c r="A59" s="71" t="s">
        <v>314</v>
      </c>
      <c r="B59" s="71" t="s">
        <v>207</v>
      </c>
      <c r="C59" s="9">
        <f>holmesexetries</f>
        <v>5</v>
      </c>
      <c r="D59" s="2" t="s">
        <v>582</v>
      </c>
      <c r="E59" s="2" t="s">
        <v>209</v>
      </c>
      <c r="F59" s="18">
        <f>Owenleicpts</f>
        <v>35</v>
      </c>
      <c r="G59" s="30" t="s">
        <v>1057</v>
      </c>
      <c r="H59" s="30" t="s">
        <v>206</v>
      </c>
      <c r="I59" s="308" t="str">
        <f>bensonhargls</f>
        <v>-</v>
      </c>
      <c r="J59" s="309" t="str">
        <f>bensonharatt</f>
        <v>-</v>
      </c>
      <c r="K59" s="31">
        <v>0</v>
      </c>
    </row>
    <row r="60" spans="1:11" ht="14.95" customHeight="1" thickBot="1" x14ac:dyDescent="0.3">
      <c r="A60" s="10" t="s">
        <v>980</v>
      </c>
      <c r="B60" s="10" t="s">
        <v>206</v>
      </c>
      <c r="C60" s="9">
        <f>JonesHhartries</f>
        <v>5</v>
      </c>
      <c r="D60" s="2" t="s">
        <v>703</v>
      </c>
      <c r="E60" s="2" t="s">
        <v>669</v>
      </c>
      <c r="F60" s="19">
        <f>Radwannewptscorrect</f>
        <v>35</v>
      </c>
      <c r="G60" s="30" t="s">
        <v>72</v>
      </c>
      <c r="H60" s="30" t="s">
        <v>206</v>
      </c>
      <c r="I60" s="308" t="str">
        <f>chisholmhargls</f>
        <v>-</v>
      </c>
      <c r="J60" s="309" t="str">
        <f>chisholmharatt</f>
        <v>-</v>
      </c>
      <c r="K60" s="31">
        <v>0</v>
      </c>
    </row>
    <row r="61" spans="1:11" ht="14.95" customHeight="1" thickBot="1" x14ac:dyDescent="0.3">
      <c r="A61" s="71" t="s">
        <v>765</v>
      </c>
      <c r="B61" s="71" t="s">
        <v>184</v>
      </c>
      <c r="C61" s="9">
        <f>Matthewsnortries</f>
        <v>5</v>
      </c>
      <c r="D61" s="2" t="s">
        <v>355</v>
      </c>
      <c r="E61" s="2" t="s">
        <v>182</v>
      </c>
      <c r="F61" s="19">
        <f>Readsalpts</f>
        <v>35</v>
      </c>
      <c r="G61" s="30" t="s">
        <v>279</v>
      </c>
      <c r="H61" s="30" t="s">
        <v>182</v>
      </c>
      <c r="I61" s="308" t="str">
        <f>Cliffsalgls</f>
        <v>-</v>
      </c>
      <c r="J61" s="309" t="str">
        <f>cliffsalatt</f>
        <v>-</v>
      </c>
      <c r="K61" s="31">
        <v>0</v>
      </c>
    </row>
    <row r="62" spans="1:11" ht="14.95" customHeight="1" thickBot="1" x14ac:dyDescent="0.3">
      <c r="A62" s="71" t="s">
        <v>731</v>
      </c>
      <c r="B62" s="71" t="s">
        <v>208</v>
      </c>
      <c r="C62" s="9">
        <f>Odogwuwastries</f>
        <v>5</v>
      </c>
      <c r="D62" s="2" t="s">
        <v>915</v>
      </c>
      <c r="E62" s="2" t="s">
        <v>890</v>
      </c>
      <c r="F62" s="19">
        <f>Segunsarptscorrect</f>
        <v>35</v>
      </c>
      <c r="G62" s="30" t="s">
        <v>603</v>
      </c>
      <c r="H62" s="30" t="s">
        <v>207</v>
      </c>
      <c r="I62" s="308" t="str">
        <f>Hodgeexegls</f>
        <v>-</v>
      </c>
      <c r="J62" s="309" t="str">
        <f>Hodgeexeatt</f>
        <v>-</v>
      </c>
      <c r="K62" s="31">
        <v>0</v>
      </c>
    </row>
    <row r="63" spans="1:11" ht="14.95" customHeight="1" thickBot="1" x14ac:dyDescent="0.3">
      <c r="A63" s="71" t="s">
        <v>348</v>
      </c>
      <c r="B63" s="71" t="s">
        <v>207</v>
      </c>
      <c r="C63" s="9">
        <f>Parlingexetries</f>
        <v>5</v>
      </c>
      <c r="D63" s="2" t="s">
        <v>900</v>
      </c>
      <c r="E63" s="2" t="s">
        <v>890</v>
      </c>
      <c r="F63" s="19">
        <f>Goodesarptscorrect</f>
        <v>33</v>
      </c>
      <c r="G63" s="382" t="s">
        <v>197</v>
      </c>
      <c r="H63" s="30" t="s">
        <v>182</v>
      </c>
      <c r="I63" s="308" t="str">
        <f>Jamessalgls</f>
        <v>-</v>
      </c>
      <c r="J63" s="309" t="str">
        <f>Jamessalatt</f>
        <v>-</v>
      </c>
      <c r="K63" s="31">
        <v>0</v>
      </c>
    </row>
    <row r="64" spans="1:11" ht="14.95" customHeight="1" thickBot="1" x14ac:dyDescent="0.3">
      <c r="A64" s="71" t="s">
        <v>804</v>
      </c>
      <c r="B64" s="71" t="s">
        <v>209</v>
      </c>
      <c r="C64" s="9">
        <f>Porterleictries</f>
        <v>5</v>
      </c>
      <c r="D64" s="2" t="s">
        <v>361</v>
      </c>
      <c r="E64" s="2" t="s">
        <v>181</v>
      </c>
      <c r="F64" s="19">
        <f>Searleworpts</f>
        <v>32</v>
      </c>
      <c r="G64" s="382" t="s">
        <v>316</v>
      </c>
      <c r="H64" s="30" t="s">
        <v>183</v>
      </c>
      <c r="I64" s="308" t="str">
        <f>Josephbthgls</f>
        <v>-</v>
      </c>
      <c r="J64" s="309" t="str">
        <f>josephbthatt</f>
        <v>-</v>
      </c>
      <c r="K64" s="31">
        <v>0</v>
      </c>
    </row>
    <row r="65" spans="1:11" ht="14.95" customHeight="1" thickBot="1" x14ac:dyDescent="0.3">
      <c r="A65" s="71" t="s">
        <v>1135</v>
      </c>
      <c r="B65" s="71" t="s">
        <v>207</v>
      </c>
      <c r="C65" s="9">
        <f>Schickerlingexetries</f>
        <v>5</v>
      </c>
      <c r="D65" s="2" t="s">
        <v>878</v>
      </c>
      <c r="E65" s="2" t="s">
        <v>215</v>
      </c>
      <c r="F65" s="19">
        <f>Whiteleybripts</f>
        <v>32</v>
      </c>
      <c r="G65" s="382" t="s">
        <v>941</v>
      </c>
      <c r="H65" s="30" t="s">
        <v>209</v>
      </c>
      <c r="I65" s="308" t="str">
        <f>Bryantleigoals</f>
        <v>-</v>
      </c>
      <c r="J65" s="309" t="str">
        <f>bryantleiatt</f>
        <v>-</v>
      </c>
      <c r="K65" s="31">
        <v>0</v>
      </c>
    </row>
    <row r="66" spans="1:11" ht="14.95" customHeight="1" thickBot="1" x14ac:dyDescent="0.3">
      <c r="A66" s="12" t="s">
        <v>790</v>
      </c>
      <c r="B66" s="71" t="s">
        <v>180</v>
      </c>
      <c r="C66" s="6">
        <f>Socinoglotries</f>
        <v>5</v>
      </c>
      <c r="D66" s="2" t="s">
        <v>1023</v>
      </c>
      <c r="E66" s="2" t="s">
        <v>182</v>
      </c>
      <c r="F66" s="20">
        <f>Ashmansalpts</f>
        <v>30</v>
      </c>
      <c r="G66" s="382" t="s">
        <v>1176</v>
      </c>
      <c r="H66" s="30" t="s">
        <v>215</v>
      </c>
      <c r="I66" s="308" t="str">
        <f>lloydjbrigls</f>
        <v>-</v>
      </c>
      <c r="J66" s="309" t="str">
        <f>lloydjbriatt</f>
        <v>-</v>
      </c>
      <c r="K66" s="31">
        <v>0</v>
      </c>
    </row>
    <row r="67" spans="1:11" ht="14.95" customHeight="1" thickBot="1" x14ac:dyDescent="0.3">
      <c r="A67" s="71" t="s">
        <v>257</v>
      </c>
      <c r="B67" s="71" t="s">
        <v>183</v>
      </c>
      <c r="C67" s="9">
        <f>Spencer_Bbthtries</f>
        <v>5</v>
      </c>
      <c r="D67" s="17" t="s">
        <v>1170</v>
      </c>
      <c r="E67" s="17" t="s">
        <v>209</v>
      </c>
      <c r="F67" s="19">
        <f>Barbierileipts</f>
        <v>30</v>
      </c>
      <c r="G67" s="498" t="s">
        <v>332</v>
      </c>
      <c r="H67" s="55" t="s">
        <v>890</v>
      </c>
      <c r="I67" s="310" t="str">
        <f>malinssarglscorrect</f>
        <v>-</v>
      </c>
      <c r="J67" s="309" t="str">
        <f>malinssarattcorrect</f>
        <v>-</v>
      </c>
      <c r="K67" s="417">
        <v>0</v>
      </c>
    </row>
    <row r="68" spans="1:11" ht="14.95" customHeight="1" thickBot="1" x14ac:dyDescent="0.3">
      <c r="A68" s="71" t="s">
        <v>371</v>
      </c>
      <c r="B68" s="71" t="s">
        <v>180</v>
      </c>
      <c r="C68" s="9">
        <f>Thorleyglotriescorrect</f>
        <v>5</v>
      </c>
      <c r="D68" s="2" t="s">
        <v>295</v>
      </c>
      <c r="E68" s="2" t="s">
        <v>207</v>
      </c>
      <c r="F68" s="19">
        <f>Ewersexepts</f>
        <v>30</v>
      </c>
      <c r="G68" s="30" t="s">
        <v>333</v>
      </c>
      <c r="H68" s="30" t="s">
        <v>206</v>
      </c>
      <c r="I68" s="308" t="str">
        <f>Marchanthargls</f>
        <v>-</v>
      </c>
      <c r="J68" s="309" t="str">
        <f>marchantharatt</f>
        <v>-</v>
      </c>
      <c r="K68" s="31">
        <v>0</v>
      </c>
    </row>
    <row r="69" spans="1:11" ht="14.95" customHeight="1" thickBot="1" x14ac:dyDescent="0.3">
      <c r="A69" s="71" t="s">
        <v>770</v>
      </c>
      <c r="B69" s="71" t="s">
        <v>209</v>
      </c>
      <c r="C69" s="6">
        <f>Wieseleictries</f>
        <v>5</v>
      </c>
      <c r="D69" s="17" t="s">
        <v>1015</v>
      </c>
      <c r="E69" s="2" t="s">
        <v>208</v>
      </c>
      <c r="F69" s="19">
        <f>Frostwaspts</f>
        <v>30</v>
      </c>
      <c r="G69" s="30" t="s">
        <v>1069</v>
      </c>
      <c r="H69" s="30" t="s">
        <v>208</v>
      </c>
      <c r="I69" s="308" t="str">
        <f>mathewswasgls</f>
        <v>-</v>
      </c>
      <c r="J69" s="309" t="str">
        <f>mathewswasatt</f>
        <v>-</v>
      </c>
      <c r="K69" s="31">
        <v>0</v>
      </c>
    </row>
    <row r="70" spans="1:11" ht="14.95" customHeight="1" thickBot="1" x14ac:dyDescent="0.3">
      <c r="A70" s="71" t="s">
        <v>262</v>
      </c>
      <c r="B70" s="71" t="s">
        <v>180</v>
      </c>
      <c r="C70" s="9">
        <f>Ackermannglotries</f>
        <v>4</v>
      </c>
      <c r="D70" s="2" t="s">
        <v>782</v>
      </c>
      <c r="E70" s="2" t="s">
        <v>206</v>
      </c>
      <c r="F70" s="19">
        <f>Greenharpts</f>
        <v>30</v>
      </c>
      <c r="G70" s="33" t="s">
        <v>254</v>
      </c>
      <c r="H70" s="30" t="s">
        <v>208</v>
      </c>
      <c r="I70" s="310" t="str">
        <f>millerwasgoals</f>
        <v>-</v>
      </c>
      <c r="J70" s="309" t="str">
        <f>millerwasatt</f>
        <v>-</v>
      </c>
      <c r="K70" s="31">
        <v>0</v>
      </c>
    </row>
    <row r="71" spans="1:11" ht="14.95" customHeight="1" thickBot="1" x14ac:dyDescent="0.3">
      <c r="A71" s="71" t="s">
        <v>271</v>
      </c>
      <c r="B71" s="71" t="s">
        <v>181</v>
      </c>
      <c r="C71" s="9">
        <f>Beckwortries</f>
        <v>4</v>
      </c>
      <c r="D71" s="2" t="s">
        <v>327</v>
      </c>
      <c r="E71" s="2" t="s">
        <v>215</v>
      </c>
      <c r="F71" s="19">
        <f>Loaderlirpts</f>
        <v>30</v>
      </c>
      <c r="G71" s="30" t="s">
        <v>497</v>
      </c>
      <c r="H71" s="30" t="s">
        <v>180</v>
      </c>
      <c r="I71" s="308" t="str">
        <f>Morrisjglogls</f>
        <v>-</v>
      </c>
      <c r="J71" s="309" t="str">
        <f>morrisjgloatt</f>
        <v>-</v>
      </c>
      <c r="K71" s="31">
        <v>0</v>
      </c>
    </row>
    <row r="72" spans="1:11" ht="14.95" customHeight="1" thickBot="1" x14ac:dyDescent="0.3">
      <c r="A72" s="71" t="s">
        <v>773</v>
      </c>
      <c r="B72" s="71" t="s">
        <v>180</v>
      </c>
      <c r="C72" s="9">
        <f>Carrerasglotries</f>
        <v>4</v>
      </c>
      <c r="D72" s="17" t="s">
        <v>588</v>
      </c>
      <c r="E72" s="17" t="s">
        <v>209</v>
      </c>
      <c r="F72" s="19">
        <f>Liebenbergleicpts</f>
        <v>30</v>
      </c>
      <c r="G72" s="30" t="s">
        <v>683</v>
      </c>
      <c r="H72" s="30" t="s">
        <v>669</v>
      </c>
      <c r="I72" s="308" t="str">
        <f>malinssargls</f>
        <v>-</v>
      </c>
      <c r="J72" s="309" t="str">
        <f>malinssaratt</f>
        <v>-</v>
      </c>
      <c r="K72" s="31">
        <v>0</v>
      </c>
    </row>
    <row r="73" spans="1:11" ht="14.95" customHeight="1" thickBot="1" x14ac:dyDescent="0.3">
      <c r="A73" s="71" t="s">
        <v>411</v>
      </c>
      <c r="B73" s="71" t="s">
        <v>180</v>
      </c>
      <c r="C73" s="9">
        <f>Chapmanglotries</f>
        <v>4</v>
      </c>
      <c r="D73" s="2" t="s">
        <v>341</v>
      </c>
      <c r="E73" s="2" t="s">
        <v>180</v>
      </c>
      <c r="F73" s="20">
        <f>Morganbenpts</f>
        <v>30</v>
      </c>
      <c r="G73" s="30" t="s">
        <v>705</v>
      </c>
      <c r="H73" s="30" t="s">
        <v>669</v>
      </c>
      <c r="I73" s="308" t="str">
        <f>Whiteleysargls</f>
        <v>-</v>
      </c>
      <c r="J73" s="309" t="str">
        <f>whiteleysaratt</f>
        <v>-</v>
      </c>
      <c r="K73" s="31">
        <v>0</v>
      </c>
    </row>
    <row r="74" spans="1:11" ht="14.95" customHeight="1" thickBot="1" x14ac:dyDescent="0.3">
      <c r="A74" s="71" t="s">
        <v>675</v>
      </c>
      <c r="B74" s="71" t="s">
        <v>669</v>
      </c>
      <c r="C74" s="9">
        <f>Burgerjacquestries</f>
        <v>4</v>
      </c>
      <c r="D74" s="2" t="s">
        <v>514</v>
      </c>
      <c r="E74" s="2" t="s">
        <v>450</v>
      </c>
      <c r="F74" s="19">
        <f>Mulipolanewpts</f>
        <v>30</v>
      </c>
      <c r="G74" s="30" t="s">
        <v>767</v>
      </c>
      <c r="H74" s="30" t="s">
        <v>183</v>
      </c>
      <c r="I74" s="308" t="str">
        <f>Schoemanbthgls</f>
        <v>-</v>
      </c>
      <c r="J74" s="309" t="str">
        <f>schoemanbthatt</f>
        <v>-</v>
      </c>
      <c r="K74" s="31">
        <v>0</v>
      </c>
    </row>
    <row r="75" spans="1:11" ht="14.95" customHeight="1" thickBot="1" x14ac:dyDescent="0.3">
      <c r="A75" s="71" t="s">
        <v>1001</v>
      </c>
      <c r="B75" s="71" t="s">
        <v>180</v>
      </c>
      <c r="C75" s="9">
        <f>Coetzerglotries</f>
        <v>4</v>
      </c>
      <c r="D75" s="2" t="s">
        <v>522</v>
      </c>
      <c r="E75" s="2" t="s">
        <v>184</v>
      </c>
      <c r="F75" s="19">
        <f>Pisikenptscorrect</f>
        <v>30</v>
      </c>
      <c r="G75" s="30" t="s">
        <v>692</v>
      </c>
      <c r="H75" s="30" t="s">
        <v>669</v>
      </c>
      <c r="I75" s="308" t="str">
        <f>Vunipola_Msargls</f>
        <v>-</v>
      </c>
      <c r="J75" s="309" t="str">
        <f>Vunipola_Msaratt</f>
        <v>-</v>
      </c>
      <c r="K75" s="31">
        <v>0</v>
      </c>
    </row>
    <row r="76" spans="1:11" ht="14.95" customHeight="1" thickBot="1" x14ac:dyDescent="0.3">
      <c r="A76" s="12" t="s">
        <v>195</v>
      </c>
      <c r="B76" s="12" t="s">
        <v>182</v>
      </c>
      <c r="C76" s="6">
        <f>Curry_Bsaltries</f>
        <v>4</v>
      </c>
      <c r="D76" s="2" t="s">
        <v>364</v>
      </c>
      <c r="E76" s="2" t="s">
        <v>181</v>
      </c>
      <c r="F76" s="20">
        <f>Shillcockworpts</f>
        <v>30</v>
      </c>
      <c r="G76" s="30" t="s">
        <v>648</v>
      </c>
      <c r="H76" s="30" t="s">
        <v>207</v>
      </c>
      <c r="I76" s="308" t="str">
        <f>Walshexegls</f>
        <v>-</v>
      </c>
      <c r="J76" s="309" t="str">
        <f>waslhexeatt</f>
        <v>-</v>
      </c>
      <c r="K76" s="31">
        <v>0</v>
      </c>
    </row>
    <row r="77" spans="1:11" ht="14.95" customHeight="1" thickBot="1" x14ac:dyDescent="0.3">
      <c r="A77" s="10" t="s">
        <v>430</v>
      </c>
      <c r="B77" s="71" t="s">
        <v>182</v>
      </c>
      <c r="C77" s="9">
        <f>du_Preez_J_Lsaltries</f>
        <v>4</v>
      </c>
      <c r="D77" s="2" t="s">
        <v>535</v>
      </c>
      <c r="E77" s="2" t="s">
        <v>209</v>
      </c>
      <c r="F77" s="19">
        <f>Stevensleicpts</f>
        <v>30</v>
      </c>
      <c r="G77" s="33" t="s">
        <v>879</v>
      </c>
      <c r="H77" s="30" t="s">
        <v>215</v>
      </c>
      <c r="I77" s="310" t="str">
        <f>wilsteadbrigls</f>
        <v>-</v>
      </c>
      <c r="J77" s="309" t="str">
        <f>wilsteadbriatt</f>
        <v>-</v>
      </c>
      <c r="K77" s="31">
        <v>0</v>
      </c>
    </row>
    <row r="78" spans="1:11" ht="14.95" customHeight="1" thickBot="1" x14ac:dyDescent="0.3">
      <c r="A78" s="71" t="s">
        <v>298</v>
      </c>
      <c r="B78" s="71" t="s">
        <v>184</v>
      </c>
      <c r="C78" s="9">
        <f>Furbanknortriescorrect</f>
        <v>4</v>
      </c>
      <c r="D78" s="2" t="s">
        <v>108</v>
      </c>
      <c r="E78" s="2" t="s">
        <v>215</v>
      </c>
      <c r="F78" s="20">
        <f>Poreckilirpts</f>
        <v>30</v>
      </c>
      <c r="G78" s="30" t="s">
        <v>1053</v>
      </c>
      <c r="H78" s="30" t="s">
        <v>183</v>
      </c>
      <c r="I78" s="308" t="str">
        <f>worboysbthgls</f>
        <v>-</v>
      </c>
      <c r="J78" s="309" t="str">
        <f>worboysbthatt</f>
        <v>-</v>
      </c>
      <c r="K78" s="31">
        <v>0</v>
      </c>
    </row>
    <row r="79" spans="1:11" ht="14.95" customHeight="1" thickBot="1" x14ac:dyDescent="0.3">
      <c r="A79" s="71" t="s">
        <v>899</v>
      </c>
      <c r="B79" s="71" t="s">
        <v>890</v>
      </c>
      <c r="C79" s="9">
        <f>Georgesartriescorrect</f>
        <v>4</v>
      </c>
      <c r="D79" s="2" t="s">
        <v>918</v>
      </c>
      <c r="E79" s="2" t="s">
        <v>890</v>
      </c>
      <c r="F79" s="19">
        <f>Tompkinssarptscorrect2</f>
        <v>30</v>
      </c>
      <c r="G79" s="30" t="s">
        <v>20</v>
      </c>
      <c r="H79" s="30" t="s">
        <v>209</v>
      </c>
      <c r="I79" s="308" t="str">
        <f>youngsbgoals</f>
        <v>-</v>
      </c>
      <c r="J79" s="309" t="str">
        <f>youngsbatt</f>
        <v>-</v>
      </c>
      <c r="K79" s="31">
        <v>0</v>
      </c>
    </row>
    <row r="80" spans="1:11" ht="14.95" customHeight="1" thickBot="1" x14ac:dyDescent="0.3">
      <c r="A80" s="71" t="s">
        <v>900</v>
      </c>
      <c r="B80" s="71" t="s">
        <v>890</v>
      </c>
      <c r="C80" s="9">
        <f>Goodesartriescorrect</f>
        <v>4</v>
      </c>
      <c r="D80" s="2" t="s">
        <v>507</v>
      </c>
      <c r="E80" s="2" t="s">
        <v>182</v>
      </c>
      <c r="F80" s="19">
        <f>Van_der_Merwe_Asalpts</f>
        <v>30</v>
      </c>
      <c r="G80" s="128" t="s">
        <v>1029</v>
      </c>
    </row>
    <row r="81" spans="1:6" ht="14.95" customHeight="1" thickBot="1" x14ac:dyDescent="0.3">
      <c r="A81" s="71" t="s">
        <v>474</v>
      </c>
      <c r="B81" s="71" t="s">
        <v>181</v>
      </c>
      <c r="C81" s="9">
        <f>Hearlewortries</f>
        <v>4</v>
      </c>
      <c r="D81" s="17" t="s">
        <v>244</v>
      </c>
      <c r="E81" s="17" t="s">
        <v>208</v>
      </c>
      <c r="F81" s="19">
        <f>Willis_Twaspts</f>
        <v>30</v>
      </c>
    </row>
    <row r="82" spans="1:6" ht="14.95" customHeight="1" thickBot="1" x14ac:dyDescent="0.3">
      <c r="A82" s="71" t="s">
        <v>524</v>
      </c>
      <c r="B82" s="71" t="s">
        <v>207</v>
      </c>
      <c r="C82" s="9">
        <f>Hoggexetries</f>
        <v>4</v>
      </c>
      <c r="D82" s="2" t="s">
        <v>389</v>
      </c>
      <c r="E82" s="2" t="s">
        <v>207</v>
      </c>
      <c r="F82" s="19">
        <f>Woodburnexepts</f>
        <v>30</v>
      </c>
    </row>
    <row r="83" spans="1:6" ht="14.95" customHeight="1" thickBot="1" x14ac:dyDescent="0.3">
      <c r="A83" s="71" t="s">
        <v>404</v>
      </c>
      <c r="B83" s="71" t="s">
        <v>182</v>
      </c>
      <c r="C83" s="54">
        <f>Jansevanrensburgsaltries</f>
        <v>4</v>
      </c>
      <c r="D83" s="2" t="s">
        <v>574</v>
      </c>
      <c r="E83" s="2" t="s">
        <v>183</v>
      </c>
      <c r="F83" s="19">
        <f>Delmasbthpts</f>
        <v>29</v>
      </c>
    </row>
    <row r="84" spans="1:6" ht="14.95" customHeight="1" thickBot="1" x14ac:dyDescent="0.3">
      <c r="A84" s="71" t="s">
        <v>515</v>
      </c>
      <c r="B84" s="71" t="s">
        <v>208</v>
      </c>
      <c r="C84" s="9">
        <f>Kilbridgewastries</f>
        <v>4</v>
      </c>
      <c r="D84" s="2" t="s">
        <v>817</v>
      </c>
      <c r="E84" s="2" t="s">
        <v>206</v>
      </c>
      <c r="F84" s="19">
        <f>Edwardsharpts</f>
        <v>29</v>
      </c>
    </row>
    <row r="85" spans="1:6" ht="14.95" customHeight="1" thickBot="1" x14ac:dyDescent="0.3">
      <c r="A85" s="71" t="s">
        <v>321</v>
      </c>
      <c r="B85" s="71" t="s">
        <v>182</v>
      </c>
      <c r="C85" s="9">
        <f>Langdonsaltries</f>
        <v>4</v>
      </c>
      <c r="D85" s="2" t="s">
        <v>186</v>
      </c>
      <c r="E85" s="2" t="s">
        <v>180</v>
      </c>
      <c r="F85" s="19">
        <f>Penalty_Triesglopts</f>
        <v>28</v>
      </c>
    </row>
    <row r="86" spans="1:6" ht="14.95" customHeight="1" thickBot="1" x14ac:dyDescent="0.3">
      <c r="A86" s="71" t="s">
        <v>329</v>
      </c>
      <c r="B86" s="71" t="s">
        <v>184</v>
      </c>
      <c r="C86" s="9">
        <f>Ludlamnortries</f>
        <v>4</v>
      </c>
      <c r="D86" s="2" t="s">
        <v>409</v>
      </c>
      <c r="E86" s="2" t="s">
        <v>182</v>
      </c>
      <c r="F86" s="19">
        <f>Wilkinsonsalpts</f>
        <v>28</v>
      </c>
    </row>
    <row r="87" spans="1:6" ht="14.95" customHeight="1" thickBot="1" x14ac:dyDescent="0.3">
      <c r="A87" s="71" t="s">
        <v>907</v>
      </c>
      <c r="B87" s="71" t="s">
        <v>890</v>
      </c>
      <c r="C87" s="9">
        <f>Maitlandsartriescorrect</f>
        <v>4</v>
      </c>
      <c r="D87" s="2" t="s">
        <v>418</v>
      </c>
      <c r="E87" s="2" t="s">
        <v>215</v>
      </c>
      <c r="F87" s="19">
        <f>Edenbripts</f>
        <v>27</v>
      </c>
    </row>
    <row r="88" spans="1:6" ht="14.95" customHeight="1" thickBot="1" x14ac:dyDescent="0.3">
      <c r="A88" s="71" t="s">
        <v>909</v>
      </c>
      <c r="B88" s="71" t="s">
        <v>890</v>
      </c>
      <c r="C88" s="9">
        <f>McFarlandsartriescorrect</f>
        <v>4</v>
      </c>
      <c r="D88" s="17" t="s">
        <v>524</v>
      </c>
      <c r="E88" s="17" t="s">
        <v>207</v>
      </c>
      <c r="F88" s="19">
        <f>Hoggexepts</f>
        <v>26</v>
      </c>
    </row>
    <row r="89" spans="1:6" ht="14.95" customHeight="1" thickBot="1" x14ac:dyDescent="0.3">
      <c r="A89" s="71" t="s">
        <v>340</v>
      </c>
      <c r="B89" s="71" t="s">
        <v>215</v>
      </c>
      <c r="C89" s="9">
        <f>McNallylirtries</f>
        <v>4</v>
      </c>
      <c r="D89" s="17" t="s">
        <v>991</v>
      </c>
      <c r="E89" s="17" t="s">
        <v>181</v>
      </c>
      <c r="F89" s="19">
        <f>Williamsworpts</f>
        <v>26</v>
      </c>
    </row>
    <row r="90" spans="1:6" ht="14.95" customHeight="1" thickBot="1" x14ac:dyDescent="0.3">
      <c r="A90" s="71" t="s">
        <v>616</v>
      </c>
      <c r="B90" s="71" t="s">
        <v>450</v>
      </c>
      <c r="C90" s="9">
        <f>McGuigannewtries</f>
        <v>4</v>
      </c>
      <c r="D90" s="2" t="s">
        <v>413</v>
      </c>
      <c r="E90" s="2" t="s">
        <v>208</v>
      </c>
      <c r="F90" s="19">
        <f>Barbearywaspts</f>
        <v>25</v>
      </c>
    </row>
    <row r="91" spans="1:6" ht="14.95" customHeight="1" thickBot="1" x14ac:dyDescent="0.3">
      <c r="A91" s="71" t="s">
        <v>186</v>
      </c>
      <c r="B91" s="71" t="s">
        <v>180</v>
      </c>
      <c r="C91" s="9">
        <f>Penalty_Triesglotries</f>
        <v>4</v>
      </c>
      <c r="D91" s="2" t="s">
        <v>280</v>
      </c>
      <c r="E91" s="2" t="s">
        <v>183</v>
      </c>
      <c r="F91" s="19">
        <f>Cokanasigabthpts</f>
        <v>25</v>
      </c>
    </row>
    <row r="92" spans="1:6" ht="14.95" customHeight="1" thickBot="1" x14ac:dyDescent="0.3">
      <c r="A92" s="71" t="s">
        <v>801</v>
      </c>
      <c r="B92" s="71" t="s">
        <v>182</v>
      </c>
      <c r="C92" s="9">
        <f>Quirkesaltries</f>
        <v>4</v>
      </c>
      <c r="D92" s="17" t="s">
        <v>485</v>
      </c>
      <c r="E92" s="2" t="s">
        <v>182</v>
      </c>
      <c r="F92" s="19">
        <f>du_Preez_Dsalpts</f>
        <v>25</v>
      </c>
    </row>
    <row r="93" spans="1:6" ht="14.95" customHeight="1" thickBot="1" x14ac:dyDescent="0.3">
      <c r="A93" s="10" t="s">
        <v>487</v>
      </c>
      <c r="B93" s="10" t="s">
        <v>182</v>
      </c>
      <c r="C93" s="9">
        <f>Roebucksaltries</f>
        <v>4</v>
      </c>
      <c r="D93" s="2" t="s">
        <v>528</v>
      </c>
      <c r="E93" s="2" t="s">
        <v>181</v>
      </c>
      <c r="F93" s="20">
        <f>Galarzamarianopts</f>
        <v>25</v>
      </c>
    </row>
    <row r="94" spans="1:6" ht="14.95" customHeight="1" thickBot="1" x14ac:dyDescent="0.3">
      <c r="A94" s="10" t="s">
        <v>358</v>
      </c>
      <c r="B94" s="10" t="s">
        <v>183</v>
      </c>
      <c r="C94" s="9">
        <f>Rokodugunibattries</f>
        <v>4</v>
      </c>
      <c r="D94" s="2" t="s">
        <v>314</v>
      </c>
      <c r="E94" s="2" t="s">
        <v>207</v>
      </c>
      <c r="F94" s="19">
        <f>Holmesexepts</f>
        <v>25</v>
      </c>
    </row>
    <row r="95" spans="1:6" ht="14.95" customHeight="1" thickBot="1" x14ac:dyDescent="0.3">
      <c r="A95" s="71" t="s">
        <v>561</v>
      </c>
      <c r="B95" s="71" t="s">
        <v>450</v>
      </c>
      <c r="C95" s="9">
        <f>Nagusanewtries</f>
        <v>4</v>
      </c>
      <c r="D95" s="17" t="s">
        <v>980</v>
      </c>
      <c r="E95" s="17" t="s">
        <v>206</v>
      </c>
      <c r="F95" s="19">
        <f>JonesHharpts</f>
        <v>25</v>
      </c>
    </row>
    <row r="96" spans="1:6" ht="14.95" customHeight="1" thickBot="1" x14ac:dyDescent="0.3">
      <c r="A96" s="71" t="s">
        <v>610</v>
      </c>
      <c r="B96" s="71" t="s">
        <v>209</v>
      </c>
      <c r="C96" s="9">
        <f>Scottleictries</f>
        <v>4</v>
      </c>
      <c r="D96" s="2" t="s">
        <v>765</v>
      </c>
      <c r="E96" s="2" t="s">
        <v>184</v>
      </c>
      <c r="F96" s="19">
        <f>Matthewsnorpts</f>
        <v>25</v>
      </c>
    </row>
    <row r="97" spans="1:6" ht="14.95" customHeight="1" thickBot="1" x14ac:dyDescent="0.3">
      <c r="A97" s="71" t="s">
        <v>204</v>
      </c>
      <c r="B97" s="71" t="s">
        <v>207</v>
      </c>
      <c r="C97" s="9">
        <f>Simmonds_Sexetries</f>
        <v>4</v>
      </c>
      <c r="D97" s="2" t="s">
        <v>731</v>
      </c>
      <c r="E97" s="2" t="s">
        <v>208</v>
      </c>
      <c r="F97" s="19">
        <f>Odogwuwaspts</f>
        <v>25</v>
      </c>
    </row>
    <row r="98" spans="1:6" ht="14.95" customHeight="1" thickBot="1" x14ac:dyDescent="0.3">
      <c r="A98" s="71" t="s">
        <v>531</v>
      </c>
      <c r="B98" s="71" t="s">
        <v>181</v>
      </c>
      <c r="C98" s="9">
        <f>Singletonwortries</f>
        <v>4</v>
      </c>
      <c r="D98" s="2" t="s">
        <v>348</v>
      </c>
      <c r="E98" s="2" t="s">
        <v>207</v>
      </c>
      <c r="F98" s="19">
        <f>Parlinggeoffexepts</f>
        <v>25</v>
      </c>
    </row>
    <row r="99" spans="1:6" ht="14.95" customHeight="1" thickBot="1" x14ac:dyDescent="0.3">
      <c r="A99" s="71" t="s">
        <v>369</v>
      </c>
      <c r="B99" s="71" t="s">
        <v>207</v>
      </c>
      <c r="C99" s="9">
        <f>Sladeexetries</f>
        <v>4</v>
      </c>
      <c r="D99" s="17" t="s">
        <v>804</v>
      </c>
      <c r="E99" s="17" t="s">
        <v>209</v>
      </c>
      <c r="F99" s="19">
        <f>Porterleicpts</f>
        <v>25</v>
      </c>
    </row>
    <row r="100" spans="1:6" ht="14.95" customHeight="1" thickBot="1" x14ac:dyDescent="0.3">
      <c r="A100" s="71" t="s">
        <v>721</v>
      </c>
      <c r="B100" s="71" t="s">
        <v>669</v>
      </c>
      <c r="C100" s="9">
        <f>Kruisgeorgetries</f>
        <v>4</v>
      </c>
      <c r="D100" s="17" t="s">
        <v>1135</v>
      </c>
      <c r="E100" s="17" t="s">
        <v>207</v>
      </c>
      <c r="F100" s="19">
        <f>Schickerlingexepts</f>
        <v>25</v>
      </c>
    </row>
    <row r="101" spans="1:6" ht="14.95" customHeight="1" thickBot="1" x14ac:dyDescent="0.3">
      <c r="A101" s="71" t="s">
        <v>377</v>
      </c>
      <c r="B101" s="71" t="s">
        <v>208</v>
      </c>
      <c r="C101" s="9">
        <f>Umagawastries</f>
        <v>4</v>
      </c>
      <c r="D101" s="2" t="s">
        <v>790</v>
      </c>
      <c r="E101" s="2" t="s">
        <v>180</v>
      </c>
      <c r="F101" s="19">
        <f>Socinoglopts</f>
        <v>25</v>
      </c>
    </row>
    <row r="102" spans="1:6" ht="14.95" customHeight="1" thickBot="1" x14ac:dyDescent="0.3">
      <c r="A102" s="71" t="s">
        <v>378</v>
      </c>
      <c r="B102" s="71" t="s">
        <v>183</v>
      </c>
      <c r="C102" s="9">
        <f>Underhillbthtries</f>
        <v>4</v>
      </c>
      <c r="D102" s="2" t="s">
        <v>371</v>
      </c>
      <c r="E102" s="2" t="s">
        <v>180</v>
      </c>
      <c r="F102" s="19">
        <f>Thorleygloptscorrect</f>
        <v>25</v>
      </c>
    </row>
    <row r="103" spans="1:6" ht="14.95" customHeight="1" thickBot="1" x14ac:dyDescent="0.3">
      <c r="A103" s="10" t="s">
        <v>1036</v>
      </c>
      <c r="B103" s="71" t="s">
        <v>181</v>
      </c>
      <c r="C103" s="9">
        <f>van_der_Merwewortries</f>
        <v>4</v>
      </c>
      <c r="D103" s="2" t="s">
        <v>770</v>
      </c>
      <c r="E103" s="2" t="s">
        <v>209</v>
      </c>
      <c r="F103" s="19">
        <f>Wieseleicpts</f>
        <v>25</v>
      </c>
    </row>
    <row r="104" spans="1:6" ht="14.95" customHeight="1" thickBot="1" x14ac:dyDescent="0.3">
      <c r="A104" s="71" t="s">
        <v>829</v>
      </c>
      <c r="B104" s="71" t="s">
        <v>890</v>
      </c>
      <c r="C104" s="9">
        <f>Vunipola_Bsartriescorrect</f>
        <v>4</v>
      </c>
      <c r="D104" s="2" t="s">
        <v>186</v>
      </c>
      <c r="E104" s="2" t="s">
        <v>209</v>
      </c>
      <c r="F104" s="18">
        <f>leicspentriespts</f>
        <v>21</v>
      </c>
    </row>
    <row r="105" spans="1:6" ht="14.95" customHeight="1" thickBot="1" x14ac:dyDescent="0.3">
      <c r="A105" s="71" t="s">
        <v>194</v>
      </c>
      <c r="B105" s="71" t="s">
        <v>184</v>
      </c>
      <c r="C105" s="9">
        <f>A_Wallertries</f>
        <v>4</v>
      </c>
      <c r="D105" s="2" t="s">
        <v>262</v>
      </c>
      <c r="E105" s="2" t="s">
        <v>180</v>
      </c>
      <c r="F105" s="19">
        <f>Ackermannglopts</f>
        <v>20</v>
      </c>
    </row>
    <row r="106" spans="1:6" ht="14.95" customHeight="1" thickBot="1" x14ac:dyDescent="0.3">
      <c r="A106" s="71" t="s">
        <v>1016</v>
      </c>
      <c r="B106" s="71" t="s">
        <v>450</v>
      </c>
      <c r="C106" s="9">
        <f>Whitelirtries</f>
        <v>4</v>
      </c>
      <c r="D106" s="2" t="s">
        <v>271</v>
      </c>
      <c r="E106" s="2" t="s">
        <v>181</v>
      </c>
      <c r="F106" s="19">
        <f>Beckworpts</f>
        <v>20</v>
      </c>
    </row>
    <row r="107" spans="1:6" ht="14.95" customHeight="1" thickBot="1" x14ac:dyDescent="0.3">
      <c r="A107" s="71" t="s">
        <v>265</v>
      </c>
      <c r="B107" s="71" t="s">
        <v>207</v>
      </c>
      <c r="C107" s="9">
        <f>Armanddontries</f>
        <v>3</v>
      </c>
      <c r="D107" s="2" t="s">
        <v>773</v>
      </c>
      <c r="E107" s="2" t="s">
        <v>180</v>
      </c>
      <c r="F107" s="19">
        <f>Carrerasglopts</f>
        <v>20</v>
      </c>
    </row>
    <row r="108" spans="1:6" ht="14.95" customHeight="1" thickBot="1" x14ac:dyDescent="0.3">
      <c r="A108" s="71" t="s">
        <v>267</v>
      </c>
      <c r="B108" s="71" t="s">
        <v>180</v>
      </c>
      <c r="C108" s="9">
        <f>Balmainglotries</f>
        <v>3</v>
      </c>
      <c r="D108" s="2" t="s">
        <v>411</v>
      </c>
      <c r="E108" s="2" t="s">
        <v>180</v>
      </c>
      <c r="F108" s="19">
        <f>Chapmanglopts</f>
        <v>20</v>
      </c>
    </row>
    <row r="109" spans="1:6" ht="14.95" customHeight="1" thickBot="1" x14ac:dyDescent="0.3">
      <c r="A109" s="71" t="s">
        <v>796</v>
      </c>
      <c r="B109" s="71" t="s">
        <v>181</v>
      </c>
      <c r="C109" s="9">
        <f>Batleywortries</f>
        <v>3</v>
      </c>
      <c r="D109" s="17" t="s">
        <v>675</v>
      </c>
      <c r="E109" s="17" t="s">
        <v>669</v>
      </c>
      <c r="F109" s="18">
        <f>Burgerjacquespts</f>
        <v>20</v>
      </c>
    </row>
    <row r="110" spans="1:6" ht="14.95" customHeight="1" thickBot="1" x14ac:dyDescent="0.3">
      <c r="A110" s="10" t="s">
        <v>1104</v>
      </c>
      <c r="B110" s="10" t="s">
        <v>206</v>
      </c>
      <c r="C110" s="9">
        <f>Beardhartries</f>
        <v>3</v>
      </c>
      <c r="D110" s="2" t="s">
        <v>1001</v>
      </c>
      <c r="E110" s="2" t="s">
        <v>180</v>
      </c>
      <c r="F110" s="19">
        <f>Coetzerglopts</f>
        <v>20</v>
      </c>
    </row>
    <row r="111" spans="1:6" ht="14.95" customHeight="1" thickBot="1" x14ac:dyDescent="0.3">
      <c r="A111" s="10" t="s">
        <v>933</v>
      </c>
      <c r="B111" s="10" t="s">
        <v>209</v>
      </c>
      <c r="C111" s="9">
        <f>Burnsleictries</f>
        <v>3</v>
      </c>
      <c r="D111" s="331" t="s">
        <v>195</v>
      </c>
      <c r="E111" s="331" t="s">
        <v>182</v>
      </c>
      <c r="F111" s="19">
        <f>Curry_Bsalpts</f>
        <v>20</v>
      </c>
    </row>
    <row r="112" spans="1:6" ht="14.95" customHeight="1" thickBot="1" x14ac:dyDescent="0.3">
      <c r="A112" s="71" t="s">
        <v>277</v>
      </c>
      <c r="B112" s="71" t="s">
        <v>181</v>
      </c>
      <c r="C112" s="9">
        <f>Chudleywortries</f>
        <v>3</v>
      </c>
      <c r="D112" s="17" t="s">
        <v>430</v>
      </c>
      <c r="E112" s="2" t="s">
        <v>182</v>
      </c>
      <c r="F112" s="19">
        <f>du_Preez_J_Lsalpts</f>
        <v>20</v>
      </c>
    </row>
    <row r="113" spans="1:6" ht="14.95" customHeight="1" thickBot="1" x14ac:dyDescent="0.3">
      <c r="A113" s="71" t="s">
        <v>613</v>
      </c>
      <c r="B113" s="71" t="s">
        <v>207</v>
      </c>
      <c r="C113" s="9">
        <f>Carrick_Smithexetries</f>
        <v>3</v>
      </c>
      <c r="D113" s="2" t="s">
        <v>899</v>
      </c>
      <c r="E113" s="2" t="s">
        <v>890</v>
      </c>
      <c r="F113" s="19">
        <f>Georgesarptscorrect</f>
        <v>20</v>
      </c>
    </row>
    <row r="114" spans="1:6" ht="14.95" customHeight="1" thickBot="1" x14ac:dyDescent="0.3">
      <c r="A114" s="71" t="s">
        <v>618</v>
      </c>
      <c r="B114" s="71" t="s">
        <v>450</v>
      </c>
      <c r="C114" s="304">
        <f>Cornishlirtries</f>
        <v>3</v>
      </c>
      <c r="D114" s="2" t="s">
        <v>474</v>
      </c>
      <c r="E114" s="2" t="s">
        <v>181</v>
      </c>
      <c r="F114" s="19">
        <f>Hearleworpts</f>
        <v>20</v>
      </c>
    </row>
    <row r="115" spans="1:6" ht="14.95" customHeight="1" thickBot="1" x14ac:dyDescent="0.3">
      <c r="A115" s="71" t="s">
        <v>1013</v>
      </c>
      <c r="B115" s="71" t="s">
        <v>208</v>
      </c>
      <c r="C115" s="9">
        <f>Crossdalewastrioes</f>
        <v>3</v>
      </c>
      <c r="D115" s="2" t="s">
        <v>404</v>
      </c>
      <c r="E115" s="2" t="s">
        <v>182</v>
      </c>
      <c r="F115" s="19">
        <f>Jansevanrensburgsalpts</f>
        <v>20</v>
      </c>
    </row>
    <row r="116" spans="1:6" ht="14.95" customHeight="1" thickBot="1" x14ac:dyDescent="0.3">
      <c r="A116" s="71" t="s">
        <v>421</v>
      </c>
      <c r="B116" s="71" t="s">
        <v>182</v>
      </c>
      <c r="C116" s="9">
        <f>du_Preez_Rsaltries</f>
        <v>3</v>
      </c>
      <c r="D116" s="2" t="s">
        <v>515</v>
      </c>
      <c r="E116" s="2" t="s">
        <v>208</v>
      </c>
      <c r="F116" s="19">
        <f>Kilbridgewaspts</f>
        <v>20</v>
      </c>
    </row>
    <row r="117" spans="1:6" ht="14.95" customHeight="1" thickBot="1" x14ac:dyDescent="0.3">
      <c r="A117" s="71" t="s">
        <v>1166</v>
      </c>
      <c r="B117" s="71" t="s">
        <v>207</v>
      </c>
      <c r="C117" s="9">
        <f>Grondonaexetries</f>
        <v>3</v>
      </c>
      <c r="D117" s="2" t="s">
        <v>321</v>
      </c>
      <c r="E117" s="2" t="s">
        <v>182</v>
      </c>
      <c r="F117" s="19">
        <f>Langdonsalpts</f>
        <v>20</v>
      </c>
    </row>
    <row r="118" spans="1:6" ht="14.95" customHeight="1" thickBot="1" x14ac:dyDescent="0.3">
      <c r="A118" s="71" t="s">
        <v>1020</v>
      </c>
      <c r="B118" s="71" t="s">
        <v>181</v>
      </c>
      <c r="C118" s="9">
        <f>Heaneywortries</f>
        <v>3</v>
      </c>
      <c r="D118" s="2" t="s">
        <v>329</v>
      </c>
      <c r="E118" s="2" t="s">
        <v>184</v>
      </c>
      <c r="F118" s="19">
        <f>Ludlamnorpts</f>
        <v>20</v>
      </c>
    </row>
    <row r="119" spans="1:6" ht="14.95" customHeight="1" thickBot="1" x14ac:dyDescent="0.3">
      <c r="A119" s="10" t="s">
        <v>400</v>
      </c>
      <c r="B119" s="10" t="s">
        <v>181</v>
      </c>
      <c r="C119" s="9">
        <f>Hillwortries</f>
        <v>3</v>
      </c>
      <c r="D119" s="2" t="s">
        <v>907</v>
      </c>
      <c r="E119" s="2" t="s">
        <v>890</v>
      </c>
      <c r="F119" s="19">
        <f>Maitlandsarptscorrect</f>
        <v>20</v>
      </c>
    </row>
    <row r="120" spans="1:6" ht="14.95" customHeight="1" thickBot="1" x14ac:dyDescent="0.3">
      <c r="A120" s="71" t="s">
        <v>464</v>
      </c>
      <c r="B120" s="71" t="s">
        <v>450</v>
      </c>
      <c r="C120" s="9">
        <f>Jacksonlirtries</f>
        <v>3</v>
      </c>
      <c r="D120" s="2" t="s">
        <v>909</v>
      </c>
      <c r="E120" s="2" t="s">
        <v>890</v>
      </c>
      <c r="F120" s="19">
        <f>McFarlandsarptscorrect</f>
        <v>20</v>
      </c>
    </row>
    <row r="121" spans="1:6" ht="14.95" customHeight="1" thickBot="1" x14ac:dyDescent="0.3">
      <c r="A121" s="71" t="s">
        <v>197</v>
      </c>
      <c r="B121" s="71" t="s">
        <v>182</v>
      </c>
      <c r="C121" s="9">
        <f>Jamessaltries</f>
        <v>3</v>
      </c>
      <c r="D121" s="2" t="s">
        <v>340</v>
      </c>
      <c r="E121" s="2" t="s">
        <v>215</v>
      </c>
      <c r="F121" s="19">
        <f>McNallylirpts</f>
        <v>20</v>
      </c>
    </row>
    <row r="122" spans="1:6" ht="14.95" customHeight="1" thickBot="1" x14ac:dyDescent="0.3">
      <c r="A122" s="71" t="s">
        <v>743</v>
      </c>
      <c r="B122" s="71" t="s">
        <v>184</v>
      </c>
      <c r="C122" s="9">
        <f>Jamesnortries</f>
        <v>3</v>
      </c>
      <c r="D122" s="2" t="s">
        <v>616</v>
      </c>
      <c r="E122" s="2" t="s">
        <v>450</v>
      </c>
      <c r="F122" s="19">
        <f>McGuigannewpts</f>
        <v>20</v>
      </c>
    </row>
    <row r="123" spans="1:6" ht="14.95" customHeight="1" thickBot="1" x14ac:dyDescent="0.3">
      <c r="A123" s="71" t="s">
        <v>875</v>
      </c>
      <c r="B123" s="71" t="s">
        <v>215</v>
      </c>
      <c r="C123" s="9">
        <f>Kerrbritries</f>
        <v>3</v>
      </c>
      <c r="D123" s="2" t="s">
        <v>801</v>
      </c>
      <c r="E123" s="2" t="s">
        <v>182</v>
      </c>
      <c r="F123" s="19">
        <f>Quirkesalpts</f>
        <v>20</v>
      </c>
    </row>
    <row r="124" spans="1:6" ht="14.95" customHeight="1" thickBot="1" x14ac:dyDescent="0.3">
      <c r="A124" s="71" t="s">
        <v>619</v>
      </c>
      <c r="B124" s="71" t="s">
        <v>450</v>
      </c>
      <c r="C124" s="9">
        <f>Hammersleynewtries</f>
        <v>3</v>
      </c>
      <c r="D124" s="17" t="s">
        <v>487</v>
      </c>
      <c r="E124" s="17" t="s">
        <v>182</v>
      </c>
      <c r="F124" s="20">
        <f>Roebucksalpts</f>
        <v>20</v>
      </c>
    </row>
    <row r="125" spans="1:6" ht="14.95" customHeight="1" thickBot="1" x14ac:dyDescent="0.3">
      <c r="A125" s="71" t="s">
        <v>328</v>
      </c>
      <c r="B125" s="71" t="s">
        <v>215</v>
      </c>
      <c r="C125" s="9">
        <f>Marshalllirtries</f>
        <v>3</v>
      </c>
      <c r="D125" s="17" t="s">
        <v>358</v>
      </c>
      <c r="E125" s="17" t="s">
        <v>183</v>
      </c>
      <c r="F125" s="19">
        <f>Rokodugunibatpts</f>
        <v>20</v>
      </c>
    </row>
    <row r="126" spans="1:6" ht="14.95" customHeight="1" thickBot="1" x14ac:dyDescent="0.3">
      <c r="A126" s="71" t="s">
        <v>336</v>
      </c>
      <c r="B126" s="71" t="s">
        <v>180</v>
      </c>
      <c r="C126" s="9">
        <f>Maraisglotries</f>
        <v>3</v>
      </c>
      <c r="D126" s="2" t="s">
        <v>561</v>
      </c>
      <c r="E126" s="2" t="s">
        <v>450</v>
      </c>
      <c r="F126" s="18">
        <f>Nagusanewpts</f>
        <v>20</v>
      </c>
    </row>
    <row r="127" spans="1:6" ht="14.95" customHeight="1" thickBot="1" x14ac:dyDescent="0.3">
      <c r="A127" s="71" t="s">
        <v>910</v>
      </c>
      <c r="B127" s="71" t="s">
        <v>890</v>
      </c>
      <c r="C127" s="9">
        <f>Morrissartriescorrect</f>
        <v>3</v>
      </c>
      <c r="D127" s="2" t="s">
        <v>610</v>
      </c>
      <c r="E127" s="2" t="s">
        <v>209</v>
      </c>
      <c r="F127" s="19">
        <f>Scottleicpts</f>
        <v>20</v>
      </c>
    </row>
    <row r="128" spans="1:6" ht="14.95" customHeight="1" thickBot="1" x14ac:dyDescent="0.3">
      <c r="A128" s="71" t="s">
        <v>644</v>
      </c>
      <c r="B128" s="71" t="s">
        <v>215</v>
      </c>
      <c r="C128" s="9">
        <f>Muldowneybritries</f>
        <v>3</v>
      </c>
      <c r="D128" s="2" t="s">
        <v>204</v>
      </c>
      <c r="E128" s="2" t="s">
        <v>207</v>
      </c>
      <c r="F128" s="19">
        <f>Simmonds_Sexepts</f>
        <v>20</v>
      </c>
    </row>
    <row r="129" spans="1:6" ht="14.95" customHeight="1" thickBot="1" x14ac:dyDescent="0.3">
      <c r="A129" s="71" t="s">
        <v>1017</v>
      </c>
      <c r="B129" s="71" t="s">
        <v>183</v>
      </c>
      <c r="C129" s="9">
        <f>OjomohBTHTRIES</f>
        <v>3</v>
      </c>
      <c r="D129" s="2" t="s">
        <v>531</v>
      </c>
      <c r="E129" s="2" t="s">
        <v>181</v>
      </c>
      <c r="F129" s="19">
        <f>Singletonworpts</f>
        <v>20</v>
      </c>
    </row>
    <row r="130" spans="1:6" ht="14.95" customHeight="1" thickBot="1" x14ac:dyDescent="0.3">
      <c r="A130" s="71" t="s">
        <v>186</v>
      </c>
      <c r="B130" s="71" t="s">
        <v>209</v>
      </c>
      <c r="C130" s="9">
        <f>leicspentriestries</f>
        <v>3</v>
      </c>
      <c r="D130" s="2" t="s">
        <v>721</v>
      </c>
      <c r="E130" s="2" t="s">
        <v>669</v>
      </c>
      <c r="F130" s="19">
        <f>Kruisgeorgepts</f>
        <v>20</v>
      </c>
    </row>
    <row r="131" spans="1:6" ht="14.95" customHeight="1" thickBot="1" x14ac:dyDescent="0.3">
      <c r="A131" s="71" t="s">
        <v>223</v>
      </c>
      <c r="B131" s="71" t="s">
        <v>215</v>
      </c>
      <c r="C131" s="9">
        <f>Noakeslitries</f>
        <v>3</v>
      </c>
      <c r="D131" s="2" t="s">
        <v>378</v>
      </c>
      <c r="E131" s="2" t="s">
        <v>183</v>
      </c>
      <c r="F131" s="19">
        <f>Underhillbthpts</f>
        <v>20</v>
      </c>
    </row>
    <row r="132" spans="1:6" ht="14.95" customHeight="1" thickBot="1" x14ac:dyDescent="0.3">
      <c r="A132" s="71" t="s">
        <v>712</v>
      </c>
      <c r="B132" s="71" t="s">
        <v>208</v>
      </c>
      <c r="C132" s="9">
        <f>Riederwastries</f>
        <v>3</v>
      </c>
      <c r="D132" s="17" t="s">
        <v>1036</v>
      </c>
      <c r="E132" s="2" t="s">
        <v>181</v>
      </c>
      <c r="F132" s="19">
        <f>van_der_Merweworpts</f>
        <v>20</v>
      </c>
    </row>
    <row r="133" spans="1:6" ht="14.95" customHeight="1" thickBot="1" x14ac:dyDescent="0.3">
      <c r="A133" s="71" t="s">
        <v>350</v>
      </c>
      <c r="B133" s="71" t="s">
        <v>215</v>
      </c>
      <c r="C133" s="9">
        <f>Purdybritries</f>
        <v>3</v>
      </c>
      <c r="D133" s="2" t="s">
        <v>829</v>
      </c>
      <c r="E133" s="2" t="s">
        <v>890</v>
      </c>
      <c r="F133" s="19">
        <f>Vunipola_Bsarptscorrect</f>
        <v>20</v>
      </c>
    </row>
    <row r="134" spans="1:6" ht="14.95" customHeight="1" thickBot="1" x14ac:dyDescent="0.3">
      <c r="A134" s="71" t="s">
        <v>617</v>
      </c>
      <c r="B134" s="71" t="s">
        <v>450</v>
      </c>
      <c r="C134" s="9">
        <f>Mullennewtries</f>
        <v>3</v>
      </c>
      <c r="D134" s="2" t="s">
        <v>194</v>
      </c>
      <c r="E134" s="2" t="s">
        <v>184</v>
      </c>
      <c r="F134" s="18">
        <f>A_Wallerpts</f>
        <v>20</v>
      </c>
    </row>
    <row r="135" spans="1:6" ht="14.95" customHeight="1" thickBot="1" x14ac:dyDescent="0.3">
      <c r="A135" s="71" t="s">
        <v>203</v>
      </c>
      <c r="B135" s="71" t="s">
        <v>207</v>
      </c>
      <c r="C135" s="9">
        <f>Simmondsexetries</f>
        <v>3</v>
      </c>
      <c r="D135" s="2" t="s">
        <v>1016</v>
      </c>
      <c r="E135" s="2" t="s">
        <v>450</v>
      </c>
      <c r="F135" s="19">
        <f>Whitelirpts</f>
        <v>20</v>
      </c>
    </row>
    <row r="136" spans="1:6" ht="14.95" customHeight="1" thickBot="1" x14ac:dyDescent="0.3">
      <c r="A136" s="71" t="s">
        <v>754</v>
      </c>
      <c r="B136" s="71" t="s">
        <v>450</v>
      </c>
      <c r="C136" s="6">
        <f>Stokeslirtries</f>
        <v>3</v>
      </c>
      <c r="D136" s="2" t="s">
        <v>265</v>
      </c>
      <c r="E136" s="2" t="s">
        <v>207</v>
      </c>
      <c r="F136" s="19">
        <f>Armanddonpts</f>
        <v>15</v>
      </c>
    </row>
    <row r="137" spans="1:6" ht="14.95" customHeight="1" thickBot="1" x14ac:dyDescent="0.3">
      <c r="A137" s="71" t="s">
        <v>1140</v>
      </c>
      <c r="B137" s="71" t="s">
        <v>208</v>
      </c>
      <c r="C137" s="9">
        <f>Stookewastries</f>
        <v>3</v>
      </c>
      <c r="D137" s="2" t="s">
        <v>267</v>
      </c>
      <c r="E137" s="2" t="s">
        <v>180</v>
      </c>
      <c r="F137" s="19">
        <f>Balmainglopts</f>
        <v>15</v>
      </c>
    </row>
    <row r="138" spans="1:6" ht="14.95" customHeight="1" thickBot="1" x14ac:dyDescent="0.3">
      <c r="A138" s="71" t="s">
        <v>258</v>
      </c>
      <c r="B138" s="71" t="s">
        <v>183</v>
      </c>
      <c r="C138" s="54">
        <f>Stuartbthtries</f>
        <v>3</v>
      </c>
      <c r="D138" s="17" t="s">
        <v>796</v>
      </c>
      <c r="E138" s="17" t="s">
        <v>181</v>
      </c>
      <c r="F138" s="19">
        <f>Batleyworpts</f>
        <v>15</v>
      </c>
    </row>
    <row r="139" spans="1:6" ht="14.95" customHeight="1" thickBot="1" x14ac:dyDescent="0.3">
      <c r="A139" s="71" t="s">
        <v>1044</v>
      </c>
      <c r="B139" s="71" t="s">
        <v>206</v>
      </c>
      <c r="C139" s="9">
        <f>Taulanihartries</f>
        <v>3</v>
      </c>
      <c r="D139" s="2" t="s">
        <v>1104</v>
      </c>
      <c r="E139" s="2" t="s">
        <v>206</v>
      </c>
      <c r="F139" s="19">
        <f>Beardharpts</f>
        <v>15</v>
      </c>
    </row>
    <row r="140" spans="1:6" ht="14.95" customHeight="1" thickBot="1" x14ac:dyDescent="0.3">
      <c r="A140" s="71" t="s">
        <v>379</v>
      </c>
      <c r="B140" s="71" t="s">
        <v>215</v>
      </c>
      <c r="C140" s="9">
        <f>UrenBRITRIES</f>
        <v>3</v>
      </c>
      <c r="D140" s="2" t="s">
        <v>277</v>
      </c>
      <c r="E140" s="2" t="s">
        <v>181</v>
      </c>
      <c r="F140" s="19">
        <f>Chudleyworpts</f>
        <v>15</v>
      </c>
    </row>
    <row r="141" spans="1:6" ht="14.95" customHeight="1" thickBot="1" x14ac:dyDescent="0.3">
      <c r="A141" s="71" t="s">
        <v>380</v>
      </c>
      <c r="B141" s="71" t="s">
        <v>181</v>
      </c>
      <c r="C141" s="54">
        <f>Tincknelljamestries</f>
        <v>3</v>
      </c>
      <c r="D141" s="2" t="s">
        <v>613</v>
      </c>
      <c r="E141" s="2" t="s">
        <v>207</v>
      </c>
      <c r="F141" s="19">
        <f>Carrick_Smithexepts</f>
        <v>15</v>
      </c>
    </row>
    <row r="142" spans="1:6" ht="14.95" customHeight="1" thickBot="1" x14ac:dyDescent="0.3">
      <c r="A142" s="10" t="s">
        <v>778</v>
      </c>
      <c r="B142" s="10" t="s">
        <v>209</v>
      </c>
      <c r="C142" s="9">
        <f>van_Poortvlietleictries</f>
        <v>3</v>
      </c>
      <c r="D142" s="483" t="s">
        <v>618</v>
      </c>
      <c r="E142" s="483" t="s">
        <v>450</v>
      </c>
      <c r="F142" s="19">
        <f>Cornishlirpts</f>
        <v>15</v>
      </c>
    </row>
    <row r="143" spans="1:6" ht="14.95" customHeight="1" thickBot="1" x14ac:dyDescent="0.3">
      <c r="A143" s="71" t="s">
        <v>481</v>
      </c>
      <c r="B143" s="71" t="s">
        <v>207</v>
      </c>
      <c r="C143" s="9">
        <f>van_der_Sluysexetries</f>
        <v>3</v>
      </c>
      <c r="D143" s="2" t="s">
        <v>1013</v>
      </c>
      <c r="E143" s="2" t="s">
        <v>208</v>
      </c>
      <c r="F143" s="19">
        <f>Crossdalewaspts</f>
        <v>15</v>
      </c>
    </row>
    <row r="144" spans="1:6" ht="14.95" customHeight="1" thickBot="1" x14ac:dyDescent="0.3">
      <c r="A144" s="12" t="s">
        <v>1173</v>
      </c>
      <c r="B144" s="12" t="s">
        <v>206</v>
      </c>
      <c r="C144" s="6">
        <f>Walkerhartries</f>
        <v>3</v>
      </c>
      <c r="D144" s="2" t="s">
        <v>1166</v>
      </c>
      <c r="E144" s="2" t="s">
        <v>207</v>
      </c>
      <c r="F144" s="19">
        <f>Grondonaexepts</f>
        <v>15</v>
      </c>
    </row>
    <row r="145" spans="1:6" ht="14.95" customHeight="1" thickBot="1" x14ac:dyDescent="0.3">
      <c r="A145" s="71" t="s">
        <v>601</v>
      </c>
      <c r="B145" s="71" t="s">
        <v>207</v>
      </c>
      <c r="C145" s="9">
        <f>Wittyexetries</f>
        <v>3</v>
      </c>
      <c r="D145" s="2" t="s">
        <v>1020</v>
      </c>
      <c r="E145" s="2" t="s">
        <v>181</v>
      </c>
      <c r="F145" s="19">
        <f>Heaneyworpts</f>
        <v>15</v>
      </c>
    </row>
    <row r="146" spans="1:6" ht="14.95" customHeight="1" thickBot="1" x14ac:dyDescent="0.3">
      <c r="A146" s="71" t="s">
        <v>392</v>
      </c>
      <c r="B146" s="71" t="s">
        <v>182</v>
      </c>
      <c r="C146" s="9">
        <f>Yardesaltries</f>
        <v>3</v>
      </c>
      <c r="D146" s="2" t="s">
        <v>400</v>
      </c>
      <c r="E146" s="2" t="s">
        <v>181</v>
      </c>
      <c r="F146" s="19">
        <f>Hillworpts</f>
        <v>15</v>
      </c>
    </row>
    <row r="147" spans="1:6" ht="14.95" customHeight="1" thickBot="1" x14ac:dyDescent="0.3">
      <c r="A147" s="71" t="s">
        <v>1129</v>
      </c>
      <c r="B147" s="71" t="s">
        <v>450</v>
      </c>
      <c r="C147" s="9">
        <f>Arundellirtries</f>
        <v>2</v>
      </c>
      <c r="D147" s="2" t="s">
        <v>197</v>
      </c>
      <c r="E147" s="2" t="s">
        <v>182</v>
      </c>
      <c r="F147" s="19">
        <f>Jamessalpts</f>
        <v>15</v>
      </c>
    </row>
    <row r="148" spans="1:6" ht="14.95" customHeight="1" thickBot="1" x14ac:dyDescent="0.3">
      <c r="A148" s="71" t="s">
        <v>741</v>
      </c>
      <c r="B148" s="71" t="s">
        <v>208</v>
      </c>
      <c r="C148" s="9">
        <f>Atkinsonwastries</f>
        <v>2</v>
      </c>
      <c r="D148" s="2" t="s">
        <v>743</v>
      </c>
      <c r="E148" s="2" t="s">
        <v>184</v>
      </c>
      <c r="F148" s="19">
        <f>Jamesnorpts</f>
        <v>15</v>
      </c>
    </row>
    <row r="149" spans="1:6" ht="14.95" customHeight="1" thickBot="1" x14ac:dyDescent="0.3">
      <c r="A149" s="71" t="s">
        <v>248</v>
      </c>
      <c r="B149" s="71" t="s">
        <v>180</v>
      </c>
      <c r="C149" s="9">
        <f>Atkinsonglotries</f>
        <v>2</v>
      </c>
      <c r="D149" s="2" t="s">
        <v>875</v>
      </c>
      <c r="E149" s="2" t="s">
        <v>215</v>
      </c>
      <c r="F149" s="19">
        <f>Kerrbripts</f>
        <v>15</v>
      </c>
    </row>
    <row r="150" spans="1:6" ht="14.95" customHeight="1" thickBot="1" x14ac:dyDescent="0.3">
      <c r="A150" s="71" t="s">
        <v>268</v>
      </c>
      <c r="B150" s="71" t="s">
        <v>208</v>
      </c>
      <c r="C150" s="9">
        <f>Bassettwastries</f>
        <v>2</v>
      </c>
      <c r="D150" s="2" t="s">
        <v>619</v>
      </c>
      <c r="E150" s="2" t="s">
        <v>450</v>
      </c>
      <c r="F150" s="19">
        <f>Hammersleynewpts</f>
        <v>15</v>
      </c>
    </row>
    <row r="151" spans="1:6" ht="14.95" customHeight="1" thickBot="1" x14ac:dyDescent="0.3">
      <c r="A151" s="10" t="s">
        <v>501</v>
      </c>
      <c r="B151" s="10" t="s">
        <v>215</v>
      </c>
      <c r="C151" s="9">
        <f>Batesbritries</f>
        <v>2</v>
      </c>
      <c r="D151" s="2" t="s">
        <v>328</v>
      </c>
      <c r="E151" s="2" t="s">
        <v>215</v>
      </c>
      <c r="F151" s="19">
        <f>Marshalllirpts</f>
        <v>15</v>
      </c>
    </row>
    <row r="152" spans="1:6" ht="14.95" customHeight="1" thickBot="1" x14ac:dyDescent="0.3">
      <c r="A152" s="71" t="s">
        <v>269</v>
      </c>
      <c r="B152" s="71" t="s">
        <v>183</v>
      </c>
      <c r="C152" s="9">
        <f>Baylissbthtries</f>
        <v>2</v>
      </c>
      <c r="D152" s="2" t="s">
        <v>336</v>
      </c>
      <c r="E152" s="2" t="s">
        <v>180</v>
      </c>
      <c r="F152" s="19">
        <f>Maraisglopts</f>
        <v>15</v>
      </c>
    </row>
    <row r="153" spans="1:6" ht="14.95" customHeight="1" thickBot="1" x14ac:dyDescent="0.3">
      <c r="A153" s="12" t="s">
        <v>671</v>
      </c>
      <c r="B153" s="12" t="s">
        <v>669</v>
      </c>
      <c r="C153" s="6">
        <f>Barrittbradtries</f>
        <v>2</v>
      </c>
      <c r="D153" s="2" t="s">
        <v>910</v>
      </c>
      <c r="E153" s="2" t="s">
        <v>890</v>
      </c>
      <c r="F153" s="19">
        <f>Morrissarptscorrect</f>
        <v>15</v>
      </c>
    </row>
    <row r="154" spans="1:6" ht="14.95" customHeight="1" thickBot="1" x14ac:dyDescent="0.3">
      <c r="A154" s="71" t="s">
        <v>273</v>
      </c>
      <c r="B154" s="71" t="s">
        <v>183</v>
      </c>
      <c r="C154" s="9">
        <f>Boycebthtries</f>
        <v>2</v>
      </c>
      <c r="D154" s="2" t="s">
        <v>644</v>
      </c>
      <c r="E154" s="2" t="s">
        <v>215</v>
      </c>
      <c r="F154" s="19">
        <f>Muldowneybripts</f>
        <v>15</v>
      </c>
    </row>
    <row r="155" spans="1:6" ht="14.95" customHeight="1" thickBot="1" x14ac:dyDescent="0.3">
      <c r="A155" s="71" t="s">
        <v>958</v>
      </c>
      <c r="B155" s="71" t="s">
        <v>669</v>
      </c>
      <c r="C155" s="9">
        <f>Carrerasnewtries</f>
        <v>2</v>
      </c>
      <c r="D155" s="2" t="s">
        <v>1017</v>
      </c>
      <c r="E155" s="2" t="s">
        <v>183</v>
      </c>
      <c r="F155" s="19">
        <f>OjomohBTHPTS</f>
        <v>15</v>
      </c>
    </row>
    <row r="156" spans="1:6" ht="14.95" customHeight="1" thickBot="1" x14ac:dyDescent="0.3">
      <c r="A156" s="71" t="s">
        <v>249</v>
      </c>
      <c r="B156" s="71" t="s">
        <v>183</v>
      </c>
      <c r="C156" s="9">
        <f>Clarkbattries</f>
        <v>2</v>
      </c>
      <c r="D156" s="2" t="s">
        <v>223</v>
      </c>
      <c r="E156" s="2" t="s">
        <v>215</v>
      </c>
      <c r="F156" s="19">
        <f>Noakeslipts</f>
        <v>15</v>
      </c>
    </row>
    <row r="157" spans="1:6" ht="14.95" customHeight="1" thickBot="1" x14ac:dyDescent="0.3">
      <c r="A157" s="71" t="s">
        <v>278</v>
      </c>
      <c r="B157" s="71" t="s">
        <v>180</v>
      </c>
      <c r="C157" s="9">
        <f>Dawidiukglotries</f>
        <v>2</v>
      </c>
      <c r="D157" s="2" t="s">
        <v>712</v>
      </c>
      <c r="E157" s="2" t="s">
        <v>208</v>
      </c>
      <c r="F157" s="19">
        <f>Riederwaspts</f>
        <v>15</v>
      </c>
    </row>
    <row r="158" spans="1:6" ht="14.95" customHeight="1" thickBot="1" x14ac:dyDescent="0.3">
      <c r="A158" s="71" t="s">
        <v>439</v>
      </c>
      <c r="B158" s="71" t="s">
        <v>184</v>
      </c>
      <c r="C158" s="9">
        <f>Colesnortries</f>
        <v>2</v>
      </c>
      <c r="D158" s="2" t="s">
        <v>350</v>
      </c>
      <c r="E158" s="2" t="s">
        <v>215</v>
      </c>
      <c r="F158" s="19">
        <f>Purdybripts</f>
        <v>15</v>
      </c>
    </row>
    <row r="159" spans="1:6" ht="14.95" customHeight="1" thickBot="1" x14ac:dyDescent="0.3">
      <c r="A159" s="71" t="s">
        <v>282</v>
      </c>
      <c r="B159" s="71" t="s">
        <v>206</v>
      </c>
      <c r="C159" s="9">
        <f>Collierhartries</f>
        <v>2</v>
      </c>
      <c r="D159" s="2" t="s">
        <v>617</v>
      </c>
      <c r="E159" s="2" t="s">
        <v>450</v>
      </c>
      <c r="F159" s="19">
        <f>Mullennewpts</f>
        <v>15</v>
      </c>
    </row>
    <row r="160" spans="1:6" ht="14.95" customHeight="1" thickBot="1" x14ac:dyDescent="0.3">
      <c r="A160" s="71" t="s">
        <v>895</v>
      </c>
      <c r="B160" s="71" t="s">
        <v>890</v>
      </c>
      <c r="C160" s="9">
        <f>Dalysartriescorrect</f>
        <v>2</v>
      </c>
      <c r="D160" s="2" t="s">
        <v>754</v>
      </c>
      <c r="E160" s="2" t="s">
        <v>450</v>
      </c>
      <c r="F160" s="19">
        <f>Stokeslirpts</f>
        <v>15</v>
      </c>
    </row>
    <row r="161" spans="1:6" ht="14.95" customHeight="1" thickBot="1" x14ac:dyDescent="0.3">
      <c r="A161" s="71" t="s">
        <v>427</v>
      </c>
      <c r="B161" s="71" t="s">
        <v>184</v>
      </c>
      <c r="C161" s="9">
        <f>Dingwallnortries</f>
        <v>2</v>
      </c>
      <c r="D161" s="21" t="s">
        <v>1140</v>
      </c>
      <c r="E161" s="21" t="s">
        <v>208</v>
      </c>
      <c r="F161" s="19">
        <f>Stookewaspts</f>
        <v>15</v>
      </c>
    </row>
    <row r="162" spans="1:6" ht="14.95" customHeight="1" thickBot="1" x14ac:dyDescent="0.3">
      <c r="A162" s="8" t="s">
        <v>1097</v>
      </c>
      <c r="B162" s="71" t="s">
        <v>181</v>
      </c>
      <c r="C162" s="9">
        <f>Doelwortries</f>
        <v>2</v>
      </c>
      <c r="D162" s="21" t="s">
        <v>258</v>
      </c>
      <c r="E162" s="21" t="s">
        <v>183</v>
      </c>
      <c r="F162" s="19">
        <f>Stuartbthpts</f>
        <v>15</v>
      </c>
    </row>
    <row r="163" spans="1:6" ht="14.95" customHeight="1" thickBot="1" x14ac:dyDescent="0.3">
      <c r="A163" s="8" t="s">
        <v>1159</v>
      </c>
      <c r="B163" s="71" t="s">
        <v>180</v>
      </c>
      <c r="C163" s="9">
        <f>Elringtonglotries</f>
        <v>2</v>
      </c>
      <c r="D163" s="21" t="s">
        <v>1044</v>
      </c>
      <c r="E163" s="21" t="s">
        <v>206</v>
      </c>
      <c r="F163" s="19">
        <f>Taulaniharpts</f>
        <v>15</v>
      </c>
    </row>
    <row r="164" spans="1:6" ht="14.95" customHeight="1" thickBot="1" x14ac:dyDescent="0.3">
      <c r="A164" s="8" t="s">
        <v>216</v>
      </c>
      <c r="B164" s="71" t="s">
        <v>183</v>
      </c>
      <c r="C164" s="9">
        <f>Faletaubthtries</f>
        <v>2</v>
      </c>
      <c r="D164" s="21" t="s">
        <v>379</v>
      </c>
      <c r="E164" s="21" t="s">
        <v>215</v>
      </c>
      <c r="F164" s="19">
        <f>Sinclairjebbpts</f>
        <v>15</v>
      </c>
    </row>
    <row r="165" spans="1:6" ht="14.95" customHeight="1" thickBot="1" x14ac:dyDescent="0.3">
      <c r="A165" s="8" t="s">
        <v>1042</v>
      </c>
      <c r="B165" s="71" t="s">
        <v>208</v>
      </c>
      <c r="C165" s="9">
        <f>Fifitawastries</f>
        <v>2</v>
      </c>
      <c r="D165" s="21" t="s">
        <v>380</v>
      </c>
      <c r="E165" s="21" t="s">
        <v>181</v>
      </c>
      <c r="F165" s="20">
        <f>Tincknelljamespts</f>
        <v>15</v>
      </c>
    </row>
    <row r="166" spans="1:6" ht="14.95" customHeight="1" thickBot="1" x14ac:dyDescent="0.3">
      <c r="A166" s="8" t="s">
        <v>296</v>
      </c>
      <c r="B166" s="71" t="s">
        <v>184</v>
      </c>
      <c r="C166" s="9">
        <f>Fishnortries</f>
        <v>2</v>
      </c>
      <c r="D166" s="21" t="s">
        <v>778</v>
      </c>
      <c r="E166" s="21" t="s">
        <v>209</v>
      </c>
      <c r="F166" s="19">
        <f>van_Poortvlietleicpts</f>
        <v>15</v>
      </c>
    </row>
    <row r="167" spans="1:6" ht="14.95" customHeight="1" thickBot="1" x14ac:dyDescent="0.3">
      <c r="A167" s="8" t="s">
        <v>191</v>
      </c>
      <c r="B167" s="71" t="s">
        <v>209</v>
      </c>
      <c r="C167" s="9">
        <f>fordleictries</f>
        <v>2</v>
      </c>
      <c r="D167" s="21" t="s">
        <v>481</v>
      </c>
      <c r="E167" s="21" t="s">
        <v>207</v>
      </c>
      <c r="F167" s="19">
        <f>van_der_Sluysexepts</f>
        <v>15</v>
      </c>
    </row>
    <row r="168" spans="1:6" ht="14.95" customHeight="1" thickBot="1" x14ac:dyDescent="0.3">
      <c r="A168" s="8" t="s">
        <v>871</v>
      </c>
      <c r="B168" s="71" t="s">
        <v>215</v>
      </c>
      <c r="C168" s="9">
        <f>Frischbritries</f>
        <v>2</v>
      </c>
      <c r="D168" s="21" t="s">
        <v>1173</v>
      </c>
      <c r="E168" s="21" t="s">
        <v>206</v>
      </c>
      <c r="F168" s="19">
        <f>Walkerharpts</f>
        <v>15</v>
      </c>
    </row>
    <row r="169" spans="1:6" ht="14.95" customHeight="1" thickBot="1" x14ac:dyDescent="0.3">
      <c r="A169" s="8" t="s">
        <v>302</v>
      </c>
      <c r="B169" s="71" t="s">
        <v>208</v>
      </c>
      <c r="C169" s="9">
        <f>Goodewastries</f>
        <v>2</v>
      </c>
      <c r="D169" s="21" t="s">
        <v>601</v>
      </c>
      <c r="E169" s="21" t="s">
        <v>207</v>
      </c>
      <c r="F169" s="19">
        <f>Wittyexepts</f>
        <v>15</v>
      </c>
    </row>
    <row r="170" spans="1:6" ht="14.95" customHeight="1" thickBot="1" x14ac:dyDescent="0.3">
      <c r="A170" s="8" t="s">
        <v>303</v>
      </c>
      <c r="B170" s="71" t="s">
        <v>184</v>
      </c>
      <c r="C170" s="9">
        <f>Graysonnortries</f>
        <v>2</v>
      </c>
      <c r="D170" s="21" t="s">
        <v>392</v>
      </c>
      <c r="E170" s="21" t="s">
        <v>182</v>
      </c>
      <c r="F170" s="18">
        <f>Yardesalpts</f>
        <v>15</v>
      </c>
    </row>
    <row r="171" spans="1:6" ht="14.95" customHeight="1" thickBot="1" x14ac:dyDescent="0.3">
      <c r="A171" s="8" t="s">
        <v>307</v>
      </c>
      <c r="B171" s="71" t="s">
        <v>181</v>
      </c>
      <c r="C171" s="9">
        <f>Heinzwortries</f>
        <v>2</v>
      </c>
      <c r="D171" s="21" t="s">
        <v>6</v>
      </c>
      <c r="E171" s="21" t="s">
        <v>890</v>
      </c>
      <c r="F171" s="19">
        <f>Penalty_Triessarptscorrect</f>
        <v>14</v>
      </c>
    </row>
    <row r="172" spans="1:6" ht="14.95" customHeight="1" thickBot="1" x14ac:dyDescent="0.3">
      <c r="A172" s="8" t="s">
        <v>453</v>
      </c>
      <c r="B172" s="71" t="s">
        <v>450</v>
      </c>
      <c r="C172" s="9">
        <f>Floodnewtries</f>
        <v>2</v>
      </c>
      <c r="D172" s="21" t="s">
        <v>186</v>
      </c>
      <c r="E172" s="21" t="s">
        <v>450</v>
      </c>
      <c r="F172" s="19">
        <f>Penalty_Triesnewpts</f>
        <v>14</v>
      </c>
    </row>
    <row r="173" spans="1:6" ht="14.95" customHeight="1" thickBot="1" x14ac:dyDescent="0.3">
      <c r="A173" s="8" t="s">
        <v>202</v>
      </c>
      <c r="B173" s="71" t="s">
        <v>207</v>
      </c>
      <c r="C173" s="9">
        <f>Hill_Jexetries</f>
        <v>2</v>
      </c>
      <c r="D173" s="21" t="s">
        <v>186</v>
      </c>
      <c r="E173" s="21" t="s">
        <v>184</v>
      </c>
      <c r="F173" s="19">
        <f>Penalty_Triessaintspts</f>
        <v>14</v>
      </c>
    </row>
    <row r="174" spans="1:6" ht="14.95" customHeight="1" thickBot="1" x14ac:dyDescent="0.3">
      <c r="A174" s="8" t="s">
        <v>603</v>
      </c>
      <c r="B174" s="71" t="s">
        <v>207</v>
      </c>
      <c r="C174" s="9">
        <f>Hodgeexetries</f>
        <v>2</v>
      </c>
      <c r="D174" s="21" t="s">
        <v>186</v>
      </c>
      <c r="E174" s="21" t="s">
        <v>669</v>
      </c>
      <c r="F174" s="19">
        <f>Penalty_Triesnewptscorrect</f>
        <v>14</v>
      </c>
    </row>
    <row r="175" spans="1:6" ht="14.95" customHeight="1" thickBot="1" x14ac:dyDescent="0.3">
      <c r="A175" s="8" t="s">
        <v>615</v>
      </c>
      <c r="B175" s="71" t="s">
        <v>450</v>
      </c>
      <c r="C175" s="9">
        <f>Grahamnewtries</f>
        <v>2</v>
      </c>
      <c r="D175" s="21" t="s">
        <v>895</v>
      </c>
      <c r="E175" s="21" t="s">
        <v>890</v>
      </c>
      <c r="F175" s="19">
        <f>Dalysarptscorrect</f>
        <v>13</v>
      </c>
    </row>
    <row r="176" spans="1:6" ht="14.95" customHeight="1" thickBot="1" x14ac:dyDescent="0.3">
      <c r="A176" s="8" t="s">
        <v>1195</v>
      </c>
      <c r="B176" s="71" t="s">
        <v>208</v>
      </c>
      <c r="C176" s="9">
        <f>Hougaardwastries</f>
        <v>2</v>
      </c>
      <c r="D176" s="21" t="s">
        <v>286</v>
      </c>
      <c r="E176" s="21" t="s">
        <v>182</v>
      </c>
      <c r="F176" s="19">
        <f>Fearnsalpts</f>
        <v>13</v>
      </c>
    </row>
    <row r="177" spans="1:6" ht="14.95" customHeight="1" thickBot="1" x14ac:dyDescent="0.3">
      <c r="A177" s="8" t="s">
        <v>310</v>
      </c>
      <c r="B177" s="71" t="s">
        <v>181</v>
      </c>
      <c r="C177" s="54">
        <f>Howewortries</f>
        <v>2</v>
      </c>
      <c r="D177" s="21" t="s">
        <v>357</v>
      </c>
      <c r="E177" s="21" t="s">
        <v>208</v>
      </c>
      <c r="F177" s="19">
        <f>Robsonwaspts</f>
        <v>13</v>
      </c>
    </row>
    <row r="178" spans="1:6" ht="14.95" customHeight="1" thickBot="1" x14ac:dyDescent="0.3">
      <c r="A178" s="8" t="s">
        <v>311</v>
      </c>
      <c r="B178" s="71" t="s">
        <v>215</v>
      </c>
      <c r="C178" s="9">
        <f>Hughesbritries</f>
        <v>2</v>
      </c>
      <c r="D178" s="21" t="s">
        <v>741</v>
      </c>
      <c r="E178" s="21" t="s">
        <v>208</v>
      </c>
      <c r="F178" s="19">
        <f>Atkinsonwaspts</f>
        <v>12</v>
      </c>
    </row>
    <row r="179" spans="1:6" ht="14.95" customHeight="1" thickBot="1" x14ac:dyDescent="0.3">
      <c r="A179" s="8" t="s">
        <v>312</v>
      </c>
      <c r="B179" s="71" t="s">
        <v>181</v>
      </c>
      <c r="C179" s="54">
        <f>Humphreyswortries</f>
        <v>2</v>
      </c>
      <c r="D179" s="21" t="s">
        <v>1129</v>
      </c>
      <c r="E179" s="21" t="s">
        <v>450</v>
      </c>
      <c r="F179" s="19">
        <f>Arundellirpts</f>
        <v>10</v>
      </c>
    </row>
    <row r="180" spans="1:6" ht="14.95" customHeight="1" thickBot="1" x14ac:dyDescent="0.3">
      <c r="A180" s="8" t="s">
        <v>902</v>
      </c>
      <c r="B180" s="71" t="s">
        <v>890</v>
      </c>
      <c r="C180" s="9">
        <f>Itojesartriescorrect</f>
        <v>2</v>
      </c>
      <c r="D180" s="21" t="s">
        <v>248</v>
      </c>
      <c r="E180" s="21" t="s">
        <v>180</v>
      </c>
      <c r="F180" s="19">
        <f>Atkinsonglopts</f>
        <v>10</v>
      </c>
    </row>
    <row r="181" spans="1:6" ht="14.95" customHeight="1" thickBot="1" x14ac:dyDescent="0.3">
      <c r="A181" s="8" t="s">
        <v>166</v>
      </c>
      <c r="B181" s="71" t="s">
        <v>182</v>
      </c>
      <c r="C181" s="9">
        <f>James_Lsaltries</f>
        <v>2</v>
      </c>
      <c r="D181" s="21" t="s">
        <v>268</v>
      </c>
      <c r="E181" s="21" t="s">
        <v>208</v>
      </c>
      <c r="F181" s="19">
        <f>Bassettwaspts</f>
        <v>10</v>
      </c>
    </row>
    <row r="182" spans="1:6" ht="14.95" customHeight="1" thickBot="1" x14ac:dyDescent="0.3">
      <c r="A182" s="8" t="s">
        <v>873</v>
      </c>
      <c r="B182" s="71" t="s">
        <v>215</v>
      </c>
      <c r="C182" s="54">
        <f>Jeffriesbritriescorrect</f>
        <v>2</v>
      </c>
      <c r="D182" s="19" t="s">
        <v>501</v>
      </c>
      <c r="E182" s="19" t="s">
        <v>215</v>
      </c>
      <c r="F182" s="18">
        <f>Batesbripts</f>
        <v>10</v>
      </c>
    </row>
    <row r="183" spans="1:6" ht="14.95" customHeight="1" thickBot="1" x14ac:dyDescent="0.3">
      <c r="A183" s="8" t="s">
        <v>903</v>
      </c>
      <c r="B183" s="71" t="s">
        <v>890</v>
      </c>
      <c r="C183" s="9">
        <f>Kochsartriescorrect</f>
        <v>2</v>
      </c>
      <c r="D183" s="21" t="s">
        <v>269</v>
      </c>
      <c r="E183" s="21" t="s">
        <v>183</v>
      </c>
      <c r="F183" s="19">
        <f>Baylissbthpts</f>
        <v>10</v>
      </c>
    </row>
    <row r="184" spans="1:6" ht="14.95" customHeight="1" thickBot="1" x14ac:dyDescent="0.3">
      <c r="A184" s="8" t="s">
        <v>642</v>
      </c>
      <c r="B184" s="71" t="s">
        <v>215</v>
      </c>
      <c r="C184" s="9">
        <f>Lloydlirtries</f>
        <v>2</v>
      </c>
      <c r="D184" s="433" t="s">
        <v>671</v>
      </c>
      <c r="E184" s="433" t="s">
        <v>669</v>
      </c>
      <c r="F184" s="19">
        <f>Barrittbradpts</f>
        <v>10</v>
      </c>
    </row>
    <row r="185" spans="1:6" ht="14.95" customHeight="1" thickBot="1" x14ac:dyDescent="0.3">
      <c r="A185" s="8" t="s">
        <v>320</v>
      </c>
      <c r="B185" s="71" t="s">
        <v>206</v>
      </c>
      <c r="C185" s="9">
        <f>Jonesadamhartries</f>
        <v>2</v>
      </c>
      <c r="D185" s="21" t="s">
        <v>273</v>
      </c>
      <c r="E185" s="21" t="s">
        <v>183</v>
      </c>
      <c r="F185" s="19">
        <f>Boycebthpts</f>
        <v>10</v>
      </c>
    </row>
    <row r="186" spans="1:6" ht="14.95" customHeight="1" thickBot="1" x14ac:dyDescent="0.3">
      <c r="A186" s="8" t="s">
        <v>322</v>
      </c>
      <c r="B186" s="8" t="s">
        <v>208</v>
      </c>
      <c r="C186" s="9">
        <f>Launchburywastries</f>
        <v>2</v>
      </c>
      <c r="D186" s="21" t="s">
        <v>958</v>
      </c>
      <c r="E186" s="21" t="s">
        <v>669</v>
      </c>
      <c r="F186" s="19">
        <f>Carrerasnewpts</f>
        <v>10</v>
      </c>
    </row>
    <row r="187" spans="1:6" ht="14.95" customHeight="1" thickBot="1" x14ac:dyDescent="0.3">
      <c r="A187" s="8" t="s">
        <v>323</v>
      </c>
      <c r="B187" s="8" t="s">
        <v>206</v>
      </c>
      <c r="C187" s="9">
        <f>Lewisdavehartries</f>
        <v>2</v>
      </c>
      <c r="D187" s="21" t="s">
        <v>249</v>
      </c>
      <c r="E187" s="21" t="s">
        <v>183</v>
      </c>
      <c r="F187" s="19">
        <f>Clarkbatpts</f>
        <v>10</v>
      </c>
    </row>
    <row r="188" spans="1:6" ht="14.95" customHeight="1" thickBot="1" x14ac:dyDescent="0.3">
      <c r="A188" s="8" t="s">
        <v>906</v>
      </c>
      <c r="B188" s="8" t="s">
        <v>890</v>
      </c>
      <c r="C188" s="9">
        <f>Lozowskisartriescorrect</f>
        <v>2</v>
      </c>
      <c r="D188" s="21" t="s">
        <v>278</v>
      </c>
      <c r="E188" s="21" t="s">
        <v>180</v>
      </c>
      <c r="F188" s="19">
        <f>Dawidiukglopts</f>
        <v>10</v>
      </c>
    </row>
    <row r="189" spans="1:6" ht="14.95" customHeight="1" thickBot="1" x14ac:dyDescent="0.3">
      <c r="A189" s="8" t="s">
        <v>330</v>
      </c>
      <c r="B189" s="8" t="s">
        <v>180</v>
      </c>
      <c r="C189" s="9">
        <f>Ludlowglotries</f>
        <v>2</v>
      </c>
      <c r="D189" s="21" t="s">
        <v>439</v>
      </c>
      <c r="E189" s="21" t="s">
        <v>184</v>
      </c>
      <c r="F189" s="19">
        <f>Colesnorpts</f>
        <v>10</v>
      </c>
    </row>
    <row r="190" spans="1:6" ht="14.95" customHeight="1" thickBot="1" x14ac:dyDescent="0.3">
      <c r="A190" s="8" t="s">
        <v>331</v>
      </c>
      <c r="B190" s="8" t="s">
        <v>182</v>
      </c>
      <c r="C190" s="9">
        <f>MacKenziephiltries</f>
        <v>2</v>
      </c>
      <c r="D190" s="21" t="s">
        <v>282</v>
      </c>
      <c r="E190" s="21" t="s">
        <v>206</v>
      </c>
      <c r="F190" s="19">
        <f>Collierharpts</f>
        <v>10</v>
      </c>
    </row>
    <row r="191" spans="1:6" ht="14.95" customHeight="1" thickBot="1" x14ac:dyDescent="0.3">
      <c r="A191" s="8" t="s">
        <v>806</v>
      </c>
      <c r="B191" s="8" t="s">
        <v>209</v>
      </c>
      <c r="C191" s="9">
        <f>Mcphilipsleitries</f>
        <v>2</v>
      </c>
      <c r="D191" s="21" t="s">
        <v>427</v>
      </c>
      <c r="E191" s="21" t="s">
        <v>184</v>
      </c>
      <c r="F191" s="19">
        <f>Dingwallnorpts</f>
        <v>10</v>
      </c>
    </row>
    <row r="192" spans="1:6" ht="14.95" customHeight="1" thickBot="1" x14ac:dyDescent="0.3">
      <c r="A192" s="8" t="s">
        <v>654</v>
      </c>
      <c r="B192" s="8" t="s">
        <v>180</v>
      </c>
      <c r="C192" s="9">
        <f>Morrisglotries</f>
        <v>2</v>
      </c>
      <c r="D192" s="21" t="s">
        <v>1097</v>
      </c>
      <c r="E192" s="21" t="s">
        <v>181</v>
      </c>
      <c r="F192" s="19">
        <f>Doelworpts</f>
        <v>10</v>
      </c>
    </row>
    <row r="193" spans="1:6" ht="14.95" customHeight="1" thickBot="1" x14ac:dyDescent="0.3">
      <c r="A193" s="8" t="s">
        <v>974</v>
      </c>
      <c r="B193" s="8" t="s">
        <v>669</v>
      </c>
      <c r="C193" s="9">
        <f>Obonnanewtries</f>
        <v>2</v>
      </c>
      <c r="D193" s="21" t="s">
        <v>1159</v>
      </c>
      <c r="E193" s="21" t="s">
        <v>180</v>
      </c>
      <c r="F193" s="19">
        <f>Elringtonglopts</f>
        <v>10</v>
      </c>
    </row>
    <row r="194" spans="1:6" ht="14.95" customHeight="1" thickBot="1" x14ac:dyDescent="0.3">
      <c r="A194" s="8" t="s">
        <v>345</v>
      </c>
      <c r="B194" s="8" t="s">
        <v>207</v>
      </c>
      <c r="C194" s="9">
        <f>Nowellexetries</f>
        <v>2</v>
      </c>
      <c r="D194" s="21" t="s">
        <v>216</v>
      </c>
      <c r="E194" s="21" t="s">
        <v>183</v>
      </c>
      <c r="F194" s="19">
        <f>Faletaubthpts</f>
        <v>10</v>
      </c>
    </row>
    <row r="195" spans="1:6" ht="14.95" customHeight="1" thickBot="1" x14ac:dyDescent="0.3">
      <c r="A195" s="8" t="s">
        <v>347</v>
      </c>
      <c r="B195" s="8" t="s">
        <v>215</v>
      </c>
      <c r="C195" s="9">
        <f>MulchronelirtriesCORRECT</f>
        <v>2</v>
      </c>
      <c r="D195" s="21" t="s">
        <v>1042</v>
      </c>
      <c r="E195" s="21" t="s">
        <v>208</v>
      </c>
      <c r="F195" s="19">
        <f>Fifitawaspts</f>
        <v>10</v>
      </c>
    </row>
    <row r="196" spans="1:6" ht="14.95" customHeight="1" thickBot="1" x14ac:dyDescent="0.3">
      <c r="A196" s="9" t="s">
        <v>1147</v>
      </c>
      <c r="B196" s="9" t="s">
        <v>450</v>
      </c>
      <c r="C196" s="9">
        <f>Pearsonlirtries</f>
        <v>2</v>
      </c>
      <c r="D196" s="21" t="s">
        <v>296</v>
      </c>
      <c r="E196" s="21" t="s">
        <v>184</v>
      </c>
      <c r="F196" s="19">
        <f>Fishnorpts</f>
        <v>10</v>
      </c>
    </row>
    <row r="197" spans="1:6" ht="14.95" customHeight="1" thickBot="1" x14ac:dyDescent="0.3">
      <c r="A197" s="8" t="s">
        <v>6</v>
      </c>
      <c r="B197" s="8" t="s">
        <v>890</v>
      </c>
      <c r="C197" s="9">
        <f>Penalty_Triessartriescorrect</f>
        <v>2</v>
      </c>
      <c r="D197" s="2" t="s">
        <v>871</v>
      </c>
      <c r="E197" s="2" t="s">
        <v>215</v>
      </c>
      <c r="F197" s="19">
        <f>Frischbripts</f>
        <v>10</v>
      </c>
    </row>
    <row r="198" spans="1:6" ht="14.95" customHeight="1" thickBot="1" x14ac:dyDescent="0.3">
      <c r="A198" s="8" t="s">
        <v>186</v>
      </c>
      <c r="B198" s="8" t="s">
        <v>184</v>
      </c>
      <c r="C198" s="9">
        <f>Penalty_Triessaintstries</f>
        <v>2</v>
      </c>
      <c r="D198" s="2" t="s">
        <v>307</v>
      </c>
      <c r="E198" s="2" t="s">
        <v>181</v>
      </c>
      <c r="F198" s="19">
        <f>heinzworpts</f>
        <v>10</v>
      </c>
    </row>
    <row r="199" spans="1:6" ht="14.95" customHeight="1" thickBot="1" x14ac:dyDescent="0.3">
      <c r="A199" s="8" t="s">
        <v>186</v>
      </c>
      <c r="B199" s="8" t="s">
        <v>450</v>
      </c>
      <c r="C199" s="9">
        <f>Penalty_Triesnewtries</f>
        <v>2</v>
      </c>
      <c r="D199" s="2" t="s">
        <v>453</v>
      </c>
      <c r="E199" s="2" t="s">
        <v>450</v>
      </c>
      <c r="F199" s="19">
        <f>Floodnewpts</f>
        <v>10</v>
      </c>
    </row>
    <row r="200" spans="1:6" ht="14.95" customHeight="1" thickBot="1" x14ac:dyDescent="0.3">
      <c r="A200" s="9" t="s">
        <v>186</v>
      </c>
      <c r="B200" s="9" t="s">
        <v>669</v>
      </c>
      <c r="C200" s="9">
        <f>Penalty_Triesnewtriescorrect</f>
        <v>2</v>
      </c>
      <c r="D200" s="2" t="s">
        <v>202</v>
      </c>
      <c r="E200" s="2" t="s">
        <v>207</v>
      </c>
      <c r="F200" s="19">
        <f>Hill_Jexepts</f>
        <v>10</v>
      </c>
    </row>
    <row r="201" spans="1:6" ht="14.95" customHeight="1" thickBot="1" x14ac:dyDescent="0.3">
      <c r="A201" s="71" t="s">
        <v>352</v>
      </c>
      <c r="B201" s="71" t="s">
        <v>180</v>
      </c>
      <c r="C201" s="9">
        <f>Rapava_Ruskinglotries</f>
        <v>2</v>
      </c>
      <c r="D201" s="2" t="s">
        <v>603</v>
      </c>
      <c r="E201" s="2" t="s">
        <v>207</v>
      </c>
      <c r="F201" s="510">
        <f>Hodgeexepts</f>
        <v>10</v>
      </c>
    </row>
    <row r="202" spans="1:6" ht="14.95" customHeight="1" thickBot="1" x14ac:dyDescent="0.3">
      <c r="A202" s="71" t="s">
        <v>420</v>
      </c>
      <c r="B202" s="71" t="s">
        <v>209</v>
      </c>
      <c r="C202" s="9">
        <f>Salvijuliantries</f>
        <v>2</v>
      </c>
      <c r="D202" s="2" t="s">
        <v>615</v>
      </c>
      <c r="E202" s="2" t="s">
        <v>450</v>
      </c>
      <c r="F202" s="16">
        <f>Grahamnewpts</f>
        <v>10</v>
      </c>
    </row>
    <row r="203" spans="1:6" ht="14.95" customHeight="1" thickBot="1" x14ac:dyDescent="0.3">
      <c r="A203" s="71" t="s">
        <v>655</v>
      </c>
      <c r="B203" s="71" t="s">
        <v>180</v>
      </c>
      <c r="C203" s="54">
        <f>Safeglotries</f>
        <v>2</v>
      </c>
      <c r="D203" s="17" t="s">
        <v>1195</v>
      </c>
      <c r="E203" s="17" t="s">
        <v>208</v>
      </c>
      <c r="F203" s="16">
        <f>Hougaardwaspts</f>
        <v>10</v>
      </c>
    </row>
    <row r="204" spans="1:6" ht="14.95" customHeight="1" thickBot="1" x14ac:dyDescent="0.3">
      <c r="A204" s="71" t="s">
        <v>687</v>
      </c>
      <c r="B204" s="71" t="s">
        <v>669</v>
      </c>
      <c r="C204" s="9">
        <f>Kpokusartries</f>
        <v>2</v>
      </c>
      <c r="D204" s="2" t="s">
        <v>310</v>
      </c>
      <c r="E204" s="2" t="s">
        <v>181</v>
      </c>
      <c r="F204" s="16">
        <f>Howeworpts</f>
        <v>10</v>
      </c>
    </row>
    <row r="205" spans="1:6" ht="14.95" customHeight="1" thickBot="1" x14ac:dyDescent="0.3">
      <c r="A205" s="71" t="s">
        <v>357</v>
      </c>
      <c r="B205" s="71" t="s">
        <v>208</v>
      </c>
      <c r="C205" s="9">
        <f>Robsonwastries</f>
        <v>2</v>
      </c>
      <c r="D205" s="2" t="s">
        <v>311</v>
      </c>
      <c r="E205" s="2" t="s">
        <v>215</v>
      </c>
      <c r="F205" s="16">
        <f>Hughesbripts</f>
        <v>10</v>
      </c>
    </row>
    <row r="206" spans="1:6" ht="14.95" customHeight="1" thickBot="1" x14ac:dyDescent="0.3">
      <c r="A206" s="10" t="s">
        <v>359</v>
      </c>
      <c r="B206" s="10" t="s">
        <v>182</v>
      </c>
      <c r="C206" s="9">
        <f>Rosssaltries</f>
        <v>2</v>
      </c>
      <c r="D206" s="2" t="s">
        <v>312</v>
      </c>
      <c r="E206" s="2" t="s">
        <v>181</v>
      </c>
      <c r="F206" s="16">
        <f>Humphreysworpts</f>
        <v>10</v>
      </c>
    </row>
    <row r="207" spans="1:6" ht="14.95" customHeight="1" thickBot="1" x14ac:dyDescent="0.3">
      <c r="A207" s="71" t="s">
        <v>813</v>
      </c>
      <c r="B207" s="71" t="s">
        <v>669</v>
      </c>
      <c r="C207" s="9">
        <f>Kpoku__Jonathansartries</f>
        <v>2</v>
      </c>
      <c r="D207" s="2" t="s">
        <v>902</v>
      </c>
      <c r="E207" s="2" t="s">
        <v>890</v>
      </c>
      <c r="F207" s="16">
        <f>Itojesarptscorrect</f>
        <v>10</v>
      </c>
    </row>
    <row r="208" spans="1:6" ht="14.95" customHeight="1" thickBot="1" x14ac:dyDescent="0.3">
      <c r="A208" s="71" t="s">
        <v>362</v>
      </c>
      <c r="B208" s="71" t="s">
        <v>215</v>
      </c>
      <c r="C208" s="9">
        <f>paulolirtries</f>
        <v>2</v>
      </c>
      <c r="D208" s="2" t="s">
        <v>166</v>
      </c>
      <c r="E208" s="2" t="s">
        <v>182</v>
      </c>
      <c r="F208" s="16">
        <f>James_Lsalpts</f>
        <v>10</v>
      </c>
    </row>
    <row r="209" spans="1:6" ht="14.95" customHeight="1" thickBot="1" x14ac:dyDescent="0.3">
      <c r="A209" s="71" t="s">
        <v>397</v>
      </c>
      <c r="B209" s="71" t="s">
        <v>206</v>
      </c>
      <c r="C209" s="9">
        <f>Smithhartries</f>
        <v>2</v>
      </c>
      <c r="D209" s="2" t="s">
        <v>873</v>
      </c>
      <c r="E209" s="2" t="s">
        <v>215</v>
      </c>
      <c r="F209" s="16">
        <f>Jeffriesbriptscorrect</f>
        <v>10</v>
      </c>
    </row>
    <row r="210" spans="1:6" ht="14.95" customHeight="1" thickBot="1" x14ac:dyDescent="0.3">
      <c r="A210" s="10" t="s">
        <v>596</v>
      </c>
      <c r="B210" s="10" t="s">
        <v>208</v>
      </c>
      <c r="C210" s="9">
        <f>Stuartwastries</f>
        <v>2</v>
      </c>
      <c r="D210" s="2" t="s">
        <v>903</v>
      </c>
      <c r="E210" s="2" t="s">
        <v>890</v>
      </c>
      <c r="F210" s="16">
        <f>Kochsarptscorrect</f>
        <v>10</v>
      </c>
    </row>
    <row r="211" spans="1:6" ht="14.95" customHeight="1" thickBot="1" x14ac:dyDescent="0.3">
      <c r="A211" s="71" t="s">
        <v>997</v>
      </c>
      <c r="B211" s="71" t="s">
        <v>669</v>
      </c>
      <c r="C211" s="9">
        <f>Smithrnewtries</f>
        <v>2</v>
      </c>
      <c r="D211" s="2" t="s">
        <v>642</v>
      </c>
      <c r="E211" s="2" t="s">
        <v>215</v>
      </c>
      <c r="F211" s="472">
        <f>Lloydlirpts</f>
        <v>10</v>
      </c>
    </row>
    <row r="212" spans="1:6" ht="14.95" customHeight="1" thickBot="1" x14ac:dyDescent="0.3">
      <c r="A212" s="71" t="s">
        <v>557</v>
      </c>
      <c r="B212" s="71" t="s">
        <v>450</v>
      </c>
      <c r="C212" s="9">
        <f>Robinsonnewtries</f>
        <v>2</v>
      </c>
      <c r="D212" s="2" t="s">
        <v>320</v>
      </c>
      <c r="E212" s="2" t="s">
        <v>206</v>
      </c>
      <c r="F212" s="16">
        <f>Jonesadamharpts</f>
        <v>10</v>
      </c>
    </row>
    <row r="213" spans="1:6" ht="14.95" customHeight="1" thickBot="1" x14ac:dyDescent="0.3">
      <c r="A213" s="71" t="s">
        <v>376</v>
      </c>
      <c r="B213" s="71" t="s">
        <v>180</v>
      </c>
      <c r="C213" s="9">
        <f>Twelvetreesglotries</f>
        <v>2</v>
      </c>
      <c r="D213" s="2" t="s">
        <v>322</v>
      </c>
      <c r="E213" s="2" t="s">
        <v>208</v>
      </c>
      <c r="F213" s="16">
        <f>Launchburywaspts</f>
        <v>10</v>
      </c>
    </row>
    <row r="214" spans="1:6" ht="14.95" customHeight="1" thickBot="1" x14ac:dyDescent="0.3">
      <c r="A214" s="71" t="s">
        <v>383</v>
      </c>
      <c r="B214" s="71" t="s">
        <v>181</v>
      </c>
      <c r="C214" s="54">
        <f>Venterwortries</f>
        <v>2</v>
      </c>
      <c r="D214" s="2" t="s">
        <v>323</v>
      </c>
      <c r="E214" s="2" t="s">
        <v>206</v>
      </c>
      <c r="F214" s="508">
        <f>Lewisdaveharpts</f>
        <v>10</v>
      </c>
    </row>
    <row r="215" spans="1:6" ht="14.95" customHeight="1" thickBot="1" x14ac:dyDescent="0.3">
      <c r="A215" s="71" t="s">
        <v>840</v>
      </c>
      <c r="B215" s="71" t="s">
        <v>890</v>
      </c>
      <c r="C215" s="9">
        <f>Vunipola__Makosartriescorrect</f>
        <v>2</v>
      </c>
      <c r="D215" s="2" t="s">
        <v>330</v>
      </c>
      <c r="E215" s="2" t="s">
        <v>180</v>
      </c>
      <c r="F215" s="22">
        <f>Ludlowglopts</f>
        <v>10</v>
      </c>
    </row>
    <row r="216" spans="1:6" ht="14.95" customHeight="1" thickBot="1" x14ac:dyDescent="0.3">
      <c r="A216" s="71" t="s">
        <v>1026</v>
      </c>
      <c r="B216" s="71" t="s">
        <v>182</v>
      </c>
      <c r="C216" s="9">
        <f>Warrsaltries</f>
        <v>2</v>
      </c>
      <c r="D216" s="2" t="s">
        <v>806</v>
      </c>
      <c r="E216" s="2" t="s">
        <v>209</v>
      </c>
      <c r="F216" s="22">
        <f>Mcphilipsleipts</f>
        <v>10</v>
      </c>
    </row>
    <row r="217" spans="1:6" ht="14.95" customHeight="1" thickBot="1" x14ac:dyDescent="0.3">
      <c r="A217" s="71" t="s">
        <v>385</v>
      </c>
      <c r="B217" s="71" t="s">
        <v>208</v>
      </c>
      <c r="C217" s="9">
        <f>Westwastries</f>
        <v>2</v>
      </c>
      <c r="D217" s="2" t="s">
        <v>654</v>
      </c>
      <c r="E217" s="2" t="s">
        <v>180</v>
      </c>
      <c r="F217" s="22">
        <f>Morrisglopts</f>
        <v>10</v>
      </c>
    </row>
    <row r="218" spans="1:6" ht="14.95" customHeight="1" thickBot="1" x14ac:dyDescent="0.3">
      <c r="A218" s="71" t="s">
        <v>878</v>
      </c>
      <c r="B218" s="71" t="s">
        <v>215</v>
      </c>
      <c r="C218" s="9">
        <f>Whiteleybritries</f>
        <v>2</v>
      </c>
      <c r="D218" s="17" t="s">
        <v>974</v>
      </c>
      <c r="E218" s="2" t="s">
        <v>669</v>
      </c>
      <c r="F218" s="22">
        <f>Obonnanewpts</f>
        <v>10</v>
      </c>
    </row>
    <row r="219" spans="1:6" ht="14.95" customHeight="1" thickBot="1" x14ac:dyDescent="0.3">
      <c r="A219" s="71" t="s">
        <v>708</v>
      </c>
      <c r="B219" s="71" t="s">
        <v>182</v>
      </c>
      <c r="C219" s="9">
        <f>Webbersaltries</f>
        <v>2</v>
      </c>
      <c r="D219" s="2" t="s">
        <v>345</v>
      </c>
      <c r="E219" s="2" t="s">
        <v>207</v>
      </c>
      <c r="F219" s="22">
        <f>Nowellexepts</f>
        <v>10</v>
      </c>
    </row>
    <row r="220" spans="1:6" ht="14.95" customHeight="1" thickBot="1" x14ac:dyDescent="0.3">
      <c r="A220" s="71" t="s">
        <v>726</v>
      </c>
      <c r="B220" s="71" t="s">
        <v>209</v>
      </c>
      <c r="C220" s="9">
        <f>Wigglesworthleictries</f>
        <v>2</v>
      </c>
      <c r="D220" s="2" t="s">
        <v>347</v>
      </c>
      <c r="E220" s="2" t="s">
        <v>215</v>
      </c>
      <c r="F220" s="22">
        <f>Geraghtypts</f>
        <v>10</v>
      </c>
    </row>
    <row r="221" spans="1:6" ht="14.95" customHeight="1" thickBot="1" x14ac:dyDescent="0.3">
      <c r="A221" s="71" t="s">
        <v>260</v>
      </c>
      <c r="B221" s="71" t="s">
        <v>208</v>
      </c>
      <c r="C221" s="54">
        <f>Youngwastries</f>
        <v>2</v>
      </c>
      <c r="D221" s="17" t="s">
        <v>1147</v>
      </c>
      <c r="E221" s="17" t="s">
        <v>450</v>
      </c>
      <c r="F221" s="23">
        <f>Pearsonlirpts</f>
        <v>10</v>
      </c>
    </row>
    <row r="222" spans="1:6" ht="14.95" customHeight="1" thickBot="1" x14ac:dyDescent="0.3">
      <c r="A222" s="71" t="s">
        <v>636</v>
      </c>
      <c r="B222" s="71" t="s">
        <v>215</v>
      </c>
      <c r="C222" s="9">
        <f>Adeolokunbritries</f>
        <v>1</v>
      </c>
      <c r="D222" s="2" t="s">
        <v>352</v>
      </c>
      <c r="E222" s="2" t="s">
        <v>180</v>
      </c>
      <c r="F222" s="23">
        <f>Rapava_Ruskinglopts</f>
        <v>10</v>
      </c>
    </row>
    <row r="223" spans="1:6" ht="14.95" customHeight="1" thickBot="1" x14ac:dyDescent="0.3">
      <c r="A223" s="71" t="s">
        <v>614</v>
      </c>
      <c r="B223" s="71" t="s">
        <v>180</v>
      </c>
      <c r="C223" s="54">
        <f>Alemannoglotries</f>
        <v>1</v>
      </c>
      <c r="D223" s="2" t="s">
        <v>420</v>
      </c>
      <c r="E223" s="2" t="s">
        <v>209</v>
      </c>
      <c r="F223" s="23">
        <f>Salvijulianpts</f>
        <v>10</v>
      </c>
    </row>
    <row r="224" spans="1:6" ht="14.95" customHeight="1" thickBot="1" x14ac:dyDescent="0.3">
      <c r="A224" s="71" t="s">
        <v>978</v>
      </c>
      <c r="B224" s="71" t="s">
        <v>206</v>
      </c>
      <c r="C224" s="9">
        <f>Baldwinhartries</f>
        <v>1</v>
      </c>
      <c r="D224" s="2" t="s">
        <v>655</v>
      </c>
      <c r="E224" s="2" t="s">
        <v>180</v>
      </c>
      <c r="F224" s="23">
        <f>Safeglopts</f>
        <v>10</v>
      </c>
    </row>
    <row r="225" spans="1:6" ht="14.95" customHeight="1" thickBot="1" x14ac:dyDescent="0.3">
      <c r="A225" s="71" t="s">
        <v>556</v>
      </c>
      <c r="B225" s="71" t="s">
        <v>208</v>
      </c>
      <c r="C225" s="54">
        <f>Armitagewastries</f>
        <v>1</v>
      </c>
      <c r="D225" s="2" t="s">
        <v>687</v>
      </c>
      <c r="E225" s="2" t="s">
        <v>669</v>
      </c>
      <c r="F225" s="23">
        <f>Kpokusarpts</f>
        <v>10</v>
      </c>
    </row>
    <row r="226" spans="1:6" ht="14.95" customHeight="1" thickBot="1" x14ac:dyDescent="0.3">
      <c r="A226" s="71" t="s">
        <v>264</v>
      </c>
      <c r="B226" s="71" t="s">
        <v>181</v>
      </c>
      <c r="C226" s="9">
        <f>Aholeleiwelshtries</f>
        <v>1</v>
      </c>
      <c r="D226" s="17" t="s">
        <v>359</v>
      </c>
      <c r="E226" s="17" t="s">
        <v>182</v>
      </c>
      <c r="F226" s="507">
        <f>Rosssalpts</f>
        <v>10</v>
      </c>
    </row>
    <row r="227" spans="1:6" ht="14.95" customHeight="1" thickBot="1" x14ac:dyDescent="0.3">
      <c r="A227" s="71" t="s">
        <v>1156</v>
      </c>
      <c r="B227" s="71" t="s">
        <v>181</v>
      </c>
      <c r="C227" s="9">
        <f>Atkinsonwortries</f>
        <v>1</v>
      </c>
      <c r="D227" s="2" t="s">
        <v>813</v>
      </c>
      <c r="E227" s="2" t="s">
        <v>669</v>
      </c>
      <c r="F227" s="23">
        <f>Kpoku__Jonathansarpts</f>
        <v>10</v>
      </c>
    </row>
    <row r="228" spans="1:6" ht="14.95" customHeight="1" thickBot="1" x14ac:dyDescent="0.3">
      <c r="A228" s="71" t="s">
        <v>266</v>
      </c>
      <c r="B228" s="71" t="s">
        <v>215</v>
      </c>
      <c r="C228" s="54">
        <f>Armstrongbritries</f>
        <v>1</v>
      </c>
      <c r="D228" s="17" t="s">
        <v>596</v>
      </c>
      <c r="E228" s="17" t="s">
        <v>208</v>
      </c>
      <c r="F228" s="23">
        <f>Stuartwaspts</f>
        <v>10</v>
      </c>
    </row>
    <row r="229" spans="1:6" ht="14.95" customHeight="1" thickBot="1" x14ac:dyDescent="0.3">
      <c r="A229" s="71" t="s">
        <v>999</v>
      </c>
      <c r="B229" s="71" t="s">
        <v>184</v>
      </c>
      <c r="C229" s="9">
        <f>Auteracnortries</f>
        <v>1</v>
      </c>
      <c r="D229" s="2" t="s">
        <v>997</v>
      </c>
      <c r="E229" s="2" t="s">
        <v>669</v>
      </c>
      <c r="F229" s="23">
        <f>Smithrnewpts</f>
        <v>10</v>
      </c>
    </row>
    <row r="230" spans="1:6" ht="14.95" customHeight="1" thickBot="1" x14ac:dyDescent="0.3">
      <c r="A230" s="71" t="s">
        <v>272</v>
      </c>
      <c r="B230" s="71" t="s">
        <v>184</v>
      </c>
      <c r="C230" s="9">
        <f>Biggarnortries</f>
        <v>1</v>
      </c>
      <c r="D230" s="2" t="s">
        <v>557</v>
      </c>
      <c r="E230" s="2" t="s">
        <v>450</v>
      </c>
      <c r="F230" s="19">
        <f>Robinsonnewpts</f>
        <v>10</v>
      </c>
    </row>
    <row r="231" spans="1:6" ht="14.95" customHeight="1" thickBot="1" x14ac:dyDescent="0.3">
      <c r="A231" s="71" t="s">
        <v>274</v>
      </c>
      <c r="B231" s="71" t="s">
        <v>669</v>
      </c>
      <c r="C231" s="9">
        <f>brownnewtries</f>
        <v>1</v>
      </c>
      <c r="D231" s="2" t="s">
        <v>376</v>
      </c>
      <c r="E231" s="2" t="s">
        <v>180</v>
      </c>
      <c r="F231" s="16">
        <f>Twelvetreesglopts</f>
        <v>10</v>
      </c>
    </row>
    <row r="232" spans="1:6" ht="14.95" customHeight="1" thickBot="1" x14ac:dyDescent="0.3">
      <c r="A232" s="71" t="s">
        <v>608</v>
      </c>
      <c r="B232" s="71" t="s">
        <v>215</v>
      </c>
      <c r="C232" s="9">
        <f>Byrnebritries</f>
        <v>1</v>
      </c>
      <c r="D232" s="2" t="s">
        <v>383</v>
      </c>
      <c r="E232" s="2" t="s">
        <v>181</v>
      </c>
      <c r="F232" s="506">
        <f>Venterworpts</f>
        <v>10</v>
      </c>
    </row>
    <row r="233" spans="1:6" ht="14.95" customHeight="1" thickBot="1" x14ac:dyDescent="0.3">
      <c r="A233" s="71" t="s">
        <v>503</v>
      </c>
      <c r="B233" s="71" t="s">
        <v>215</v>
      </c>
      <c r="C233" s="9">
        <f>Caponbritries</f>
        <v>1</v>
      </c>
      <c r="D233" s="2" t="s">
        <v>840</v>
      </c>
      <c r="E233" s="2" t="s">
        <v>890</v>
      </c>
      <c r="F233" s="16">
        <f>Vunipola__Makosarptscorrect</f>
        <v>10</v>
      </c>
    </row>
    <row r="234" spans="1:6" ht="14.95" customHeight="1" thickBot="1" x14ac:dyDescent="0.3">
      <c r="A234" s="71" t="s">
        <v>423</v>
      </c>
      <c r="B234" s="71" t="s">
        <v>207</v>
      </c>
      <c r="C234" s="9">
        <f>Capstickexetries</f>
        <v>1</v>
      </c>
      <c r="D234" s="2" t="s">
        <v>1026</v>
      </c>
      <c r="E234" s="2" t="s">
        <v>182</v>
      </c>
      <c r="F234" s="19">
        <f>Warrsalpts</f>
        <v>10</v>
      </c>
    </row>
    <row r="235" spans="1:6" ht="14.95" customHeight="1" thickBot="1" x14ac:dyDescent="0.3">
      <c r="A235" s="71" t="s">
        <v>1146</v>
      </c>
      <c r="B235" s="71" t="s">
        <v>215</v>
      </c>
      <c r="C235" s="9">
        <f>Challengerbritries</f>
        <v>1</v>
      </c>
      <c r="D235" s="2" t="s">
        <v>385</v>
      </c>
      <c r="E235" s="2" t="s">
        <v>208</v>
      </c>
      <c r="F235" s="19">
        <f>Westwaspts</f>
        <v>10</v>
      </c>
    </row>
    <row r="236" spans="1:6" ht="14.95" customHeight="1" thickBot="1" x14ac:dyDescent="0.3">
      <c r="A236" s="12" t="s">
        <v>786</v>
      </c>
      <c r="B236" s="12" t="s">
        <v>209</v>
      </c>
      <c r="C236" s="6">
        <f>Chessumleictries</f>
        <v>1</v>
      </c>
      <c r="D236" s="2" t="s">
        <v>708</v>
      </c>
      <c r="E236" s="2" t="s">
        <v>182</v>
      </c>
      <c r="F236" s="19">
        <f>Webbersalpts</f>
        <v>10</v>
      </c>
    </row>
    <row r="237" spans="1:6" ht="14.95" customHeight="1" thickBot="1" x14ac:dyDescent="0.3">
      <c r="A237" s="71" t="s">
        <v>1163</v>
      </c>
      <c r="B237" s="71" t="s">
        <v>450</v>
      </c>
      <c r="C237" s="9">
        <f>Cintilirtries</f>
        <v>1</v>
      </c>
      <c r="D237" s="2" t="s">
        <v>726</v>
      </c>
      <c r="E237" s="2" t="s">
        <v>209</v>
      </c>
      <c r="F237" s="19">
        <f>Wigglesworthlicpts</f>
        <v>10</v>
      </c>
    </row>
    <row r="238" spans="1:6" ht="14.95" customHeight="1" thickBot="1" x14ac:dyDescent="0.3">
      <c r="A238" s="71" t="s">
        <v>396</v>
      </c>
      <c r="B238" s="71" t="s">
        <v>181</v>
      </c>
      <c r="C238" s="9">
        <f>Cleggwortries</f>
        <v>1</v>
      </c>
      <c r="D238" s="2" t="s">
        <v>260</v>
      </c>
      <c r="E238" s="2" t="s">
        <v>208</v>
      </c>
      <c r="F238" s="20">
        <f>Youngwaspts</f>
        <v>10</v>
      </c>
    </row>
    <row r="239" spans="1:6" ht="14.95" customHeight="1" thickBot="1" x14ac:dyDescent="0.3">
      <c r="A239" s="71" t="s">
        <v>279</v>
      </c>
      <c r="B239" s="71" t="s">
        <v>182</v>
      </c>
      <c r="C239" s="9">
        <f>Cliffwillsaltries</f>
        <v>1</v>
      </c>
      <c r="D239" s="2" t="s">
        <v>937</v>
      </c>
      <c r="E239" s="2" t="s">
        <v>209</v>
      </c>
      <c r="F239" s="18">
        <f>Hegartyleicpts</f>
        <v>8</v>
      </c>
    </row>
    <row r="240" spans="1:6" ht="14.95" customHeight="1" thickBot="1" x14ac:dyDescent="0.3">
      <c r="A240" s="71" t="s">
        <v>544</v>
      </c>
      <c r="B240" s="71" t="s">
        <v>450</v>
      </c>
      <c r="C240" s="10">
        <f>Blairtries</f>
        <v>1</v>
      </c>
      <c r="D240" s="2" t="s">
        <v>414</v>
      </c>
      <c r="E240" s="2" t="s">
        <v>207</v>
      </c>
      <c r="F240" s="19">
        <f>Skinner_Hexepts</f>
        <v>8</v>
      </c>
    </row>
    <row r="241" spans="1:6" ht="14.95" customHeight="1" thickBot="1" x14ac:dyDescent="0.3">
      <c r="A241" s="71" t="s">
        <v>676</v>
      </c>
      <c r="B241" s="71" t="s">
        <v>669</v>
      </c>
      <c r="C241" s="10">
        <f>de_Kockneiltries</f>
        <v>1</v>
      </c>
      <c r="D241" s="2" t="s">
        <v>749</v>
      </c>
      <c r="E241" s="2" t="s">
        <v>209</v>
      </c>
      <c r="F241" s="19">
        <f>Kerrleicpts</f>
        <v>7</v>
      </c>
    </row>
    <row r="242" spans="1:6" ht="14.95" customHeight="1" thickBot="1" x14ac:dyDescent="0.3">
      <c r="A242" s="10" t="s">
        <v>701</v>
      </c>
      <c r="B242" s="10" t="s">
        <v>669</v>
      </c>
      <c r="C242" s="10">
        <f>Connonnewtriescorrectthsione</f>
        <v>1</v>
      </c>
      <c r="D242" s="2" t="s">
        <v>504</v>
      </c>
      <c r="E242" s="2" t="s">
        <v>215</v>
      </c>
      <c r="F242" s="19">
        <f>LloydBriPts</f>
        <v>7</v>
      </c>
    </row>
    <row r="243" spans="1:6" ht="14.95" customHeight="1" thickBot="1" x14ac:dyDescent="0.3">
      <c r="A243" s="8" t="s">
        <v>679</v>
      </c>
      <c r="B243" s="8" t="s">
        <v>669</v>
      </c>
      <c r="C243" s="10">
        <f>Crossdalesartriescorrect</f>
        <v>1</v>
      </c>
      <c r="D243" s="2" t="s">
        <v>186</v>
      </c>
      <c r="E243" s="2" t="s">
        <v>215</v>
      </c>
      <c r="F243" s="19">
        <f>Penalty_Triesbripts</f>
        <v>7</v>
      </c>
    </row>
    <row r="244" spans="1:6" ht="14.95" customHeight="1" thickBot="1" x14ac:dyDescent="0.3">
      <c r="A244" s="8" t="s">
        <v>284</v>
      </c>
      <c r="B244" s="8" t="s">
        <v>207</v>
      </c>
      <c r="C244" s="9">
        <f>Cowan_Dickie_Luketries</f>
        <v>1</v>
      </c>
      <c r="D244" s="17" t="s">
        <v>186</v>
      </c>
      <c r="E244" s="17" t="s">
        <v>207</v>
      </c>
      <c r="F244" s="19">
        <f>Penalty_Triesexepts</f>
        <v>7</v>
      </c>
    </row>
    <row r="245" spans="1:6" ht="14.95" customHeight="1" thickBot="1" x14ac:dyDescent="0.3">
      <c r="A245" s="8" t="s">
        <v>1045</v>
      </c>
      <c r="B245" s="8" t="s">
        <v>209</v>
      </c>
      <c r="C245" s="9">
        <f>Cowan_Dickieleictries</f>
        <v>1</v>
      </c>
      <c r="D245" s="2" t="s">
        <v>186</v>
      </c>
      <c r="E245" s="2" t="s">
        <v>208</v>
      </c>
      <c r="F245" s="19">
        <f>Penalty_Trieswaspts</f>
        <v>7</v>
      </c>
    </row>
    <row r="246" spans="1:6" ht="14.95" customHeight="1" thickBot="1" x14ac:dyDescent="0.3">
      <c r="A246" s="9" t="s">
        <v>1111</v>
      </c>
      <c r="B246" s="9" t="s">
        <v>450</v>
      </c>
      <c r="C246" s="9">
        <f>Chicknewtries</f>
        <v>1</v>
      </c>
      <c r="D246" s="21" t="s">
        <v>476</v>
      </c>
      <c r="E246" s="21" t="s">
        <v>180</v>
      </c>
      <c r="F246" s="19">
        <f>Bartonglopts</f>
        <v>6</v>
      </c>
    </row>
    <row r="247" spans="1:6" ht="14.95" customHeight="1" thickBot="1" x14ac:dyDescent="0.3">
      <c r="A247" s="8" t="s">
        <v>285</v>
      </c>
      <c r="B247" s="8" t="s">
        <v>208</v>
      </c>
      <c r="C247" s="9">
        <f>Crusewastries</f>
        <v>1</v>
      </c>
      <c r="D247" s="21" t="s">
        <v>1047</v>
      </c>
      <c r="E247" s="21" t="s">
        <v>450</v>
      </c>
      <c r="F247" s="19">
        <f>Jenningslirpts</f>
        <v>6</v>
      </c>
    </row>
    <row r="248" spans="1:6" ht="14.95" customHeight="1" thickBot="1" x14ac:dyDescent="0.3">
      <c r="A248" s="8" t="s">
        <v>1028</v>
      </c>
      <c r="B248" s="8" t="s">
        <v>450</v>
      </c>
      <c r="C248" s="9">
        <f>Curtis_Harrislirtries</f>
        <v>1</v>
      </c>
      <c r="D248" s="21" t="s">
        <v>636</v>
      </c>
      <c r="E248" s="21" t="s">
        <v>215</v>
      </c>
      <c r="F248" s="19">
        <f>Adeolokunbripts</f>
        <v>5</v>
      </c>
    </row>
    <row r="249" spans="1:6" ht="14.95" customHeight="1" thickBot="1" x14ac:dyDescent="0.3">
      <c r="A249" s="8" t="s">
        <v>896</v>
      </c>
      <c r="B249" s="8" t="s">
        <v>890</v>
      </c>
      <c r="C249" s="9">
        <f>Daviessartriescorrect</f>
        <v>1</v>
      </c>
      <c r="D249" s="21" t="s">
        <v>614</v>
      </c>
      <c r="E249" s="21" t="s">
        <v>180</v>
      </c>
      <c r="F249" s="19">
        <f>Alemannoglopts</f>
        <v>5</v>
      </c>
    </row>
    <row r="250" spans="1:6" ht="14.95" customHeight="1" thickBot="1" x14ac:dyDescent="0.3">
      <c r="A250" s="8" t="s">
        <v>792</v>
      </c>
      <c r="B250" s="8" t="s">
        <v>669</v>
      </c>
      <c r="C250" s="9">
        <f>Crossdalesartries</f>
        <v>1</v>
      </c>
      <c r="D250" s="21" t="s">
        <v>556</v>
      </c>
      <c r="E250" s="21" t="s">
        <v>208</v>
      </c>
      <c r="F250" s="19">
        <f>Armitagewaspts</f>
        <v>5</v>
      </c>
    </row>
    <row r="251" spans="1:6" ht="14.95" customHeight="1" thickBot="1" x14ac:dyDescent="0.3">
      <c r="A251" s="8" t="s">
        <v>286</v>
      </c>
      <c r="B251" s="8" t="s">
        <v>182</v>
      </c>
      <c r="C251" s="9">
        <f>Fearnsaltries</f>
        <v>1</v>
      </c>
      <c r="D251" s="21" t="s">
        <v>264</v>
      </c>
      <c r="E251" s="21" t="s">
        <v>181</v>
      </c>
      <c r="F251" s="19">
        <f>Aholeleiwelshpts</f>
        <v>5</v>
      </c>
    </row>
    <row r="252" spans="1:6" ht="14.95" customHeight="1" thickBot="1" x14ac:dyDescent="0.3">
      <c r="A252" s="8" t="s">
        <v>815</v>
      </c>
      <c r="B252" s="8" t="s">
        <v>182</v>
      </c>
      <c r="C252" s="9">
        <f>du_Preez__JPsaltries</f>
        <v>1</v>
      </c>
      <c r="D252" s="21" t="s">
        <v>1156</v>
      </c>
      <c r="E252" s="21" t="s">
        <v>181</v>
      </c>
      <c r="F252" s="19">
        <f>Atkinsonworpts</f>
        <v>5</v>
      </c>
    </row>
    <row r="253" spans="1:6" ht="14.95" customHeight="1" thickBot="1" x14ac:dyDescent="0.3">
      <c r="A253" s="9" t="s">
        <v>289</v>
      </c>
      <c r="B253" s="9" t="s">
        <v>183</v>
      </c>
      <c r="C253" s="9">
        <f>Dunnbattries</f>
        <v>1</v>
      </c>
      <c r="D253" s="21" t="s">
        <v>266</v>
      </c>
      <c r="E253" s="21" t="s">
        <v>215</v>
      </c>
      <c r="F253" s="19">
        <f>Armstrongbripts</f>
        <v>5</v>
      </c>
    </row>
    <row r="254" spans="1:6" ht="14.95" customHeight="1" thickBot="1" x14ac:dyDescent="0.3">
      <c r="A254" s="8" t="s">
        <v>292</v>
      </c>
      <c r="B254" s="8" t="s">
        <v>669</v>
      </c>
      <c r="C254" s="9">
        <f>du_Plessissartries</f>
        <v>1</v>
      </c>
      <c r="D254" s="21" t="s">
        <v>999</v>
      </c>
      <c r="E254" s="21" t="s">
        <v>184</v>
      </c>
      <c r="F254" s="19">
        <f>Auteracnorpts</f>
        <v>5</v>
      </c>
    </row>
    <row r="255" spans="1:6" ht="14.95" customHeight="1" thickBot="1" x14ac:dyDescent="0.3">
      <c r="A255" s="8" t="s">
        <v>418</v>
      </c>
      <c r="B255" s="8" t="s">
        <v>215</v>
      </c>
      <c r="C255" s="9">
        <f>Edenbritries</f>
        <v>1</v>
      </c>
      <c r="D255" s="21" t="s">
        <v>274</v>
      </c>
      <c r="E255" s="21" t="s">
        <v>669</v>
      </c>
      <c r="F255" s="19">
        <f>brownnewpts</f>
        <v>5</v>
      </c>
    </row>
    <row r="256" spans="1:6" ht="14.95" customHeight="1" thickBot="1" x14ac:dyDescent="0.3">
      <c r="A256" s="8" t="s">
        <v>293</v>
      </c>
      <c r="B256" s="8" t="s">
        <v>183</v>
      </c>
      <c r="C256" s="9">
        <f>Evansbthtries</f>
        <v>1</v>
      </c>
      <c r="D256" s="21" t="s">
        <v>608</v>
      </c>
      <c r="E256" s="21" t="s">
        <v>215</v>
      </c>
      <c r="F256" s="19">
        <f>Byrnebripts</f>
        <v>5</v>
      </c>
    </row>
    <row r="257" spans="1:6" ht="14.95" customHeight="1" thickBot="1" x14ac:dyDescent="0.3">
      <c r="A257" s="8" t="s">
        <v>762</v>
      </c>
      <c r="B257" s="8" t="s">
        <v>206</v>
      </c>
      <c r="C257" s="9">
        <f>Evanshartries</f>
        <v>1</v>
      </c>
      <c r="D257" s="21" t="s">
        <v>503</v>
      </c>
      <c r="E257" s="21" t="s">
        <v>215</v>
      </c>
      <c r="F257" s="19">
        <f>Caponbripts</f>
        <v>5</v>
      </c>
    </row>
    <row r="258" spans="1:6" ht="14.95" customHeight="1" thickBot="1" x14ac:dyDescent="0.3">
      <c r="A258" s="9" t="s">
        <v>964</v>
      </c>
      <c r="B258" s="9" t="s">
        <v>669</v>
      </c>
      <c r="C258" s="9">
        <f>Fearnsnewtries</f>
        <v>1</v>
      </c>
      <c r="D258" s="21" t="s">
        <v>423</v>
      </c>
      <c r="E258" s="21" t="s">
        <v>207</v>
      </c>
      <c r="F258" s="18">
        <f>Capstickexepts</f>
        <v>5</v>
      </c>
    </row>
    <row r="259" spans="1:6" ht="14.95" customHeight="1" thickBot="1" x14ac:dyDescent="0.3">
      <c r="A259" s="8" t="s">
        <v>297</v>
      </c>
      <c r="B259" s="8" t="s">
        <v>180</v>
      </c>
      <c r="C259" s="9">
        <f>Ford_Robinsonglotries</f>
        <v>1</v>
      </c>
      <c r="D259" s="21" t="s">
        <v>1146</v>
      </c>
      <c r="E259" s="21" t="s">
        <v>215</v>
      </c>
      <c r="F259" s="19">
        <f>Challengerbripts</f>
        <v>5</v>
      </c>
    </row>
    <row r="260" spans="1:6" ht="14.95" customHeight="1" thickBot="1" x14ac:dyDescent="0.3">
      <c r="A260" s="8" t="s">
        <v>627</v>
      </c>
      <c r="B260" s="8" t="s">
        <v>183</v>
      </c>
      <c r="C260" s="9">
        <f>Fotuali_ibthtries</f>
        <v>1</v>
      </c>
      <c r="D260" s="21" t="s">
        <v>786</v>
      </c>
      <c r="E260" s="21" t="s">
        <v>209</v>
      </c>
      <c r="F260" s="19">
        <f>Chessumleicpts</f>
        <v>5</v>
      </c>
    </row>
    <row r="261" spans="1:6" ht="14.95" customHeight="1" thickBot="1" x14ac:dyDescent="0.3">
      <c r="A261" s="8" t="s">
        <v>300</v>
      </c>
      <c r="B261" s="8" t="s">
        <v>209</v>
      </c>
      <c r="C261" s="304">
        <f>Floodtobytries</f>
        <v>1</v>
      </c>
      <c r="D261" s="21" t="s">
        <v>1163</v>
      </c>
      <c r="E261" s="21" t="s">
        <v>450</v>
      </c>
      <c r="F261" s="19">
        <f>Cintilirpts</f>
        <v>5</v>
      </c>
    </row>
    <row r="262" spans="1:6" ht="14.95" customHeight="1" thickBot="1" x14ac:dyDescent="0.3">
      <c r="A262" s="8" t="s">
        <v>1182</v>
      </c>
      <c r="B262" s="8" t="s">
        <v>206</v>
      </c>
      <c r="C262" s="9">
        <f>Gjaltemahartries</f>
        <v>1</v>
      </c>
      <c r="D262" s="21" t="s">
        <v>396</v>
      </c>
      <c r="E262" s="21" t="s">
        <v>181</v>
      </c>
      <c r="F262" s="19">
        <f>Cleggworpts</f>
        <v>5</v>
      </c>
    </row>
    <row r="263" spans="1:6" ht="14.95" customHeight="1" thickBot="1" x14ac:dyDescent="0.3">
      <c r="A263" s="9" t="s">
        <v>1128</v>
      </c>
      <c r="B263" s="8" t="s">
        <v>450</v>
      </c>
      <c r="C263" s="9">
        <f>Gonzalezlirtries</f>
        <v>1</v>
      </c>
      <c r="D263" s="21" t="s">
        <v>279</v>
      </c>
      <c r="E263" s="21" t="s">
        <v>182</v>
      </c>
      <c r="F263" s="19">
        <f>Cliffwillsalpts</f>
        <v>5</v>
      </c>
    </row>
    <row r="264" spans="1:6" ht="14.95" customHeight="1" thickBot="1" x14ac:dyDescent="0.3">
      <c r="A264" s="8" t="s">
        <v>594</v>
      </c>
      <c r="B264" s="8" t="s">
        <v>207</v>
      </c>
      <c r="C264" s="9">
        <f>Grayexetries</f>
        <v>1</v>
      </c>
      <c r="D264" s="21" t="s">
        <v>544</v>
      </c>
      <c r="E264" s="21" t="s">
        <v>450</v>
      </c>
      <c r="F264" s="22">
        <f>Blairnewpts</f>
        <v>5</v>
      </c>
    </row>
    <row r="265" spans="1:6" ht="14.95" customHeight="1" thickBot="1" x14ac:dyDescent="0.3">
      <c r="A265" s="8" t="s">
        <v>471</v>
      </c>
      <c r="B265" s="8" t="s">
        <v>182</v>
      </c>
      <c r="C265" s="9">
        <f>Hammersleysaltries</f>
        <v>1</v>
      </c>
      <c r="D265" s="21" t="s">
        <v>676</v>
      </c>
      <c r="E265" s="21" t="s">
        <v>669</v>
      </c>
      <c r="F265" s="19">
        <f>de_Kockneilpts</f>
        <v>5</v>
      </c>
    </row>
    <row r="266" spans="1:6" ht="14.95" customHeight="1" thickBot="1" x14ac:dyDescent="0.3">
      <c r="A266" s="9" t="s">
        <v>1133</v>
      </c>
      <c r="B266" s="9" t="s">
        <v>206</v>
      </c>
      <c r="C266" s="9">
        <f>Herronhartries</f>
        <v>1</v>
      </c>
      <c r="D266" s="19" t="s">
        <v>679</v>
      </c>
      <c r="E266" s="19" t="s">
        <v>669</v>
      </c>
      <c r="F266" s="19">
        <f>Crossdalesarptscorrect</f>
        <v>5</v>
      </c>
    </row>
    <row r="267" spans="1:6" ht="14.95" customHeight="1" thickBot="1" x14ac:dyDescent="0.3">
      <c r="A267" s="8" t="s">
        <v>799</v>
      </c>
      <c r="B267" s="8" t="s">
        <v>215</v>
      </c>
      <c r="C267" s="9">
        <f>Hardingbritries</f>
        <v>1</v>
      </c>
      <c r="D267" s="21" t="s">
        <v>284</v>
      </c>
      <c r="E267" s="21" t="s">
        <v>207</v>
      </c>
      <c r="F267" s="19">
        <f>Cowan_Dickie_Lukepts</f>
        <v>5</v>
      </c>
    </row>
    <row r="268" spans="1:6" ht="14.95" customHeight="1" thickBot="1" x14ac:dyDescent="0.3">
      <c r="A268" s="8" t="s">
        <v>211</v>
      </c>
      <c r="B268" s="8" t="s">
        <v>182</v>
      </c>
      <c r="C268" s="9">
        <f>Harrisonsaltris</f>
        <v>1</v>
      </c>
      <c r="D268" s="21" t="s">
        <v>1045</v>
      </c>
      <c r="E268" s="21" t="s">
        <v>209</v>
      </c>
      <c r="F268" s="19">
        <f>Cowan_Dickieleicpts</f>
        <v>5</v>
      </c>
    </row>
    <row r="269" spans="1:6" ht="14.95" customHeight="1" thickBot="1" x14ac:dyDescent="0.3">
      <c r="A269" s="9" t="s">
        <v>998</v>
      </c>
      <c r="B269" s="9" t="s">
        <v>669</v>
      </c>
      <c r="C269" s="9">
        <f>Haydon_Woodnewtries</f>
        <v>1</v>
      </c>
      <c r="D269" s="19" t="s">
        <v>1111</v>
      </c>
      <c r="E269" s="19" t="s">
        <v>450</v>
      </c>
      <c r="F269" s="19">
        <f>Chicknewpts</f>
        <v>5</v>
      </c>
    </row>
    <row r="270" spans="1:6" ht="14.95" customHeight="1" thickBot="1" x14ac:dyDescent="0.3">
      <c r="A270" s="8" t="s">
        <v>305</v>
      </c>
      <c r="B270" s="8" t="s">
        <v>184</v>
      </c>
      <c r="C270" s="9">
        <f>Haywoodmiketries</f>
        <v>1</v>
      </c>
      <c r="D270" s="21" t="s">
        <v>285</v>
      </c>
      <c r="E270" s="21" t="s">
        <v>208</v>
      </c>
      <c r="F270" s="19">
        <f>Crusewaspts</f>
        <v>5</v>
      </c>
    </row>
    <row r="271" spans="1:6" ht="14.95" customHeight="1" thickBot="1" x14ac:dyDescent="0.3">
      <c r="A271" s="8" t="s">
        <v>306</v>
      </c>
      <c r="B271" s="8" t="s">
        <v>215</v>
      </c>
      <c r="C271" s="9">
        <f>Fowlietomtries</f>
        <v>1</v>
      </c>
      <c r="D271" s="21" t="s">
        <v>489</v>
      </c>
      <c r="E271" s="21" t="s">
        <v>182</v>
      </c>
      <c r="F271" s="19">
        <f>Curtissalpts</f>
        <v>5</v>
      </c>
    </row>
    <row r="272" spans="1:6" ht="14.95" customHeight="1" thickBot="1" x14ac:dyDescent="0.3">
      <c r="A272" s="8" t="s">
        <v>937</v>
      </c>
      <c r="B272" s="8" t="s">
        <v>209</v>
      </c>
      <c r="C272" s="9">
        <f>Hegartyleictries</f>
        <v>1</v>
      </c>
      <c r="D272" s="21" t="s">
        <v>1028</v>
      </c>
      <c r="E272" s="21" t="s">
        <v>450</v>
      </c>
      <c r="F272" s="19">
        <f>Curtis_Harrislirpts</f>
        <v>5</v>
      </c>
    </row>
    <row r="273" spans="1:6" ht="14.95" customHeight="1" thickBot="1" x14ac:dyDescent="0.3">
      <c r="A273" s="8" t="s">
        <v>309</v>
      </c>
      <c r="B273" s="8" t="s">
        <v>207</v>
      </c>
      <c r="C273" s="9">
        <f>Hepburnexetries</f>
        <v>1</v>
      </c>
      <c r="D273" s="21" t="s">
        <v>896</v>
      </c>
      <c r="E273" s="21" t="s">
        <v>890</v>
      </c>
      <c r="F273" s="19">
        <f>Daviessarptscorrect</f>
        <v>5</v>
      </c>
    </row>
    <row r="274" spans="1:6" ht="14.95" customHeight="1" thickBot="1" x14ac:dyDescent="0.3">
      <c r="A274" s="9" t="s">
        <v>447</v>
      </c>
      <c r="B274" s="9" t="s">
        <v>207</v>
      </c>
      <c r="C274" s="9">
        <f>Freemanexetries</f>
        <v>1</v>
      </c>
      <c r="D274" s="21" t="s">
        <v>792</v>
      </c>
      <c r="E274" s="21" t="s">
        <v>669</v>
      </c>
      <c r="F274" s="19">
        <f>Crossdalesarpts</f>
        <v>5</v>
      </c>
    </row>
    <row r="275" spans="1:6" ht="14.95" customHeight="1" thickBot="1" x14ac:dyDescent="0.3">
      <c r="A275" s="9" t="s">
        <v>250</v>
      </c>
      <c r="B275" s="8" t="s">
        <v>184</v>
      </c>
      <c r="C275" s="9">
        <f>Hodgsonnortries</f>
        <v>1</v>
      </c>
      <c r="D275" s="21" t="s">
        <v>815</v>
      </c>
      <c r="E275" s="21" t="s">
        <v>182</v>
      </c>
      <c r="F275" s="19">
        <f>du_Preez__JPsalpts</f>
        <v>5</v>
      </c>
    </row>
    <row r="276" spans="1:6" ht="14.95" customHeight="1" thickBot="1" x14ac:dyDescent="0.3">
      <c r="A276" s="8" t="s">
        <v>1172</v>
      </c>
      <c r="B276" s="8" t="s">
        <v>180</v>
      </c>
      <c r="C276" s="9">
        <f>Hillman_Cooperglotries</f>
        <v>1</v>
      </c>
      <c r="D276" s="19" t="s">
        <v>289</v>
      </c>
      <c r="E276" s="19" t="s">
        <v>183</v>
      </c>
      <c r="F276" s="19">
        <f>Dunntompts</f>
        <v>5</v>
      </c>
    </row>
    <row r="277" spans="1:6" ht="14.95" customHeight="1" thickBot="1" x14ac:dyDescent="0.3">
      <c r="A277" s="9" t="s">
        <v>702</v>
      </c>
      <c r="B277" s="9" t="s">
        <v>669</v>
      </c>
      <c r="C277" s="9">
        <f>Hodgsonnewtriescorrect</f>
        <v>1</v>
      </c>
      <c r="D277" s="21" t="s">
        <v>292</v>
      </c>
      <c r="E277" s="21" t="s">
        <v>669</v>
      </c>
      <c r="F277" s="19">
        <f>du_Plessissarpts</f>
        <v>5</v>
      </c>
    </row>
    <row r="278" spans="1:6" ht="14.95" customHeight="1" thickBot="1" x14ac:dyDescent="0.3">
      <c r="A278" s="8" t="s">
        <v>927</v>
      </c>
      <c r="B278" s="8" t="s">
        <v>207</v>
      </c>
      <c r="C278" s="9">
        <f>Iosefa_Scottexetries</f>
        <v>1</v>
      </c>
      <c r="D278" s="21" t="s">
        <v>293</v>
      </c>
      <c r="E278" s="21" t="s">
        <v>183</v>
      </c>
      <c r="F278" s="19">
        <f>Evansbthpts</f>
        <v>5</v>
      </c>
    </row>
    <row r="279" spans="1:6" ht="14.95" customHeight="1" thickBot="1" x14ac:dyDescent="0.3">
      <c r="A279" s="8" t="s">
        <v>729</v>
      </c>
      <c r="B279" s="8" t="s">
        <v>890</v>
      </c>
      <c r="C279" s="9">
        <f>Isiekwesartriescorrect</f>
        <v>1</v>
      </c>
      <c r="D279" s="21" t="s">
        <v>762</v>
      </c>
      <c r="E279" s="21" t="s">
        <v>206</v>
      </c>
      <c r="F279" s="19">
        <f>Evanswharpts</f>
        <v>5</v>
      </c>
    </row>
    <row r="280" spans="1:6" ht="14.95" customHeight="1" thickBot="1" x14ac:dyDescent="0.3">
      <c r="A280" s="8" t="s">
        <v>316</v>
      </c>
      <c r="B280" s="8" t="s">
        <v>183</v>
      </c>
      <c r="C280" s="9">
        <f>Josephbattries</f>
        <v>1</v>
      </c>
      <c r="D280" s="19" t="s">
        <v>964</v>
      </c>
      <c r="E280" s="19" t="s">
        <v>669</v>
      </c>
      <c r="F280" s="19">
        <f>Fearnsnewpts</f>
        <v>5</v>
      </c>
    </row>
    <row r="281" spans="1:6" ht="14.95" customHeight="1" thickBot="1" x14ac:dyDescent="0.3">
      <c r="A281" s="8" t="s">
        <v>317</v>
      </c>
      <c r="B281" s="8" t="s">
        <v>215</v>
      </c>
      <c r="C281" s="9">
        <f>Hearnlirtries</f>
        <v>1</v>
      </c>
      <c r="D281" s="21" t="s">
        <v>297</v>
      </c>
      <c r="E281" s="21" t="s">
        <v>180</v>
      </c>
      <c r="F281" s="19">
        <f>Ford_Robinsonglopts</f>
        <v>5</v>
      </c>
    </row>
    <row r="282" spans="1:6" ht="14.95" customHeight="1" thickBot="1" x14ac:dyDescent="0.3">
      <c r="A282" s="8" t="s">
        <v>425</v>
      </c>
      <c r="B282" s="8" t="s">
        <v>207</v>
      </c>
      <c r="C282" s="9">
        <f>Keastexetries</f>
        <v>1</v>
      </c>
      <c r="D282" s="21" t="s">
        <v>627</v>
      </c>
      <c r="E282" s="21" t="s">
        <v>183</v>
      </c>
      <c r="F282" s="19">
        <f>Fotuali_ibthpts</f>
        <v>5</v>
      </c>
    </row>
    <row r="283" spans="1:6" ht="14.95" customHeight="1" thickBot="1" x14ac:dyDescent="0.3">
      <c r="A283" s="9" t="s">
        <v>749</v>
      </c>
      <c r="B283" s="9" t="s">
        <v>209</v>
      </c>
      <c r="C283" s="9">
        <f>Kerrleictries</f>
        <v>1</v>
      </c>
      <c r="D283" s="19" t="s">
        <v>193</v>
      </c>
      <c r="E283" s="21" t="s">
        <v>184</v>
      </c>
      <c r="F283" s="19">
        <f>Francisnorpts</f>
        <v>5</v>
      </c>
    </row>
    <row r="284" spans="1:6" ht="14.95" customHeight="1" thickBot="1" x14ac:dyDescent="0.3">
      <c r="A284" s="9" t="s">
        <v>1226</v>
      </c>
      <c r="B284" s="9" t="s">
        <v>207</v>
      </c>
      <c r="C284" s="9">
        <f>Kennyexetries</f>
        <v>1</v>
      </c>
      <c r="D284" s="21" t="s">
        <v>300</v>
      </c>
      <c r="E284" s="21" t="s">
        <v>209</v>
      </c>
      <c r="F284" s="19">
        <f>Bowdendanpts</f>
        <v>5</v>
      </c>
    </row>
    <row r="285" spans="1:6" ht="14.95" customHeight="1" thickBot="1" x14ac:dyDescent="0.3">
      <c r="A285" s="9" t="s">
        <v>319</v>
      </c>
      <c r="B285" s="8" t="s">
        <v>181</v>
      </c>
      <c r="C285" s="9">
        <f>Lancewortries</f>
        <v>1</v>
      </c>
      <c r="D285" s="21" t="s">
        <v>1182</v>
      </c>
      <c r="E285" s="21" t="s">
        <v>206</v>
      </c>
      <c r="F285" s="19">
        <f>Gjaltemaharpts</f>
        <v>5</v>
      </c>
    </row>
    <row r="286" spans="1:6" ht="14.95" customHeight="1" thickBot="1" x14ac:dyDescent="0.3">
      <c r="A286" s="8" t="s">
        <v>325</v>
      </c>
      <c r="B286" s="8" t="s">
        <v>181</v>
      </c>
      <c r="C286" s="9">
        <f>Lawrencewortries</f>
        <v>1</v>
      </c>
      <c r="D286" s="21" t="s">
        <v>1128</v>
      </c>
      <c r="E286" s="21" t="s">
        <v>450</v>
      </c>
      <c r="F286" s="19">
        <f>Gonzalezlirpts</f>
        <v>5</v>
      </c>
    </row>
    <row r="287" spans="1:6" ht="14.95" customHeight="1" thickBot="1" x14ac:dyDescent="0.3">
      <c r="A287" s="8" t="s">
        <v>200</v>
      </c>
      <c r="B287" s="8" t="s">
        <v>181</v>
      </c>
      <c r="C287" s="54">
        <f>Maytomtries</f>
        <v>1</v>
      </c>
      <c r="D287" s="21" t="s">
        <v>594</v>
      </c>
      <c r="E287" s="21" t="s">
        <v>207</v>
      </c>
      <c r="F287" s="19">
        <f>Grayexepts</f>
        <v>5</v>
      </c>
    </row>
    <row r="288" spans="1:6" ht="14.95" customHeight="1" thickBot="1" x14ac:dyDescent="0.3">
      <c r="A288" s="8" t="s">
        <v>504</v>
      </c>
      <c r="B288" s="8" t="s">
        <v>215</v>
      </c>
      <c r="C288" s="9">
        <f>LloydBriTries</f>
        <v>1</v>
      </c>
      <c r="D288" s="21" t="s">
        <v>471</v>
      </c>
      <c r="E288" s="21" t="s">
        <v>182</v>
      </c>
      <c r="F288" s="19">
        <f>Hammersleysalpts</f>
        <v>5</v>
      </c>
    </row>
    <row r="289" spans="1:6" ht="14.95" customHeight="1" thickBot="1" x14ac:dyDescent="0.3">
      <c r="A289" s="8" t="s">
        <v>680</v>
      </c>
      <c r="B289" s="8" t="s">
        <v>669</v>
      </c>
      <c r="C289" s="9">
        <f>goodealextries</f>
        <v>1</v>
      </c>
      <c r="D289" s="19" t="s">
        <v>1133</v>
      </c>
      <c r="E289" s="19" t="s">
        <v>206</v>
      </c>
      <c r="F289" s="19">
        <f>Herronharpts</f>
        <v>5</v>
      </c>
    </row>
    <row r="290" spans="1:6" ht="14.95" customHeight="1" thickBot="1" x14ac:dyDescent="0.3">
      <c r="A290" s="8" t="s">
        <v>539</v>
      </c>
      <c r="B290" s="8" t="s">
        <v>450</v>
      </c>
      <c r="C290" s="9">
        <f>Mafilirtries</f>
        <v>1</v>
      </c>
      <c r="D290" s="21" t="s">
        <v>799</v>
      </c>
      <c r="E290" s="21" t="s">
        <v>215</v>
      </c>
      <c r="F290" s="19">
        <f>Hardingbripts</f>
        <v>5</v>
      </c>
    </row>
    <row r="291" spans="1:6" ht="14.95" customHeight="1" thickBot="1" x14ac:dyDescent="0.3">
      <c r="A291" s="9" t="s">
        <v>969</v>
      </c>
      <c r="B291" s="9" t="s">
        <v>669</v>
      </c>
      <c r="C291" s="9">
        <f>Matavesinewtriescorrect</f>
        <v>1</v>
      </c>
      <c r="D291" s="21" t="s">
        <v>211</v>
      </c>
      <c r="E291" s="21" t="s">
        <v>182</v>
      </c>
      <c r="F291" s="19">
        <f>Harrisonsalpts</f>
        <v>5</v>
      </c>
    </row>
    <row r="292" spans="1:6" ht="14.95" customHeight="1" thickBot="1" x14ac:dyDescent="0.3">
      <c r="A292" s="8" t="s">
        <v>779</v>
      </c>
      <c r="B292" s="8" t="s">
        <v>209</v>
      </c>
      <c r="C292" s="9">
        <f>Martinleictries</f>
        <v>1</v>
      </c>
      <c r="D292" s="21" t="s">
        <v>305</v>
      </c>
      <c r="E292" s="21" t="s">
        <v>184</v>
      </c>
      <c r="F292" s="19">
        <f>Haywoodmikepts</f>
        <v>5</v>
      </c>
    </row>
    <row r="293" spans="1:6" ht="14.95" customHeight="1" thickBot="1" x14ac:dyDescent="0.3">
      <c r="A293" s="8" t="s">
        <v>335</v>
      </c>
      <c r="B293" s="8" t="s">
        <v>207</v>
      </c>
      <c r="C293" s="9">
        <f>Maunderexetries</f>
        <v>1</v>
      </c>
      <c r="D293" s="21" t="s">
        <v>306</v>
      </c>
      <c r="E293" s="21" t="s">
        <v>215</v>
      </c>
      <c r="F293" s="19">
        <f>Fowlielipts</f>
        <v>5</v>
      </c>
    </row>
    <row r="294" spans="1:6" ht="14.95" customHeight="1" thickBot="1" x14ac:dyDescent="0.3">
      <c r="A294" s="8" t="s">
        <v>1216</v>
      </c>
      <c r="B294" s="8" t="s">
        <v>207</v>
      </c>
      <c r="C294" s="9">
        <f>Maunder_Sexetries</f>
        <v>1</v>
      </c>
      <c r="D294" s="21" t="s">
        <v>309</v>
      </c>
      <c r="E294" s="21" t="s">
        <v>207</v>
      </c>
      <c r="F294" s="19">
        <f>Hepburnexepts</f>
        <v>5</v>
      </c>
    </row>
    <row r="295" spans="1:6" ht="14.95" customHeight="1" thickBot="1" x14ac:dyDescent="0.3">
      <c r="A295" s="8" t="s">
        <v>908</v>
      </c>
      <c r="B295" s="8" t="s">
        <v>890</v>
      </c>
      <c r="C295" s="9">
        <f>Mawisartriescorrect</f>
        <v>1</v>
      </c>
      <c r="D295" s="19" t="s">
        <v>447</v>
      </c>
      <c r="E295" s="19" t="s">
        <v>207</v>
      </c>
      <c r="F295" s="19">
        <f>Freemanexepts</f>
        <v>5</v>
      </c>
    </row>
    <row r="296" spans="1:6" ht="14.95" customHeight="1" thickBot="1" x14ac:dyDescent="0.3">
      <c r="A296" s="8" t="s">
        <v>1115</v>
      </c>
      <c r="B296" s="8" t="s">
        <v>450</v>
      </c>
      <c r="C296" s="9">
        <f>Kibirigezachtries</f>
        <v>1</v>
      </c>
      <c r="D296" s="19" t="s">
        <v>250</v>
      </c>
      <c r="E296" s="21" t="s">
        <v>184</v>
      </c>
      <c r="F296" s="19">
        <f>Hodgsonnorpts</f>
        <v>5</v>
      </c>
    </row>
    <row r="297" spans="1:6" ht="14.95" customHeight="1" thickBot="1" x14ac:dyDescent="0.3">
      <c r="A297" s="8" t="s">
        <v>253</v>
      </c>
      <c r="B297" s="8" t="s">
        <v>182</v>
      </c>
      <c r="C297" s="9">
        <f>McGuigansaltries</f>
        <v>1</v>
      </c>
      <c r="D297" s="21" t="s">
        <v>1172</v>
      </c>
      <c r="E297" s="21" t="s">
        <v>180</v>
      </c>
      <c r="F297" s="19">
        <f>Hillman_Cooperglopts</f>
        <v>5</v>
      </c>
    </row>
    <row r="298" spans="1:6" ht="14.95" customHeight="1" thickBot="1" x14ac:dyDescent="0.3">
      <c r="A298" s="8" t="s">
        <v>560</v>
      </c>
      <c r="B298" s="8" t="s">
        <v>183</v>
      </c>
      <c r="C298" s="9">
        <f>McNallybthtries</f>
        <v>1</v>
      </c>
      <c r="D298" s="21" t="s">
        <v>927</v>
      </c>
      <c r="E298" s="21" t="s">
        <v>207</v>
      </c>
      <c r="F298" s="19">
        <f>Iosefa_Scottexepts</f>
        <v>5</v>
      </c>
    </row>
    <row r="299" spans="1:6" ht="14.95" customHeight="1" thickBot="1" x14ac:dyDescent="0.3">
      <c r="A299" s="8" t="s">
        <v>1113</v>
      </c>
      <c r="B299" s="8" t="s">
        <v>180</v>
      </c>
      <c r="C299" s="9">
        <f>Meehanglotries</f>
        <v>1</v>
      </c>
      <c r="D299" s="21" t="s">
        <v>729</v>
      </c>
      <c r="E299" s="21" t="s">
        <v>890</v>
      </c>
      <c r="F299" s="19">
        <f>Isiekwesarptscorrect</f>
        <v>5</v>
      </c>
    </row>
    <row r="300" spans="1:6" ht="14.95" customHeight="1" thickBot="1" x14ac:dyDescent="0.3">
      <c r="A300" s="8" t="s">
        <v>254</v>
      </c>
      <c r="B300" s="8" t="s">
        <v>208</v>
      </c>
      <c r="C300" s="9">
        <f>Millerwastries</f>
        <v>1</v>
      </c>
      <c r="D300" s="21" t="s">
        <v>316</v>
      </c>
      <c r="E300" s="21" t="s">
        <v>183</v>
      </c>
      <c r="F300" s="19">
        <f>Josephbatpts</f>
        <v>5</v>
      </c>
    </row>
    <row r="301" spans="1:6" ht="14.95" customHeight="1" thickBot="1" x14ac:dyDescent="0.3">
      <c r="A301" s="8" t="s">
        <v>255</v>
      </c>
      <c r="B301" s="8" t="s">
        <v>206</v>
      </c>
      <c r="C301" s="9">
        <f>Morrishartries</f>
        <v>1</v>
      </c>
      <c r="D301" s="21" t="s">
        <v>317</v>
      </c>
      <c r="E301" s="21" t="s">
        <v>215</v>
      </c>
      <c r="F301" s="19">
        <f>Hearnlirpts</f>
        <v>5</v>
      </c>
    </row>
    <row r="302" spans="1:6" ht="14.95" customHeight="1" thickBot="1" x14ac:dyDescent="0.3">
      <c r="A302" s="8" t="s">
        <v>751</v>
      </c>
      <c r="B302" s="8" t="s">
        <v>209</v>
      </c>
      <c r="C302" s="54">
        <f>Montoyaleictries</f>
        <v>1</v>
      </c>
      <c r="D302" s="21" t="s">
        <v>425</v>
      </c>
      <c r="E302" s="21" t="s">
        <v>207</v>
      </c>
      <c r="F302" s="19">
        <f>Keastexepts</f>
        <v>5</v>
      </c>
    </row>
    <row r="303" spans="1:6" ht="14.95" customHeight="1" thickBot="1" x14ac:dyDescent="0.3">
      <c r="A303" s="8" t="s">
        <v>586</v>
      </c>
      <c r="B303" s="8" t="s">
        <v>181</v>
      </c>
      <c r="C303" s="9">
        <f>Nanaiwortries</f>
        <v>1</v>
      </c>
      <c r="D303" s="21" t="s">
        <v>1226</v>
      </c>
      <c r="E303" s="21" t="s">
        <v>207</v>
      </c>
      <c r="F303" s="18">
        <f>Kennyexepts</f>
        <v>5</v>
      </c>
    </row>
    <row r="304" spans="1:6" ht="14.95" customHeight="1" thickBot="1" x14ac:dyDescent="0.3">
      <c r="A304" s="8" t="s">
        <v>1168</v>
      </c>
      <c r="B304" s="8" t="s">
        <v>207</v>
      </c>
      <c r="C304" s="9">
        <f>Noreyexetries</f>
        <v>1</v>
      </c>
      <c r="D304" s="19" t="s">
        <v>319</v>
      </c>
      <c r="E304" s="21" t="s">
        <v>181</v>
      </c>
      <c r="F304" s="19">
        <f>Lanceworpts</f>
        <v>5</v>
      </c>
    </row>
    <row r="305" spans="1:6" ht="14.95" customHeight="1" thickBot="1" x14ac:dyDescent="0.3">
      <c r="A305" s="8" t="s">
        <v>911</v>
      </c>
      <c r="B305" s="8" t="s">
        <v>890</v>
      </c>
      <c r="C305" s="9">
        <f>Obatoyinbosartriescorrect</f>
        <v>1</v>
      </c>
      <c r="D305" s="21" t="s">
        <v>325</v>
      </c>
      <c r="E305" s="21" t="s">
        <v>181</v>
      </c>
      <c r="F305" s="19">
        <f>Lawrenceworpts</f>
        <v>5</v>
      </c>
    </row>
    <row r="306" spans="1:6" ht="14.95" customHeight="1" thickBot="1" x14ac:dyDescent="0.3">
      <c r="A306" s="8" t="s">
        <v>761</v>
      </c>
      <c r="B306" s="8" t="s">
        <v>669</v>
      </c>
      <c r="C306" s="9">
        <f>Itojesartries</f>
        <v>1</v>
      </c>
      <c r="D306" s="21" t="s">
        <v>200</v>
      </c>
      <c r="E306" s="21" t="s">
        <v>181</v>
      </c>
      <c r="F306" s="19">
        <f>Maytompts</f>
        <v>5</v>
      </c>
    </row>
    <row r="307" spans="1:6" ht="14.95" customHeight="1" thickBot="1" x14ac:dyDescent="0.3">
      <c r="A307" s="8" t="s">
        <v>1144</v>
      </c>
      <c r="B307" s="8" t="s">
        <v>207</v>
      </c>
      <c r="C307" s="9">
        <f>Pearsonexetries</f>
        <v>1</v>
      </c>
      <c r="D307" s="21" t="s">
        <v>680</v>
      </c>
      <c r="E307" s="21" t="s">
        <v>669</v>
      </c>
      <c r="F307" s="19">
        <f>Goodealexpts</f>
        <v>5</v>
      </c>
    </row>
    <row r="308" spans="1:6" ht="14.95" customHeight="1" thickBot="1" x14ac:dyDescent="0.3">
      <c r="A308" s="8" t="s">
        <v>186</v>
      </c>
      <c r="B308" s="8" t="s">
        <v>215</v>
      </c>
      <c r="C308" s="9">
        <f>Penalty_Triesbritries</f>
        <v>1</v>
      </c>
      <c r="D308" s="21" t="s">
        <v>539</v>
      </c>
      <c r="E308" s="21" t="s">
        <v>450</v>
      </c>
      <c r="F308" s="19">
        <f>Mafilirpts</f>
        <v>5</v>
      </c>
    </row>
    <row r="309" spans="1:6" ht="14.95" customHeight="1" thickBot="1" x14ac:dyDescent="0.3">
      <c r="A309" s="9" t="s">
        <v>186</v>
      </c>
      <c r="B309" s="9" t="s">
        <v>207</v>
      </c>
      <c r="C309" s="9">
        <f>Penalty_Triesexetries</f>
        <v>1</v>
      </c>
      <c r="D309" s="21" t="s">
        <v>969</v>
      </c>
      <c r="E309" s="21" t="s">
        <v>669</v>
      </c>
      <c r="F309" s="19">
        <f>Matavesinewptscorrect</f>
        <v>5</v>
      </c>
    </row>
    <row r="310" spans="1:6" ht="14.95" customHeight="1" thickBot="1" x14ac:dyDescent="0.3">
      <c r="A310" s="8" t="s">
        <v>186</v>
      </c>
      <c r="B310" s="8" t="s">
        <v>208</v>
      </c>
      <c r="C310" s="9">
        <f>Penalty_Trieswastries</f>
        <v>1</v>
      </c>
      <c r="D310" s="21" t="s">
        <v>779</v>
      </c>
      <c r="E310" s="21" t="s">
        <v>209</v>
      </c>
      <c r="F310" s="19">
        <f>Martinleicpts</f>
        <v>5</v>
      </c>
    </row>
    <row r="311" spans="1:6" ht="14.95" customHeight="1" thickBot="1" x14ac:dyDescent="0.3">
      <c r="A311" s="8" t="s">
        <v>685</v>
      </c>
      <c r="B311" s="8" t="s">
        <v>669</v>
      </c>
      <c r="C311" s="9">
        <f>Jouberternsttries</f>
        <v>1</v>
      </c>
      <c r="D311" s="21" t="s">
        <v>335</v>
      </c>
      <c r="E311" s="21" t="s">
        <v>207</v>
      </c>
      <c r="F311" s="19">
        <f>Maunderexepts</f>
        <v>5</v>
      </c>
    </row>
    <row r="312" spans="1:6" ht="14.95" customHeight="1" thickBot="1" x14ac:dyDescent="0.3">
      <c r="A312" s="8" t="s">
        <v>1149</v>
      </c>
      <c r="B312" s="8" t="s">
        <v>183</v>
      </c>
      <c r="C312" s="9">
        <f>Prydiebthtries</f>
        <v>1</v>
      </c>
      <c r="D312" s="21" t="s">
        <v>1216</v>
      </c>
      <c r="E312" s="21" t="s">
        <v>207</v>
      </c>
      <c r="F312" s="19">
        <f>Maunder_Sexepts</f>
        <v>5</v>
      </c>
    </row>
    <row r="313" spans="1:6" ht="14.95" customHeight="1" thickBot="1" x14ac:dyDescent="0.3">
      <c r="A313" s="9" t="s">
        <v>568</v>
      </c>
      <c r="B313" s="9" t="s">
        <v>215</v>
      </c>
      <c r="C313" s="9">
        <f>Radradrabritries</f>
        <v>1</v>
      </c>
      <c r="D313" s="21" t="s">
        <v>908</v>
      </c>
      <c r="E313" s="21" t="s">
        <v>890</v>
      </c>
      <c r="F313" s="19">
        <f>Mawisarptscorrect</f>
        <v>5</v>
      </c>
    </row>
    <row r="314" spans="1:6" ht="14.95" customHeight="1" thickBot="1" x14ac:dyDescent="0.3">
      <c r="A314" s="8" t="s">
        <v>353</v>
      </c>
      <c r="B314" s="8" t="s">
        <v>184</v>
      </c>
      <c r="C314" s="9">
        <f>Ratuniyarawanortries</f>
        <v>1</v>
      </c>
      <c r="D314" s="21" t="s">
        <v>1115</v>
      </c>
      <c r="E314" s="21" t="s">
        <v>450</v>
      </c>
      <c r="F314" s="18">
        <f>Kibirigezachpts</f>
        <v>5</v>
      </c>
    </row>
    <row r="315" spans="1:6" ht="14.95" customHeight="1" thickBot="1" x14ac:dyDescent="0.3">
      <c r="A315" s="8" t="s">
        <v>630</v>
      </c>
      <c r="B315" s="8" t="s">
        <v>183</v>
      </c>
      <c r="C315" s="9">
        <f>Robertsbthtries</f>
        <v>1</v>
      </c>
      <c r="D315" s="21" t="s">
        <v>253</v>
      </c>
      <c r="E315" s="21" t="s">
        <v>182</v>
      </c>
      <c r="F315" s="19">
        <f>McGuigansalpts</f>
        <v>5</v>
      </c>
    </row>
    <row r="316" spans="1:6" ht="14.95" customHeight="1" thickBot="1" x14ac:dyDescent="0.3">
      <c r="A316" s="8" t="s">
        <v>1161</v>
      </c>
      <c r="B316" s="8" t="s">
        <v>183</v>
      </c>
      <c r="C316" s="9">
        <f>Richardsbthtries</f>
        <v>1</v>
      </c>
      <c r="D316" s="21" t="s">
        <v>560</v>
      </c>
      <c r="E316" s="21" t="s">
        <v>183</v>
      </c>
      <c r="F316" s="19">
        <f>McNallybthpts</f>
        <v>5</v>
      </c>
    </row>
    <row r="317" spans="1:6" ht="14.95" customHeight="1" thickBot="1" x14ac:dyDescent="0.3">
      <c r="A317" s="8" t="s">
        <v>945</v>
      </c>
      <c r="B317" s="8" t="s">
        <v>209</v>
      </c>
      <c r="C317" s="9">
        <f>Saumakileictries</f>
        <v>1</v>
      </c>
      <c r="D317" s="21" t="s">
        <v>1113</v>
      </c>
      <c r="E317" s="21" t="s">
        <v>180</v>
      </c>
      <c r="F317" s="19">
        <f>Meehanglopts</f>
        <v>5</v>
      </c>
    </row>
    <row r="318" spans="1:6" ht="14.95" customHeight="1" thickBot="1" x14ac:dyDescent="0.3">
      <c r="A318" s="9" t="s">
        <v>633</v>
      </c>
      <c r="B318" s="9" t="s">
        <v>183</v>
      </c>
      <c r="C318" s="9">
        <f>Schoemanbthtries</f>
        <v>1</v>
      </c>
      <c r="D318" s="21" t="s">
        <v>254</v>
      </c>
      <c r="E318" s="21" t="s">
        <v>208</v>
      </c>
      <c r="F318" s="19">
        <f>Millerwaspts</f>
        <v>5</v>
      </c>
    </row>
    <row r="319" spans="1:6" ht="14.95" customHeight="1" thickBot="1" x14ac:dyDescent="0.3">
      <c r="A319" s="8" t="s">
        <v>360</v>
      </c>
      <c r="B319" s="8" t="s">
        <v>180</v>
      </c>
      <c r="C319" s="9">
        <f>Seabrookglotries</f>
        <v>1</v>
      </c>
      <c r="D319" s="21" t="s">
        <v>255</v>
      </c>
      <c r="E319" s="21" t="s">
        <v>206</v>
      </c>
      <c r="F319" s="18">
        <f>Morrisharpts</f>
        <v>5</v>
      </c>
    </row>
    <row r="320" spans="1:6" ht="14.95" customHeight="1" thickBot="1" x14ac:dyDescent="0.3">
      <c r="A320" s="9" t="s">
        <v>361</v>
      </c>
      <c r="B320" s="8" t="s">
        <v>181</v>
      </c>
      <c r="C320" s="9">
        <f>Searlewortris</f>
        <v>1</v>
      </c>
      <c r="D320" s="21" t="s">
        <v>751</v>
      </c>
      <c r="E320" s="21" t="s">
        <v>209</v>
      </c>
      <c r="F320" s="19">
        <f>Montoyaleicpts</f>
        <v>5</v>
      </c>
    </row>
    <row r="321" spans="1:6" ht="14.95" customHeight="1" thickBot="1" x14ac:dyDescent="0.3">
      <c r="A321" s="9" t="s">
        <v>363</v>
      </c>
      <c r="B321" s="8" t="s">
        <v>208</v>
      </c>
      <c r="C321" s="9">
        <f>Shieldswastries</f>
        <v>1</v>
      </c>
      <c r="D321" s="21" t="s">
        <v>586</v>
      </c>
      <c r="E321" s="21" t="s">
        <v>181</v>
      </c>
      <c r="F321" s="19">
        <f>Nanaiworpts</f>
        <v>5</v>
      </c>
    </row>
    <row r="322" spans="1:6" ht="14.95" customHeight="1" thickBot="1" x14ac:dyDescent="0.3">
      <c r="A322" s="8" t="s">
        <v>1105</v>
      </c>
      <c r="B322" s="8" t="s">
        <v>450</v>
      </c>
      <c r="C322" s="9">
        <f>Simmonslirtries</f>
        <v>1</v>
      </c>
      <c r="D322" s="21" t="s">
        <v>1168</v>
      </c>
      <c r="E322" s="21" t="s">
        <v>207</v>
      </c>
      <c r="F322" s="19">
        <f>Noreyexepts</f>
        <v>5</v>
      </c>
    </row>
    <row r="323" spans="1:6" ht="14.95" customHeight="1" thickBot="1" x14ac:dyDescent="0.3">
      <c r="A323" s="8" t="s">
        <v>368</v>
      </c>
      <c r="B323" s="8" t="s">
        <v>207</v>
      </c>
      <c r="C323" s="9">
        <f>Skinnerexetries</f>
        <v>1</v>
      </c>
      <c r="D323" s="21" t="s">
        <v>911</v>
      </c>
      <c r="E323" s="21" t="s">
        <v>890</v>
      </c>
      <c r="F323" s="19">
        <f>Obatoyinbosarptscorrect</f>
        <v>5</v>
      </c>
    </row>
    <row r="324" spans="1:6" ht="14.95" customHeight="1" thickBot="1" x14ac:dyDescent="0.3">
      <c r="A324" s="8" t="s">
        <v>948</v>
      </c>
      <c r="B324" s="8" t="s">
        <v>209</v>
      </c>
      <c r="C324" s="9">
        <f>Snymanleictries</f>
        <v>1</v>
      </c>
      <c r="D324" s="21" t="s">
        <v>761</v>
      </c>
      <c r="E324" s="21" t="s">
        <v>669</v>
      </c>
      <c r="F324" s="19">
        <f>Itojesarpts</f>
        <v>5</v>
      </c>
    </row>
    <row r="325" spans="1:6" ht="14.95" customHeight="1" thickBot="1" x14ac:dyDescent="0.3">
      <c r="A325" s="8" t="s">
        <v>571</v>
      </c>
      <c r="B325" s="8" t="s">
        <v>206</v>
      </c>
      <c r="C325" s="9">
        <f>Swainstonhartries</f>
        <v>1</v>
      </c>
      <c r="D325" s="19" t="s">
        <v>1144</v>
      </c>
      <c r="E325" s="19" t="s">
        <v>207</v>
      </c>
      <c r="F325" s="20">
        <f>Pearsonexepts</f>
        <v>5</v>
      </c>
    </row>
    <row r="326" spans="1:6" ht="14.95" customHeight="1" thickBot="1" x14ac:dyDescent="0.3">
      <c r="A326" s="8" t="s">
        <v>1099</v>
      </c>
      <c r="B326" s="8" t="s">
        <v>215</v>
      </c>
      <c r="C326" s="9">
        <f>Strangbritries</f>
        <v>1</v>
      </c>
      <c r="D326" s="21" t="s">
        <v>685</v>
      </c>
      <c r="E326" s="21" t="s">
        <v>669</v>
      </c>
      <c r="F326" s="19">
        <f>Jouberternstpts</f>
        <v>5</v>
      </c>
    </row>
    <row r="327" spans="1:6" ht="14.95" customHeight="1" thickBot="1" x14ac:dyDescent="0.3">
      <c r="A327" s="8" t="s">
        <v>499</v>
      </c>
      <c r="B327" s="8" t="s">
        <v>207</v>
      </c>
      <c r="C327" s="9">
        <f>Streetexetries</f>
        <v>1</v>
      </c>
      <c r="D327" s="21" t="s">
        <v>1149</v>
      </c>
      <c r="E327" s="21" t="s">
        <v>183</v>
      </c>
      <c r="F327" s="19">
        <f>Prydiebthpts</f>
        <v>5</v>
      </c>
    </row>
    <row r="328" spans="1:6" ht="14.95" customHeight="1" thickBot="1" x14ac:dyDescent="0.3">
      <c r="A328" s="9" t="s">
        <v>1137</v>
      </c>
      <c r="B328" s="8" t="s">
        <v>181</v>
      </c>
      <c r="C328" s="9">
        <f>Sutherlandwortries</f>
        <v>1</v>
      </c>
      <c r="D328" s="21" t="s">
        <v>568</v>
      </c>
      <c r="E328" s="21" t="s">
        <v>215</v>
      </c>
      <c r="F328" s="19">
        <f>Radradrabripts</f>
        <v>5</v>
      </c>
    </row>
    <row r="329" spans="1:6" ht="14.95" customHeight="1" thickBot="1" x14ac:dyDescent="0.3">
      <c r="A329" s="8" t="s">
        <v>259</v>
      </c>
      <c r="B329" s="8" t="s">
        <v>182</v>
      </c>
      <c r="C329" s="9">
        <f>Taylortsaltries</f>
        <v>1</v>
      </c>
      <c r="D329" s="21" t="s">
        <v>353</v>
      </c>
      <c r="E329" s="21" t="s">
        <v>184</v>
      </c>
      <c r="F329" s="19">
        <f>Ratuniyarawanorpts</f>
        <v>5</v>
      </c>
    </row>
    <row r="330" spans="1:6" ht="14.95" customHeight="1" thickBot="1" x14ac:dyDescent="0.3">
      <c r="A330" s="8" t="s">
        <v>1010</v>
      </c>
      <c r="B330" s="8" t="s">
        <v>181</v>
      </c>
      <c r="C330" s="54">
        <f>Van_Bredawortries</f>
        <v>1</v>
      </c>
      <c r="D330" s="21" t="s">
        <v>630</v>
      </c>
      <c r="E330" s="21" t="s">
        <v>183</v>
      </c>
      <c r="F330" s="19">
        <f>Robertsbthpts</f>
        <v>5</v>
      </c>
    </row>
    <row r="331" spans="1:6" ht="14.95" customHeight="1" thickBot="1" x14ac:dyDescent="0.3">
      <c r="A331" s="8" t="s">
        <v>228</v>
      </c>
      <c r="B331" s="8" t="s">
        <v>215</v>
      </c>
      <c r="C331" s="9">
        <f>Saulolirtries</f>
        <v>1</v>
      </c>
      <c r="D331" s="21" t="s">
        <v>1161</v>
      </c>
      <c r="E331" s="21" t="s">
        <v>183</v>
      </c>
      <c r="F331" s="19">
        <f>Richardsbthpts</f>
        <v>5</v>
      </c>
    </row>
    <row r="332" spans="1:6" ht="14.95" customHeight="1" thickBot="1" x14ac:dyDescent="0.3">
      <c r="A332" s="8" t="s">
        <v>1154</v>
      </c>
      <c r="B332" s="8" t="s">
        <v>208</v>
      </c>
      <c r="C332" s="9">
        <f>Toomaga_Allenwastries</f>
        <v>1</v>
      </c>
      <c r="D332" s="21" t="s">
        <v>945</v>
      </c>
      <c r="E332" s="21" t="s">
        <v>209</v>
      </c>
      <c r="F332" s="19">
        <f>Saumakileicpts</f>
        <v>5</v>
      </c>
    </row>
    <row r="333" spans="1:6" ht="14.95" customHeight="1" thickBot="1" x14ac:dyDescent="0.3">
      <c r="A333" s="8" t="s">
        <v>372</v>
      </c>
      <c r="B333" s="8" t="s">
        <v>207</v>
      </c>
      <c r="C333" s="9">
        <f>Townsendexetries</f>
        <v>1</v>
      </c>
      <c r="D333" s="21" t="s">
        <v>633</v>
      </c>
      <c r="E333" s="21" t="s">
        <v>183</v>
      </c>
      <c r="F333" s="19">
        <f>Schoemanbthpts</f>
        <v>5</v>
      </c>
    </row>
    <row r="334" spans="1:6" ht="14.95" customHeight="1" thickBot="1" x14ac:dyDescent="0.3">
      <c r="A334" s="8" t="s">
        <v>375</v>
      </c>
      <c r="B334" s="8" t="s">
        <v>182</v>
      </c>
      <c r="C334" s="9">
        <f>Tuitupousamtries</f>
        <v>1</v>
      </c>
      <c r="D334" s="21" t="s">
        <v>360</v>
      </c>
      <c r="E334" s="21" t="s">
        <v>180</v>
      </c>
      <c r="F334" s="19">
        <f>Seabrookglopts</f>
        <v>5</v>
      </c>
    </row>
    <row r="335" spans="1:6" ht="14.95" customHeight="1" thickBot="1" x14ac:dyDescent="0.3">
      <c r="A335" s="8" t="s">
        <v>1008</v>
      </c>
      <c r="B335" s="8" t="s">
        <v>207</v>
      </c>
      <c r="C335" s="9">
        <f>Tuimaexetries</f>
        <v>1</v>
      </c>
      <c r="D335" s="19" t="s">
        <v>363</v>
      </c>
      <c r="E335" s="21" t="s">
        <v>208</v>
      </c>
      <c r="F335" s="20">
        <f>Shieldswaspts</f>
        <v>5</v>
      </c>
    </row>
    <row r="336" spans="1:6" ht="14.95" customHeight="1" thickBot="1" x14ac:dyDescent="0.3">
      <c r="A336" s="9" t="s">
        <v>381</v>
      </c>
      <c r="B336" s="9" t="s">
        <v>209</v>
      </c>
      <c r="C336" s="9">
        <f>van_Wyk_Fleictries</f>
        <v>1</v>
      </c>
      <c r="D336" s="21" t="s">
        <v>1105</v>
      </c>
      <c r="E336" s="21" t="s">
        <v>450</v>
      </c>
      <c r="F336" s="19">
        <f>Simmonslirpts</f>
        <v>5</v>
      </c>
    </row>
    <row r="337" spans="1:6" ht="14.95" customHeight="1" thickBot="1" x14ac:dyDescent="0.3">
      <c r="A337" s="9" t="s">
        <v>384</v>
      </c>
      <c r="B337" s="9" t="s">
        <v>215</v>
      </c>
      <c r="C337" s="9">
        <f>Vuibritries</f>
        <v>1</v>
      </c>
      <c r="D337" s="21" t="s">
        <v>368</v>
      </c>
      <c r="E337" s="21" t="s">
        <v>207</v>
      </c>
      <c r="F337" s="19">
        <f>Skinnerexepts</f>
        <v>5</v>
      </c>
    </row>
    <row r="338" spans="1:6" ht="14.95" customHeight="1" thickBot="1" x14ac:dyDescent="0.3">
      <c r="A338" s="8" t="s">
        <v>198</v>
      </c>
      <c r="B338" s="8" t="s">
        <v>208</v>
      </c>
      <c r="C338" s="9">
        <f>Watsonwastries</f>
        <v>1</v>
      </c>
      <c r="D338" s="21" t="s">
        <v>948</v>
      </c>
      <c r="E338" s="21" t="s">
        <v>209</v>
      </c>
      <c r="F338" s="19">
        <f>Snymanleicpts</f>
        <v>5</v>
      </c>
    </row>
    <row r="339" spans="1:6" ht="14.95" customHeight="1" thickBot="1" x14ac:dyDescent="0.3">
      <c r="A339" s="8" t="s">
        <v>407</v>
      </c>
      <c r="B339" s="8" t="s">
        <v>209</v>
      </c>
      <c r="C339" s="9">
        <f>Wellsleictries</f>
        <v>1</v>
      </c>
      <c r="D339" s="21" t="s">
        <v>571</v>
      </c>
      <c r="E339" s="21" t="s">
        <v>206</v>
      </c>
      <c r="F339" s="19">
        <f>Swainstonharpts</f>
        <v>5</v>
      </c>
    </row>
    <row r="340" spans="1:6" ht="14.95" customHeight="1" thickBot="1" x14ac:dyDescent="0.3">
      <c r="A340" s="8" t="s">
        <v>663</v>
      </c>
      <c r="B340" s="8" t="s">
        <v>206</v>
      </c>
      <c r="C340" s="9">
        <f>Watershartries</f>
        <v>1</v>
      </c>
      <c r="D340" s="21" t="s">
        <v>1099</v>
      </c>
      <c r="E340" s="21" t="s">
        <v>215</v>
      </c>
      <c r="F340" s="19">
        <f>Strangbripts</f>
        <v>5</v>
      </c>
    </row>
    <row r="341" spans="1:6" ht="14.95" customHeight="1" thickBot="1" x14ac:dyDescent="0.3">
      <c r="A341" s="8" t="s">
        <v>386</v>
      </c>
      <c r="B341" s="8" t="s">
        <v>207</v>
      </c>
      <c r="C341" s="9">
        <f>Whittentries</f>
        <v>1</v>
      </c>
      <c r="D341" s="21" t="s">
        <v>499</v>
      </c>
      <c r="E341" s="21" t="s">
        <v>207</v>
      </c>
      <c r="F341" s="19">
        <f>Streetexepts</f>
        <v>5</v>
      </c>
    </row>
    <row r="342" spans="1:6" ht="14.95" customHeight="1" thickBot="1" x14ac:dyDescent="0.3">
      <c r="A342" s="8" t="s">
        <v>1151</v>
      </c>
      <c r="B342" s="8" t="s">
        <v>184</v>
      </c>
      <c r="C342" s="9">
        <f>Wilkinsnortries</f>
        <v>1</v>
      </c>
      <c r="D342" s="19" t="s">
        <v>1137</v>
      </c>
      <c r="E342" s="21" t="s">
        <v>181</v>
      </c>
      <c r="F342" s="19">
        <f>Sutherlandworpts</f>
        <v>5</v>
      </c>
    </row>
    <row r="343" spans="1:6" ht="14.95" customHeight="1" thickBot="1" x14ac:dyDescent="0.3">
      <c r="A343" s="8" t="s">
        <v>1038</v>
      </c>
      <c r="B343" s="8" t="s">
        <v>450</v>
      </c>
      <c r="C343" s="54">
        <f>Sowreynewtries</f>
        <v>1</v>
      </c>
      <c r="D343" s="21" t="s">
        <v>259</v>
      </c>
      <c r="E343" s="21" t="s">
        <v>182</v>
      </c>
      <c r="F343" s="19">
        <f>Taylortsalpts</f>
        <v>5</v>
      </c>
    </row>
    <row r="344" spans="1:6" ht="14.95" customHeight="1" thickBot="1" x14ac:dyDescent="0.3">
      <c r="A344" s="8" t="s">
        <v>431</v>
      </c>
      <c r="B344" s="8" t="s">
        <v>183</v>
      </c>
      <c r="C344" s="9">
        <f>Willisonbthtries</f>
        <v>1</v>
      </c>
      <c r="D344" s="21" t="s">
        <v>1010</v>
      </c>
      <c r="E344" s="21" t="s">
        <v>181</v>
      </c>
      <c r="F344" s="19">
        <f>Van_Bredaworpts</f>
        <v>5</v>
      </c>
    </row>
    <row r="345" spans="1:6" ht="14.95" customHeight="1" thickBot="1" x14ac:dyDescent="0.3">
      <c r="A345" s="8" t="s">
        <v>493</v>
      </c>
      <c r="B345" s="8" t="s">
        <v>208</v>
      </c>
      <c r="C345" s="54">
        <f>Wolstenholmewastries</f>
        <v>1</v>
      </c>
      <c r="D345" s="21" t="s">
        <v>228</v>
      </c>
      <c r="E345" s="21" t="s">
        <v>215</v>
      </c>
      <c r="F345" s="19">
        <f>Saulolirpts</f>
        <v>5</v>
      </c>
    </row>
    <row r="346" spans="1:6" ht="14.95" customHeight="1" thickBot="1" x14ac:dyDescent="0.3">
      <c r="A346" s="8" t="s">
        <v>388</v>
      </c>
      <c r="B346" s="8" t="s">
        <v>184</v>
      </c>
      <c r="C346" s="9">
        <f>Woodtomtriescorrect</f>
        <v>1</v>
      </c>
      <c r="D346" s="21" t="s">
        <v>1154</v>
      </c>
      <c r="E346" s="21" t="s">
        <v>208</v>
      </c>
      <c r="F346" s="19">
        <f>Toomaga_Allenwaspts</f>
        <v>5</v>
      </c>
    </row>
    <row r="347" spans="1:6" ht="14.95" customHeight="1" thickBot="1" x14ac:dyDescent="0.3">
      <c r="A347" s="8" t="s">
        <v>390</v>
      </c>
      <c r="B347" s="8" t="s">
        <v>180</v>
      </c>
      <c r="C347" s="9">
        <f>Woodwardglotries</f>
        <v>1</v>
      </c>
      <c r="D347" s="21" t="s">
        <v>372</v>
      </c>
      <c r="E347" s="21" t="s">
        <v>207</v>
      </c>
      <c r="F347" s="19">
        <f>Townsendexepts</f>
        <v>5</v>
      </c>
    </row>
    <row r="348" spans="1:6" ht="14.95" customHeight="1" thickBot="1" x14ac:dyDescent="0.3">
      <c r="A348" s="8" t="s">
        <v>922</v>
      </c>
      <c r="B348" s="8" t="s">
        <v>890</v>
      </c>
      <c r="C348" s="9">
        <f>Wraysartriescorrect</f>
        <v>1</v>
      </c>
      <c r="D348" s="21" t="s">
        <v>375</v>
      </c>
      <c r="E348" s="21" t="s">
        <v>182</v>
      </c>
      <c r="F348" s="19">
        <f>Tuitupousampts</f>
        <v>5</v>
      </c>
    </row>
    <row r="349" spans="1:6" ht="14.95" customHeight="1" thickBot="1" x14ac:dyDescent="0.3">
      <c r="A349" s="8" t="s">
        <v>393</v>
      </c>
      <c r="B349" s="8" t="s">
        <v>207</v>
      </c>
      <c r="C349" s="9">
        <f>Yeandlejacktries</f>
        <v>1</v>
      </c>
      <c r="D349" s="21" t="s">
        <v>1008</v>
      </c>
      <c r="E349" s="21" t="s">
        <v>207</v>
      </c>
      <c r="F349" s="19">
        <f>Tuimaexepts</f>
        <v>5</v>
      </c>
    </row>
    <row r="350" spans="1:6" ht="14.95" customHeight="1" thickBot="1" x14ac:dyDescent="0.3">
      <c r="A350" s="8" t="s">
        <v>192</v>
      </c>
      <c r="B350" s="8" t="s">
        <v>209</v>
      </c>
      <c r="C350" s="9">
        <f>youngsbentries</f>
        <v>1</v>
      </c>
      <c r="D350" s="21" t="s">
        <v>381</v>
      </c>
      <c r="E350" s="21" t="s">
        <v>209</v>
      </c>
      <c r="F350" s="19">
        <f>van_Wyk_Fleicpts</f>
        <v>5</v>
      </c>
    </row>
    <row r="351" spans="1:6" ht="14.95" customHeight="1" thickBot="1" x14ac:dyDescent="0.3">
      <c r="A351" s="8" t="s">
        <v>891</v>
      </c>
      <c r="B351" s="8" t="s">
        <v>890</v>
      </c>
      <c r="C351" s="9">
        <f>Adams_Halesartriescorrect</f>
        <v>0</v>
      </c>
      <c r="D351" s="19" t="s">
        <v>384</v>
      </c>
      <c r="E351" s="19" t="s">
        <v>215</v>
      </c>
      <c r="F351" s="19">
        <f>Vuibripts</f>
        <v>5</v>
      </c>
    </row>
    <row r="352" spans="1:6" ht="14.95" customHeight="1" thickBot="1" x14ac:dyDescent="0.3">
      <c r="A352" s="8" t="s">
        <v>1202</v>
      </c>
      <c r="B352" s="8" t="s">
        <v>890</v>
      </c>
      <c r="C352" s="9">
        <f>Adejimisartries</f>
        <v>0</v>
      </c>
      <c r="D352" s="21" t="s">
        <v>198</v>
      </c>
      <c r="E352" s="21" t="s">
        <v>208</v>
      </c>
      <c r="F352" s="19">
        <f>Watsonwaspts</f>
        <v>5</v>
      </c>
    </row>
    <row r="353" spans="1:6" ht="14.95" customHeight="1" thickBot="1" x14ac:dyDescent="0.3">
      <c r="A353" s="8" t="s">
        <v>263</v>
      </c>
      <c r="B353" s="8" t="s">
        <v>215</v>
      </c>
      <c r="C353" s="9">
        <f>afoabritries</f>
        <v>0</v>
      </c>
      <c r="D353" s="21" t="s">
        <v>407</v>
      </c>
      <c r="E353" s="21" t="s">
        <v>209</v>
      </c>
      <c r="F353" s="20">
        <f>Wellsleicpts</f>
        <v>5</v>
      </c>
    </row>
    <row r="354" spans="1:6" ht="14.95" customHeight="1" thickBot="1" x14ac:dyDescent="0.3">
      <c r="A354" s="477" t="s">
        <v>638</v>
      </c>
      <c r="B354" s="477" t="s">
        <v>215</v>
      </c>
      <c r="C354" s="9">
        <f>Armstrongjakebritries</f>
        <v>0</v>
      </c>
      <c r="D354" s="21" t="s">
        <v>663</v>
      </c>
      <c r="E354" s="21" t="s">
        <v>206</v>
      </c>
      <c r="F354" s="19">
        <f>Watersharpts</f>
        <v>5</v>
      </c>
    </row>
    <row r="355" spans="1:6" ht="14.95" customHeight="1" thickBot="1" x14ac:dyDescent="0.3">
      <c r="A355" s="9" t="s">
        <v>869</v>
      </c>
      <c r="B355" s="9" t="s">
        <v>215</v>
      </c>
      <c r="C355" s="9">
        <f>Ascherlbritries</f>
        <v>0</v>
      </c>
      <c r="D355" s="21" t="s">
        <v>386</v>
      </c>
      <c r="E355" s="21" t="s">
        <v>207</v>
      </c>
      <c r="F355" s="19">
        <f>Whittenpts</f>
        <v>5</v>
      </c>
    </row>
    <row r="356" spans="1:6" ht="14.95" customHeight="1" thickBot="1" x14ac:dyDescent="0.3">
      <c r="A356" s="477" t="s">
        <v>185</v>
      </c>
      <c r="B356" s="477" t="s">
        <v>183</v>
      </c>
      <c r="C356" s="9">
        <f>Atkinsbthtries</f>
        <v>0</v>
      </c>
      <c r="D356" s="19" t="s">
        <v>1151</v>
      </c>
      <c r="E356" s="19" t="s">
        <v>184</v>
      </c>
      <c r="F356" s="19">
        <f>Wilkinsnorpts</f>
        <v>5</v>
      </c>
    </row>
    <row r="357" spans="1:6" ht="14.95" customHeight="1" thickBot="1" x14ac:dyDescent="0.3">
      <c r="A357" s="8" t="s">
        <v>463</v>
      </c>
      <c r="B357" s="8" t="s">
        <v>450</v>
      </c>
      <c r="C357" s="6">
        <f>Ah_Younewtries</f>
        <v>0</v>
      </c>
      <c r="D357" s="21" t="s">
        <v>1038</v>
      </c>
      <c r="E357" s="21" t="s">
        <v>450</v>
      </c>
      <c r="F357" s="19">
        <f>Sowreynewpts</f>
        <v>5</v>
      </c>
    </row>
    <row r="358" spans="1:6" ht="14.95" customHeight="1" thickBot="1" x14ac:dyDescent="0.3">
      <c r="A358" s="8" t="s">
        <v>794</v>
      </c>
      <c r="B358" s="8" t="s">
        <v>183</v>
      </c>
      <c r="C358" s="9">
        <f>Baileybthtries</f>
        <v>0</v>
      </c>
      <c r="D358" s="21" t="s">
        <v>431</v>
      </c>
      <c r="E358" s="21" t="s">
        <v>183</v>
      </c>
      <c r="F358" s="19">
        <f>Willisonbthpts</f>
        <v>5</v>
      </c>
    </row>
    <row r="359" spans="1:6" ht="14.95" customHeight="1" thickBot="1" x14ac:dyDescent="0.3">
      <c r="A359" s="8" t="s">
        <v>892</v>
      </c>
      <c r="B359" s="8" t="s">
        <v>890</v>
      </c>
      <c r="C359" s="9">
        <f>Barringtonsartriescorrect</f>
        <v>0</v>
      </c>
      <c r="D359" s="21" t="s">
        <v>494</v>
      </c>
      <c r="E359" s="21" t="s">
        <v>208</v>
      </c>
      <c r="F359" s="20">
        <f>Wolstenholmewaspts</f>
        <v>5</v>
      </c>
    </row>
    <row r="360" spans="1:6" ht="14.95" customHeight="1" thickBot="1" x14ac:dyDescent="0.3">
      <c r="A360" s="8" t="s">
        <v>1213</v>
      </c>
      <c r="B360" s="8" t="s">
        <v>180</v>
      </c>
      <c r="C360" s="9">
        <f>Bartlettglotries</f>
        <v>0</v>
      </c>
      <c r="D360" s="21" t="s">
        <v>388</v>
      </c>
      <c r="E360" s="21" t="s">
        <v>184</v>
      </c>
      <c r="F360" s="19">
        <f>Woodtomptscorrect</f>
        <v>5</v>
      </c>
    </row>
    <row r="361" spans="1:6" ht="14.95" customHeight="1" thickBot="1" x14ac:dyDescent="0.3">
      <c r="A361" s="8" t="s">
        <v>475</v>
      </c>
      <c r="B361" s="8" t="s">
        <v>180</v>
      </c>
      <c r="C361" s="9">
        <f>Bartonglotries</f>
        <v>0</v>
      </c>
      <c r="D361" s="21" t="s">
        <v>390</v>
      </c>
      <c r="E361" s="21" t="s">
        <v>180</v>
      </c>
      <c r="F361" s="19">
        <f>Woodwardglopts</f>
        <v>5</v>
      </c>
    </row>
    <row r="362" spans="1:6" ht="14.95" customHeight="1" thickBot="1" x14ac:dyDescent="0.3">
      <c r="A362" s="8" t="s">
        <v>745</v>
      </c>
      <c r="B362" s="8" t="s">
        <v>669</v>
      </c>
      <c r="C362" s="9">
        <f>Barringtonrichardtries</f>
        <v>0</v>
      </c>
      <c r="D362" s="21" t="s">
        <v>922</v>
      </c>
      <c r="E362" s="21" t="s">
        <v>890</v>
      </c>
      <c r="F362" s="19">
        <f>Wraysarptscorrect</f>
        <v>5</v>
      </c>
    </row>
    <row r="363" spans="1:6" ht="14.95" customHeight="1" thickBot="1" x14ac:dyDescent="0.3">
      <c r="A363" s="8" t="s">
        <v>1131</v>
      </c>
      <c r="B363" s="8" t="s">
        <v>890</v>
      </c>
      <c r="C363" s="9">
        <f>Beatonsartries</f>
        <v>0</v>
      </c>
      <c r="D363" s="21" t="s">
        <v>393</v>
      </c>
      <c r="E363" s="21" t="s">
        <v>207</v>
      </c>
      <c r="F363" s="19">
        <f>Yeandlejackpts</f>
        <v>5</v>
      </c>
    </row>
    <row r="364" spans="1:6" ht="14.95" customHeight="1" thickBot="1" x14ac:dyDescent="0.3">
      <c r="A364" s="8" t="s">
        <v>270</v>
      </c>
      <c r="B364" s="8" t="s">
        <v>182</v>
      </c>
      <c r="C364" s="6">
        <f>Beaumontsaltries</f>
        <v>0</v>
      </c>
      <c r="D364" s="21" t="s">
        <v>192</v>
      </c>
      <c r="E364" s="21" t="s">
        <v>209</v>
      </c>
      <c r="F364" s="19">
        <f>Youngsbenptscorrect</f>
        <v>5</v>
      </c>
    </row>
    <row r="365" spans="1:6" ht="14.95" customHeight="1" thickBot="1" x14ac:dyDescent="0.3">
      <c r="A365" s="8" t="s">
        <v>416</v>
      </c>
      <c r="B365" s="8" t="s">
        <v>215</v>
      </c>
      <c r="C365" s="9">
        <f>bedlowbritries</f>
        <v>0</v>
      </c>
      <c r="D365" s="21" t="s">
        <v>839</v>
      </c>
      <c r="E365" s="21" t="s">
        <v>890</v>
      </c>
      <c r="F365" s="19">
        <f>Vunipola__Manusarptscorrect</f>
        <v>4</v>
      </c>
    </row>
    <row r="366" spans="1:6" ht="14.95" customHeight="1" thickBot="1" x14ac:dyDescent="0.3">
      <c r="A366" s="303" t="s">
        <v>1086</v>
      </c>
      <c r="B366" s="303" t="s">
        <v>182</v>
      </c>
      <c r="C366" s="6">
        <f>Birchsaltries</f>
        <v>0</v>
      </c>
      <c r="D366" s="21" t="s">
        <v>891</v>
      </c>
      <c r="E366" s="21" t="s">
        <v>890</v>
      </c>
      <c r="F366" s="19">
        <f>Adams_Halesarptscorrect</f>
        <v>0</v>
      </c>
    </row>
    <row r="367" spans="1:6" ht="14.95" customHeight="1" thickBot="1" x14ac:dyDescent="0.3">
      <c r="A367" s="8" t="s">
        <v>1121</v>
      </c>
      <c r="B367" s="8" t="s">
        <v>180</v>
      </c>
      <c r="C367" s="9">
        <f>Blakeglotries</f>
        <v>0</v>
      </c>
      <c r="D367" s="21" t="s">
        <v>1202</v>
      </c>
      <c r="E367" s="21" t="s">
        <v>890</v>
      </c>
      <c r="F367" s="19">
        <f>Adejimisarpts</f>
        <v>0</v>
      </c>
    </row>
    <row r="368" spans="1:6" ht="14.95" customHeight="1" thickBot="1" x14ac:dyDescent="0.3">
      <c r="A368" s="9" t="s">
        <v>747</v>
      </c>
      <c r="B368" s="9" t="s">
        <v>209</v>
      </c>
      <c r="C368" s="9">
        <f>Batemanleitries</f>
        <v>0</v>
      </c>
      <c r="D368" s="21" t="s">
        <v>263</v>
      </c>
      <c r="E368" s="21" t="s">
        <v>215</v>
      </c>
      <c r="F368" s="19">
        <f>afoabripts</f>
        <v>0</v>
      </c>
    </row>
    <row r="369" spans="1:6" ht="14.95" customHeight="1" thickBot="1" x14ac:dyDescent="0.3">
      <c r="A369" s="8" t="s">
        <v>673</v>
      </c>
      <c r="B369" s="8" t="s">
        <v>669</v>
      </c>
      <c r="C369" s="9">
        <f>Boschmarcelotries</f>
        <v>0</v>
      </c>
      <c r="D369" s="21" t="s">
        <v>638</v>
      </c>
      <c r="E369" s="21" t="s">
        <v>215</v>
      </c>
      <c r="F369" s="19">
        <f>Armstrongjakebripts</f>
        <v>0</v>
      </c>
    </row>
    <row r="370" spans="1:6" ht="14.95" customHeight="1" thickBot="1" x14ac:dyDescent="0.3">
      <c r="A370" s="8" t="s">
        <v>1208</v>
      </c>
      <c r="B370" s="8" t="s">
        <v>450</v>
      </c>
      <c r="C370" s="9">
        <f>Arscottnewtries</f>
        <v>0</v>
      </c>
      <c r="D370" s="21" t="s">
        <v>869</v>
      </c>
      <c r="E370" s="21" t="s">
        <v>215</v>
      </c>
      <c r="F370" s="19">
        <f>Ascherlbripts</f>
        <v>0</v>
      </c>
    </row>
    <row r="371" spans="1:6" ht="14.95" customHeight="1" thickBot="1" x14ac:dyDescent="0.3">
      <c r="A371" s="8" t="s">
        <v>1201</v>
      </c>
      <c r="B371" s="8" t="s">
        <v>890</v>
      </c>
      <c r="C371" s="9">
        <f>Bryansartries</f>
        <v>0</v>
      </c>
      <c r="D371" s="438" t="s">
        <v>185</v>
      </c>
      <c r="E371" s="438" t="s">
        <v>183</v>
      </c>
      <c r="F371" s="18">
        <f>Atkinsbthpts</f>
        <v>0</v>
      </c>
    </row>
    <row r="372" spans="1:6" ht="14.95" customHeight="1" thickBot="1" x14ac:dyDescent="0.3">
      <c r="A372" s="8" t="s">
        <v>957</v>
      </c>
      <c r="B372" s="8" t="s">
        <v>669</v>
      </c>
      <c r="C372" s="9">
        <f>Burrellnewtries</f>
        <v>0</v>
      </c>
      <c r="D372" s="21" t="s">
        <v>463</v>
      </c>
      <c r="E372" s="21" t="s">
        <v>450</v>
      </c>
      <c r="F372" s="19">
        <f>Ah_Younewpts</f>
        <v>0</v>
      </c>
    </row>
    <row r="373" spans="1:6" ht="14.95" customHeight="1" thickBot="1" x14ac:dyDescent="0.3">
      <c r="A373" s="8" t="s">
        <v>275</v>
      </c>
      <c r="B373" s="8" t="s">
        <v>181</v>
      </c>
      <c r="C373" s="9">
        <f>Daviesalextries</f>
        <v>0</v>
      </c>
      <c r="D373" s="21" t="s">
        <v>892</v>
      </c>
      <c r="E373" s="21" t="s">
        <v>890</v>
      </c>
      <c r="F373" s="19">
        <f>Barringtonsarptscorrect</f>
        <v>0</v>
      </c>
    </row>
    <row r="374" spans="1:6" ht="14.95" customHeight="1" thickBot="1" x14ac:dyDescent="0.3">
      <c r="A374" s="8" t="s">
        <v>854</v>
      </c>
      <c r="B374" s="8" t="s">
        <v>183</v>
      </c>
      <c r="C374" s="9">
        <f>Buttbthtries</f>
        <v>0</v>
      </c>
      <c r="D374" s="21" t="s">
        <v>1213</v>
      </c>
      <c r="E374" s="21" t="s">
        <v>180</v>
      </c>
      <c r="F374" s="19">
        <f>Bartlettglopts</f>
        <v>0</v>
      </c>
    </row>
    <row r="375" spans="1:6" ht="14.95" customHeight="1" thickBot="1" x14ac:dyDescent="0.3">
      <c r="A375" s="8" t="s">
        <v>484</v>
      </c>
      <c r="B375" s="8" t="s">
        <v>208</v>
      </c>
      <c r="C375" s="9">
        <f>Cardallwastries</f>
        <v>0</v>
      </c>
      <c r="D375" s="21" t="s">
        <v>745</v>
      </c>
      <c r="E375" s="21" t="s">
        <v>669</v>
      </c>
      <c r="F375" s="19">
        <f>Barringtonrichardpts</f>
        <v>0</v>
      </c>
    </row>
    <row r="376" spans="1:6" ht="14.95" customHeight="1" thickBot="1" x14ac:dyDescent="0.3">
      <c r="A376" s="9" t="s">
        <v>1203</v>
      </c>
      <c r="B376" s="9" t="s">
        <v>182</v>
      </c>
      <c r="C376" s="9">
        <f>Carpentersaltries</f>
        <v>0</v>
      </c>
      <c r="D376" s="21" t="s">
        <v>1131</v>
      </c>
      <c r="E376" s="21" t="s">
        <v>890</v>
      </c>
      <c r="F376" s="19">
        <f>Beatonsarpts</f>
        <v>0</v>
      </c>
    </row>
    <row r="377" spans="1:6" ht="14.95" customHeight="1" thickBot="1" x14ac:dyDescent="0.3">
      <c r="A377" s="8" t="s">
        <v>1193</v>
      </c>
      <c r="B377" s="8" t="s">
        <v>208</v>
      </c>
      <c r="C377" s="9">
        <f>Carrnwastries</f>
        <v>0</v>
      </c>
      <c r="D377" s="21" t="s">
        <v>270</v>
      </c>
      <c r="E377" s="21" t="s">
        <v>182</v>
      </c>
      <c r="F377" s="19">
        <f>Beaumontsalpts</f>
        <v>0</v>
      </c>
    </row>
    <row r="378" spans="1:6" ht="14.95" customHeight="1" thickBot="1" x14ac:dyDescent="0.3">
      <c r="A378" s="8" t="s">
        <v>1192</v>
      </c>
      <c r="B378" s="8" t="s">
        <v>450</v>
      </c>
      <c r="C378" s="6">
        <f>Blamirenewtries</f>
        <v>0</v>
      </c>
      <c r="D378" s="21" t="s">
        <v>416</v>
      </c>
      <c r="E378" s="21" t="s">
        <v>215</v>
      </c>
      <c r="F378" s="19">
        <f>Bedlowbripts</f>
        <v>0</v>
      </c>
    </row>
    <row r="379" spans="1:6" ht="14.95" customHeight="1" thickBot="1" x14ac:dyDescent="0.3">
      <c r="A379" s="8" t="s">
        <v>189</v>
      </c>
      <c r="B379" s="8" t="s">
        <v>206</v>
      </c>
      <c r="C379" s="54">
        <f>Chisholmjameshartries</f>
        <v>0</v>
      </c>
      <c r="D379" s="433" t="s">
        <v>1086</v>
      </c>
      <c r="E379" s="433" t="s">
        <v>182</v>
      </c>
      <c r="F379" s="19">
        <f>Birchsalpts</f>
        <v>0</v>
      </c>
    </row>
    <row r="380" spans="1:6" ht="14.95" customHeight="1" thickBot="1" x14ac:dyDescent="0.3">
      <c r="A380" s="8" t="s">
        <v>190</v>
      </c>
      <c r="B380" s="8" t="s">
        <v>206</v>
      </c>
      <c r="C380" s="9">
        <f>Chisholm_Rhartries</f>
        <v>0</v>
      </c>
      <c r="D380" s="21" t="s">
        <v>1121</v>
      </c>
      <c r="E380" s="21" t="s">
        <v>180</v>
      </c>
      <c r="F380" s="19">
        <f>Blakeglopts</f>
        <v>0</v>
      </c>
    </row>
    <row r="381" spans="1:6" ht="14.95" customHeight="1" thickBot="1" x14ac:dyDescent="0.3">
      <c r="A381" s="8" t="s">
        <v>893</v>
      </c>
      <c r="B381" s="8" t="s">
        <v>890</v>
      </c>
      <c r="C381" s="9">
        <f>Christiesartriescorrect</f>
        <v>0</v>
      </c>
      <c r="D381" s="19" t="s">
        <v>747</v>
      </c>
      <c r="E381" s="19" t="s">
        <v>209</v>
      </c>
      <c r="F381" s="18">
        <f>Batemanleipts</f>
        <v>0</v>
      </c>
    </row>
    <row r="382" spans="1:6" ht="14.95" customHeight="1" thickBot="1" x14ac:dyDescent="0.3">
      <c r="A382" s="303" t="s">
        <v>277</v>
      </c>
      <c r="B382" s="303" t="s">
        <v>183</v>
      </c>
      <c r="C382" s="9">
        <f>Chudleybthtries</f>
        <v>0</v>
      </c>
      <c r="D382" s="21" t="s">
        <v>673</v>
      </c>
      <c r="E382" s="21" t="s">
        <v>669</v>
      </c>
      <c r="F382" s="19">
        <f>Boschmarcelopts</f>
        <v>0</v>
      </c>
    </row>
    <row r="383" spans="1:6" ht="14.95" customHeight="1" thickBot="1" x14ac:dyDescent="0.3">
      <c r="A383" s="303" t="s">
        <v>856</v>
      </c>
      <c r="B383" s="303" t="s">
        <v>183</v>
      </c>
      <c r="C383" s="9">
        <f>Ciprianibthtries</f>
        <v>0</v>
      </c>
      <c r="D383" s="21" t="s">
        <v>1208</v>
      </c>
      <c r="E383" s="21" t="s">
        <v>450</v>
      </c>
      <c r="F383" s="19">
        <f>Arscottnewpts</f>
        <v>0</v>
      </c>
    </row>
    <row r="384" spans="1:6" ht="14.95" customHeight="1" thickBot="1" x14ac:dyDescent="0.3">
      <c r="A384" s="8" t="s">
        <v>723</v>
      </c>
      <c r="B384" s="8" t="s">
        <v>209</v>
      </c>
      <c r="C384" s="9">
        <f>Blommetjiesleictries</f>
        <v>0</v>
      </c>
      <c r="D384" s="21" t="s">
        <v>1201</v>
      </c>
      <c r="E384" s="21" t="s">
        <v>890</v>
      </c>
      <c r="F384" s="19">
        <f>Bryansarpts</f>
        <v>0</v>
      </c>
    </row>
    <row r="385" spans="1:6" ht="14.95" customHeight="1" thickBot="1" x14ac:dyDescent="0.3">
      <c r="A385" s="8" t="s">
        <v>894</v>
      </c>
      <c r="B385" s="8" t="s">
        <v>890</v>
      </c>
      <c r="C385" s="9">
        <f>Clareysartriescorrect</f>
        <v>0</v>
      </c>
      <c r="D385" s="21" t="s">
        <v>957</v>
      </c>
      <c r="E385" s="21" t="s">
        <v>669</v>
      </c>
      <c r="F385" s="19">
        <f>Burrellnewpts</f>
        <v>0</v>
      </c>
    </row>
    <row r="386" spans="1:6" ht="14.95" customHeight="1" thickBot="1" x14ac:dyDescent="0.3">
      <c r="A386" s="303" t="s">
        <v>1210</v>
      </c>
      <c r="B386" s="303" t="s">
        <v>206</v>
      </c>
      <c r="C386" s="9">
        <f>Cleaveshartries</f>
        <v>0</v>
      </c>
      <c r="D386" s="21" t="s">
        <v>275</v>
      </c>
      <c r="E386" s="21" t="s">
        <v>181</v>
      </c>
      <c r="F386" s="19">
        <f>Daviesalexpts</f>
        <v>0</v>
      </c>
    </row>
    <row r="387" spans="1:6" ht="14.95" customHeight="1" thickBot="1" x14ac:dyDescent="0.3">
      <c r="A387" s="8" t="s">
        <v>858</v>
      </c>
      <c r="B387" s="8" t="s">
        <v>183</v>
      </c>
      <c r="C387" s="9">
        <f>Coetzeebthtries</f>
        <v>0</v>
      </c>
      <c r="D387" s="21" t="s">
        <v>854</v>
      </c>
      <c r="E387" s="21" t="s">
        <v>183</v>
      </c>
      <c r="F387" s="19">
        <f>Buttbthpts</f>
        <v>0</v>
      </c>
    </row>
    <row r="388" spans="1:6" ht="14.95" customHeight="1" thickBot="1" x14ac:dyDescent="0.3">
      <c r="A388" s="8" t="s">
        <v>752</v>
      </c>
      <c r="B388" s="8" t="s">
        <v>450</v>
      </c>
      <c r="C388" s="9">
        <f>Cokanasigaplirtries</f>
        <v>0</v>
      </c>
      <c r="D388" s="21" t="s">
        <v>484</v>
      </c>
      <c r="E388" s="21" t="s">
        <v>208</v>
      </c>
      <c r="F388" s="18">
        <f>Cardallwaspts</f>
        <v>0</v>
      </c>
    </row>
    <row r="389" spans="1:6" ht="14.95" customHeight="1" thickBot="1" x14ac:dyDescent="0.3">
      <c r="A389" s="8" t="s">
        <v>281</v>
      </c>
      <c r="B389" s="8" t="s">
        <v>209</v>
      </c>
      <c r="C389" s="9">
        <f>Coleleitries</f>
        <v>0</v>
      </c>
      <c r="D389" s="19" t="s">
        <v>1203</v>
      </c>
      <c r="E389" s="21" t="s">
        <v>182</v>
      </c>
      <c r="F389" s="19">
        <f>Carpentersalpts</f>
        <v>0</v>
      </c>
    </row>
    <row r="390" spans="1:6" ht="14.95" customHeight="1" thickBot="1" x14ac:dyDescent="0.3">
      <c r="A390" s="9" t="s">
        <v>496</v>
      </c>
      <c r="B390" s="9" t="s">
        <v>450</v>
      </c>
      <c r="C390" s="9">
        <f>Cookelirtries</f>
        <v>0</v>
      </c>
      <c r="D390" s="21" t="s">
        <v>1193</v>
      </c>
      <c r="E390" s="21" t="s">
        <v>208</v>
      </c>
      <c r="F390" s="19">
        <f>Carrnwaspts</f>
        <v>0</v>
      </c>
    </row>
    <row r="391" spans="1:6" ht="14.95" customHeight="1" thickBot="1" x14ac:dyDescent="0.3">
      <c r="A391" s="8" t="s">
        <v>860</v>
      </c>
      <c r="B391" s="8" t="s">
        <v>183</v>
      </c>
      <c r="C391" s="9">
        <f>Cookbthtries</f>
        <v>0</v>
      </c>
      <c r="D391" s="21" t="s">
        <v>1192</v>
      </c>
      <c r="E391" s="21" t="s">
        <v>450</v>
      </c>
      <c r="F391" s="19">
        <f>Blamirenewpts</f>
        <v>0</v>
      </c>
    </row>
    <row r="392" spans="1:6" ht="14.95" customHeight="1" thickBot="1" x14ac:dyDescent="0.3">
      <c r="A392" s="8" t="s">
        <v>651</v>
      </c>
      <c r="B392" s="8" t="s">
        <v>180</v>
      </c>
      <c r="C392" s="9">
        <f>Dentonglotries</f>
        <v>0</v>
      </c>
      <c r="D392" s="21" t="s">
        <v>189</v>
      </c>
      <c r="E392" s="21" t="s">
        <v>206</v>
      </c>
      <c r="F392" s="19">
        <f>Chisholmjamesharpts</f>
        <v>0</v>
      </c>
    </row>
    <row r="393" spans="1:6" ht="14.95" customHeight="1" thickBot="1" x14ac:dyDescent="0.3">
      <c r="A393" s="8" t="s">
        <v>196</v>
      </c>
      <c r="B393" s="8" t="s">
        <v>182</v>
      </c>
      <c r="C393" s="9">
        <f>Curry_Tsaltries</f>
        <v>0</v>
      </c>
      <c r="D393" s="21" t="s">
        <v>190</v>
      </c>
      <c r="E393" s="21" t="s">
        <v>206</v>
      </c>
      <c r="F393" s="19">
        <f>Chisholm_Rharpts</f>
        <v>0</v>
      </c>
    </row>
    <row r="394" spans="1:6" ht="14.95" customHeight="1" thickBot="1" x14ac:dyDescent="0.3">
      <c r="A394" s="8" t="s">
        <v>489</v>
      </c>
      <c r="B394" s="8" t="s">
        <v>182</v>
      </c>
      <c r="C394" s="9">
        <f>Curtissaltries</f>
        <v>0</v>
      </c>
      <c r="D394" s="21" t="s">
        <v>893</v>
      </c>
      <c r="E394" s="21" t="s">
        <v>890</v>
      </c>
      <c r="F394" s="19">
        <f>Christiesarptscorrect</f>
        <v>0</v>
      </c>
    </row>
    <row r="395" spans="1:6" ht="14.95" customHeight="1" thickBot="1" x14ac:dyDescent="0.3">
      <c r="A395" s="8" t="s">
        <v>570</v>
      </c>
      <c r="B395" s="8" t="s">
        <v>181</v>
      </c>
      <c r="C395" s="9">
        <f>Coxwortries</f>
        <v>0</v>
      </c>
      <c r="D395" s="433" t="s">
        <v>277</v>
      </c>
      <c r="E395" s="433" t="s">
        <v>183</v>
      </c>
      <c r="F395" s="19">
        <f>Chudleybthpts</f>
        <v>0</v>
      </c>
    </row>
    <row r="396" spans="1:6" ht="14.95" customHeight="1" thickBot="1" x14ac:dyDescent="0.3">
      <c r="A396" s="8" t="s">
        <v>960</v>
      </c>
      <c r="B396" s="8" t="s">
        <v>669</v>
      </c>
      <c r="C396" s="9">
        <f>Daltonnewtries</f>
        <v>0</v>
      </c>
      <c r="D396" s="21" t="s">
        <v>723</v>
      </c>
      <c r="E396" s="21" t="s">
        <v>209</v>
      </c>
      <c r="F396" s="19">
        <f>Blommetjiesleicpts</f>
        <v>0</v>
      </c>
    </row>
    <row r="397" spans="1:6" ht="14.95" customHeight="1" thickBot="1" x14ac:dyDescent="0.3">
      <c r="A397" s="8" t="s">
        <v>441</v>
      </c>
      <c r="B397" s="8" t="s">
        <v>206</v>
      </c>
      <c r="C397" s="9">
        <f>Davidhartries</f>
        <v>0</v>
      </c>
      <c r="D397" s="21" t="s">
        <v>894</v>
      </c>
      <c r="E397" s="21" t="s">
        <v>890</v>
      </c>
      <c r="F397" s="19">
        <f>Clareysarptscorrect</f>
        <v>0</v>
      </c>
    </row>
    <row r="398" spans="1:6" ht="14.95" customHeight="1" thickBot="1" x14ac:dyDescent="0.3">
      <c r="A398" s="8" t="s">
        <v>1051</v>
      </c>
      <c r="B398" s="8" t="s">
        <v>180</v>
      </c>
      <c r="C398" s="9">
        <f>Davidsonglotries</f>
        <v>0</v>
      </c>
      <c r="D398" s="433" t="s">
        <v>1210</v>
      </c>
      <c r="E398" s="433" t="s">
        <v>206</v>
      </c>
      <c r="F398" s="19">
        <f>Cleavesharpts</f>
        <v>0</v>
      </c>
    </row>
    <row r="399" spans="1:6" ht="14.95" customHeight="1" thickBot="1" x14ac:dyDescent="0.3">
      <c r="A399" s="8" t="s">
        <v>897</v>
      </c>
      <c r="B399" s="8" t="s">
        <v>890</v>
      </c>
      <c r="C399" s="9">
        <f>de_Haassartriescorrect</f>
        <v>0</v>
      </c>
      <c r="D399" s="21" t="s">
        <v>858</v>
      </c>
      <c r="E399" s="21" t="s">
        <v>183</v>
      </c>
      <c r="F399" s="19">
        <f>Coetzeebthpts</f>
        <v>0</v>
      </c>
    </row>
    <row r="400" spans="1:6" ht="14.95" customHeight="1" thickBot="1" x14ac:dyDescent="0.3">
      <c r="A400" s="8" t="s">
        <v>788</v>
      </c>
      <c r="B400" s="8" t="s">
        <v>182</v>
      </c>
      <c r="C400" s="9">
        <f>de_Jagersaltries</f>
        <v>0</v>
      </c>
      <c r="D400" s="21" t="s">
        <v>752</v>
      </c>
      <c r="E400" s="21" t="s">
        <v>450</v>
      </c>
      <c r="F400" s="19">
        <f>Cokanasigaplirpts</f>
        <v>0</v>
      </c>
    </row>
    <row r="401" spans="1:6" ht="14.95" customHeight="1" thickBot="1" x14ac:dyDescent="0.3">
      <c r="A401" s="8" t="s">
        <v>287</v>
      </c>
      <c r="B401" s="8" t="s">
        <v>207</v>
      </c>
      <c r="C401" s="9">
        <f>Devotoexetries</f>
        <v>0</v>
      </c>
      <c r="D401" s="21" t="s">
        <v>281</v>
      </c>
      <c r="E401" s="21" t="s">
        <v>209</v>
      </c>
      <c r="F401" s="19">
        <f>Coleleipts</f>
        <v>0</v>
      </c>
    </row>
    <row r="402" spans="1:6" ht="14.95" customHeight="1" thickBot="1" x14ac:dyDescent="0.3">
      <c r="A402" s="8" t="s">
        <v>1094</v>
      </c>
      <c r="B402" s="8" t="s">
        <v>181</v>
      </c>
      <c r="C402" s="9">
        <f>Fatialofawortries</f>
        <v>0</v>
      </c>
      <c r="D402" s="19" t="s">
        <v>496</v>
      </c>
      <c r="E402" s="19" t="s">
        <v>450</v>
      </c>
      <c r="F402" s="19">
        <f>Cookelirpts</f>
        <v>0</v>
      </c>
    </row>
    <row r="403" spans="1:6" ht="14.95" customHeight="1" thickBot="1" x14ac:dyDescent="0.3">
      <c r="A403" s="8" t="s">
        <v>810</v>
      </c>
      <c r="B403" s="8" t="s">
        <v>182</v>
      </c>
      <c r="C403" s="9">
        <f>Dohertysaltries</f>
        <v>0</v>
      </c>
      <c r="D403" s="21" t="s">
        <v>860</v>
      </c>
      <c r="E403" s="21" t="s">
        <v>183</v>
      </c>
      <c r="F403" s="19">
        <f>Cookbthpts</f>
        <v>0</v>
      </c>
    </row>
    <row r="404" spans="1:6" ht="14.95" customHeight="1" thickBot="1" x14ac:dyDescent="0.3">
      <c r="A404" s="8" t="s">
        <v>598</v>
      </c>
      <c r="B404" s="8" t="s">
        <v>450</v>
      </c>
      <c r="C404" s="9">
        <f>Donnelllirtries</f>
        <v>0</v>
      </c>
      <c r="D404" s="21" t="s">
        <v>651</v>
      </c>
      <c r="E404" s="21" t="s">
        <v>180</v>
      </c>
      <c r="F404" s="19">
        <f>Dentonglopts</f>
        <v>0</v>
      </c>
    </row>
    <row r="405" spans="1:6" ht="14.95" customHeight="1" thickBot="1" x14ac:dyDescent="0.3">
      <c r="A405" s="8" t="s">
        <v>625</v>
      </c>
      <c r="B405" s="8" t="s">
        <v>183</v>
      </c>
      <c r="C405" s="9">
        <f>Douglasbthtries</f>
        <v>0</v>
      </c>
      <c r="D405" s="21" t="s">
        <v>196</v>
      </c>
      <c r="E405" s="21" t="s">
        <v>182</v>
      </c>
      <c r="F405" s="19">
        <f>Curry_Tsalpts</f>
        <v>0</v>
      </c>
    </row>
    <row r="406" spans="1:6" ht="14.95" customHeight="1" thickBot="1" x14ac:dyDescent="0.3">
      <c r="A406" s="8" t="s">
        <v>803</v>
      </c>
      <c r="B406" s="8" t="s">
        <v>183</v>
      </c>
      <c r="C406" s="9">
        <f>du_Toitbthtries</f>
        <v>0</v>
      </c>
      <c r="D406" s="21" t="s">
        <v>570</v>
      </c>
      <c r="E406" s="21" t="s">
        <v>181</v>
      </c>
      <c r="F406" s="19">
        <f>Coxworpts</f>
        <v>0</v>
      </c>
    </row>
    <row r="407" spans="1:6" ht="14.95" customHeight="1" thickBot="1" x14ac:dyDescent="0.3">
      <c r="A407" s="8" t="s">
        <v>1061</v>
      </c>
      <c r="B407" s="8" t="s">
        <v>182</v>
      </c>
      <c r="C407" s="9">
        <f>Dugdalesaltries</f>
        <v>0</v>
      </c>
      <c r="D407" s="19" t="s">
        <v>960</v>
      </c>
      <c r="E407" s="19" t="s">
        <v>669</v>
      </c>
      <c r="F407" s="19">
        <f>Daltonnewpts</f>
        <v>0</v>
      </c>
    </row>
    <row r="408" spans="1:6" ht="14.95" customHeight="1" thickBot="1" x14ac:dyDescent="0.3">
      <c r="A408" s="8" t="s">
        <v>1059</v>
      </c>
      <c r="B408" s="8" t="s">
        <v>215</v>
      </c>
      <c r="C408" s="9">
        <f>Cranebritries</f>
        <v>0</v>
      </c>
      <c r="D408" s="21" t="s">
        <v>441</v>
      </c>
      <c r="E408" s="21" t="s">
        <v>206</v>
      </c>
      <c r="F408" s="19">
        <f>Davidharpts</f>
        <v>0</v>
      </c>
    </row>
    <row r="409" spans="1:6" ht="14.95" customHeight="1" thickBot="1" x14ac:dyDescent="0.3">
      <c r="A409" s="9" t="s">
        <v>290</v>
      </c>
      <c r="B409" s="8" t="s">
        <v>215</v>
      </c>
      <c r="C409" s="9">
        <f>Danielsbritries</f>
        <v>0</v>
      </c>
      <c r="D409" s="21" t="s">
        <v>1051</v>
      </c>
      <c r="E409" s="21" t="s">
        <v>180</v>
      </c>
      <c r="F409" s="19">
        <f>Davidsonglopts</f>
        <v>0</v>
      </c>
    </row>
    <row r="410" spans="1:6" ht="14.95" customHeight="1" thickBot="1" x14ac:dyDescent="0.3">
      <c r="A410" s="9" t="s">
        <v>1221</v>
      </c>
      <c r="B410" s="8" t="s">
        <v>209</v>
      </c>
      <c r="C410" s="9">
        <f>Edwardsleictries</f>
        <v>0</v>
      </c>
      <c r="D410" s="21" t="s">
        <v>897</v>
      </c>
      <c r="E410" s="21" t="s">
        <v>890</v>
      </c>
      <c r="F410" s="19">
        <f>de_Haassarptscorrect</f>
        <v>0</v>
      </c>
    </row>
    <row r="411" spans="1:6" ht="14.95" customHeight="1" thickBot="1" x14ac:dyDescent="0.3">
      <c r="A411" s="8" t="s">
        <v>817</v>
      </c>
      <c r="B411" s="8" t="s">
        <v>206</v>
      </c>
      <c r="C411" s="9">
        <f>Edwardshartries</f>
        <v>0</v>
      </c>
      <c r="D411" s="21" t="s">
        <v>788</v>
      </c>
      <c r="E411" s="21" t="s">
        <v>182</v>
      </c>
      <c r="F411" s="19">
        <f>de_Jagersalpts</f>
        <v>0</v>
      </c>
    </row>
    <row r="412" spans="1:6" ht="14.95" customHeight="1" thickBot="1" x14ac:dyDescent="0.3">
      <c r="A412" s="9" t="s">
        <v>659</v>
      </c>
      <c r="B412" s="9" t="s">
        <v>206</v>
      </c>
      <c r="C412" s="9">
        <f>Evans_Ohartries</f>
        <v>0</v>
      </c>
      <c r="D412" s="21" t="s">
        <v>287</v>
      </c>
      <c r="E412" s="21" t="s">
        <v>207</v>
      </c>
      <c r="F412" s="19">
        <f>Devotoexepts</f>
        <v>0</v>
      </c>
    </row>
    <row r="413" spans="1:6" ht="14.95" customHeight="1" thickBot="1" x14ac:dyDescent="0.3">
      <c r="A413" s="8" t="s">
        <v>1153</v>
      </c>
      <c r="B413" s="8" t="s">
        <v>450</v>
      </c>
      <c r="C413" s="9">
        <f>Englefieldlirtries</f>
        <v>0</v>
      </c>
      <c r="D413" s="21" t="s">
        <v>1094</v>
      </c>
      <c r="E413" s="21" t="s">
        <v>181</v>
      </c>
      <c r="F413" s="19">
        <f>Fatialofaworpts</f>
        <v>0</v>
      </c>
    </row>
    <row r="414" spans="1:6" ht="14.95" customHeight="1" thickBot="1" x14ac:dyDescent="0.3">
      <c r="A414" s="9" t="s">
        <v>188</v>
      </c>
      <c r="B414" s="8" t="s">
        <v>180</v>
      </c>
      <c r="C414" s="9">
        <f>Evans_Lglotries</f>
        <v>0</v>
      </c>
      <c r="D414" s="21" t="s">
        <v>810</v>
      </c>
      <c r="E414" s="21" t="s">
        <v>182</v>
      </c>
      <c r="F414" s="19">
        <f>Dohertysalpts</f>
        <v>0</v>
      </c>
    </row>
    <row r="415" spans="1:6" ht="14.95" customHeight="1" thickBot="1" x14ac:dyDescent="0.3">
      <c r="A415" s="8" t="s">
        <v>294</v>
      </c>
      <c r="B415" s="8" t="s">
        <v>183</v>
      </c>
      <c r="C415" s="9">
        <f>ewelsbthtries</f>
        <v>0</v>
      </c>
      <c r="D415" s="21" t="s">
        <v>598</v>
      </c>
      <c r="E415" s="21" t="s">
        <v>450</v>
      </c>
      <c r="F415" s="19">
        <f>Donnelllirpts</f>
        <v>0</v>
      </c>
    </row>
    <row r="416" spans="1:6" ht="14.95" customHeight="1" thickBot="1" x14ac:dyDescent="0.3">
      <c r="A416" s="9" t="s">
        <v>962</v>
      </c>
      <c r="B416" s="9" t="s">
        <v>669</v>
      </c>
      <c r="C416" s="9">
        <f>Earlsartries</f>
        <v>0</v>
      </c>
      <c r="D416" s="21" t="s">
        <v>625</v>
      </c>
      <c r="E416" s="21" t="s">
        <v>183</v>
      </c>
      <c r="F416" s="20">
        <f>Douglasbthpts</f>
        <v>0</v>
      </c>
    </row>
    <row r="417" spans="1:6" ht="14.95" customHeight="1" thickBot="1" x14ac:dyDescent="0.3">
      <c r="A417" s="8" t="s">
        <v>898</v>
      </c>
      <c r="B417" s="8" t="s">
        <v>890</v>
      </c>
      <c r="C417" s="9">
        <f>farrellsartriescorrect</f>
        <v>0</v>
      </c>
      <c r="D417" s="21" t="s">
        <v>803</v>
      </c>
      <c r="E417" s="21" t="s">
        <v>183</v>
      </c>
      <c r="F417" s="19">
        <f>du_Toitbthpts</f>
        <v>0</v>
      </c>
    </row>
    <row r="418" spans="1:6" ht="14.95" customHeight="1" thickBot="1" x14ac:dyDescent="0.3">
      <c r="A418" s="8" t="s">
        <v>548</v>
      </c>
      <c r="B418" s="8" t="s">
        <v>208</v>
      </c>
      <c r="C418" s="9">
        <f>Eastgatewastries</f>
        <v>0</v>
      </c>
      <c r="D418" s="21" t="s">
        <v>1061</v>
      </c>
      <c r="E418" s="21" t="s">
        <v>182</v>
      </c>
      <c r="F418" s="19">
        <f>Dugdalesalpts</f>
        <v>0</v>
      </c>
    </row>
    <row r="419" spans="1:6" ht="14.95" customHeight="1" thickBot="1" x14ac:dyDescent="0.3">
      <c r="A419" s="9" t="s">
        <v>193</v>
      </c>
      <c r="B419" s="8" t="s">
        <v>184</v>
      </c>
      <c r="C419" s="9">
        <f>Francisnortries</f>
        <v>0</v>
      </c>
      <c r="D419" s="21" t="s">
        <v>1059</v>
      </c>
      <c r="E419" s="21" t="s">
        <v>215</v>
      </c>
      <c r="F419" s="19">
        <f>cranebripts</f>
        <v>0</v>
      </c>
    </row>
    <row r="420" spans="1:6" ht="14.95" customHeight="1" thickBot="1" x14ac:dyDescent="0.3">
      <c r="A420" s="8" t="s">
        <v>736</v>
      </c>
      <c r="B420" s="8" t="s">
        <v>669</v>
      </c>
      <c r="C420" s="9">
        <f>Fusernewtries</f>
        <v>0</v>
      </c>
      <c r="D420" s="21" t="s">
        <v>290</v>
      </c>
      <c r="E420" s="21" t="s">
        <v>215</v>
      </c>
      <c r="F420" s="19">
        <f>Danielsbripts</f>
        <v>0</v>
      </c>
    </row>
    <row r="421" spans="1:6" ht="14.95" customHeight="1" thickBot="1" x14ac:dyDescent="0.3">
      <c r="A421" s="9" t="s">
        <v>299</v>
      </c>
      <c r="B421" s="8" t="s">
        <v>208</v>
      </c>
      <c r="C421" s="9">
        <f>Gaskellwastries</f>
        <v>0</v>
      </c>
      <c r="D421" s="21" t="s">
        <v>1221</v>
      </c>
      <c r="E421" s="21" t="s">
        <v>209</v>
      </c>
      <c r="F421" s="19">
        <f>Edwardsleicpts</f>
        <v>0</v>
      </c>
    </row>
    <row r="422" spans="1:6" ht="14.95" customHeight="1" thickBot="1" x14ac:dyDescent="0.3">
      <c r="A422" s="8" t="s">
        <v>592</v>
      </c>
      <c r="B422" s="8" t="s">
        <v>184</v>
      </c>
      <c r="C422" s="9">
        <f>Gillespienortries</f>
        <v>0</v>
      </c>
      <c r="D422" s="19" t="s">
        <v>659</v>
      </c>
      <c r="E422" s="19" t="s">
        <v>206</v>
      </c>
      <c r="F422" s="19">
        <f>Evans_Oharpts</f>
        <v>0</v>
      </c>
    </row>
    <row r="423" spans="1:6" ht="14.95" customHeight="1" thickBot="1" x14ac:dyDescent="0.3">
      <c r="A423" s="8" t="s">
        <v>301</v>
      </c>
      <c r="B423" s="8" t="s">
        <v>180</v>
      </c>
      <c r="C423" s="9">
        <f>Halaifonuaglotries</f>
        <v>0</v>
      </c>
      <c r="D423" s="21" t="s">
        <v>1153</v>
      </c>
      <c r="E423" s="21" t="s">
        <v>450</v>
      </c>
      <c r="F423" s="19">
        <f>Englefieldlirpts</f>
        <v>0</v>
      </c>
    </row>
    <row r="424" spans="1:6" ht="14.95" customHeight="1" thickBot="1" x14ac:dyDescent="0.3">
      <c r="A424" s="8" t="s">
        <v>452</v>
      </c>
      <c r="B424" s="8" t="s">
        <v>450</v>
      </c>
      <c r="C424" s="54">
        <f>Davidsonnewtries</f>
        <v>0</v>
      </c>
      <c r="D424" s="21" t="s">
        <v>294</v>
      </c>
      <c r="E424" s="21" t="s">
        <v>183</v>
      </c>
      <c r="F424" s="19">
        <f>Ewelsbthpts</f>
        <v>0</v>
      </c>
    </row>
    <row r="425" spans="1:6" ht="14.95" customHeight="1" thickBot="1" x14ac:dyDescent="0.3">
      <c r="A425" s="9" t="s">
        <v>732</v>
      </c>
      <c r="B425" s="9" t="s">
        <v>669</v>
      </c>
      <c r="C425" s="9">
        <f>Farrellowentries</f>
        <v>0</v>
      </c>
      <c r="D425" s="19" t="s">
        <v>962</v>
      </c>
      <c r="E425" s="19" t="s">
        <v>669</v>
      </c>
      <c r="F425" s="19">
        <f>Earlsarpts</f>
        <v>0</v>
      </c>
    </row>
    <row r="426" spans="1:6" ht="14.95" customHeight="1" thickBot="1" x14ac:dyDescent="0.3">
      <c r="A426" s="9" t="s">
        <v>1177</v>
      </c>
      <c r="B426" s="9" t="s">
        <v>183</v>
      </c>
      <c r="C426" s="9">
        <f>Grahambthtres</f>
        <v>0</v>
      </c>
      <c r="D426" s="21" t="s">
        <v>548</v>
      </c>
      <c r="E426" s="21" t="s">
        <v>208</v>
      </c>
      <c r="F426" s="19">
        <f>Eastgatewaspts</f>
        <v>0</v>
      </c>
    </row>
    <row r="427" spans="1:6" ht="14.95" customHeight="1" thickBot="1" x14ac:dyDescent="0.3">
      <c r="A427" s="8" t="s">
        <v>594</v>
      </c>
      <c r="B427" s="8" t="s">
        <v>206</v>
      </c>
      <c r="C427" s="9">
        <f>Grayjoehartries</f>
        <v>0</v>
      </c>
      <c r="D427" s="21" t="s">
        <v>736</v>
      </c>
      <c r="E427" s="21" t="s">
        <v>669</v>
      </c>
      <c r="F427" s="19">
        <f>Fusernewpts</f>
        <v>0</v>
      </c>
    </row>
    <row r="428" spans="1:6" ht="14.95" customHeight="1" thickBot="1" x14ac:dyDescent="0.3">
      <c r="A428" s="8" t="s">
        <v>734</v>
      </c>
      <c r="B428" s="8" t="s">
        <v>209</v>
      </c>
      <c r="C428" s="9">
        <f>Hardwickleitries</f>
        <v>0</v>
      </c>
      <c r="D428" s="19" t="s">
        <v>299</v>
      </c>
      <c r="E428" s="21" t="s">
        <v>208</v>
      </c>
      <c r="F428" s="19">
        <f>Gaskellwaspts</f>
        <v>0</v>
      </c>
    </row>
    <row r="429" spans="1:6" ht="14.95" customHeight="1" thickBot="1" x14ac:dyDescent="0.3">
      <c r="A429" s="8" t="s">
        <v>629</v>
      </c>
      <c r="B429" s="8" t="s">
        <v>183</v>
      </c>
      <c r="C429" s="9">
        <f>Garveymatttries</f>
        <v>0</v>
      </c>
      <c r="D429" s="21" t="s">
        <v>592</v>
      </c>
      <c r="E429" s="21" t="s">
        <v>184</v>
      </c>
      <c r="F429" s="18">
        <f>Gillespienorpts</f>
        <v>0</v>
      </c>
    </row>
    <row r="430" spans="1:6" ht="14.95" customHeight="1" thickBot="1" x14ac:dyDescent="0.3">
      <c r="A430" s="8" t="s">
        <v>304</v>
      </c>
      <c r="B430" s="8" t="s">
        <v>215</v>
      </c>
      <c r="C430" s="9">
        <f>Fenbylitries</f>
        <v>0</v>
      </c>
      <c r="D430" s="21" t="s">
        <v>301</v>
      </c>
      <c r="E430" s="21" t="s">
        <v>180</v>
      </c>
      <c r="F430" s="19">
        <f>Halaifonuaglopts</f>
        <v>0</v>
      </c>
    </row>
    <row r="431" spans="1:6" ht="14.95" customHeight="1" thickBot="1" x14ac:dyDescent="0.3">
      <c r="A431" s="8" t="s">
        <v>517</v>
      </c>
      <c r="B431" s="8" t="s">
        <v>183</v>
      </c>
      <c r="C431" s="9">
        <f>Greenbthtries</f>
        <v>0</v>
      </c>
      <c r="D431" s="21" t="s">
        <v>452</v>
      </c>
      <c r="E431" s="21" t="s">
        <v>450</v>
      </c>
      <c r="F431" s="19">
        <f>Davidsonnewpts</f>
        <v>0</v>
      </c>
    </row>
    <row r="432" spans="1:6" ht="14.95" customHeight="1" thickBot="1" x14ac:dyDescent="0.3">
      <c r="A432" s="8" t="s">
        <v>1224</v>
      </c>
      <c r="B432" s="8" t="s">
        <v>208</v>
      </c>
      <c r="C432" s="9">
        <f>Hardingwastries</f>
        <v>0</v>
      </c>
      <c r="D432" s="19" t="s">
        <v>732</v>
      </c>
      <c r="E432" s="19" t="s">
        <v>669</v>
      </c>
      <c r="F432" s="19">
        <f>Farrellsarpts</f>
        <v>0</v>
      </c>
    </row>
    <row r="433" spans="1:6" ht="14.95" customHeight="1" thickBot="1" x14ac:dyDescent="0.3">
      <c r="A433" s="9" t="s">
        <v>1204</v>
      </c>
      <c r="B433" s="9" t="s">
        <v>182</v>
      </c>
      <c r="C433" s="9">
        <f>Harpersaltries</f>
        <v>0</v>
      </c>
      <c r="D433" s="19" t="s">
        <v>1177</v>
      </c>
      <c r="E433" s="19" t="s">
        <v>183</v>
      </c>
      <c r="F433" s="19">
        <f>Grahambthpts</f>
        <v>0</v>
      </c>
    </row>
    <row r="434" spans="1:6" ht="14.95" customHeight="1" thickBot="1" x14ac:dyDescent="0.3">
      <c r="A434" s="8" t="s">
        <v>210</v>
      </c>
      <c r="B434" s="8" t="s">
        <v>890</v>
      </c>
      <c r="C434" s="9">
        <f>Harrissartries</f>
        <v>0</v>
      </c>
      <c r="D434" s="21" t="s">
        <v>594</v>
      </c>
      <c r="E434" s="21" t="s">
        <v>206</v>
      </c>
      <c r="F434" s="19">
        <f>Grayjoeharpts</f>
        <v>0</v>
      </c>
    </row>
    <row r="435" spans="1:6" ht="14.95" customHeight="1" thickBot="1" x14ac:dyDescent="0.3">
      <c r="A435" s="8" t="s">
        <v>210</v>
      </c>
      <c r="B435" s="8" t="s">
        <v>208</v>
      </c>
      <c r="C435" s="9">
        <f>Harris_Bwastries</f>
        <v>0</v>
      </c>
      <c r="D435" s="21" t="s">
        <v>734</v>
      </c>
      <c r="E435" s="21" t="s">
        <v>209</v>
      </c>
      <c r="F435" s="18">
        <f>Hardwickleipts</f>
        <v>0</v>
      </c>
    </row>
    <row r="436" spans="1:6" ht="14.95" customHeight="1" thickBot="1" x14ac:dyDescent="0.3">
      <c r="A436" s="9" t="s">
        <v>212</v>
      </c>
      <c r="B436" s="8" t="s">
        <v>184</v>
      </c>
      <c r="C436" s="9">
        <f>Harrisonnortries</f>
        <v>0</v>
      </c>
      <c r="D436" s="21" t="s">
        <v>629</v>
      </c>
      <c r="E436" s="21" t="s">
        <v>183</v>
      </c>
      <c r="F436" s="19">
        <f>Garveymattpts</f>
        <v>0</v>
      </c>
    </row>
    <row r="437" spans="1:6" ht="14.95" customHeight="1" thickBot="1" x14ac:dyDescent="0.3">
      <c r="A437" s="8" t="s">
        <v>1067</v>
      </c>
      <c r="B437" s="8" t="s">
        <v>208</v>
      </c>
      <c r="C437" s="9">
        <f>Hartleywastries</f>
        <v>0</v>
      </c>
      <c r="D437" s="21" t="s">
        <v>304</v>
      </c>
      <c r="E437" s="21" t="s">
        <v>215</v>
      </c>
      <c r="F437" s="19">
        <f>Fenbylipts</f>
        <v>0</v>
      </c>
    </row>
    <row r="438" spans="1:6" ht="14.95" customHeight="1" thickBot="1" x14ac:dyDescent="0.3">
      <c r="A438" s="8" t="s">
        <v>1003</v>
      </c>
      <c r="B438" s="8" t="s">
        <v>180</v>
      </c>
      <c r="C438" s="9">
        <f>Hudsonglotries</f>
        <v>0</v>
      </c>
      <c r="D438" s="19" t="s">
        <v>517</v>
      </c>
      <c r="E438" s="21" t="s">
        <v>183</v>
      </c>
      <c r="F438" s="19">
        <f>Greenbthpts</f>
        <v>0</v>
      </c>
    </row>
    <row r="439" spans="1:6" ht="14.95" customHeight="1" thickBot="1" x14ac:dyDescent="0.3">
      <c r="A439" s="8" t="s">
        <v>640</v>
      </c>
      <c r="B439" s="8" t="s">
        <v>215</v>
      </c>
      <c r="C439" s="9">
        <f>Fenbylitries</f>
        <v>0</v>
      </c>
      <c r="D439" s="19" t="s">
        <v>1224</v>
      </c>
      <c r="E439" s="19" t="s">
        <v>208</v>
      </c>
      <c r="F439" s="19">
        <f>Hardingwaspts</f>
        <v>0</v>
      </c>
    </row>
    <row r="440" spans="1:6" ht="14.95" customHeight="1" thickBot="1" x14ac:dyDescent="0.3">
      <c r="A440" s="9" t="s">
        <v>580</v>
      </c>
      <c r="B440" s="9" t="s">
        <v>209</v>
      </c>
      <c r="C440" s="9">
        <f>Harrisonsamtries</f>
        <v>0</v>
      </c>
      <c r="D440" s="19" t="s">
        <v>1204</v>
      </c>
      <c r="E440" s="21" t="s">
        <v>182</v>
      </c>
      <c r="F440" s="19">
        <f>Harpersalpts</f>
        <v>0</v>
      </c>
    </row>
    <row r="441" spans="1:6" ht="14.95" customHeight="1" thickBot="1" x14ac:dyDescent="0.3">
      <c r="A441" s="8" t="s">
        <v>308</v>
      </c>
      <c r="B441" s="8" t="s">
        <v>207</v>
      </c>
      <c r="C441" s="9">
        <f>Hendricksonexetries</f>
        <v>0</v>
      </c>
      <c r="D441" s="21" t="s">
        <v>210</v>
      </c>
      <c r="E441" s="21" t="s">
        <v>890</v>
      </c>
      <c r="F441" s="19">
        <f>Harrissarpts</f>
        <v>0</v>
      </c>
    </row>
    <row r="442" spans="1:6" ht="14.95" customHeight="1" thickBot="1" x14ac:dyDescent="0.3">
      <c r="A442" s="8" t="s">
        <v>1073</v>
      </c>
      <c r="B442" s="8" t="s">
        <v>184</v>
      </c>
      <c r="C442" s="9">
        <f>Hendynortries</f>
        <v>0</v>
      </c>
      <c r="D442" s="21" t="s">
        <v>210</v>
      </c>
      <c r="E442" s="21" t="s">
        <v>208</v>
      </c>
      <c r="F442" s="19">
        <f>Harris_Bwaspts</f>
        <v>0</v>
      </c>
    </row>
    <row r="443" spans="1:6" ht="14.95" customHeight="1" thickBot="1" x14ac:dyDescent="0.3">
      <c r="A443" s="8" t="s">
        <v>665</v>
      </c>
      <c r="B443" s="8" t="s">
        <v>209</v>
      </c>
      <c r="C443" s="9">
        <f>Holmesleictries</f>
        <v>0</v>
      </c>
      <c r="D443" s="19" t="s">
        <v>212</v>
      </c>
      <c r="E443" s="21" t="s">
        <v>184</v>
      </c>
      <c r="F443" s="20">
        <f>Harrisonnorpts</f>
        <v>0</v>
      </c>
    </row>
    <row r="444" spans="1:6" ht="14.95" customHeight="1" thickBot="1" x14ac:dyDescent="0.3">
      <c r="A444" s="9" t="s">
        <v>477</v>
      </c>
      <c r="B444" s="9" t="s">
        <v>207</v>
      </c>
      <c r="C444" s="9">
        <f>Hill_Samexetries</f>
        <v>0</v>
      </c>
      <c r="D444" s="21" t="s">
        <v>1067</v>
      </c>
      <c r="E444" s="21" t="s">
        <v>208</v>
      </c>
      <c r="F444" s="19">
        <f>Hartleywaspts</f>
        <v>0</v>
      </c>
    </row>
    <row r="445" spans="1:6" ht="14.95" customHeight="1" thickBot="1" x14ac:dyDescent="0.3">
      <c r="A445" s="8" t="s">
        <v>251</v>
      </c>
      <c r="B445" s="8" t="s">
        <v>215</v>
      </c>
      <c r="C445" s="54">
        <f>Frankslirtries</f>
        <v>0</v>
      </c>
      <c r="D445" s="21" t="s">
        <v>640</v>
      </c>
      <c r="E445" s="21" t="s">
        <v>215</v>
      </c>
      <c r="F445" s="19">
        <f>Fenbylipts</f>
        <v>0</v>
      </c>
    </row>
    <row r="446" spans="1:6" ht="14.95" customHeight="1" thickBot="1" x14ac:dyDescent="0.3">
      <c r="A446" s="8" t="s">
        <v>1118</v>
      </c>
      <c r="B446" s="8" t="s">
        <v>181</v>
      </c>
      <c r="C446" s="9">
        <f>Holsey_Lwortries</f>
        <v>0</v>
      </c>
      <c r="D446" s="19" t="s">
        <v>580</v>
      </c>
      <c r="E446" s="19" t="s">
        <v>209</v>
      </c>
      <c r="F446" s="19">
        <f>Harrisonsampts</f>
        <v>0</v>
      </c>
    </row>
    <row r="447" spans="1:6" ht="14.95" customHeight="1" thickBot="1" x14ac:dyDescent="0.3">
      <c r="A447" s="8" t="s">
        <v>901</v>
      </c>
      <c r="B447" s="8" t="s">
        <v>890</v>
      </c>
      <c r="C447" s="9">
        <f>Hunter_Hillsartriescorrect</f>
        <v>0</v>
      </c>
      <c r="D447" s="21" t="s">
        <v>308</v>
      </c>
      <c r="E447" s="21" t="s">
        <v>207</v>
      </c>
      <c r="F447" s="19">
        <f>Hendricksonexepts</f>
        <v>0</v>
      </c>
    </row>
    <row r="448" spans="1:6" ht="14.95" customHeight="1" thickBot="1" x14ac:dyDescent="0.3">
      <c r="A448" s="8" t="s">
        <v>939</v>
      </c>
      <c r="B448" s="8" t="s">
        <v>209</v>
      </c>
      <c r="C448" s="9">
        <f>Hurdleictries</f>
        <v>0</v>
      </c>
      <c r="D448" s="21" t="s">
        <v>1073</v>
      </c>
      <c r="E448" s="21" t="s">
        <v>184</v>
      </c>
      <c r="F448" s="19">
        <f>Hendynorpts</f>
        <v>0</v>
      </c>
    </row>
    <row r="449" spans="1:6" ht="14.95" customHeight="1" thickBot="1" x14ac:dyDescent="0.3">
      <c r="A449" s="8" t="s">
        <v>1196</v>
      </c>
      <c r="B449" s="8" t="s">
        <v>890</v>
      </c>
      <c r="C449" s="9">
        <f>Jacksonsartries</f>
        <v>0</v>
      </c>
      <c r="D449" s="21" t="s">
        <v>665</v>
      </c>
      <c r="E449" s="21" t="s">
        <v>209</v>
      </c>
      <c r="F449" s="20">
        <f>Holmesleicpts</f>
        <v>0</v>
      </c>
    </row>
    <row r="450" spans="1:6" ht="14.95" customHeight="1" thickBot="1" x14ac:dyDescent="0.3">
      <c r="A450" s="9" t="s">
        <v>1047</v>
      </c>
      <c r="B450" s="9" t="s">
        <v>450</v>
      </c>
      <c r="C450" s="9">
        <f>Jenningslirtries</f>
        <v>0</v>
      </c>
      <c r="D450" s="19" t="s">
        <v>477</v>
      </c>
      <c r="E450" s="19" t="s">
        <v>207</v>
      </c>
      <c r="F450" s="19">
        <f>Hill_Ssamexepts</f>
        <v>0</v>
      </c>
    </row>
    <row r="451" spans="1:6" ht="14.95" customHeight="1" thickBot="1" x14ac:dyDescent="0.3">
      <c r="A451" s="71" t="s">
        <v>315</v>
      </c>
      <c r="B451" s="8" t="s">
        <v>182</v>
      </c>
      <c r="C451" s="9">
        <f>Johnsaltries</f>
        <v>0</v>
      </c>
      <c r="D451" s="2" t="s">
        <v>251</v>
      </c>
      <c r="E451" s="21" t="s">
        <v>215</v>
      </c>
      <c r="F451" s="19">
        <f>Frankslirpts</f>
        <v>0</v>
      </c>
    </row>
    <row r="452" spans="1:6" ht="14.95" customHeight="1" thickBot="1" x14ac:dyDescent="0.3">
      <c r="A452" s="71" t="s">
        <v>1095</v>
      </c>
      <c r="B452" s="8" t="s">
        <v>181</v>
      </c>
      <c r="C452" s="9">
        <f>Johnsonwortries</f>
        <v>0</v>
      </c>
      <c r="D452" s="2" t="s">
        <v>1118</v>
      </c>
      <c r="E452" s="21" t="s">
        <v>181</v>
      </c>
      <c r="F452" s="19">
        <f>Holseyworpts</f>
        <v>0</v>
      </c>
    </row>
    <row r="453" spans="1:6" ht="14.95" customHeight="1" thickBot="1" x14ac:dyDescent="0.3">
      <c r="A453" s="10" t="s">
        <v>1095</v>
      </c>
      <c r="B453" s="8" t="s">
        <v>181</v>
      </c>
      <c r="C453" s="9">
        <f>Lewisrobtries</f>
        <v>0</v>
      </c>
      <c r="D453" s="2" t="s">
        <v>901</v>
      </c>
      <c r="E453" s="21" t="s">
        <v>890</v>
      </c>
      <c r="F453" s="19">
        <f>Hunter_Hillsarptscorrect</f>
        <v>0</v>
      </c>
    </row>
    <row r="454" spans="1:6" ht="14.95" customHeight="1" thickBot="1" x14ac:dyDescent="0.3">
      <c r="A454" s="71" t="s">
        <v>646</v>
      </c>
      <c r="B454" s="8" t="s">
        <v>207</v>
      </c>
      <c r="C454" s="9">
        <f>jamestries</f>
        <v>0</v>
      </c>
      <c r="D454" s="2" t="s">
        <v>939</v>
      </c>
      <c r="E454" s="21" t="s">
        <v>209</v>
      </c>
      <c r="F454" s="19">
        <f>Hurdleicpts</f>
        <v>0</v>
      </c>
    </row>
    <row r="455" spans="1:6" ht="14.95" customHeight="1" thickBot="1" x14ac:dyDescent="0.3">
      <c r="A455" s="10" t="s">
        <v>1124</v>
      </c>
      <c r="B455" s="9" t="s">
        <v>183</v>
      </c>
      <c r="C455" s="9">
        <f>Jonkerbthtries</f>
        <v>0</v>
      </c>
      <c r="D455" s="2" t="s">
        <v>1196</v>
      </c>
      <c r="E455" s="21" t="s">
        <v>890</v>
      </c>
      <c r="F455" s="20">
        <f>Jacksonsarpts</f>
        <v>0</v>
      </c>
    </row>
    <row r="456" spans="1:6" ht="14.95" customHeight="1" thickBot="1" x14ac:dyDescent="0.3">
      <c r="A456" s="71" t="s">
        <v>1109</v>
      </c>
      <c r="B456" s="8" t="s">
        <v>180</v>
      </c>
      <c r="C456" s="9">
        <f>Krielglotries</f>
        <v>0</v>
      </c>
      <c r="D456" s="2" t="s">
        <v>315</v>
      </c>
      <c r="E456" s="21" t="s">
        <v>182</v>
      </c>
      <c r="F456" s="19">
        <f>Johnsalpts</f>
        <v>0</v>
      </c>
    </row>
    <row r="457" spans="1:6" ht="14.95" customHeight="1" thickBot="1" x14ac:dyDescent="0.3">
      <c r="A457" s="71" t="s">
        <v>1217</v>
      </c>
      <c r="B457" s="8" t="s">
        <v>450</v>
      </c>
      <c r="C457" s="6">
        <f>Josephlirtries</f>
        <v>0</v>
      </c>
      <c r="D457" s="2" t="s">
        <v>1095</v>
      </c>
      <c r="E457" s="21" t="s">
        <v>181</v>
      </c>
      <c r="F457" s="19">
        <f>Johnsonworpts</f>
        <v>0</v>
      </c>
    </row>
    <row r="458" spans="1:6" ht="14.95" customHeight="1" thickBot="1" x14ac:dyDescent="0.3">
      <c r="A458" s="10" t="s">
        <v>1055</v>
      </c>
      <c r="B458" s="9" t="s">
        <v>206</v>
      </c>
      <c r="C458" s="9">
        <f>Jureviciushartries</f>
        <v>0</v>
      </c>
      <c r="D458" s="17" t="s">
        <v>1095</v>
      </c>
      <c r="E458" s="21" t="s">
        <v>181</v>
      </c>
      <c r="F458" s="19">
        <f>Lewisrobpts</f>
        <v>0</v>
      </c>
    </row>
    <row r="459" spans="1:6" ht="14.95" customHeight="1" thickBot="1" x14ac:dyDescent="0.3">
      <c r="A459" s="71" t="s">
        <v>808</v>
      </c>
      <c r="B459" s="8" t="s">
        <v>206</v>
      </c>
      <c r="C459" s="9">
        <f>Kenninghamhartries</f>
        <v>0</v>
      </c>
      <c r="D459" s="2" t="s">
        <v>646</v>
      </c>
      <c r="E459" s="21" t="s">
        <v>207</v>
      </c>
      <c r="F459" s="19">
        <f>Jamespts</f>
        <v>0</v>
      </c>
    </row>
    <row r="460" spans="1:6" ht="14.95" customHeight="1" thickBot="1" x14ac:dyDescent="0.3">
      <c r="A460" s="71" t="s">
        <v>1183</v>
      </c>
      <c r="B460" s="8" t="s">
        <v>669</v>
      </c>
      <c r="C460" s="9">
        <f>Georgesartries</f>
        <v>0</v>
      </c>
      <c r="D460" s="17" t="s">
        <v>1124</v>
      </c>
      <c r="E460" s="19" t="s">
        <v>183</v>
      </c>
      <c r="F460" s="19">
        <f>Jonkerbthpts</f>
        <v>0</v>
      </c>
    </row>
    <row r="461" spans="1:6" ht="14.95" customHeight="1" thickBot="1" x14ac:dyDescent="0.3">
      <c r="A461" s="71" t="s">
        <v>318</v>
      </c>
      <c r="B461" s="8" t="s">
        <v>206</v>
      </c>
      <c r="C461" s="9">
        <f>Ibitoyehartries</f>
        <v>0</v>
      </c>
      <c r="D461" s="2" t="s">
        <v>1109</v>
      </c>
      <c r="E461" s="21" t="s">
        <v>180</v>
      </c>
      <c r="F461" s="19">
        <f>Krielglopts</f>
        <v>0</v>
      </c>
    </row>
    <row r="462" spans="1:6" ht="14.95" customHeight="1" thickBot="1" x14ac:dyDescent="0.3">
      <c r="A462" s="71" t="s">
        <v>542</v>
      </c>
      <c r="B462" s="8" t="s">
        <v>207</v>
      </c>
      <c r="C462" s="9">
        <f>Kirstenexetries</f>
        <v>0</v>
      </c>
      <c r="D462" s="2" t="s">
        <v>1217</v>
      </c>
      <c r="E462" s="21" t="s">
        <v>450</v>
      </c>
      <c r="F462" s="19">
        <f>Josephlirpts</f>
        <v>0</v>
      </c>
    </row>
    <row r="463" spans="1:6" ht="14.95" customHeight="1" thickBot="1" x14ac:dyDescent="0.3">
      <c r="A463" s="71" t="s">
        <v>759</v>
      </c>
      <c r="B463" s="8" t="s">
        <v>215</v>
      </c>
      <c r="C463" s="9">
        <f>Laybritries</f>
        <v>0</v>
      </c>
      <c r="D463" s="17" t="s">
        <v>1055</v>
      </c>
      <c r="E463" s="19" t="s">
        <v>206</v>
      </c>
      <c r="F463" s="19">
        <f>Jureviciusharpts</f>
        <v>0</v>
      </c>
    </row>
    <row r="464" spans="1:6" ht="14.95" customHeight="1" thickBot="1" x14ac:dyDescent="0.3">
      <c r="A464" s="71" t="s">
        <v>941</v>
      </c>
      <c r="B464" s="8" t="s">
        <v>209</v>
      </c>
      <c r="C464" s="9">
        <f>Lavaninileictries</f>
        <v>0</v>
      </c>
      <c r="D464" s="2" t="s">
        <v>808</v>
      </c>
      <c r="E464" s="21" t="s">
        <v>206</v>
      </c>
      <c r="F464" s="19">
        <f>Kenninghamharpts</f>
        <v>0</v>
      </c>
    </row>
    <row r="465" spans="1:6" ht="14.95" customHeight="1" thickBot="1" x14ac:dyDescent="0.3">
      <c r="A465" s="71" t="s">
        <v>1175</v>
      </c>
      <c r="B465" s="8" t="s">
        <v>215</v>
      </c>
      <c r="C465" s="9">
        <f>Lanebritries</f>
        <v>0</v>
      </c>
      <c r="D465" s="2" t="s">
        <v>1183</v>
      </c>
      <c r="E465" s="21" t="s">
        <v>669</v>
      </c>
      <c r="F465" s="19">
        <f>Georgesarpts</f>
        <v>0</v>
      </c>
    </row>
    <row r="466" spans="1:6" ht="14.95" customHeight="1" thickBot="1" x14ac:dyDescent="0.3">
      <c r="A466" s="10" t="s">
        <v>324</v>
      </c>
      <c r="B466" s="8" t="s">
        <v>184</v>
      </c>
      <c r="C466" s="9">
        <f>Lawesnortries</f>
        <v>0</v>
      </c>
      <c r="D466" s="2" t="s">
        <v>318</v>
      </c>
      <c r="E466" s="21" t="s">
        <v>206</v>
      </c>
      <c r="F466" s="19">
        <f>Ibitoyeharpts</f>
        <v>0</v>
      </c>
    </row>
    <row r="467" spans="1:6" ht="14.95" customHeight="1" thickBot="1" x14ac:dyDescent="0.3">
      <c r="A467" s="71" t="s">
        <v>326</v>
      </c>
      <c r="B467" s="8" t="s">
        <v>208</v>
      </c>
      <c r="C467" s="9">
        <f>Le_Bourgeoiswastries</f>
        <v>0</v>
      </c>
      <c r="D467" s="2" t="s">
        <v>542</v>
      </c>
      <c r="E467" s="21" t="s">
        <v>207</v>
      </c>
      <c r="F467" s="19">
        <f>Kirstenexepts</f>
        <v>0</v>
      </c>
    </row>
    <row r="468" spans="1:6" ht="14.95" customHeight="1" thickBot="1" x14ac:dyDescent="0.3">
      <c r="A468" s="71" t="s">
        <v>537</v>
      </c>
      <c r="B468" s="8" t="s">
        <v>209</v>
      </c>
      <c r="C468" s="9">
        <f>Kitchenergrahamtriescorrect</f>
        <v>0</v>
      </c>
      <c r="D468" s="2" t="s">
        <v>759</v>
      </c>
      <c r="E468" s="21" t="s">
        <v>215</v>
      </c>
      <c r="F468" s="19">
        <f>Laybripts</f>
        <v>0</v>
      </c>
    </row>
    <row r="469" spans="1:6" ht="14.95" customHeight="1" thickBot="1" x14ac:dyDescent="0.3">
      <c r="A469" s="71" t="s">
        <v>546</v>
      </c>
      <c r="B469" s="8" t="s">
        <v>206</v>
      </c>
      <c r="C469" s="9">
        <f>Marfohartries</f>
        <v>0</v>
      </c>
      <c r="D469" s="2" t="s">
        <v>941</v>
      </c>
      <c r="E469" s="21" t="s">
        <v>209</v>
      </c>
      <c r="F469" s="19">
        <f>Lavaninileicpts</f>
        <v>0</v>
      </c>
    </row>
    <row r="470" spans="1:6" ht="14.95" customHeight="1" thickBot="1" x14ac:dyDescent="0.3">
      <c r="A470" s="71" t="s">
        <v>905</v>
      </c>
      <c r="B470" s="8" t="s">
        <v>890</v>
      </c>
      <c r="C470" s="9">
        <f>Lewissartriescorrect</f>
        <v>0</v>
      </c>
      <c r="D470" s="2" t="s">
        <v>1175</v>
      </c>
      <c r="E470" s="21" t="s">
        <v>215</v>
      </c>
      <c r="F470" s="19">
        <f>Lanebripts</f>
        <v>0</v>
      </c>
    </row>
    <row r="471" spans="1:6" ht="14.95" customHeight="1" thickBot="1" x14ac:dyDescent="0.3">
      <c r="A471" s="71" t="s">
        <v>1072</v>
      </c>
      <c r="B471" s="8" t="s">
        <v>184</v>
      </c>
      <c r="C471" s="9">
        <f>Litchfieldnortries</f>
        <v>0</v>
      </c>
      <c r="D471" s="17" t="s">
        <v>324</v>
      </c>
      <c r="E471" s="21" t="s">
        <v>184</v>
      </c>
      <c r="F471" s="19">
        <f>Lawesnorpts</f>
        <v>0</v>
      </c>
    </row>
    <row r="472" spans="1:6" ht="14.95" customHeight="1" thickBot="1" x14ac:dyDescent="0.3">
      <c r="A472" s="71" t="s">
        <v>1176</v>
      </c>
      <c r="B472" s="8" t="s">
        <v>215</v>
      </c>
      <c r="C472" s="9">
        <f>Lloyd_Jbritries</f>
        <v>0</v>
      </c>
      <c r="D472" s="2" t="s">
        <v>326</v>
      </c>
      <c r="E472" s="21" t="s">
        <v>208</v>
      </c>
      <c r="F472" s="19">
        <f>Le_Bourgeoiswaspts</f>
        <v>0</v>
      </c>
    </row>
    <row r="473" spans="1:6" ht="14.95" customHeight="1" thickBot="1" x14ac:dyDescent="0.3">
      <c r="A473" s="71" t="s">
        <v>437</v>
      </c>
      <c r="B473" s="8" t="s">
        <v>207</v>
      </c>
      <c r="C473" s="9">
        <f>Lonsdaleexetries</f>
        <v>0</v>
      </c>
      <c r="D473" s="2" t="s">
        <v>537</v>
      </c>
      <c r="E473" s="21" t="s">
        <v>209</v>
      </c>
      <c r="F473" s="19">
        <f>Kitchenergrahamptscorrect</f>
        <v>0</v>
      </c>
    </row>
    <row r="474" spans="1:6" ht="14.95" customHeight="1" thickBot="1" x14ac:dyDescent="0.3">
      <c r="A474" s="71" t="s">
        <v>662</v>
      </c>
      <c r="B474" s="8" t="s">
        <v>206</v>
      </c>
      <c r="C474" s="9">
        <f>McNultyhartries</f>
        <v>0</v>
      </c>
      <c r="D474" s="2" t="s">
        <v>546</v>
      </c>
      <c r="E474" s="21" t="s">
        <v>206</v>
      </c>
      <c r="F474" s="19">
        <f>Marfoharpts</f>
        <v>0</v>
      </c>
    </row>
    <row r="475" spans="1:6" ht="14.95" customHeight="1" thickBot="1" x14ac:dyDescent="0.3">
      <c r="A475" s="71" t="s">
        <v>967</v>
      </c>
      <c r="B475" s="8" t="s">
        <v>669</v>
      </c>
      <c r="C475" s="9">
        <f>Lucocknewtries</f>
        <v>0</v>
      </c>
      <c r="D475" s="2" t="s">
        <v>905</v>
      </c>
      <c r="E475" s="21" t="s">
        <v>890</v>
      </c>
      <c r="F475" s="19">
        <f>Lewissarptscorrect</f>
        <v>0</v>
      </c>
    </row>
    <row r="476" spans="1:6" ht="14.95" customHeight="1" thickBot="1" x14ac:dyDescent="0.3">
      <c r="A476" s="71" t="s">
        <v>334</v>
      </c>
      <c r="B476" s="8" t="s">
        <v>206</v>
      </c>
      <c r="C476" s="9">
        <f>marlertries</f>
        <v>0</v>
      </c>
      <c r="D476" s="2" t="s">
        <v>1072</v>
      </c>
      <c r="E476" s="21" t="s">
        <v>184</v>
      </c>
      <c r="F476" s="19">
        <f>Litchfieldnorpts</f>
        <v>0</v>
      </c>
    </row>
    <row r="477" spans="1:6" ht="14.95" customHeight="1" thickBot="1" x14ac:dyDescent="0.3">
      <c r="A477" s="71" t="s">
        <v>252</v>
      </c>
      <c r="B477" s="8" t="s">
        <v>184</v>
      </c>
      <c r="C477" s="9">
        <f>Marshallnortries</f>
        <v>0</v>
      </c>
      <c r="D477" s="2" t="s">
        <v>1176</v>
      </c>
      <c r="E477" s="21" t="s">
        <v>215</v>
      </c>
      <c r="F477" s="19">
        <f>Lloyd_Jbripts</f>
        <v>0</v>
      </c>
    </row>
    <row r="478" spans="1:6" ht="14.95" customHeight="1" thickBot="1" x14ac:dyDescent="0.3">
      <c r="A478" s="71" t="s">
        <v>1069</v>
      </c>
      <c r="B478" s="8" t="s">
        <v>208</v>
      </c>
      <c r="C478" s="9">
        <f>McIntyrewastries</f>
        <v>0</v>
      </c>
      <c r="D478" s="2" t="s">
        <v>437</v>
      </c>
      <c r="E478" s="21" t="s">
        <v>207</v>
      </c>
      <c r="F478" s="19">
        <f>Lonsdaleexepts</f>
        <v>0</v>
      </c>
    </row>
    <row r="479" spans="1:6" ht="14.95" customHeight="1" thickBot="1" x14ac:dyDescent="0.3">
      <c r="A479" s="71" t="s">
        <v>337</v>
      </c>
      <c r="B479" s="8" t="s">
        <v>183</v>
      </c>
      <c r="C479" s="9">
        <f>McConnochiebthtries</f>
        <v>0</v>
      </c>
      <c r="D479" s="2" t="s">
        <v>662</v>
      </c>
      <c r="E479" s="21" t="s">
        <v>206</v>
      </c>
      <c r="F479" s="19">
        <f>McNultyharpts</f>
        <v>0</v>
      </c>
    </row>
    <row r="480" spans="1:6" ht="14.95" customHeight="1" thickBot="1" x14ac:dyDescent="0.3">
      <c r="A480" s="71" t="s">
        <v>1223</v>
      </c>
      <c r="B480" s="8" t="s">
        <v>208</v>
      </c>
      <c r="C480" s="9">
        <f>Mehsonwastries</f>
        <v>0</v>
      </c>
      <c r="D480" s="2" t="s">
        <v>967</v>
      </c>
      <c r="E480" s="21" t="s">
        <v>669</v>
      </c>
      <c r="F480" s="19">
        <f>Lucocknewpts</f>
        <v>0</v>
      </c>
    </row>
    <row r="481" spans="1:6" ht="14.95" customHeight="1" thickBot="1" x14ac:dyDescent="0.3">
      <c r="A481" s="71" t="s">
        <v>971</v>
      </c>
      <c r="B481" s="8" t="s">
        <v>669</v>
      </c>
      <c r="C481" s="6">
        <f>Merricknewtries</f>
        <v>0</v>
      </c>
      <c r="D481" s="2" t="s">
        <v>334</v>
      </c>
      <c r="E481" s="21" t="s">
        <v>206</v>
      </c>
      <c r="F481" s="20">
        <f>Marlerharpts</f>
        <v>0</v>
      </c>
    </row>
    <row r="482" spans="1:6" ht="14.95" customHeight="1" thickBot="1" x14ac:dyDescent="0.3">
      <c r="A482" s="71" t="s">
        <v>1084</v>
      </c>
      <c r="B482" s="8" t="s">
        <v>182</v>
      </c>
      <c r="C482" s="9">
        <f>Mooresaltries</f>
        <v>0</v>
      </c>
      <c r="D482" s="2" t="s">
        <v>252</v>
      </c>
      <c r="E482" s="21" t="s">
        <v>184</v>
      </c>
      <c r="F482" s="19">
        <f>Marshallnorpts</f>
        <v>0</v>
      </c>
    </row>
    <row r="483" spans="1:6" ht="14.95" customHeight="1" thickBot="1" x14ac:dyDescent="0.3">
      <c r="A483" s="10" t="s">
        <v>247</v>
      </c>
      <c r="B483" s="8" t="s">
        <v>181</v>
      </c>
      <c r="C483" s="9">
        <f>Millerwortries</f>
        <v>0</v>
      </c>
      <c r="D483" s="2" t="s">
        <v>1069</v>
      </c>
      <c r="E483" s="21" t="s">
        <v>208</v>
      </c>
      <c r="F483" s="19">
        <f>McIntyresimonpts</f>
        <v>0</v>
      </c>
    </row>
    <row r="484" spans="1:6" ht="14.95" customHeight="1" thickBot="1" x14ac:dyDescent="0.3">
      <c r="A484" s="71" t="s">
        <v>550</v>
      </c>
      <c r="B484" s="8" t="s">
        <v>208</v>
      </c>
      <c r="C484" s="9">
        <f>Morrisbenwasgtries</f>
        <v>0</v>
      </c>
      <c r="D484" s="2" t="s">
        <v>337</v>
      </c>
      <c r="E484" s="21" t="s">
        <v>183</v>
      </c>
      <c r="F484" s="19">
        <f>McConnochiebthpts</f>
        <v>0</v>
      </c>
    </row>
    <row r="485" spans="1:6" ht="14.95" customHeight="1" thickBot="1" x14ac:dyDescent="0.3">
      <c r="A485" s="71" t="s">
        <v>473</v>
      </c>
      <c r="B485" s="8" t="s">
        <v>181</v>
      </c>
      <c r="C485" s="54">
        <f>Montgomerywortries</f>
        <v>0</v>
      </c>
      <c r="D485" s="2" t="s">
        <v>1223</v>
      </c>
      <c r="E485" s="21" t="s">
        <v>208</v>
      </c>
      <c r="F485" s="20">
        <f>Mehsonwaspts</f>
        <v>0</v>
      </c>
    </row>
    <row r="486" spans="1:6" ht="14.95" customHeight="1" thickBot="1" x14ac:dyDescent="0.3">
      <c r="A486" s="71" t="s">
        <v>972</v>
      </c>
      <c r="B486" s="8" t="s">
        <v>669</v>
      </c>
      <c r="C486" s="6">
        <f>Montgomerynewtries</f>
        <v>0</v>
      </c>
      <c r="D486" s="2" t="s">
        <v>971</v>
      </c>
      <c r="E486" s="21" t="s">
        <v>669</v>
      </c>
      <c r="F486" s="19">
        <f>Merricknewpts</f>
        <v>0</v>
      </c>
    </row>
    <row r="487" spans="1:6" ht="14.95" customHeight="1" thickBot="1" x14ac:dyDescent="0.3">
      <c r="A487" s="71" t="s">
        <v>444</v>
      </c>
      <c r="B487" s="8" t="s">
        <v>184</v>
      </c>
      <c r="C487" s="9">
        <f>Moon_Anortries</f>
        <v>0</v>
      </c>
      <c r="D487" s="2" t="s">
        <v>1084</v>
      </c>
      <c r="E487" s="21" t="s">
        <v>182</v>
      </c>
      <c r="F487" s="19">
        <f>Mooresalpts</f>
        <v>0</v>
      </c>
    </row>
    <row r="488" spans="1:6" ht="14.95" customHeight="1" thickBot="1" x14ac:dyDescent="0.3">
      <c r="A488" s="71" t="s">
        <v>339</v>
      </c>
      <c r="B488" s="8" t="s">
        <v>207</v>
      </c>
      <c r="C488" s="9">
        <f>mummtries</f>
        <v>0</v>
      </c>
      <c r="D488" s="17" t="s">
        <v>247</v>
      </c>
      <c r="E488" s="21" t="s">
        <v>181</v>
      </c>
      <c r="F488" s="19">
        <f>Millerworpts</f>
        <v>0</v>
      </c>
    </row>
    <row r="489" spans="1:6" ht="14.95" customHeight="1" thickBot="1" x14ac:dyDescent="0.3">
      <c r="A489" s="71" t="s">
        <v>1087</v>
      </c>
      <c r="B489" s="8" t="s">
        <v>180</v>
      </c>
      <c r="C489" s="9">
        <f>Morgan_Aglotries</f>
        <v>0</v>
      </c>
      <c r="D489" s="2" t="s">
        <v>550</v>
      </c>
      <c r="E489" s="21" t="s">
        <v>208</v>
      </c>
      <c r="F489" s="19">
        <f>Morrisbenwaspts</f>
        <v>0</v>
      </c>
    </row>
    <row r="490" spans="1:6" ht="14.95" customHeight="1" thickBot="1" x14ac:dyDescent="0.3">
      <c r="A490" s="71" t="s">
        <v>497</v>
      </c>
      <c r="B490" s="8" t="s">
        <v>180</v>
      </c>
      <c r="C490" s="9">
        <f>Morrisjglotries</f>
        <v>0</v>
      </c>
      <c r="D490" s="2" t="s">
        <v>473</v>
      </c>
      <c r="E490" s="21" t="s">
        <v>181</v>
      </c>
      <c r="F490" s="19">
        <f>Montgomeryworpts</f>
        <v>0</v>
      </c>
    </row>
    <row r="491" spans="1:6" ht="14.95" customHeight="1" thickBot="1" x14ac:dyDescent="0.3">
      <c r="A491" s="71" t="s">
        <v>497</v>
      </c>
      <c r="B491" s="8" t="s">
        <v>181</v>
      </c>
      <c r="C491" s="9">
        <f>Mudarikiwortries</f>
        <v>0</v>
      </c>
      <c r="D491" s="2" t="s">
        <v>972</v>
      </c>
      <c r="E491" s="21" t="s">
        <v>669</v>
      </c>
      <c r="F491" s="19">
        <f>Montgomerynewpts</f>
        <v>0</v>
      </c>
    </row>
    <row r="492" spans="1:6" ht="14.95" customHeight="1" thickBot="1" x14ac:dyDescent="0.3">
      <c r="A492" s="71" t="s">
        <v>683</v>
      </c>
      <c r="B492" s="8" t="s">
        <v>669</v>
      </c>
      <c r="C492" s="9">
        <f>Isiekwesartries</f>
        <v>0</v>
      </c>
      <c r="D492" s="17" t="s">
        <v>444</v>
      </c>
      <c r="E492" s="21" t="s">
        <v>184</v>
      </c>
      <c r="F492" s="19">
        <f>Moonnorpts</f>
        <v>0</v>
      </c>
    </row>
    <row r="493" spans="1:6" ht="14.95" customHeight="1" thickBot="1" x14ac:dyDescent="0.3">
      <c r="A493" s="71" t="s">
        <v>1075</v>
      </c>
      <c r="B493" s="8" t="s">
        <v>450</v>
      </c>
      <c r="C493" s="9">
        <f>Mcmillanlirtries</f>
        <v>0</v>
      </c>
      <c r="D493" s="2" t="s">
        <v>339</v>
      </c>
      <c r="E493" s="21" t="s">
        <v>207</v>
      </c>
      <c r="F493" s="19">
        <f>Mummpts</f>
        <v>0</v>
      </c>
    </row>
    <row r="494" spans="1:6" ht="14.95" customHeight="1" thickBot="1" x14ac:dyDescent="0.3">
      <c r="A494" s="71" t="s">
        <v>740</v>
      </c>
      <c r="B494" s="8" t="s">
        <v>180</v>
      </c>
      <c r="C494" s="9">
        <f>Moriartyglotries</f>
        <v>0</v>
      </c>
      <c r="D494" s="17" t="s">
        <v>1087</v>
      </c>
      <c r="E494" s="19" t="s">
        <v>180</v>
      </c>
      <c r="F494" s="19">
        <f>Morgan_Aglopts</f>
        <v>0</v>
      </c>
    </row>
    <row r="495" spans="1:6" ht="14.95" customHeight="1" thickBot="1" x14ac:dyDescent="0.3">
      <c r="A495" s="71" t="s">
        <v>342</v>
      </c>
      <c r="B495" s="8" t="s">
        <v>184</v>
      </c>
      <c r="C495" s="9">
        <f>Naiyaravoronortries</f>
        <v>0</v>
      </c>
      <c r="D495" s="2" t="s">
        <v>497</v>
      </c>
      <c r="E495" s="21" t="s">
        <v>180</v>
      </c>
      <c r="F495" s="19">
        <f>Morrisjglopts</f>
        <v>0</v>
      </c>
    </row>
    <row r="496" spans="1:6" ht="14.95" customHeight="1" thickBot="1" x14ac:dyDescent="0.3">
      <c r="A496" s="71" t="s">
        <v>343</v>
      </c>
      <c r="B496" s="8" t="s">
        <v>182</v>
      </c>
      <c r="C496" s="9">
        <f>Neildsaltries</f>
        <v>0</v>
      </c>
      <c r="D496" s="2" t="s">
        <v>497</v>
      </c>
      <c r="E496" s="21" t="s">
        <v>181</v>
      </c>
      <c r="F496" s="19">
        <f>Mudarikiworpts</f>
        <v>0</v>
      </c>
    </row>
    <row r="497" spans="1:6" ht="14.95" customHeight="1" thickBot="1" x14ac:dyDescent="0.3">
      <c r="A497" s="71" t="s">
        <v>931</v>
      </c>
      <c r="B497" s="8" t="s">
        <v>207</v>
      </c>
      <c r="C497" s="9">
        <f>Nixonexetries</f>
        <v>0</v>
      </c>
      <c r="D497" s="2" t="s">
        <v>683</v>
      </c>
      <c r="E497" s="21" t="s">
        <v>669</v>
      </c>
      <c r="F497" s="19">
        <f>Isiekwesarpts</f>
        <v>0</v>
      </c>
    </row>
    <row r="498" spans="1:6" ht="14.95" customHeight="1" thickBot="1" x14ac:dyDescent="0.3">
      <c r="A498" s="71" t="s">
        <v>344</v>
      </c>
      <c r="B498" s="8" t="s">
        <v>450</v>
      </c>
      <c r="C498" s="9">
        <f>Nottlirtries</f>
        <v>0</v>
      </c>
      <c r="D498" s="2" t="s">
        <v>1075</v>
      </c>
      <c r="E498" s="21" t="s">
        <v>450</v>
      </c>
      <c r="F498" s="18">
        <f>Mcmillanlirpts</f>
        <v>0</v>
      </c>
    </row>
    <row r="499" spans="1:6" ht="14.95" customHeight="1" thickBot="1" x14ac:dyDescent="0.3">
      <c r="A499" s="10" t="s">
        <v>346</v>
      </c>
      <c r="B499" s="9" t="s">
        <v>183</v>
      </c>
      <c r="C499" s="6">
        <f>Obanobthtries</f>
        <v>0</v>
      </c>
      <c r="D499" s="2" t="s">
        <v>740</v>
      </c>
      <c r="E499" s="21" t="s">
        <v>180</v>
      </c>
      <c r="F499" s="19">
        <f>Moriartyglopts</f>
        <v>0</v>
      </c>
    </row>
    <row r="500" spans="1:6" ht="14.95" customHeight="1" thickBot="1" x14ac:dyDescent="0.3">
      <c r="A500" s="71" t="s">
        <v>929</v>
      </c>
      <c r="B500" s="8" t="s">
        <v>207</v>
      </c>
      <c r="C500" s="9">
        <f>O_Brienexetries</f>
        <v>0</v>
      </c>
      <c r="D500" s="2" t="s">
        <v>342</v>
      </c>
      <c r="E500" s="21" t="s">
        <v>184</v>
      </c>
      <c r="F500" s="19">
        <f>Naiyaravoronorpts</f>
        <v>0</v>
      </c>
    </row>
    <row r="501" spans="1:6" ht="14.95" customHeight="1" thickBot="1" x14ac:dyDescent="0.3">
      <c r="A501" s="71" t="s">
        <v>168</v>
      </c>
      <c r="B501" s="8" t="s">
        <v>209</v>
      </c>
      <c r="C501" s="9">
        <f>Olowofela_Jleictries</f>
        <v>0</v>
      </c>
      <c r="D501" s="2" t="s">
        <v>343</v>
      </c>
      <c r="E501" s="21" t="s">
        <v>182</v>
      </c>
      <c r="F501" s="19">
        <f>Neildsalpts</f>
        <v>0</v>
      </c>
    </row>
    <row r="502" spans="1:6" ht="14.95" customHeight="1" thickBot="1" x14ac:dyDescent="0.3">
      <c r="A502" s="71" t="s">
        <v>519</v>
      </c>
      <c r="B502" s="8" t="s">
        <v>182</v>
      </c>
      <c r="C502" s="6">
        <f>Ostrikovandreitries</f>
        <v>0</v>
      </c>
      <c r="D502" s="2" t="s">
        <v>931</v>
      </c>
      <c r="E502" s="21" t="s">
        <v>207</v>
      </c>
      <c r="F502" s="19">
        <f>Nixonexepts</f>
        <v>0</v>
      </c>
    </row>
    <row r="503" spans="1:6" ht="14.95" customHeight="1" thickBot="1" x14ac:dyDescent="0.3">
      <c r="A503" s="71" t="s">
        <v>1077</v>
      </c>
      <c r="B503" s="8" t="s">
        <v>450</v>
      </c>
      <c r="C503" s="9">
        <f>O_Sullivanlirtries</f>
        <v>0</v>
      </c>
      <c r="D503" s="2" t="s">
        <v>344</v>
      </c>
      <c r="E503" s="21" t="s">
        <v>450</v>
      </c>
      <c r="F503" s="19">
        <f>Nottlirpts</f>
        <v>0</v>
      </c>
    </row>
    <row r="504" spans="1:6" ht="14.95" customHeight="1" thickBot="1" x14ac:dyDescent="0.3">
      <c r="A504" s="10" t="s">
        <v>1117</v>
      </c>
      <c r="B504" s="9" t="s">
        <v>181</v>
      </c>
      <c r="C504" s="9">
        <f>Palframanwortries</f>
        <v>0</v>
      </c>
      <c r="D504" s="17" t="s">
        <v>346</v>
      </c>
      <c r="E504" s="19" t="s">
        <v>183</v>
      </c>
      <c r="F504" s="19">
        <f>Obanobthpts</f>
        <v>0</v>
      </c>
    </row>
    <row r="505" spans="1:6" ht="14.95" customHeight="1" thickBot="1" x14ac:dyDescent="0.3">
      <c r="A505" s="10" t="s">
        <v>710</v>
      </c>
      <c r="B505" s="8" t="s">
        <v>208</v>
      </c>
      <c r="C505" s="9">
        <f>O_Sullivanwastries</f>
        <v>0</v>
      </c>
      <c r="D505" s="17" t="s">
        <v>929</v>
      </c>
      <c r="E505" s="21" t="s">
        <v>207</v>
      </c>
      <c r="F505" s="19">
        <f>O_Brienexepts</f>
        <v>0</v>
      </c>
    </row>
    <row r="506" spans="1:6" ht="14.95" customHeight="1" thickBot="1" x14ac:dyDescent="0.3">
      <c r="A506" s="71" t="s">
        <v>402</v>
      </c>
      <c r="B506" s="8" t="s">
        <v>184</v>
      </c>
      <c r="C506" s="6">
        <f>Painternortries</f>
        <v>0</v>
      </c>
      <c r="D506" s="2" t="s">
        <v>168</v>
      </c>
      <c r="E506" s="21" t="s">
        <v>209</v>
      </c>
      <c r="F506" s="19">
        <f>Olowofela_Jleicpts</f>
        <v>0</v>
      </c>
    </row>
    <row r="507" spans="1:6" ht="14.95" customHeight="1" thickBot="1" x14ac:dyDescent="0.3">
      <c r="A507" s="10" t="s">
        <v>530</v>
      </c>
      <c r="B507" s="9" t="s">
        <v>669</v>
      </c>
      <c r="C507" s="9">
        <f>Owennewtriescorrect</f>
        <v>0</v>
      </c>
      <c r="D507" s="2" t="s">
        <v>519</v>
      </c>
      <c r="E507" s="21" t="s">
        <v>182</v>
      </c>
      <c r="F507" s="20">
        <f>OStrikovsalpts</f>
        <v>0</v>
      </c>
    </row>
    <row r="508" spans="1:6" ht="14.95" customHeight="1" thickBot="1" x14ac:dyDescent="0.3">
      <c r="A508" s="71" t="s">
        <v>186</v>
      </c>
      <c r="B508" s="8" t="s">
        <v>183</v>
      </c>
      <c r="C508" s="9">
        <f>bathpentriestriesthisone</f>
        <v>0</v>
      </c>
      <c r="D508" s="2" t="s">
        <v>1077</v>
      </c>
      <c r="E508" s="21" t="s">
        <v>450</v>
      </c>
      <c r="F508" s="19">
        <f>O_Sullivanlirpts</f>
        <v>0</v>
      </c>
    </row>
    <row r="509" spans="1:6" ht="14.95" customHeight="1" thickBot="1" x14ac:dyDescent="0.3">
      <c r="A509" s="71" t="s">
        <v>186</v>
      </c>
      <c r="B509" s="8" t="s">
        <v>206</v>
      </c>
      <c r="C509" s="9">
        <f>Penalty_Trieshartries</f>
        <v>0</v>
      </c>
      <c r="D509" s="2" t="s">
        <v>1117</v>
      </c>
      <c r="E509" s="21" t="s">
        <v>181</v>
      </c>
      <c r="F509" s="19">
        <f>Palframanworpts</f>
        <v>0</v>
      </c>
    </row>
    <row r="510" spans="1:6" ht="14.95" customHeight="1" thickBot="1" x14ac:dyDescent="0.3">
      <c r="A510" s="71" t="s">
        <v>186</v>
      </c>
      <c r="B510" s="8" t="s">
        <v>182</v>
      </c>
      <c r="C510" s="9">
        <f>Penalty_Triessaltries</f>
        <v>0</v>
      </c>
      <c r="D510" s="17" t="s">
        <v>710</v>
      </c>
      <c r="E510" s="21" t="s">
        <v>208</v>
      </c>
      <c r="F510" s="19">
        <f>O_Sullivanwaspts</f>
        <v>0</v>
      </c>
    </row>
    <row r="511" spans="1:6" ht="14.95" customHeight="1" thickBot="1" x14ac:dyDescent="0.3">
      <c r="A511" s="71" t="s">
        <v>186</v>
      </c>
      <c r="B511" s="8" t="s">
        <v>181</v>
      </c>
      <c r="C511" s="54">
        <f>Penalty_Trieswortries</f>
        <v>0</v>
      </c>
      <c r="D511" s="2" t="s">
        <v>402</v>
      </c>
      <c r="E511" s="21" t="s">
        <v>184</v>
      </c>
      <c r="F511" s="19">
        <f>Painternorpts</f>
        <v>0</v>
      </c>
    </row>
    <row r="512" spans="1:6" ht="14.95" customHeight="1" thickBot="1" x14ac:dyDescent="0.3">
      <c r="A512" s="10" t="s">
        <v>705</v>
      </c>
      <c r="B512" s="9" t="s">
        <v>669</v>
      </c>
      <c r="C512" s="9">
        <f>Pennytnewtries</f>
        <v>0</v>
      </c>
      <c r="D512" s="2" t="s">
        <v>530</v>
      </c>
      <c r="E512" s="21" t="s">
        <v>669</v>
      </c>
      <c r="F512" s="19">
        <f>Owennewptscorrect</f>
        <v>0</v>
      </c>
    </row>
    <row r="513" spans="1:6" ht="14.95" customHeight="1" thickBot="1" x14ac:dyDescent="0.3">
      <c r="A513" s="71" t="s">
        <v>256</v>
      </c>
      <c r="B513" s="8" t="s">
        <v>182</v>
      </c>
      <c r="C513" s="9">
        <f>Phillipsjamessaltries</f>
        <v>0</v>
      </c>
      <c r="D513" s="2" t="s">
        <v>186</v>
      </c>
      <c r="E513" s="21" t="s">
        <v>183</v>
      </c>
      <c r="F513" s="18">
        <f>bathpentriesptsthisone</f>
        <v>0</v>
      </c>
    </row>
    <row r="514" spans="1:6" ht="14.95" customHeight="1" thickBot="1" x14ac:dyDescent="0.3">
      <c r="A514" s="71" t="s">
        <v>912</v>
      </c>
      <c r="B514" s="8" t="s">
        <v>890</v>
      </c>
      <c r="C514" s="9">
        <f>Pifeletisartriescorrect</f>
        <v>0</v>
      </c>
      <c r="D514" s="2" t="s">
        <v>186</v>
      </c>
      <c r="E514" s="21" t="s">
        <v>206</v>
      </c>
      <c r="F514" s="19">
        <f>Penalty_Triesharpts</f>
        <v>0</v>
      </c>
    </row>
    <row r="515" spans="1:6" ht="14.95" customHeight="1" thickBot="1" x14ac:dyDescent="0.3">
      <c r="A515" s="71" t="s">
        <v>349</v>
      </c>
      <c r="B515" s="8" t="s">
        <v>180</v>
      </c>
      <c r="C515" s="9">
        <f>Polledriglotries</f>
        <v>0</v>
      </c>
      <c r="D515" s="2" t="s">
        <v>186</v>
      </c>
      <c r="E515" s="21" t="s">
        <v>182</v>
      </c>
      <c r="F515" s="19">
        <f>Penalty_Triessalpts</f>
        <v>0</v>
      </c>
    </row>
    <row r="516" spans="1:6" ht="14.95" customHeight="1" thickBot="1" x14ac:dyDescent="0.3">
      <c r="A516" s="71" t="s">
        <v>446</v>
      </c>
      <c r="B516" s="8" t="s">
        <v>182</v>
      </c>
      <c r="C516" s="9">
        <f>Postlethwaitesaltries</f>
        <v>0</v>
      </c>
      <c r="D516" s="2" t="s">
        <v>186</v>
      </c>
      <c r="E516" s="21" t="s">
        <v>181</v>
      </c>
      <c r="F516" s="19">
        <f>Penalty_Triesworpts</f>
        <v>0</v>
      </c>
    </row>
    <row r="517" spans="1:6" ht="14.95" customHeight="1" thickBot="1" x14ac:dyDescent="0.3">
      <c r="A517" s="71" t="s">
        <v>435</v>
      </c>
      <c r="B517" s="71" t="s">
        <v>215</v>
      </c>
      <c r="C517" s="9">
        <f>Powellbritries</f>
        <v>0</v>
      </c>
      <c r="D517" s="2" t="s">
        <v>705</v>
      </c>
      <c r="E517" s="21" t="s">
        <v>669</v>
      </c>
      <c r="F517" s="18">
        <f>Pennytnewpts</f>
        <v>0</v>
      </c>
    </row>
    <row r="518" spans="1:6" ht="14.95" customHeight="1" thickBot="1" x14ac:dyDescent="0.3">
      <c r="A518" s="10" t="s">
        <v>351</v>
      </c>
      <c r="B518" s="10" t="s">
        <v>215</v>
      </c>
      <c r="C518" s="9">
        <f>Palamobristries</f>
        <v>0</v>
      </c>
      <c r="D518" s="2" t="s">
        <v>256</v>
      </c>
      <c r="E518" s="2" t="s">
        <v>182</v>
      </c>
      <c r="F518" s="19">
        <f>Phillipsjamessalpts</f>
        <v>0</v>
      </c>
    </row>
    <row r="519" spans="1:6" ht="14.95" customHeight="1" thickBot="1" x14ac:dyDescent="0.3">
      <c r="A519" s="71" t="s">
        <v>1082</v>
      </c>
      <c r="B519" s="71" t="s">
        <v>450</v>
      </c>
      <c r="C519" s="9">
        <f>Redmondlirtries</f>
        <v>0</v>
      </c>
      <c r="D519" s="2" t="s">
        <v>912</v>
      </c>
      <c r="E519" s="2" t="s">
        <v>890</v>
      </c>
      <c r="F519" s="19">
        <f>Pifeletisarptscorrect</f>
        <v>0</v>
      </c>
    </row>
    <row r="520" spans="1:6" ht="14.95" customHeight="1" thickBot="1" x14ac:dyDescent="0.3">
      <c r="A520" s="71" t="s">
        <v>354</v>
      </c>
      <c r="B520" s="71" t="s">
        <v>183</v>
      </c>
      <c r="C520" s="9">
        <f>Redpathbthtries</f>
        <v>0</v>
      </c>
      <c r="D520" s="2" t="s">
        <v>349</v>
      </c>
      <c r="E520" s="2" t="s">
        <v>180</v>
      </c>
      <c r="F520" s="20">
        <f>Polledriglopts</f>
        <v>0</v>
      </c>
    </row>
    <row r="521" spans="1:6" ht="14.95" customHeight="1" thickBot="1" x14ac:dyDescent="0.3">
      <c r="A521" s="71" t="s">
        <v>1090</v>
      </c>
      <c r="B521" s="71" t="s">
        <v>180</v>
      </c>
      <c r="C521" s="9">
        <f>Reevesglotries</f>
        <v>0</v>
      </c>
      <c r="D521" s="2" t="s">
        <v>446</v>
      </c>
      <c r="E521" s="2" t="s">
        <v>182</v>
      </c>
      <c r="F521" s="19">
        <f>Postlethwaitesalpts</f>
        <v>0</v>
      </c>
    </row>
    <row r="522" spans="1:6" ht="14.95" customHeight="1" thickBot="1" x14ac:dyDescent="0.3">
      <c r="A522" s="71" t="s">
        <v>913</v>
      </c>
      <c r="B522" s="71" t="s">
        <v>890</v>
      </c>
      <c r="C522" s="9">
        <f>Reffellsartriescorrect</f>
        <v>0</v>
      </c>
      <c r="D522" s="2" t="s">
        <v>435</v>
      </c>
      <c r="E522" s="2" t="s">
        <v>215</v>
      </c>
      <c r="F522" s="19">
        <f>Powellbripts</f>
        <v>0</v>
      </c>
    </row>
    <row r="523" spans="1:6" ht="14.95" customHeight="1" thickBot="1" x14ac:dyDescent="0.3">
      <c r="A523" s="71" t="s">
        <v>1178</v>
      </c>
      <c r="B523" s="71" t="s">
        <v>450</v>
      </c>
      <c r="C523" s="9">
        <f>Reidlirtries</f>
        <v>0</v>
      </c>
      <c r="D523" s="17" t="s">
        <v>351</v>
      </c>
      <c r="E523" s="17" t="s">
        <v>215</v>
      </c>
      <c r="F523" s="19">
        <f>Randallbripts</f>
        <v>0</v>
      </c>
    </row>
    <row r="524" spans="1:6" ht="14.95" customHeight="1" thickBot="1" x14ac:dyDescent="0.3">
      <c r="A524" s="71" t="s">
        <v>1092</v>
      </c>
      <c r="B524" s="71" t="s">
        <v>207</v>
      </c>
      <c r="C524" s="9">
        <f>Reltonexetries</f>
        <v>0</v>
      </c>
      <c r="D524" s="17" t="s">
        <v>1082</v>
      </c>
      <c r="E524" s="17" t="s">
        <v>450</v>
      </c>
      <c r="F524" s="19">
        <f>Redmondlirpts</f>
        <v>0</v>
      </c>
    </row>
    <row r="525" spans="1:6" ht="14.95" customHeight="1" thickBot="1" x14ac:dyDescent="0.3">
      <c r="A525" s="71" t="s">
        <v>356</v>
      </c>
      <c r="B525" s="71" t="s">
        <v>184</v>
      </c>
      <c r="C525" s="54">
        <f>Ribbansnortries</f>
        <v>0</v>
      </c>
      <c r="D525" s="2" t="s">
        <v>354</v>
      </c>
      <c r="E525" s="2" t="s">
        <v>183</v>
      </c>
      <c r="F525" s="19">
        <f>Redpathbthpts</f>
        <v>0</v>
      </c>
    </row>
    <row r="526" spans="1:6" ht="14.95" customHeight="1" thickBot="1" x14ac:dyDescent="0.3">
      <c r="A526" s="71" t="s">
        <v>914</v>
      </c>
      <c r="B526" s="71" t="s">
        <v>890</v>
      </c>
      <c r="C526" s="9">
        <f>Riccionisartriescorrect</f>
        <v>0</v>
      </c>
      <c r="D526" s="2" t="s">
        <v>1090</v>
      </c>
      <c r="E526" s="2" t="s">
        <v>180</v>
      </c>
      <c r="F526" s="19">
        <f>Reevesglopts</f>
        <v>0</v>
      </c>
    </row>
    <row r="527" spans="1:6" ht="14.95" customHeight="1" thickBot="1" x14ac:dyDescent="0.3">
      <c r="A527" s="71" t="s">
        <v>944</v>
      </c>
      <c r="B527" s="71" t="s">
        <v>209</v>
      </c>
      <c r="C527" s="9">
        <f>Richardsonleictries</f>
        <v>0</v>
      </c>
      <c r="D527" s="2" t="s">
        <v>913</v>
      </c>
      <c r="E527" s="2" t="s">
        <v>890</v>
      </c>
      <c r="F527" s="19">
        <f>Reffellsarptscorrect</f>
        <v>0</v>
      </c>
    </row>
    <row r="528" spans="1:6" ht="14.95" customHeight="1" thickBot="1" x14ac:dyDescent="0.3">
      <c r="A528" s="71" t="s">
        <v>781</v>
      </c>
      <c r="B528" s="71" t="s">
        <v>182</v>
      </c>
      <c r="C528" s="9">
        <f>Roddsaltries</f>
        <v>0</v>
      </c>
      <c r="D528" s="2" t="s">
        <v>1178</v>
      </c>
      <c r="E528" s="2" t="s">
        <v>450</v>
      </c>
      <c r="F528" s="19">
        <f>Reidlirpts</f>
        <v>0</v>
      </c>
    </row>
    <row r="529" spans="1:6" ht="14.95" customHeight="1" thickBot="1" x14ac:dyDescent="0.3">
      <c r="A529" s="71" t="s">
        <v>1101</v>
      </c>
      <c r="B529" s="71" t="s">
        <v>215</v>
      </c>
      <c r="C529" s="9">
        <f>Salomonbritries</f>
        <v>0</v>
      </c>
      <c r="D529" s="17" t="s">
        <v>1092</v>
      </c>
      <c r="E529" s="17" t="s">
        <v>207</v>
      </c>
      <c r="F529" s="19">
        <f>Reltonexepts</f>
        <v>0</v>
      </c>
    </row>
    <row r="530" spans="1:6" ht="14.95" customHeight="1" thickBot="1" x14ac:dyDescent="0.3">
      <c r="A530" s="10" t="s">
        <v>767</v>
      </c>
      <c r="B530" s="10" t="s">
        <v>183</v>
      </c>
      <c r="C530" s="9">
        <f>Schoeman_Tbthtries</f>
        <v>0</v>
      </c>
      <c r="D530" s="2" t="s">
        <v>356</v>
      </c>
      <c r="E530" s="2" t="s">
        <v>184</v>
      </c>
      <c r="F530" s="19">
        <f>Ribbansnorpts</f>
        <v>0</v>
      </c>
    </row>
    <row r="531" spans="1:6" ht="14.95" customHeight="1" thickBot="1" x14ac:dyDescent="0.3">
      <c r="A531" s="71" t="s">
        <v>982</v>
      </c>
      <c r="B531" s="71" t="s">
        <v>206</v>
      </c>
      <c r="C531" s="9">
        <f>Scotland_W_sonhartries</f>
        <v>0</v>
      </c>
      <c r="D531" s="2" t="s">
        <v>914</v>
      </c>
      <c r="E531" s="2" t="s">
        <v>890</v>
      </c>
      <c r="F531" s="19">
        <f>Riccionisarptscorrect</f>
        <v>0</v>
      </c>
    </row>
    <row r="532" spans="1:6" ht="14.95" customHeight="1" thickBot="1" x14ac:dyDescent="0.3">
      <c r="A532" s="71" t="s">
        <v>365</v>
      </c>
      <c r="B532" s="71" t="s">
        <v>209</v>
      </c>
      <c r="C532" s="9">
        <f>Simmonsleictries</f>
        <v>0</v>
      </c>
      <c r="D532" s="2" t="s">
        <v>944</v>
      </c>
      <c r="E532" s="2" t="s">
        <v>209</v>
      </c>
      <c r="F532" s="19">
        <f>Richardsonleicpts</f>
        <v>0</v>
      </c>
    </row>
    <row r="533" spans="1:6" ht="14.95" customHeight="1" thickBot="1" x14ac:dyDescent="0.3">
      <c r="A533" s="71" t="s">
        <v>366</v>
      </c>
      <c r="B533" s="71" t="s">
        <v>180</v>
      </c>
      <c r="C533" s="9">
        <f>Simpsonglotries+Simpsonbthtries</f>
        <v>0</v>
      </c>
      <c r="D533" s="2" t="s">
        <v>781</v>
      </c>
      <c r="E533" s="2" t="s">
        <v>182</v>
      </c>
      <c r="F533" s="19">
        <f>Roddsalpts</f>
        <v>0</v>
      </c>
    </row>
    <row r="534" spans="1:6" ht="14.95" customHeight="1" thickBot="1" x14ac:dyDescent="0.3">
      <c r="A534" s="71" t="s">
        <v>367</v>
      </c>
      <c r="B534" s="71" t="s">
        <v>215</v>
      </c>
      <c r="C534" s="9">
        <f>Stirzakerbritries</f>
        <v>0</v>
      </c>
      <c r="D534" s="2" t="s">
        <v>1101</v>
      </c>
      <c r="E534" s="2" t="s">
        <v>215</v>
      </c>
      <c r="F534" s="19">
        <f>Salomonbripts</f>
        <v>0</v>
      </c>
    </row>
    <row r="535" spans="1:6" ht="14.95" customHeight="1" thickBot="1" x14ac:dyDescent="0.3">
      <c r="A535" s="71" t="s">
        <v>472</v>
      </c>
      <c r="B535" s="71" t="s">
        <v>208</v>
      </c>
      <c r="C535" s="9">
        <f>Sirkerwastries</f>
        <v>0</v>
      </c>
      <c r="D535" s="2" t="s">
        <v>767</v>
      </c>
      <c r="E535" s="2" t="s">
        <v>183</v>
      </c>
      <c r="F535" s="19">
        <f>Schoeman_Tbthptscorrect</f>
        <v>0</v>
      </c>
    </row>
    <row r="536" spans="1:6" ht="14.95" customHeight="1" thickBot="1" x14ac:dyDescent="0.3">
      <c r="A536" s="71" t="s">
        <v>414</v>
      </c>
      <c r="B536" s="71" t="s">
        <v>207</v>
      </c>
      <c r="C536" s="9">
        <f>Skinner_Hexetries</f>
        <v>0</v>
      </c>
      <c r="D536" s="2" t="s">
        <v>982</v>
      </c>
      <c r="E536" s="2" t="s">
        <v>206</v>
      </c>
      <c r="F536" s="19">
        <f>Scotland_W_sonharpts</f>
        <v>0</v>
      </c>
    </row>
    <row r="537" spans="1:6" ht="14.95" customHeight="1" thickBot="1" x14ac:dyDescent="0.3">
      <c r="A537" s="71" t="s">
        <v>370</v>
      </c>
      <c r="B537" s="71" t="s">
        <v>180</v>
      </c>
      <c r="C537" s="9">
        <f>Slaterglotries</f>
        <v>0</v>
      </c>
      <c r="D537" s="2" t="s">
        <v>365</v>
      </c>
      <c r="E537" s="2" t="s">
        <v>209</v>
      </c>
      <c r="F537" s="19">
        <f>Simmonsleicpts</f>
        <v>0</v>
      </c>
    </row>
    <row r="538" spans="1:6" ht="14.95" customHeight="1" thickBot="1" x14ac:dyDescent="0.3">
      <c r="A538" s="71" t="s">
        <v>429</v>
      </c>
      <c r="B538" s="71" t="s">
        <v>184</v>
      </c>
      <c r="C538" s="9">
        <f>Sleightholmenortries</f>
        <v>0</v>
      </c>
      <c r="D538" s="2" t="s">
        <v>366</v>
      </c>
      <c r="E538" s="2" t="s">
        <v>180</v>
      </c>
      <c r="F538" s="19">
        <f>Simpsonglopts+Simpsonbthpts</f>
        <v>0</v>
      </c>
    </row>
    <row r="539" spans="1:6" ht="14.95" customHeight="1" thickBot="1" x14ac:dyDescent="0.3">
      <c r="A539" s="71" t="s">
        <v>797</v>
      </c>
      <c r="B539" s="71" t="s">
        <v>181</v>
      </c>
      <c r="C539" s="9">
        <f>Smithwortries</f>
        <v>0</v>
      </c>
      <c r="D539" s="2" t="s">
        <v>367</v>
      </c>
      <c r="E539" s="2" t="s">
        <v>215</v>
      </c>
      <c r="F539" s="19">
        <f>Stirzakerbripts</f>
        <v>0</v>
      </c>
    </row>
    <row r="540" spans="1:6" ht="14.95" customHeight="1" thickBot="1" x14ac:dyDescent="0.3">
      <c r="A540" s="71" t="s">
        <v>1184</v>
      </c>
      <c r="B540" s="71" t="s">
        <v>669</v>
      </c>
      <c r="C540" s="9">
        <f>Smithrobbienewtries</f>
        <v>0</v>
      </c>
      <c r="D540" s="2" t="s">
        <v>472</v>
      </c>
      <c r="E540" s="2" t="s">
        <v>208</v>
      </c>
      <c r="F540" s="19">
        <f>Sirkerwaspts</f>
        <v>0</v>
      </c>
    </row>
    <row r="541" spans="1:6" ht="14.95" customHeight="1" thickBot="1" x14ac:dyDescent="0.3">
      <c r="A541" s="71" t="s">
        <v>947</v>
      </c>
      <c r="B541" s="71" t="s">
        <v>209</v>
      </c>
      <c r="C541" s="9">
        <f>Smithleictries</f>
        <v>0</v>
      </c>
      <c r="D541" s="2" t="s">
        <v>370</v>
      </c>
      <c r="E541" s="2" t="s">
        <v>180</v>
      </c>
      <c r="F541" s="19">
        <f>Slaterglopts</f>
        <v>0</v>
      </c>
    </row>
    <row r="542" spans="1:6" ht="14.95" customHeight="1" thickBot="1" x14ac:dyDescent="0.3">
      <c r="A542" s="71" t="s">
        <v>949</v>
      </c>
      <c r="B542" s="71" t="s">
        <v>209</v>
      </c>
      <c r="C542" s="9">
        <f>Socinoleictries</f>
        <v>0</v>
      </c>
      <c r="D542" s="2" t="s">
        <v>429</v>
      </c>
      <c r="E542" s="2" t="s">
        <v>184</v>
      </c>
      <c r="F542" s="19">
        <f>Sleightholmenorpts</f>
        <v>0</v>
      </c>
    </row>
    <row r="543" spans="1:6" ht="14.95" customHeight="1" thickBot="1" x14ac:dyDescent="0.3">
      <c r="A543" s="71" t="s">
        <v>612</v>
      </c>
      <c r="B543" s="71" t="s">
        <v>207</v>
      </c>
      <c r="C543" s="9">
        <f>Southworthexetries</f>
        <v>0</v>
      </c>
      <c r="D543" s="2" t="s">
        <v>1184</v>
      </c>
      <c r="E543" s="2" t="s">
        <v>669</v>
      </c>
      <c r="F543" s="19">
        <f>Smithrobbienewpts</f>
        <v>0</v>
      </c>
    </row>
    <row r="544" spans="1:6" ht="14.95" customHeight="1" thickBot="1" x14ac:dyDescent="0.3">
      <c r="A544" s="71" t="s">
        <v>590</v>
      </c>
      <c r="B544" s="71" t="s">
        <v>180</v>
      </c>
      <c r="C544" s="9">
        <f>Stanleyglotries</f>
        <v>0</v>
      </c>
      <c r="D544" s="2" t="s">
        <v>947</v>
      </c>
      <c r="E544" s="2" t="s">
        <v>209</v>
      </c>
      <c r="F544" s="19">
        <f>Smithleicpts</f>
        <v>0</v>
      </c>
    </row>
    <row r="545" spans="1:6" ht="14.95" customHeight="1" thickBot="1" x14ac:dyDescent="0.3">
      <c r="A545" s="71" t="s">
        <v>1219</v>
      </c>
      <c r="B545" s="71" t="s">
        <v>183</v>
      </c>
      <c r="C545" s="9">
        <f>Stewartbthtries</f>
        <v>0</v>
      </c>
      <c r="D545" s="2" t="s">
        <v>949</v>
      </c>
      <c r="E545" s="2" t="s">
        <v>209</v>
      </c>
      <c r="F545" s="19">
        <f>Socinoleicpts</f>
        <v>0</v>
      </c>
    </row>
    <row r="546" spans="1:6" ht="14.95" customHeight="1" thickBot="1" x14ac:dyDescent="0.3">
      <c r="A546" s="10" t="s">
        <v>692</v>
      </c>
      <c r="B546" s="10" t="s">
        <v>669</v>
      </c>
      <c r="C546" s="9">
        <f>Lamositelesartries</f>
        <v>0</v>
      </c>
      <c r="D546" s="2" t="s">
        <v>612</v>
      </c>
      <c r="E546" s="2" t="s">
        <v>207</v>
      </c>
      <c r="F546" s="19">
        <f>Southworthexepts</f>
        <v>0</v>
      </c>
    </row>
    <row r="547" spans="1:6" ht="14.95" customHeight="1" thickBot="1" x14ac:dyDescent="0.3">
      <c r="A547" s="71" t="s">
        <v>916</v>
      </c>
      <c r="B547" s="71" t="s">
        <v>890</v>
      </c>
      <c r="C547" s="9">
        <f>Swinsonsartriescorrect</f>
        <v>0</v>
      </c>
      <c r="D547" s="2" t="s">
        <v>590</v>
      </c>
      <c r="E547" s="2" t="s">
        <v>180</v>
      </c>
      <c r="F547" s="19">
        <f>Stanleyglopts</f>
        <v>0</v>
      </c>
    </row>
    <row r="548" spans="1:6" ht="14.95" customHeight="1" thickBot="1" x14ac:dyDescent="0.3">
      <c r="A548" s="71" t="s">
        <v>235</v>
      </c>
      <c r="B548" s="71" t="s">
        <v>206</v>
      </c>
      <c r="C548" s="9">
        <f>Symonshartries</f>
        <v>0</v>
      </c>
      <c r="D548" s="2" t="s">
        <v>1219</v>
      </c>
      <c r="E548" s="2" t="s">
        <v>183</v>
      </c>
      <c r="F548" s="20">
        <f>Stewartbthpts</f>
        <v>0</v>
      </c>
    </row>
    <row r="549" spans="1:6" ht="14.95" customHeight="1" thickBot="1" x14ac:dyDescent="0.3">
      <c r="A549" s="10" t="s">
        <v>694</v>
      </c>
      <c r="B549" s="10" t="s">
        <v>669</v>
      </c>
      <c r="C549" s="9">
        <f>Longbottomsartries</f>
        <v>0</v>
      </c>
      <c r="D549" s="17" t="s">
        <v>692</v>
      </c>
      <c r="E549" s="17" t="s">
        <v>669</v>
      </c>
      <c r="F549" s="19">
        <f>Lamositelesarpts</f>
        <v>0</v>
      </c>
    </row>
    <row r="550" spans="1:6" ht="14.95" customHeight="1" thickBot="1" x14ac:dyDescent="0.3">
      <c r="A550" s="71" t="s">
        <v>695</v>
      </c>
      <c r="B550" s="71" t="s">
        <v>669</v>
      </c>
      <c r="C550" s="54">
        <f>Maitlandsartries</f>
        <v>0</v>
      </c>
      <c r="D550" s="2" t="s">
        <v>916</v>
      </c>
      <c r="E550" s="2" t="s">
        <v>890</v>
      </c>
      <c r="F550" s="19">
        <f>Swinsonsarptscorrect</f>
        <v>0</v>
      </c>
    </row>
    <row r="551" spans="1:6" ht="14.95" customHeight="1" thickBot="1" x14ac:dyDescent="0.3">
      <c r="A551" s="71" t="s">
        <v>1126</v>
      </c>
      <c r="B551" s="71" t="s">
        <v>206</v>
      </c>
      <c r="C551" s="9">
        <f>Taulanihartriescorrect</f>
        <v>0</v>
      </c>
      <c r="D551" s="2" t="s">
        <v>235</v>
      </c>
      <c r="E551" s="2" t="s">
        <v>206</v>
      </c>
      <c r="F551" s="19">
        <f>Symonsharpts</f>
        <v>0</v>
      </c>
    </row>
    <row r="552" spans="1:6" ht="14.95" customHeight="1" thickBot="1" x14ac:dyDescent="0.3">
      <c r="A552" s="71" t="s">
        <v>667</v>
      </c>
      <c r="B552" s="71" t="s">
        <v>209</v>
      </c>
      <c r="C552" s="9">
        <f>Thompsonleictries</f>
        <v>0</v>
      </c>
      <c r="D552" s="17" t="s">
        <v>694</v>
      </c>
      <c r="E552" s="17" t="s">
        <v>669</v>
      </c>
      <c r="F552" s="19">
        <f>Longbottomsarpts</f>
        <v>0</v>
      </c>
    </row>
    <row r="553" spans="1:6" ht="14.95" customHeight="1" thickBot="1" x14ac:dyDescent="0.3">
      <c r="A553" s="71" t="s">
        <v>917</v>
      </c>
      <c r="B553" s="71" t="s">
        <v>890</v>
      </c>
      <c r="C553" s="9">
        <f>Taylorsartriescorrect</f>
        <v>0</v>
      </c>
      <c r="D553" s="2" t="s">
        <v>695</v>
      </c>
      <c r="E553" s="2" t="s">
        <v>669</v>
      </c>
      <c r="F553" s="19">
        <f>Maitlandsarpts</f>
        <v>0</v>
      </c>
    </row>
    <row r="554" spans="1:6" ht="14.95" customHeight="1" thickBot="1" x14ac:dyDescent="0.3">
      <c r="A554" s="71" t="s">
        <v>1088</v>
      </c>
      <c r="B554" s="71" t="s">
        <v>180</v>
      </c>
      <c r="C554" s="9">
        <f>Taylorglotries</f>
        <v>0</v>
      </c>
      <c r="D554" s="2" t="s">
        <v>1126</v>
      </c>
      <c r="E554" s="2" t="s">
        <v>206</v>
      </c>
      <c r="F554" s="20">
        <f>Taulaniharptscorrect</f>
        <v>0</v>
      </c>
    </row>
    <row r="555" spans="1:6" ht="14.95" customHeight="1" thickBot="1" x14ac:dyDescent="0.3">
      <c r="A555" s="71" t="s">
        <v>227</v>
      </c>
      <c r="B555" s="71" t="s">
        <v>215</v>
      </c>
      <c r="C555" s="9">
        <f>Sheridaneamonntries</f>
        <v>0</v>
      </c>
      <c r="D555" s="2" t="s">
        <v>667</v>
      </c>
      <c r="E555" s="2" t="s">
        <v>209</v>
      </c>
      <c r="F555" s="19">
        <f>Thompsonleicpts</f>
        <v>0</v>
      </c>
    </row>
    <row r="556" spans="1:6" ht="14.95" customHeight="1" thickBot="1" x14ac:dyDescent="0.3">
      <c r="A556" s="71" t="s">
        <v>1211</v>
      </c>
      <c r="B556" s="71" t="s">
        <v>180</v>
      </c>
      <c r="C556" s="9">
        <f>Thomasglotries</f>
        <v>0</v>
      </c>
      <c r="D556" s="2" t="s">
        <v>917</v>
      </c>
      <c r="E556" s="2" t="s">
        <v>890</v>
      </c>
      <c r="F556" s="19">
        <f>Taylorsarptscorrect</f>
        <v>0</v>
      </c>
    </row>
    <row r="557" spans="1:6" ht="14.95" customHeight="1" thickBot="1" x14ac:dyDescent="0.3">
      <c r="A557" s="71" t="s">
        <v>1215</v>
      </c>
      <c r="B557" s="71" t="s">
        <v>669</v>
      </c>
      <c r="C557" s="9">
        <f>Tiffennewtries</f>
        <v>0</v>
      </c>
      <c r="D557" s="2" t="s">
        <v>1088</v>
      </c>
      <c r="E557" s="2" t="s">
        <v>180</v>
      </c>
      <c r="F557" s="19">
        <f>Taylorglopts</f>
        <v>0</v>
      </c>
    </row>
    <row r="558" spans="1:6" ht="14.95" customHeight="1" thickBot="1" x14ac:dyDescent="0.3">
      <c r="A558" s="71" t="s">
        <v>373</v>
      </c>
      <c r="B558" s="71" t="s">
        <v>180</v>
      </c>
      <c r="C558" s="9">
        <f>Cowanjimmytries</f>
        <v>0</v>
      </c>
      <c r="D558" s="2" t="s">
        <v>227</v>
      </c>
      <c r="E558" s="2" t="s">
        <v>215</v>
      </c>
      <c r="F558" s="19">
        <f>Thomas_Dbripts</f>
        <v>0</v>
      </c>
    </row>
    <row r="559" spans="1:6" ht="14.95" customHeight="1" thickBot="1" x14ac:dyDescent="0.3">
      <c r="A559" s="71" t="s">
        <v>374</v>
      </c>
      <c r="B559" s="71" t="s">
        <v>184</v>
      </c>
      <c r="C559" s="6">
        <f>TualaNORTRIES</f>
        <v>0</v>
      </c>
      <c r="D559" s="2" t="s">
        <v>1211</v>
      </c>
      <c r="E559" s="2" t="s">
        <v>180</v>
      </c>
      <c r="F559" s="19">
        <f>Thomasglopts</f>
        <v>0</v>
      </c>
    </row>
    <row r="560" spans="1:6" ht="14.95" customHeight="1" thickBot="1" x14ac:dyDescent="0.3">
      <c r="A560" s="71" t="s">
        <v>1065</v>
      </c>
      <c r="B560" s="71" t="s">
        <v>208</v>
      </c>
      <c r="C560" s="9">
        <f>Tunneywastries</f>
        <v>0</v>
      </c>
      <c r="D560" s="2" t="s">
        <v>1215</v>
      </c>
      <c r="E560" s="2" t="s">
        <v>669</v>
      </c>
      <c r="F560" s="19">
        <f>Tiffennewpts</f>
        <v>0</v>
      </c>
    </row>
    <row r="561" spans="1:6" ht="14.95" customHeight="1" thickBot="1" x14ac:dyDescent="0.3">
      <c r="A561" s="71" t="s">
        <v>697</v>
      </c>
      <c r="B561" s="71" t="s">
        <v>669</v>
      </c>
      <c r="C561" s="9">
        <f>Malinssartries</f>
        <v>0</v>
      </c>
      <c r="D561" s="2" t="s">
        <v>373</v>
      </c>
      <c r="E561" s="2" t="s">
        <v>180</v>
      </c>
      <c r="F561" s="19">
        <f>Cowanjimmypts</f>
        <v>0</v>
      </c>
    </row>
    <row r="562" spans="1:6" ht="14.95" customHeight="1" thickBot="1" x14ac:dyDescent="0.3">
      <c r="A562" s="71" t="s">
        <v>951</v>
      </c>
      <c r="B562" s="71" t="s">
        <v>209</v>
      </c>
      <c r="C562" s="9">
        <f>van_Stadenleictries</f>
        <v>0</v>
      </c>
      <c r="D562" s="2" t="s">
        <v>374</v>
      </c>
      <c r="E562" s="2" t="s">
        <v>184</v>
      </c>
      <c r="F562" s="18">
        <f>Tualanorpts</f>
        <v>0</v>
      </c>
    </row>
    <row r="563" spans="1:6" ht="14.95" customHeight="1" thickBot="1" x14ac:dyDescent="0.3">
      <c r="A563" s="71" t="s">
        <v>1063</v>
      </c>
      <c r="B563" s="71" t="s">
        <v>208</v>
      </c>
      <c r="C563" s="9">
        <f>Vellacottwastries</f>
        <v>0</v>
      </c>
      <c r="D563" s="17" t="s">
        <v>1065</v>
      </c>
      <c r="E563" s="17" t="s">
        <v>208</v>
      </c>
      <c r="F563" s="19">
        <f>Tunneywaspts</f>
        <v>0</v>
      </c>
    </row>
    <row r="564" spans="1:6" ht="14.95" customHeight="1" thickBot="1" x14ac:dyDescent="0.3">
      <c r="A564" s="71" t="s">
        <v>724</v>
      </c>
      <c r="B564" s="71" t="s">
        <v>209</v>
      </c>
      <c r="C564" s="9">
        <f>van_Wykkobusleictries</f>
        <v>0</v>
      </c>
      <c r="D564" s="2" t="s">
        <v>697</v>
      </c>
      <c r="E564" s="2" t="s">
        <v>669</v>
      </c>
      <c r="F564" s="19">
        <f>Malinssarpts</f>
        <v>0</v>
      </c>
    </row>
    <row r="565" spans="1:6" ht="14.95" customHeight="1" thickBot="1" x14ac:dyDescent="0.3">
      <c r="A565" s="71" t="s">
        <v>919</v>
      </c>
      <c r="B565" s="71" t="s">
        <v>890</v>
      </c>
      <c r="C565" s="9">
        <f>van_Zylsartriescorrect</f>
        <v>0</v>
      </c>
      <c r="D565" s="2" t="s">
        <v>951</v>
      </c>
      <c r="E565" s="2" t="s">
        <v>209</v>
      </c>
      <c r="F565" s="19">
        <f>van_Stadenleicpts</f>
        <v>0</v>
      </c>
    </row>
    <row r="566" spans="1:6" ht="14.95" customHeight="1" thickBot="1" x14ac:dyDescent="0.3">
      <c r="A566" s="71" t="s">
        <v>1186</v>
      </c>
      <c r="B566" s="71" t="s">
        <v>209</v>
      </c>
      <c r="C566" s="9">
        <f>Vanesleictries</f>
        <v>0</v>
      </c>
      <c r="D566" s="2" t="s">
        <v>1063</v>
      </c>
      <c r="E566" s="2" t="s">
        <v>208</v>
      </c>
      <c r="F566" s="18">
        <f>Vellacottwaspts</f>
        <v>0</v>
      </c>
    </row>
    <row r="567" spans="1:6" ht="14.95" customHeight="1" thickBot="1" x14ac:dyDescent="0.3">
      <c r="A567" s="71" t="s">
        <v>565</v>
      </c>
      <c r="B567" s="71" t="s">
        <v>180</v>
      </c>
      <c r="C567" s="54">
        <f>Vellacottglotries</f>
        <v>0</v>
      </c>
      <c r="D567" s="2" t="s">
        <v>724</v>
      </c>
      <c r="E567" s="2" t="s">
        <v>209</v>
      </c>
      <c r="F567" s="19">
        <f>van_Wykkobusleicpts</f>
        <v>0</v>
      </c>
    </row>
    <row r="568" spans="1:6" ht="14.95" customHeight="1" thickBot="1" x14ac:dyDescent="0.3">
      <c r="A568" s="71" t="s">
        <v>382</v>
      </c>
      <c r="B568" s="71" t="s">
        <v>183</v>
      </c>
      <c r="C568" s="9">
        <f>van_Vuurenbthtries</f>
        <v>0</v>
      </c>
      <c r="D568" s="2" t="s">
        <v>919</v>
      </c>
      <c r="E568" s="2" t="s">
        <v>890</v>
      </c>
      <c r="F568" s="19">
        <f>van_Zylsarptscorrect</f>
        <v>0</v>
      </c>
    </row>
    <row r="569" spans="1:6" ht="14.95" customHeight="1" thickBot="1" x14ac:dyDescent="0.3">
      <c r="A569" s="71" t="s">
        <v>920</v>
      </c>
      <c r="B569" s="71" t="s">
        <v>890</v>
      </c>
      <c r="C569" s="9">
        <f>Ventersartriescorrect</f>
        <v>0</v>
      </c>
      <c r="D569" s="2" t="s">
        <v>1186</v>
      </c>
      <c r="E569" s="2" t="s">
        <v>209</v>
      </c>
      <c r="F569" s="19">
        <f>Vanesleicpts</f>
        <v>0</v>
      </c>
    </row>
    <row r="570" spans="1:6" ht="14.95" customHeight="1" thickBot="1" x14ac:dyDescent="0.3">
      <c r="A570" s="10" t="s">
        <v>862</v>
      </c>
      <c r="B570" s="10" t="s">
        <v>183</v>
      </c>
      <c r="C570" s="9">
        <f>Walkerbthtries</f>
        <v>0</v>
      </c>
      <c r="D570" s="2" t="s">
        <v>565</v>
      </c>
      <c r="E570" s="2" t="s">
        <v>180</v>
      </c>
      <c r="F570" s="19">
        <f>Vellacottglopts</f>
        <v>0</v>
      </c>
    </row>
    <row r="571" spans="1:6" ht="14.95" customHeight="1" thickBot="1" x14ac:dyDescent="0.3">
      <c r="A571" s="10" t="s">
        <v>1190</v>
      </c>
      <c r="B571" s="10" t="s">
        <v>208</v>
      </c>
      <c r="C571" s="9">
        <f>Vukasinovicwastries</f>
        <v>0</v>
      </c>
      <c r="D571" s="2" t="s">
        <v>382</v>
      </c>
      <c r="E571" s="2" t="s">
        <v>183</v>
      </c>
      <c r="F571" s="19">
        <f>van_Vuurenbthpts</f>
        <v>0</v>
      </c>
    </row>
    <row r="572" spans="1:6" ht="14.95" customHeight="1" thickBot="1" x14ac:dyDescent="0.3">
      <c r="A572" s="71" t="s">
        <v>839</v>
      </c>
      <c r="B572" s="71" t="s">
        <v>890</v>
      </c>
      <c r="C572" s="9">
        <f>Vunipola__Manusartriescorrect</f>
        <v>0</v>
      </c>
      <c r="D572" s="2" t="s">
        <v>920</v>
      </c>
      <c r="E572" s="2" t="s">
        <v>890</v>
      </c>
      <c r="F572" s="19">
        <f>Ventersarptscorrect</f>
        <v>0</v>
      </c>
    </row>
    <row r="573" spans="1:6" ht="14.95" customHeight="1" thickBot="1" x14ac:dyDescent="0.3">
      <c r="A573" s="71" t="s">
        <v>738</v>
      </c>
      <c r="B573" s="71" t="s">
        <v>669</v>
      </c>
      <c r="C573" s="9">
        <f>Wacokecokenewtries</f>
        <v>0</v>
      </c>
      <c r="D573" s="17" t="s">
        <v>862</v>
      </c>
      <c r="E573" s="17" t="s">
        <v>183</v>
      </c>
      <c r="F573" s="19">
        <f>Walkerbthpts</f>
        <v>0</v>
      </c>
    </row>
    <row r="574" spans="1:6" ht="14.95" customHeight="1" thickBot="1" x14ac:dyDescent="0.3">
      <c r="A574" s="71" t="s">
        <v>577</v>
      </c>
      <c r="B574" s="71" t="s">
        <v>180</v>
      </c>
      <c r="C574" s="9">
        <f>Visagieglotries</f>
        <v>0</v>
      </c>
      <c r="D574" s="2" t="s">
        <v>1190</v>
      </c>
      <c r="E574" s="2" t="s">
        <v>208</v>
      </c>
      <c r="F574" s="19">
        <f>Vukasinovicwaspts</f>
        <v>0</v>
      </c>
    </row>
    <row r="575" spans="1:6" ht="14.95" customHeight="1" thickBot="1" x14ac:dyDescent="0.3">
      <c r="A575" s="71" t="s">
        <v>1080</v>
      </c>
      <c r="B575" s="71" t="s">
        <v>206</v>
      </c>
      <c r="C575" s="9">
        <f>Tapuaihartries</f>
        <v>0</v>
      </c>
      <c r="D575" s="2" t="s">
        <v>738</v>
      </c>
      <c r="E575" s="2" t="s">
        <v>669</v>
      </c>
      <c r="F575" s="19">
        <f>Wacokecokenewpts</f>
        <v>0</v>
      </c>
    </row>
    <row r="576" spans="1:6" ht="14.95" customHeight="1" thickBot="1" x14ac:dyDescent="0.3">
      <c r="A576" s="10" t="s">
        <v>201</v>
      </c>
      <c r="B576" s="71" t="s">
        <v>181</v>
      </c>
      <c r="C576" s="9">
        <f>Wallerwortries</f>
        <v>0</v>
      </c>
      <c r="D576" s="2" t="s">
        <v>577</v>
      </c>
      <c r="E576" s="2" t="s">
        <v>180</v>
      </c>
      <c r="F576" s="19">
        <f>Visagieglopts</f>
        <v>0</v>
      </c>
    </row>
    <row r="577" spans="1:6" ht="14.95" customHeight="1" thickBot="1" x14ac:dyDescent="0.3">
      <c r="A577" s="71" t="s">
        <v>648</v>
      </c>
      <c r="B577" s="71" t="s">
        <v>207</v>
      </c>
      <c r="C577" s="9">
        <f>White_Nicexetries</f>
        <v>0</v>
      </c>
      <c r="D577" s="2" t="s">
        <v>1080</v>
      </c>
      <c r="E577" s="2" t="s">
        <v>206</v>
      </c>
      <c r="F577" s="19">
        <f>Tapuaiharpts</f>
        <v>0</v>
      </c>
    </row>
    <row r="578" spans="1:6" ht="14.95" customHeight="1" thickBot="1" x14ac:dyDescent="0.3">
      <c r="A578" s="71" t="s">
        <v>187</v>
      </c>
      <c r="B578" s="71" t="s">
        <v>183</v>
      </c>
      <c r="C578" s="9">
        <f>Watsonanthonytries</f>
        <v>0</v>
      </c>
      <c r="D578" s="17" t="s">
        <v>201</v>
      </c>
      <c r="E578" s="2" t="s">
        <v>181</v>
      </c>
      <c r="F578" s="19">
        <f>Wallerworpts</f>
        <v>0</v>
      </c>
    </row>
    <row r="579" spans="1:6" ht="14.95" customHeight="1" thickBot="1" x14ac:dyDescent="0.3">
      <c r="A579" s="71" t="s">
        <v>699</v>
      </c>
      <c r="B579" s="71" t="s">
        <v>669</v>
      </c>
      <c r="C579" s="9">
        <f>Obatoysartries</f>
        <v>0</v>
      </c>
      <c r="D579" s="2" t="s">
        <v>648</v>
      </c>
      <c r="E579" s="2" t="s">
        <v>207</v>
      </c>
      <c r="F579" s="20">
        <f>White_NexeptsCORRECT</f>
        <v>0</v>
      </c>
    </row>
    <row r="580" spans="1:6" ht="14.95" customHeight="1" thickBot="1" x14ac:dyDescent="0.3">
      <c r="A580" s="71" t="s">
        <v>953</v>
      </c>
      <c r="B580" s="71" t="s">
        <v>209</v>
      </c>
      <c r="C580" s="9">
        <f>Whiteleictries</f>
        <v>0</v>
      </c>
      <c r="D580" s="2" t="s">
        <v>187</v>
      </c>
      <c r="E580" s="2" t="s">
        <v>183</v>
      </c>
      <c r="F580" s="20">
        <f>Watsonanthonypts</f>
        <v>0</v>
      </c>
    </row>
    <row r="581" spans="1:6" ht="14.95" customHeight="1" thickBot="1" x14ac:dyDescent="0.3">
      <c r="A581" s="71" t="s">
        <v>409</v>
      </c>
      <c r="B581" s="71" t="s">
        <v>182</v>
      </c>
      <c r="C581" s="9">
        <f>Wilkinsonsaltries</f>
        <v>0</v>
      </c>
      <c r="D581" s="2" t="s">
        <v>699</v>
      </c>
      <c r="E581" s="2" t="s">
        <v>669</v>
      </c>
      <c r="F581" s="19">
        <f>Obatoysarpts</f>
        <v>0</v>
      </c>
    </row>
    <row r="582" spans="1:6" ht="14.95" customHeight="1" thickBot="1" x14ac:dyDescent="0.3">
      <c r="A582" s="10" t="s">
        <v>205</v>
      </c>
      <c r="B582" s="10" t="s">
        <v>207</v>
      </c>
      <c r="C582" s="9">
        <f>Williamsexetries</f>
        <v>0</v>
      </c>
      <c r="D582" s="2" t="s">
        <v>953</v>
      </c>
      <c r="E582" s="2" t="s">
        <v>209</v>
      </c>
      <c r="F582" s="19">
        <f>Whiteleicpts</f>
        <v>0</v>
      </c>
    </row>
    <row r="583" spans="1:6" ht="14.95" customHeight="1" thickBot="1" x14ac:dyDescent="0.3">
      <c r="A583" s="71" t="s">
        <v>490</v>
      </c>
      <c r="B583" s="71" t="s">
        <v>182</v>
      </c>
      <c r="C583" s="9">
        <f>Williamssaltries</f>
        <v>0</v>
      </c>
      <c r="D583" s="17" t="s">
        <v>205</v>
      </c>
      <c r="E583" s="17" t="s">
        <v>207</v>
      </c>
      <c r="F583" s="20">
        <f>Williamsexepts</f>
        <v>0</v>
      </c>
    </row>
    <row r="584" spans="1:6" ht="14.95" customHeight="1" thickBot="1" x14ac:dyDescent="0.3">
      <c r="A584" s="10" t="s">
        <v>431</v>
      </c>
      <c r="B584" s="10" t="s">
        <v>181</v>
      </c>
      <c r="C584" s="9">
        <f>Williamswortries</f>
        <v>0</v>
      </c>
      <c r="D584" s="2" t="s">
        <v>490</v>
      </c>
      <c r="E584" s="2" t="s">
        <v>182</v>
      </c>
      <c r="F584" s="18">
        <f>Williamssalpts</f>
        <v>0</v>
      </c>
    </row>
    <row r="585" spans="1:6" ht="14.95" customHeight="1" thickBot="1" x14ac:dyDescent="0.3">
      <c r="A585" s="10" t="s">
        <v>199</v>
      </c>
      <c r="B585" s="10" t="s">
        <v>208</v>
      </c>
      <c r="C585" s="9">
        <f>Williswastries</f>
        <v>0</v>
      </c>
      <c r="D585" s="17" t="s">
        <v>199</v>
      </c>
      <c r="E585" s="17" t="s">
        <v>208</v>
      </c>
      <c r="F585" s="19">
        <f>Williswaspts</f>
        <v>0</v>
      </c>
    </row>
    <row r="586" spans="1:6" ht="14.95" customHeight="1" thickBot="1" x14ac:dyDescent="0.3">
      <c r="A586" s="71" t="s">
        <v>879</v>
      </c>
      <c r="B586" s="71" t="s">
        <v>215</v>
      </c>
      <c r="C586" s="9">
        <f>Wilsteadbritries</f>
        <v>0</v>
      </c>
      <c r="D586" s="17" t="s">
        <v>879</v>
      </c>
      <c r="E586" s="17" t="s">
        <v>215</v>
      </c>
      <c r="F586" s="19">
        <f>Wilsteadbripts</f>
        <v>0</v>
      </c>
    </row>
    <row r="587" spans="1:6" ht="14.95" customHeight="1" thickBot="1" x14ac:dyDescent="0.3">
      <c r="A587" s="71" t="s">
        <v>391</v>
      </c>
      <c r="B587" s="71" t="s">
        <v>215</v>
      </c>
      <c r="C587" s="9">
        <f>Steelelitries</f>
        <v>0</v>
      </c>
      <c r="D587" s="2" t="s">
        <v>391</v>
      </c>
      <c r="E587" s="2" t="s">
        <v>215</v>
      </c>
      <c r="F587" s="19">
        <f>Steelelipts</f>
        <v>0</v>
      </c>
    </row>
    <row r="588" spans="1:6" ht="14.95" customHeight="1" thickBot="1" x14ac:dyDescent="0.3">
      <c r="A588" s="71" t="s">
        <v>387</v>
      </c>
      <c r="B588" s="71" t="s">
        <v>183</v>
      </c>
      <c r="C588" s="9">
        <f>Wilson__Jamesbthtries+Wrightnewtries</f>
        <v>0</v>
      </c>
      <c r="D588" s="2" t="s">
        <v>387</v>
      </c>
      <c r="E588" s="2" t="s">
        <v>183</v>
      </c>
      <c r="F588" s="19">
        <f>Wilson__Jamesbthpts+Wrightnewpts</f>
        <v>0</v>
      </c>
    </row>
    <row r="589" spans="1:6" ht="14.95" customHeight="1" thickBot="1" x14ac:dyDescent="0.3">
      <c r="A589" s="71" t="s">
        <v>479</v>
      </c>
      <c r="B589" s="71" t="s">
        <v>207</v>
      </c>
      <c r="C589" s="9">
        <f>Wyattexetries</f>
        <v>0</v>
      </c>
      <c r="D589" s="2" t="s">
        <v>479</v>
      </c>
      <c r="E589" s="2" t="s">
        <v>207</v>
      </c>
      <c r="F589" s="19">
        <f>Wyattexepts</f>
        <v>0</v>
      </c>
    </row>
    <row r="590" spans="1:6" ht="14.95" customHeight="1" thickBot="1" x14ac:dyDescent="0.3">
      <c r="A590" s="71" t="s">
        <v>700</v>
      </c>
      <c r="B590" s="71" t="s">
        <v>669</v>
      </c>
      <c r="C590" s="54">
        <f>Rhodessartries</f>
        <v>0</v>
      </c>
      <c r="D590" s="2" t="s">
        <v>700</v>
      </c>
      <c r="E590" s="2" t="s">
        <v>669</v>
      </c>
      <c r="F590" s="19">
        <f>Rhodessarpts</f>
        <v>0</v>
      </c>
    </row>
    <row r="591" spans="1:6" ht="14.95" thickBot="1" x14ac:dyDescent="0.3">
      <c r="A591" s="9" t="s">
        <v>28</v>
      </c>
      <c r="B591" s="9"/>
      <c r="C591" s="9">
        <f>SUM(C2:C590)</f>
        <v>1051</v>
      </c>
      <c r="D591" s="19" t="s">
        <v>28</v>
      </c>
      <c r="E591" s="19"/>
      <c r="F591" s="19">
        <f>SUM(F2:F590)</f>
        <v>8028</v>
      </c>
    </row>
    <row r="592" spans="1:6" x14ac:dyDescent="0.25">
      <c r="A592" s="505" t="s">
        <v>1220</v>
      </c>
      <c r="B592" s="36"/>
      <c r="C592" s="36"/>
      <c r="D592" s="36"/>
      <c r="E592" s="36"/>
      <c r="F592" s="36"/>
    </row>
    <row r="593" spans="1:6" x14ac:dyDescent="0.25">
      <c r="A593" s="52" t="s">
        <v>81</v>
      </c>
    </row>
    <row r="595" spans="1:6" x14ac:dyDescent="0.25">
      <c r="B595" s="432" t="s">
        <v>183</v>
      </c>
      <c r="C595">
        <f t="shared" ref="C595:C607" si="2">SUMIF($B$2:$B$590,B595,C$2:C$590)</f>
        <v>57</v>
      </c>
      <c r="E595" s="432" t="s">
        <v>183</v>
      </c>
      <c r="F595">
        <f t="shared" ref="F595:F607" si="3">SUMIF($E$2:$E$590,E595,F$2:F$590)</f>
        <v>461</v>
      </c>
    </row>
    <row r="596" spans="1:6" x14ac:dyDescent="0.25">
      <c r="B596" s="432" t="s">
        <v>215</v>
      </c>
      <c r="C596">
        <f t="shared" si="2"/>
        <v>73</v>
      </c>
      <c r="E596" s="432" t="s">
        <v>215</v>
      </c>
      <c r="F596">
        <f t="shared" si="3"/>
        <v>573</v>
      </c>
    </row>
    <row r="597" spans="1:6" x14ac:dyDescent="0.25">
      <c r="B597" s="432" t="s">
        <v>207</v>
      </c>
      <c r="C597">
        <f t="shared" si="2"/>
        <v>82</v>
      </c>
      <c r="E597" s="432" t="s">
        <v>207</v>
      </c>
      <c r="F597">
        <f t="shared" si="3"/>
        <v>584</v>
      </c>
    </row>
    <row r="598" spans="1:6" x14ac:dyDescent="0.25">
      <c r="B598" s="432" t="s">
        <v>180</v>
      </c>
      <c r="C598">
        <f t="shared" si="2"/>
        <v>88</v>
      </c>
      <c r="E598" s="432" t="s">
        <v>180</v>
      </c>
      <c r="F598">
        <f t="shared" si="3"/>
        <v>665</v>
      </c>
    </row>
    <row r="599" spans="1:6" x14ac:dyDescent="0.25">
      <c r="B599" s="432" t="s">
        <v>206</v>
      </c>
      <c r="C599">
        <f t="shared" si="2"/>
        <v>98</v>
      </c>
      <c r="E599" s="432" t="s">
        <v>206</v>
      </c>
      <c r="F599">
        <f t="shared" si="3"/>
        <v>664</v>
      </c>
    </row>
    <row r="600" spans="1:6" x14ac:dyDescent="0.25">
      <c r="B600" s="432" t="s">
        <v>209</v>
      </c>
      <c r="C600">
        <f t="shared" si="2"/>
        <v>92</v>
      </c>
      <c r="E600" s="432" t="s">
        <v>209</v>
      </c>
      <c r="F600">
        <f t="shared" si="3"/>
        <v>768</v>
      </c>
    </row>
    <row r="601" spans="1:6" x14ac:dyDescent="0.25">
      <c r="B601" s="432" t="s">
        <v>450</v>
      </c>
      <c r="C601">
        <f t="shared" si="2"/>
        <v>93</v>
      </c>
      <c r="E601" s="432" t="s">
        <v>450</v>
      </c>
      <c r="F601">
        <f t="shared" si="3"/>
        <v>660</v>
      </c>
    </row>
    <row r="602" spans="1:6" x14ac:dyDescent="0.25">
      <c r="B602" s="432" t="s">
        <v>669</v>
      </c>
      <c r="C602">
        <f t="shared" si="2"/>
        <v>57</v>
      </c>
      <c r="E602" s="432" t="s">
        <v>669</v>
      </c>
      <c r="F602">
        <f t="shared" si="3"/>
        <v>436</v>
      </c>
    </row>
    <row r="603" spans="1:6" x14ac:dyDescent="0.25">
      <c r="B603" s="432" t="s">
        <v>184</v>
      </c>
      <c r="C603">
        <f t="shared" si="2"/>
        <v>100</v>
      </c>
      <c r="E603" s="432" t="s">
        <v>184</v>
      </c>
      <c r="F603">
        <f t="shared" si="3"/>
        <v>778</v>
      </c>
    </row>
    <row r="604" spans="1:6" x14ac:dyDescent="0.25">
      <c r="B604" s="432" t="s">
        <v>182</v>
      </c>
      <c r="C604">
        <f t="shared" si="2"/>
        <v>75</v>
      </c>
      <c r="E604" s="432" t="s">
        <v>182</v>
      </c>
      <c r="F604">
        <f t="shared" si="3"/>
        <v>559</v>
      </c>
    </row>
    <row r="605" spans="1:6" x14ac:dyDescent="0.25">
      <c r="B605" s="432" t="s">
        <v>890</v>
      </c>
      <c r="C605">
        <f t="shared" si="2"/>
        <v>98</v>
      </c>
      <c r="E605" s="432" t="s">
        <v>890</v>
      </c>
      <c r="F605">
        <f t="shared" si="3"/>
        <v>815</v>
      </c>
    </row>
    <row r="606" spans="1:6" x14ac:dyDescent="0.25">
      <c r="B606" s="432" t="s">
        <v>208</v>
      </c>
      <c r="C606">
        <f t="shared" si="2"/>
        <v>76</v>
      </c>
      <c r="E606" s="432" t="s">
        <v>208</v>
      </c>
      <c r="F606">
        <f t="shared" si="3"/>
        <v>614</v>
      </c>
    </row>
    <row r="607" spans="1:6" x14ac:dyDescent="0.25">
      <c r="B607" s="432" t="s">
        <v>181</v>
      </c>
      <c r="C607">
        <f t="shared" si="2"/>
        <v>62</v>
      </c>
      <c r="E607" s="432" t="s">
        <v>181</v>
      </c>
      <c r="F607">
        <f t="shared" si="3"/>
        <v>451</v>
      </c>
    </row>
    <row r="608" spans="1:6" x14ac:dyDescent="0.25">
      <c r="C608">
        <f>SUM(C595:C607)</f>
        <v>1051</v>
      </c>
      <c r="F608">
        <f>SUM(F595:F607)</f>
        <v>8028</v>
      </c>
    </row>
    <row r="630" ht="14.95" customHeight="1" x14ac:dyDescent="0.25"/>
    <row r="631" ht="14.95" customHeight="1" x14ac:dyDescent="0.25"/>
    <row r="640" ht="15.8" customHeight="1" x14ac:dyDescent="0.25"/>
    <row r="642" ht="15.8" customHeight="1" x14ac:dyDescent="0.25"/>
    <row r="643" ht="14.95" customHeight="1" x14ac:dyDescent="0.25"/>
    <row r="644" ht="14.95" customHeight="1" x14ac:dyDescent="0.25"/>
  </sheetData>
  <sortState xmlns:xlrd2="http://schemas.microsoft.com/office/spreadsheetml/2017/richdata2" ref="G32:K54">
    <sortCondition descending="1" ref="K32:K54"/>
    <sortCondition descending="1" ref="J32:J54"/>
    <sortCondition ref="G32:G54"/>
  </sortState>
  <mergeCells count="3">
    <mergeCell ref="O1:Q1"/>
    <mergeCell ref="L1:N1"/>
    <mergeCell ref="O12:Q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110"/>
  <sheetViews>
    <sheetView topLeftCell="A7" workbookViewId="0">
      <selection activeCell="AB14" sqref="AB14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6.75" customWidth="1"/>
    <col min="12" max="14" width="5.375" customWidth="1"/>
    <col min="15" max="23" width="5.75" customWidth="1"/>
    <col min="24" max="34" width="4.75" customWidth="1"/>
    <col min="35" max="46" width="5.75" customWidth="1"/>
  </cols>
  <sheetData>
    <row r="1" spans="1:55" ht="14.95" customHeight="1" thickBot="1" x14ac:dyDescent="0.3">
      <c r="A1" s="544" t="s">
        <v>842</v>
      </c>
      <c r="B1" s="545"/>
      <c r="C1" s="545"/>
      <c r="D1" s="545"/>
      <c r="E1" s="545"/>
      <c r="F1" s="545"/>
      <c r="G1" s="545"/>
      <c r="H1" s="545"/>
      <c r="I1" s="545"/>
      <c r="J1" s="546"/>
      <c r="K1" s="540" t="s">
        <v>509</v>
      </c>
      <c r="L1" s="526" t="s">
        <v>29</v>
      </c>
      <c r="M1" s="527"/>
      <c r="N1" s="528"/>
      <c r="O1" s="526" t="s">
        <v>232</v>
      </c>
      <c r="P1" s="527"/>
      <c r="Q1" s="528"/>
      <c r="R1" s="526" t="s">
        <v>508</v>
      </c>
      <c r="S1" s="528"/>
      <c r="T1" s="520" t="s">
        <v>634</v>
      </c>
      <c r="U1" s="521"/>
      <c r="V1" s="522"/>
      <c r="W1" s="520" t="s">
        <v>863</v>
      </c>
      <c r="X1" s="521"/>
      <c r="Y1" s="522"/>
      <c r="Z1" s="230"/>
      <c r="AA1" s="100"/>
      <c r="AB1" s="100"/>
      <c r="AC1" s="109"/>
      <c r="AD1" s="109"/>
      <c r="AE1" s="327"/>
      <c r="AF1" s="512" t="s">
        <v>621</v>
      </c>
      <c r="AG1" s="513"/>
      <c r="AH1" s="514"/>
      <c r="AI1" s="512" t="s">
        <v>448</v>
      </c>
      <c r="AJ1" s="513"/>
      <c r="AK1" s="514"/>
      <c r="AL1" s="512" t="s">
        <v>178</v>
      </c>
      <c r="AM1" s="513"/>
      <c r="AN1" s="514"/>
      <c r="AO1" s="512" t="s">
        <v>122</v>
      </c>
      <c r="AP1" s="513"/>
      <c r="AQ1" s="514"/>
      <c r="AR1" s="512" t="s">
        <v>113</v>
      </c>
      <c r="AS1" s="513"/>
      <c r="AT1" s="514"/>
      <c r="AU1" s="4"/>
      <c r="AV1" s="4"/>
      <c r="AW1" s="4"/>
      <c r="AZ1" s="4"/>
    </row>
    <row r="2" spans="1:55" ht="14.95" customHeight="1" thickBot="1" x14ac:dyDescent="0.3">
      <c r="A2" s="256" t="s">
        <v>0</v>
      </c>
      <c r="B2" s="257" t="s">
        <v>620</v>
      </c>
      <c r="C2" s="271" t="s">
        <v>63</v>
      </c>
      <c r="D2" s="375" t="s">
        <v>925</v>
      </c>
      <c r="E2" s="258" t="s">
        <v>1</v>
      </c>
      <c r="F2" s="176" t="s">
        <v>2</v>
      </c>
      <c r="G2" s="177" t="s">
        <v>620</v>
      </c>
      <c r="H2" s="224" t="s">
        <v>63</v>
      </c>
      <c r="I2" s="377" t="s">
        <v>925</v>
      </c>
      <c r="J2" s="178" t="s">
        <v>1</v>
      </c>
      <c r="K2" s="541"/>
      <c r="L2" s="529"/>
      <c r="M2" s="530"/>
      <c r="N2" s="531"/>
      <c r="O2" s="529"/>
      <c r="P2" s="530"/>
      <c r="Q2" s="531"/>
      <c r="R2" s="529"/>
      <c r="S2" s="531"/>
      <c r="T2" s="523"/>
      <c r="U2" s="524"/>
      <c r="V2" s="525"/>
      <c r="W2" s="523"/>
      <c r="X2" s="524"/>
      <c r="Y2" s="525"/>
      <c r="Z2" s="230"/>
      <c r="AA2" s="100"/>
      <c r="AB2" s="100"/>
      <c r="AC2" s="109"/>
      <c r="AD2" s="109"/>
      <c r="AE2" s="327"/>
      <c r="AF2" s="515"/>
      <c r="AG2" s="516"/>
      <c r="AH2" s="517"/>
      <c r="AI2" s="515"/>
      <c r="AJ2" s="516"/>
      <c r="AK2" s="517"/>
      <c r="AL2" s="515"/>
      <c r="AM2" s="516"/>
      <c r="AN2" s="517"/>
      <c r="AO2" s="515"/>
      <c r="AP2" s="516"/>
      <c r="AQ2" s="517"/>
      <c r="AR2" s="515"/>
      <c r="AS2" s="516"/>
      <c r="AT2" s="517"/>
      <c r="AX2" s="4"/>
      <c r="AY2" s="4"/>
      <c r="AZ2" s="4"/>
      <c r="BA2" s="4"/>
      <c r="BB2" s="4"/>
      <c r="BC2" s="4"/>
    </row>
    <row r="3" spans="1:55" ht="14.95" customHeight="1" thickBot="1" x14ac:dyDescent="0.3">
      <c r="A3" s="259" t="s">
        <v>635</v>
      </c>
      <c r="B3" s="260">
        <v>1</v>
      </c>
      <c r="C3" s="272">
        <v>0</v>
      </c>
      <c r="D3" s="376">
        <v>2</v>
      </c>
      <c r="E3" s="261">
        <f>SUM(B3:D3)</f>
        <v>3</v>
      </c>
      <c r="F3" s="173" t="s">
        <v>635</v>
      </c>
      <c r="G3" s="174">
        <v>5</v>
      </c>
      <c r="H3" s="225">
        <v>0</v>
      </c>
      <c r="I3" s="378">
        <v>10</v>
      </c>
      <c r="J3" s="175">
        <f>SUM(G3:I3)</f>
        <v>15</v>
      </c>
      <c r="K3" s="393" t="s">
        <v>44</v>
      </c>
      <c r="L3" s="3" t="s">
        <v>107</v>
      </c>
      <c r="M3" s="3" t="s">
        <v>23</v>
      </c>
      <c r="N3" s="3" t="s">
        <v>24</v>
      </c>
      <c r="O3" s="212" t="s">
        <v>107</v>
      </c>
      <c r="P3" s="3" t="s">
        <v>23</v>
      </c>
      <c r="Q3" s="3" t="s">
        <v>24</v>
      </c>
      <c r="R3" s="3" t="s">
        <v>34</v>
      </c>
      <c r="S3" s="3" t="s">
        <v>135</v>
      </c>
      <c r="T3" s="7" t="s">
        <v>107</v>
      </c>
      <c r="U3" s="7" t="s">
        <v>23</v>
      </c>
      <c r="V3" s="7" t="s">
        <v>24</v>
      </c>
      <c r="W3" s="201" t="s">
        <v>107</v>
      </c>
      <c r="X3" s="7" t="s">
        <v>23</v>
      </c>
      <c r="Y3" s="7" t="s">
        <v>24</v>
      </c>
      <c r="Z3" s="108"/>
      <c r="AA3" s="109"/>
      <c r="AB3" s="109"/>
      <c r="AC3" s="109"/>
      <c r="AD3" s="109"/>
      <c r="AE3" s="327"/>
      <c r="AF3" s="98" t="s">
        <v>107</v>
      </c>
      <c r="AG3" s="93" t="s">
        <v>23</v>
      </c>
      <c r="AH3" s="93" t="s">
        <v>24</v>
      </c>
      <c r="AI3" s="98" t="s">
        <v>107</v>
      </c>
      <c r="AJ3" s="93" t="s">
        <v>23</v>
      </c>
      <c r="AK3" s="93" t="s">
        <v>24</v>
      </c>
      <c r="AL3" s="98" t="s">
        <v>107</v>
      </c>
      <c r="AM3" s="93" t="s">
        <v>23</v>
      </c>
      <c r="AN3" s="114" t="s">
        <v>24</v>
      </c>
      <c r="AO3" s="114" t="s">
        <v>107</v>
      </c>
      <c r="AP3" s="93" t="s">
        <v>23</v>
      </c>
      <c r="AQ3" s="93" t="s">
        <v>24</v>
      </c>
      <c r="AR3" s="93" t="s">
        <v>107</v>
      </c>
      <c r="AS3" s="93" t="s">
        <v>23</v>
      </c>
      <c r="AT3" s="93" t="s">
        <v>24</v>
      </c>
    </row>
    <row r="4" spans="1:55" ht="14.95" customHeight="1" thickBot="1" x14ac:dyDescent="0.3">
      <c r="A4" s="259" t="s">
        <v>71</v>
      </c>
      <c r="B4" s="260">
        <v>0</v>
      </c>
      <c r="C4" s="272">
        <v>0</v>
      </c>
      <c r="D4" s="376">
        <v>0</v>
      </c>
      <c r="E4" s="261">
        <f t="shared" ref="E4:E54" si="0">SUM(B4:D4)</f>
        <v>0</v>
      </c>
      <c r="F4" s="173" t="s">
        <v>71</v>
      </c>
      <c r="G4" s="174">
        <v>0</v>
      </c>
      <c r="H4" s="225">
        <v>0</v>
      </c>
      <c r="I4" s="378">
        <v>0</v>
      </c>
      <c r="J4" s="175">
        <f t="shared" ref="J4:J54" si="1">SUM(G4:I4)</f>
        <v>0</v>
      </c>
      <c r="K4" s="256" t="s">
        <v>415</v>
      </c>
      <c r="L4" s="264" t="s">
        <v>30</v>
      </c>
      <c r="M4" s="264" t="s">
        <v>30</v>
      </c>
      <c r="N4" s="265" t="s">
        <v>30</v>
      </c>
      <c r="O4" s="264" t="s">
        <v>30</v>
      </c>
      <c r="P4" s="264" t="s">
        <v>30</v>
      </c>
      <c r="Q4" s="265" t="s">
        <v>30</v>
      </c>
      <c r="R4" s="266">
        <v>6</v>
      </c>
      <c r="S4" s="266">
        <v>2</v>
      </c>
      <c r="T4" s="6">
        <v>8</v>
      </c>
      <c r="U4" s="6">
        <v>9</v>
      </c>
      <c r="V4" s="211">
        <f>(T4/U4)*100</f>
        <v>88.888888888888886</v>
      </c>
      <c r="W4" s="6" t="s">
        <v>30</v>
      </c>
      <c r="X4" s="6" t="s">
        <v>30</v>
      </c>
      <c r="Y4" s="6" t="s">
        <v>30</v>
      </c>
      <c r="Z4" s="108"/>
      <c r="AA4" s="109"/>
      <c r="AB4" s="109"/>
      <c r="AC4" s="109"/>
      <c r="AD4" s="109"/>
      <c r="AE4" s="327"/>
      <c r="AF4" s="6">
        <v>0</v>
      </c>
      <c r="AG4" s="6">
        <v>1</v>
      </c>
      <c r="AH4" s="6">
        <v>0</v>
      </c>
      <c r="AI4" s="207" t="s">
        <v>30</v>
      </c>
      <c r="AJ4" s="208" t="s">
        <v>30</v>
      </c>
      <c r="AK4" s="208" t="s">
        <v>30</v>
      </c>
      <c r="AL4" s="207" t="s">
        <v>30</v>
      </c>
      <c r="AM4" s="208" t="s">
        <v>30</v>
      </c>
      <c r="AN4" s="208" t="s">
        <v>30</v>
      </c>
      <c r="AO4" s="207" t="s">
        <v>30</v>
      </c>
      <c r="AP4" s="208" t="s">
        <v>30</v>
      </c>
      <c r="AQ4" s="208" t="s">
        <v>30</v>
      </c>
      <c r="AR4" s="208" t="s">
        <v>30</v>
      </c>
      <c r="AS4" s="208" t="s">
        <v>30</v>
      </c>
      <c r="AT4" s="208" t="s">
        <v>30</v>
      </c>
    </row>
    <row r="5" spans="1:55" ht="14.95" customHeight="1" thickBot="1" x14ac:dyDescent="0.3">
      <c r="A5" s="259" t="s">
        <v>637</v>
      </c>
      <c r="B5" s="260">
        <v>0</v>
      </c>
      <c r="C5" s="272">
        <v>0</v>
      </c>
      <c r="D5" s="376">
        <v>0</v>
      </c>
      <c r="E5" s="261">
        <f t="shared" si="0"/>
        <v>0</v>
      </c>
      <c r="F5" s="173" t="s">
        <v>637</v>
      </c>
      <c r="G5" s="174">
        <v>0</v>
      </c>
      <c r="H5" s="225">
        <v>0</v>
      </c>
      <c r="I5" s="378">
        <v>0</v>
      </c>
      <c r="J5" s="175">
        <f t="shared" si="1"/>
        <v>0</v>
      </c>
      <c r="K5" s="256" t="s">
        <v>417</v>
      </c>
      <c r="L5" s="264">
        <v>10</v>
      </c>
      <c r="M5" s="264">
        <v>16</v>
      </c>
      <c r="N5" s="265">
        <f>(L5/M5)*100</f>
        <v>62.5</v>
      </c>
      <c r="O5" s="264" t="s">
        <v>30</v>
      </c>
      <c r="P5" s="264" t="s">
        <v>30</v>
      </c>
      <c r="Q5" s="265" t="s">
        <v>30</v>
      </c>
      <c r="R5" s="266">
        <v>2</v>
      </c>
      <c r="S5" s="266">
        <v>2</v>
      </c>
      <c r="T5" s="6">
        <v>10</v>
      </c>
      <c r="U5" s="6">
        <v>16</v>
      </c>
      <c r="V5" s="211">
        <f>(T5/U5)*100</f>
        <v>62.5</v>
      </c>
      <c r="W5" s="6">
        <v>1</v>
      </c>
      <c r="X5" s="6">
        <v>1</v>
      </c>
      <c r="Y5" s="6">
        <f>(W5/X5)*100</f>
        <v>100</v>
      </c>
      <c r="Z5" s="108"/>
      <c r="AA5" s="109"/>
      <c r="AB5" s="109"/>
      <c r="AC5" s="109"/>
      <c r="AD5" s="109"/>
      <c r="AE5" s="327"/>
      <c r="AF5" s="6" t="s">
        <v>30</v>
      </c>
      <c r="AG5" s="6" t="s">
        <v>30</v>
      </c>
      <c r="AH5" s="6" t="s">
        <v>30</v>
      </c>
      <c r="AI5" s="6" t="s">
        <v>30</v>
      </c>
      <c r="AJ5" s="6" t="s">
        <v>30</v>
      </c>
      <c r="AK5" s="6" t="s">
        <v>30</v>
      </c>
      <c r="AL5" s="6" t="s">
        <v>30</v>
      </c>
      <c r="AM5" s="6" t="s">
        <v>30</v>
      </c>
      <c r="AN5" s="6" t="s">
        <v>30</v>
      </c>
      <c r="AO5" s="6">
        <v>24</v>
      </c>
      <c r="AP5" s="6">
        <v>29</v>
      </c>
      <c r="AQ5" s="211">
        <f>SUM(AO5/AP5)*100</f>
        <v>82.758620689655174</v>
      </c>
      <c r="AR5" s="6">
        <v>47</v>
      </c>
      <c r="AS5" s="6">
        <v>54</v>
      </c>
      <c r="AT5" s="206">
        <f>SUM(AR5/AS5)*100</f>
        <v>87.037037037037038</v>
      </c>
    </row>
    <row r="6" spans="1:55" ht="14.95" customHeight="1" thickBot="1" x14ac:dyDescent="0.3">
      <c r="A6" s="259" t="s">
        <v>868</v>
      </c>
      <c r="B6" s="260">
        <v>0</v>
      </c>
      <c r="C6" s="272">
        <v>0</v>
      </c>
      <c r="D6" s="376">
        <v>0</v>
      </c>
      <c r="E6" s="261">
        <f t="shared" si="0"/>
        <v>0</v>
      </c>
      <c r="F6" s="173" t="s">
        <v>868</v>
      </c>
      <c r="G6" s="174">
        <v>0</v>
      </c>
      <c r="H6" s="225">
        <v>0</v>
      </c>
      <c r="I6" s="378">
        <v>0</v>
      </c>
      <c r="J6" s="175">
        <f t="shared" si="1"/>
        <v>0</v>
      </c>
      <c r="K6" s="256" t="s">
        <v>504</v>
      </c>
      <c r="L6" s="264">
        <v>1</v>
      </c>
      <c r="M6" s="264">
        <v>4</v>
      </c>
      <c r="N6" s="265">
        <f>(L6/M6)*100</f>
        <v>25</v>
      </c>
      <c r="O6" s="264" t="s">
        <v>30</v>
      </c>
      <c r="P6" s="264" t="s">
        <v>30</v>
      </c>
      <c r="Q6" s="265" t="s">
        <v>30</v>
      </c>
      <c r="R6" s="266">
        <v>-1</v>
      </c>
      <c r="S6" s="266">
        <v>-1</v>
      </c>
      <c r="T6" s="6">
        <v>23</v>
      </c>
      <c r="U6" s="6">
        <v>31</v>
      </c>
      <c r="V6" s="211">
        <f>(T6/U6)*100</f>
        <v>74.193548387096769</v>
      </c>
      <c r="W6" s="6">
        <v>2</v>
      </c>
      <c r="X6" s="6">
        <v>3</v>
      </c>
      <c r="Y6" s="211">
        <f>(W6/X6)*100</f>
        <v>66.666666666666657</v>
      </c>
      <c r="Z6" s="108"/>
      <c r="AA6" s="109"/>
      <c r="AB6" s="109"/>
      <c r="AC6" s="109"/>
      <c r="AD6" s="109"/>
      <c r="AE6" s="327"/>
      <c r="AF6" s="6" t="s">
        <v>30</v>
      </c>
      <c r="AG6" s="6" t="s">
        <v>30</v>
      </c>
      <c r="AH6" s="6" t="s">
        <v>30</v>
      </c>
      <c r="AI6" s="6" t="s">
        <v>30</v>
      </c>
      <c r="AJ6" s="6" t="s">
        <v>30</v>
      </c>
      <c r="AK6" s="6" t="s">
        <v>30</v>
      </c>
      <c r="AL6" s="6" t="s">
        <v>30</v>
      </c>
      <c r="AM6" s="6" t="s">
        <v>30</v>
      </c>
      <c r="AN6" s="6" t="s">
        <v>30</v>
      </c>
      <c r="AO6" s="6" t="s">
        <v>30</v>
      </c>
      <c r="AP6" s="6" t="s">
        <v>30</v>
      </c>
      <c r="AQ6" s="6" t="s">
        <v>30</v>
      </c>
      <c r="AR6" s="6" t="s">
        <v>30</v>
      </c>
      <c r="AS6" s="6" t="s">
        <v>30</v>
      </c>
      <c r="AT6" s="6" t="s">
        <v>30</v>
      </c>
    </row>
    <row r="7" spans="1:55" ht="14.95" customHeight="1" thickBot="1" x14ac:dyDescent="0.3">
      <c r="A7" s="259" t="s">
        <v>551</v>
      </c>
      <c r="B7" s="260">
        <v>1</v>
      </c>
      <c r="C7" s="272">
        <v>0</v>
      </c>
      <c r="D7" s="376">
        <v>1</v>
      </c>
      <c r="E7" s="261">
        <f t="shared" si="0"/>
        <v>2</v>
      </c>
      <c r="F7" s="173" t="s">
        <v>551</v>
      </c>
      <c r="G7" s="174">
        <v>5</v>
      </c>
      <c r="H7" s="225">
        <v>0</v>
      </c>
      <c r="I7" s="378">
        <v>5</v>
      </c>
      <c r="J7" s="175">
        <f t="shared" si="1"/>
        <v>10</v>
      </c>
      <c r="K7" s="256" t="s">
        <v>1176</v>
      </c>
      <c r="L7" s="264" t="s">
        <v>30</v>
      </c>
      <c r="M7" s="266" t="s">
        <v>30</v>
      </c>
      <c r="N7" s="265" t="s">
        <v>30</v>
      </c>
      <c r="O7" s="264" t="s">
        <v>30</v>
      </c>
      <c r="P7" s="264" t="s">
        <v>30</v>
      </c>
      <c r="Q7" s="265" t="s">
        <v>30</v>
      </c>
      <c r="R7" s="266" t="s">
        <v>35</v>
      </c>
      <c r="S7" s="266">
        <v>-1</v>
      </c>
      <c r="T7" s="6"/>
      <c r="U7" s="205"/>
      <c r="V7" s="211"/>
      <c r="W7" s="6"/>
      <c r="X7" s="205"/>
      <c r="Y7" s="211"/>
      <c r="Z7" s="108"/>
      <c r="AA7" s="109"/>
      <c r="AB7" s="109"/>
      <c r="AC7" s="109"/>
      <c r="AD7" s="109"/>
      <c r="AE7" s="327"/>
      <c r="AF7" s="6"/>
      <c r="AG7" s="205"/>
      <c r="AH7" s="7"/>
      <c r="AI7" s="6"/>
      <c r="AJ7" s="205"/>
      <c r="AK7" s="205"/>
      <c r="AL7" s="6"/>
      <c r="AM7" s="205"/>
      <c r="AN7" s="6"/>
      <c r="AO7" s="6"/>
      <c r="AP7" s="205"/>
      <c r="AQ7" s="205"/>
      <c r="AR7" s="6"/>
      <c r="AS7" s="205"/>
      <c r="AT7" s="205"/>
    </row>
    <row r="8" spans="1:55" ht="14.95" customHeight="1" thickBot="1" x14ac:dyDescent="0.3">
      <c r="A8" s="259" t="s">
        <v>500</v>
      </c>
      <c r="B8" s="260">
        <v>2</v>
      </c>
      <c r="C8" s="272">
        <v>0</v>
      </c>
      <c r="D8" s="376">
        <v>1</v>
      </c>
      <c r="E8" s="261">
        <f t="shared" si="0"/>
        <v>3</v>
      </c>
      <c r="F8" s="173" t="s">
        <v>500</v>
      </c>
      <c r="G8" s="174">
        <v>10</v>
      </c>
      <c r="H8" s="225">
        <v>0</v>
      </c>
      <c r="I8" s="378">
        <v>5</v>
      </c>
      <c r="J8" s="175">
        <f t="shared" si="1"/>
        <v>15</v>
      </c>
      <c r="K8" s="256" t="s">
        <v>225</v>
      </c>
      <c r="L8" s="264">
        <v>66</v>
      </c>
      <c r="M8" s="266">
        <v>84</v>
      </c>
      <c r="N8" s="265">
        <f>(L8/M8)*100</f>
        <v>78.571428571428569</v>
      </c>
      <c r="O8" s="264">
        <v>2</v>
      </c>
      <c r="P8" s="264">
        <v>3</v>
      </c>
      <c r="Q8" s="265">
        <f>(O8/P8)*100</f>
        <v>66.666666666666657</v>
      </c>
      <c r="R8" s="266">
        <v>-1</v>
      </c>
      <c r="S8" s="266">
        <v>-1</v>
      </c>
      <c r="T8" s="6">
        <v>40</v>
      </c>
      <c r="U8" s="205">
        <v>54</v>
      </c>
      <c r="V8" s="211">
        <f>(T8/U8)*100</f>
        <v>74.074074074074076</v>
      </c>
      <c r="W8" s="6">
        <v>74</v>
      </c>
      <c r="X8" s="205">
        <v>99</v>
      </c>
      <c r="Y8" s="211">
        <f>(W8/X8)*100</f>
        <v>74.747474747474755</v>
      </c>
      <c r="Z8" s="108"/>
      <c r="AA8" s="109"/>
      <c r="AB8" s="109"/>
      <c r="AC8" s="109"/>
      <c r="AD8" s="109"/>
      <c r="AE8" s="327"/>
      <c r="AF8" s="6">
        <v>45</v>
      </c>
      <c r="AG8" s="205">
        <v>55</v>
      </c>
      <c r="AH8" s="206">
        <f>SUM(AF8/AG8)*100</f>
        <v>81.818181818181827</v>
      </c>
      <c r="AI8" s="6" t="s">
        <v>30</v>
      </c>
      <c r="AJ8" s="205" t="s">
        <v>30</v>
      </c>
      <c r="AK8" s="205" t="s">
        <v>30</v>
      </c>
      <c r="AL8" s="6" t="s">
        <v>30</v>
      </c>
      <c r="AM8" s="205" t="s">
        <v>30</v>
      </c>
      <c r="AN8" s="6" t="s">
        <v>30</v>
      </c>
      <c r="AO8" s="6" t="s">
        <v>30</v>
      </c>
      <c r="AP8" s="205" t="s">
        <v>30</v>
      </c>
      <c r="AQ8" s="205" t="s">
        <v>30</v>
      </c>
      <c r="AR8" s="6" t="s">
        <v>30</v>
      </c>
      <c r="AS8" s="205" t="s">
        <v>30</v>
      </c>
      <c r="AT8" s="205" t="s">
        <v>30</v>
      </c>
      <c r="AU8" s="4"/>
    </row>
    <row r="9" spans="1:55" ht="14.95" customHeight="1" thickBot="1" x14ac:dyDescent="0.3">
      <c r="A9" s="259" t="s">
        <v>415</v>
      </c>
      <c r="B9" s="260">
        <v>0</v>
      </c>
      <c r="C9" s="272">
        <v>0</v>
      </c>
      <c r="D9" s="376">
        <v>1</v>
      </c>
      <c r="E9" s="261">
        <f t="shared" si="0"/>
        <v>1</v>
      </c>
      <c r="F9" s="173" t="s">
        <v>415</v>
      </c>
      <c r="G9" s="174">
        <v>0</v>
      </c>
      <c r="H9" s="225">
        <v>0</v>
      </c>
      <c r="I9" s="378">
        <v>11</v>
      </c>
      <c r="J9" s="175">
        <f t="shared" si="1"/>
        <v>11</v>
      </c>
      <c r="K9" s="459" t="s">
        <v>1141</v>
      </c>
      <c r="L9" s="264">
        <v>9</v>
      </c>
      <c r="M9" s="266">
        <v>10</v>
      </c>
      <c r="N9" s="265">
        <f>(L9/M9)*100</f>
        <v>90</v>
      </c>
      <c r="O9" s="264" t="s">
        <v>30</v>
      </c>
      <c r="P9" s="264" t="s">
        <v>30</v>
      </c>
      <c r="Q9" s="265" t="s">
        <v>30</v>
      </c>
      <c r="R9" s="460">
        <v>1</v>
      </c>
      <c r="S9" s="460">
        <v>1</v>
      </c>
      <c r="T9" s="6" t="s">
        <v>30</v>
      </c>
      <c r="U9" s="6" t="s">
        <v>30</v>
      </c>
      <c r="V9" s="6" t="s">
        <v>30</v>
      </c>
      <c r="W9" s="6" t="s">
        <v>30</v>
      </c>
      <c r="X9" s="6" t="s">
        <v>30</v>
      </c>
      <c r="Y9" s="6" t="s">
        <v>30</v>
      </c>
      <c r="Z9" s="108"/>
      <c r="AA9" s="109"/>
      <c r="AB9" s="109"/>
      <c r="AC9" s="109"/>
      <c r="AD9" s="109"/>
      <c r="AE9" s="327"/>
      <c r="AF9" s="6">
        <v>10</v>
      </c>
      <c r="AG9" s="205">
        <v>10</v>
      </c>
      <c r="AH9" s="206">
        <v>100</v>
      </c>
      <c r="AI9" s="6" t="s">
        <v>30</v>
      </c>
      <c r="AJ9" s="205" t="s">
        <v>30</v>
      </c>
      <c r="AK9" s="205" t="s">
        <v>30</v>
      </c>
      <c r="AL9" s="6" t="s">
        <v>30</v>
      </c>
      <c r="AM9" s="205" t="s">
        <v>30</v>
      </c>
      <c r="AN9" s="6" t="s">
        <v>30</v>
      </c>
      <c r="AO9" s="6" t="s">
        <v>30</v>
      </c>
      <c r="AP9" s="205" t="s">
        <v>30</v>
      </c>
      <c r="AQ9" s="205" t="s">
        <v>30</v>
      </c>
      <c r="AR9" s="6" t="s">
        <v>30</v>
      </c>
      <c r="AS9" s="205" t="s">
        <v>30</v>
      </c>
      <c r="AT9" s="205" t="s">
        <v>30</v>
      </c>
    </row>
    <row r="10" spans="1:55" ht="14.95" customHeight="1" thickBot="1" x14ac:dyDescent="0.3">
      <c r="A10" s="259" t="s">
        <v>607</v>
      </c>
      <c r="B10" s="260">
        <v>1</v>
      </c>
      <c r="C10" s="272">
        <v>0</v>
      </c>
      <c r="D10" s="376">
        <v>2</v>
      </c>
      <c r="E10" s="261">
        <f t="shared" si="0"/>
        <v>3</v>
      </c>
      <c r="F10" s="173" t="s">
        <v>607</v>
      </c>
      <c r="G10" s="174">
        <v>5</v>
      </c>
      <c r="H10" s="225">
        <v>0</v>
      </c>
      <c r="I10" s="378">
        <v>10</v>
      </c>
      <c r="J10" s="175">
        <f t="shared" si="1"/>
        <v>15</v>
      </c>
      <c r="K10" s="459" t="s">
        <v>877</v>
      </c>
      <c r="L10" s="264" t="s">
        <v>30</v>
      </c>
      <c r="M10" s="264" t="s">
        <v>30</v>
      </c>
      <c r="N10" s="265" t="s">
        <v>30</v>
      </c>
      <c r="O10" s="264" t="s">
        <v>30</v>
      </c>
      <c r="P10" s="264" t="s">
        <v>30</v>
      </c>
      <c r="Q10" s="265" t="s">
        <v>30</v>
      </c>
      <c r="R10" s="460" t="s">
        <v>38</v>
      </c>
      <c r="S10" s="460">
        <v>1</v>
      </c>
      <c r="T10" s="6" t="s">
        <v>30</v>
      </c>
      <c r="U10" s="6" t="s">
        <v>30</v>
      </c>
      <c r="V10" s="6" t="s">
        <v>30</v>
      </c>
      <c r="W10" s="6" t="s">
        <v>30</v>
      </c>
      <c r="X10" s="6" t="s">
        <v>30</v>
      </c>
      <c r="Y10" s="6" t="s">
        <v>30</v>
      </c>
      <c r="Z10" s="108"/>
      <c r="AA10" s="109"/>
      <c r="AB10" s="109"/>
      <c r="AC10" s="109"/>
      <c r="AD10" s="109"/>
      <c r="AE10" s="327"/>
      <c r="AF10" s="6" t="s">
        <v>30</v>
      </c>
      <c r="AG10" s="6" t="s">
        <v>30</v>
      </c>
      <c r="AH10" s="6" t="s">
        <v>30</v>
      </c>
      <c r="AI10" s="6" t="s">
        <v>30</v>
      </c>
      <c r="AJ10" s="205" t="s">
        <v>30</v>
      </c>
      <c r="AK10" s="205" t="s">
        <v>30</v>
      </c>
      <c r="AL10" s="6" t="s">
        <v>30</v>
      </c>
      <c r="AM10" s="205" t="s">
        <v>30</v>
      </c>
      <c r="AN10" s="6" t="s">
        <v>30</v>
      </c>
      <c r="AO10" s="6" t="s">
        <v>30</v>
      </c>
      <c r="AP10" s="205" t="s">
        <v>30</v>
      </c>
      <c r="AQ10" s="205" t="s">
        <v>30</v>
      </c>
      <c r="AR10" s="6" t="s">
        <v>30</v>
      </c>
      <c r="AS10" s="205" t="s">
        <v>30</v>
      </c>
      <c r="AT10" s="205" t="s">
        <v>30</v>
      </c>
    </row>
    <row r="11" spans="1:55" ht="14.95" customHeight="1" thickBot="1" x14ac:dyDescent="0.3">
      <c r="A11" s="259" t="s">
        <v>502</v>
      </c>
      <c r="B11" s="260">
        <v>1</v>
      </c>
      <c r="C11" s="272">
        <v>0</v>
      </c>
      <c r="D11" s="376">
        <v>1</v>
      </c>
      <c r="E11" s="261">
        <f t="shared" si="0"/>
        <v>2</v>
      </c>
      <c r="F11" s="173" t="s">
        <v>502</v>
      </c>
      <c r="G11" s="174">
        <v>5</v>
      </c>
      <c r="H11" s="225">
        <v>0</v>
      </c>
      <c r="I11" s="378">
        <v>5</v>
      </c>
      <c r="J11" s="175">
        <f t="shared" si="1"/>
        <v>10</v>
      </c>
      <c r="K11" s="118"/>
      <c r="L11" s="66"/>
      <c r="M11" s="117"/>
      <c r="N11" s="117"/>
      <c r="O11" s="117"/>
      <c r="P11" s="117"/>
      <c r="Q11" s="117"/>
      <c r="R11" s="213"/>
      <c r="S11" s="213"/>
      <c r="T11" s="202"/>
      <c r="U11" s="202"/>
      <c r="V11" s="202"/>
      <c r="W11" s="202"/>
      <c r="X11" s="203"/>
      <c r="Y11" s="203"/>
      <c r="Z11" s="101"/>
      <c r="AA11" s="101"/>
      <c r="AB11" s="101"/>
      <c r="AC11" s="101"/>
      <c r="AD11" s="101"/>
      <c r="AE11" s="101"/>
      <c r="AF11" s="101"/>
      <c r="AG11" s="101"/>
      <c r="AH11" s="101"/>
      <c r="AI11" s="273"/>
      <c r="AJ11" s="255"/>
      <c r="AK11" s="255"/>
      <c r="AL11" s="273"/>
      <c r="AM11" s="255"/>
      <c r="AN11" s="273"/>
      <c r="AW11" s="4"/>
      <c r="AX11" s="4"/>
      <c r="AY11" s="4"/>
      <c r="AZ11" s="4"/>
    </row>
    <row r="12" spans="1:55" ht="14.95" customHeight="1" thickBot="1" x14ac:dyDescent="0.3">
      <c r="A12" s="259" t="s">
        <v>1145</v>
      </c>
      <c r="B12" s="260">
        <v>1</v>
      </c>
      <c r="C12" s="272">
        <v>0</v>
      </c>
      <c r="D12" s="376">
        <v>0</v>
      </c>
      <c r="E12" s="261">
        <f t="shared" si="0"/>
        <v>1</v>
      </c>
      <c r="F12" s="173" t="s">
        <v>1145</v>
      </c>
      <c r="G12" s="174">
        <v>5</v>
      </c>
      <c r="H12" s="225">
        <v>0</v>
      </c>
      <c r="I12" s="378">
        <v>0</v>
      </c>
      <c r="J12" s="175">
        <f t="shared" si="1"/>
        <v>5</v>
      </c>
      <c r="K12" s="538" t="s">
        <v>510</v>
      </c>
      <c r="L12" s="526" t="s">
        <v>29</v>
      </c>
      <c r="M12" s="527"/>
      <c r="N12" s="528"/>
      <c r="O12" s="520" t="s">
        <v>634</v>
      </c>
      <c r="P12" s="521"/>
      <c r="Q12" s="522"/>
      <c r="R12" s="520" t="s">
        <v>863</v>
      </c>
      <c r="S12" s="521"/>
      <c r="T12" s="522"/>
      <c r="U12" s="512" t="s">
        <v>621</v>
      </c>
      <c r="V12" s="513"/>
      <c r="W12" s="514"/>
      <c r="X12" s="214"/>
      <c r="Y12" s="214"/>
      <c r="Z12" s="214"/>
      <c r="AF12" s="520" t="s">
        <v>178</v>
      </c>
      <c r="AG12" s="521"/>
      <c r="AH12" s="522"/>
      <c r="AI12" s="520" t="s">
        <v>122</v>
      </c>
      <c r="AJ12" s="549"/>
      <c r="AK12" s="550"/>
      <c r="AL12" s="520" t="s">
        <v>113</v>
      </c>
      <c r="AM12" s="549"/>
      <c r="AN12" s="550"/>
      <c r="AO12" s="520" t="s">
        <v>85</v>
      </c>
      <c r="AP12" s="549"/>
      <c r="AQ12" s="550"/>
      <c r="AU12" s="4"/>
      <c r="AV12" s="4"/>
      <c r="AW12" s="4"/>
    </row>
    <row r="13" spans="1:55" ht="14.95" customHeight="1" thickBot="1" x14ac:dyDescent="0.3">
      <c r="A13" s="259" t="s">
        <v>1058</v>
      </c>
      <c r="B13" s="260">
        <v>0</v>
      </c>
      <c r="C13" s="272">
        <v>0</v>
      </c>
      <c r="D13" s="376">
        <v>1</v>
      </c>
      <c r="E13" s="261">
        <f t="shared" si="0"/>
        <v>1</v>
      </c>
      <c r="F13" s="173" t="s">
        <v>1058</v>
      </c>
      <c r="G13" s="174">
        <v>0</v>
      </c>
      <c r="H13" s="225">
        <v>0</v>
      </c>
      <c r="I13" s="378">
        <v>5</v>
      </c>
      <c r="J13" s="175">
        <f t="shared" si="1"/>
        <v>5</v>
      </c>
      <c r="K13" s="539"/>
      <c r="L13" s="529"/>
      <c r="M13" s="530"/>
      <c r="N13" s="531"/>
      <c r="O13" s="523"/>
      <c r="P13" s="524"/>
      <c r="Q13" s="525"/>
      <c r="R13" s="523"/>
      <c r="S13" s="524"/>
      <c r="T13" s="525"/>
      <c r="U13" s="515"/>
      <c r="V13" s="516"/>
      <c r="W13" s="517"/>
      <c r="X13" s="214"/>
      <c r="Y13" s="214"/>
      <c r="Z13" s="214"/>
      <c r="AF13" s="523"/>
      <c r="AG13" s="524"/>
      <c r="AH13" s="525"/>
      <c r="AI13" s="551"/>
      <c r="AJ13" s="552"/>
      <c r="AK13" s="553"/>
      <c r="AL13" s="551"/>
      <c r="AM13" s="552"/>
      <c r="AN13" s="553"/>
      <c r="AO13" s="551"/>
      <c r="AP13" s="552"/>
      <c r="AQ13" s="553"/>
      <c r="AT13" s="4"/>
    </row>
    <row r="14" spans="1:55" ht="14.95" customHeight="1" thickBot="1" x14ac:dyDescent="0.3">
      <c r="A14" s="259" t="s">
        <v>142</v>
      </c>
      <c r="B14" s="260">
        <v>0</v>
      </c>
      <c r="C14" s="272">
        <v>0</v>
      </c>
      <c r="D14" s="376">
        <v>2</v>
      </c>
      <c r="E14" s="261">
        <f t="shared" si="0"/>
        <v>2</v>
      </c>
      <c r="F14" s="173" t="s">
        <v>142</v>
      </c>
      <c r="G14" s="174">
        <v>0</v>
      </c>
      <c r="H14" s="225">
        <v>0</v>
      </c>
      <c r="I14" s="378">
        <v>10</v>
      </c>
      <c r="J14" s="175">
        <f t="shared" si="1"/>
        <v>10</v>
      </c>
      <c r="K14" s="396" t="s">
        <v>44</v>
      </c>
      <c r="L14" s="3" t="s">
        <v>107</v>
      </c>
      <c r="M14" s="3" t="s">
        <v>23</v>
      </c>
      <c r="N14" s="3" t="s">
        <v>24</v>
      </c>
      <c r="O14" s="7" t="s">
        <v>107</v>
      </c>
      <c r="P14" s="7" t="s">
        <v>23</v>
      </c>
      <c r="Q14" s="7" t="s">
        <v>24</v>
      </c>
      <c r="R14" s="7" t="s">
        <v>107</v>
      </c>
      <c r="S14" s="7" t="s">
        <v>23</v>
      </c>
      <c r="T14" s="7" t="s">
        <v>24</v>
      </c>
      <c r="U14" s="98" t="s">
        <v>107</v>
      </c>
      <c r="V14" s="93" t="s">
        <v>23</v>
      </c>
      <c r="W14" s="93" t="s">
        <v>24</v>
      </c>
      <c r="AF14" s="201" t="s">
        <v>107</v>
      </c>
      <c r="AG14" s="7" t="s">
        <v>23</v>
      </c>
      <c r="AH14" s="7" t="s">
        <v>24</v>
      </c>
      <c r="AI14" s="6" t="s">
        <v>107</v>
      </c>
      <c r="AJ14" s="6" t="s">
        <v>23</v>
      </c>
      <c r="AK14" s="6" t="s">
        <v>24</v>
      </c>
      <c r="AL14" s="6" t="s">
        <v>107</v>
      </c>
      <c r="AM14" s="6" t="s">
        <v>23</v>
      </c>
      <c r="AN14" s="6" t="s">
        <v>24</v>
      </c>
      <c r="AO14" s="6" t="s">
        <v>107</v>
      </c>
      <c r="AP14" s="6" t="s">
        <v>23</v>
      </c>
      <c r="AQ14" s="6" t="s">
        <v>24</v>
      </c>
    </row>
    <row r="15" spans="1:55" ht="14.95" customHeight="1" thickBot="1" x14ac:dyDescent="0.3">
      <c r="A15" s="259" t="s">
        <v>417</v>
      </c>
      <c r="B15" s="260">
        <v>1</v>
      </c>
      <c r="C15" s="272">
        <v>0</v>
      </c>
      <c r="D15" s="376">
        <v>0</v>
      </c>
      <c r="E15" s="261">
        <f t="shared" si="0"/>
        <v>1</v>
      </c>
      <c r="F15" s="173" t="s">
        <v>417</v>
      </c>
      <c r="G15" s="174">
        <v>27</v>
      </c>
      <c r="H15" s="225">
        <v>0</v>
      </c>
      <c r="I15" s="378">
        <v>14</v>
      </c>
      <c r="J15" s="175">
        <f t="shared" si="1"/>
        <v>41</v>
      </c>
      <c r="K15" s="256" t="s">
        <v>415</v>
      </c>
      <c r="L15" s="262" t="s">
        <v>30</v>
      </c>
      <c r="M15" s="262" t="s">
        <v>30</v>
      </c>
      <c r="N15" s="263" t="s">
        <v>30</v>
      </c>
      <c r="O15" s="208" t="s">
        <v>30</v>
      </c>
      <c r="P15" s="208" t="s">
        <v>30</v>
      </c>
      <c r="Q15" s="206" t="s">
        <v>30</v>
      </c>
      <c r="R15" s="208" t="s">
        <v>30</v>
      </c>
      <c r="S15" s="208" t="s">
        <v>30</v>
      </c>
      <c r="T15" s="206" t="s">
        <v>30</v>
      </c>
      <c r="U15" s="207" t="s">
        <v>30</v>
      </c>
      <c r="V15" s="208" t="s">
        <v>30</v>
      </c>
      <c r="W15" s="6" t="s">
        <v>30</v>
      </c>
      <c r="AF15" s="6" t="s">
        <v>30</v>
      </c>
      <c r="AG15" s="6" t="s">
        <v>30</v>
      </c>
      <c r="AH15" s="6" t="s">
        <v>30</v>
      </c>
      <c r="AI15" s="6" t="s">
        <v>30</v>
      </c>
      <c r="AJ15" s="6" t="s">
        <v>30</v>
      </c>
      <c r="AK15" s="6" t="s">
        <v>30</v>
      </c>
      <c r="AL15" s="6" t="s">
        <v>30</v>
      </c>
      <c r="AM15" s="6" t="s">
        <v>30</v>
      </c>
      <c r="AN15" s="6" t="s">
        <v>30</v>
      </c>
      <c r="AO15" s="6" t="s">
        <v>30</v>
      </c>
      <c r="AP15" s="6" t="s">
        <v>30</v>
      </c>
      <c r="AQ15" s="6" t="s">
        <v>30</v>
      </c>
      <c r="AR15" s="59"/>
      <c r="AS15" s="59"/>
      <c r="AT15" s="59"/>
    </row>
    <row r="16" spans="1:55" ht="14.95" customHeight="1" thickBot="1" x14ac:dyDescent="0.3">
      <c r="A16" s="259" t="s">
        <v>525</v>
      </c>
      <c r="B16" s="260">
        <v>8</v>
      </c>
      <c r="C16" s="272">
        <v>0</v>
      </c>
      <c r="D16" s="376">
        <v>0</v>
      </c>
      <c r="E16" s="261">
        <f t="shared" si="0"/>
        <v>8</v>
      </c>
      <c r="F16" s="173" t="s">
        <v>525</v>
      </c>
      <c r="G16" s="174">
        <v>40</v>
      </c>
      <c r="H16" s="225">
        <v>0</v>
      </c>
      <c r="I16" s="378">
        <v>0</v>
      </c>
      <c r="J16" s="175">
        <f t="shared" si="1"/>
        <v>40</v>
      </c>
      <c r="K16" s="256" t="s">
        <v>417</v>
      </c>
      <c r="L16" s="262" t="s">
        <v>30</v>
      </c>
      <c r="M16" s="262" t="s">
        <v>30</v>
      </c>
      <c r="N16" s="264" t="s">
        <v>30</v>
      </c>
      <c r="O16" s="208" t="s">
        <v>30</v>
      </c>
      <c r="P16" s="208" t="s">
        <v>30</v>
      </c>
      <c r="Q16" s="6" t="s">
        <v>30</v>
      </c>
      <c r="R16" s="208" t="s">
        <v>30</v>
      </c>
      <c r="S16" s="208" t="s">
        <v>30</v>
      </c>
      <c r="T16" s="206" t="s">
        <v>30</v>
      </c>
      <c r="U16" s="207" t="s">
        <v>30</v>
      </c>
      <c r="V16" s="208" t="s">
        <v>30</v>
      </c>
      <c r="W16" s="6" t="s">
        <v>30</v>
      </c>
      <c r="AF16" s="6" t="s">
        <v>30</v>
      </c>
      <c r="AG16" s="6" t="s">
        <v>30</v>
      </c>
      <c r="AH16" s="6" t="s">
        <v>30</v>
      </c>
      <c r="AI16" s="6" t="s">
        <v>30</v>
      </c>
      <c r="AJ16" s="208" t="s">
        <v>30</v>
      </c>
      <c r="AK16" s="6" t="s">
        <v>30</v>
      </c>
      <c r="AL16" s="207" t="s">
        <v>30</v>
      </c>
      <c r="AM16" s="208" t="s">
        <v>30</v>
      </c>
      <c r="AN16" s="6" t="s">
        <v>30</v>
      </c>
      <c r="AO16" s="208" t="s">
        <v>30</v>
      </c>
      <c r="AP16" s="208" t="s">
        <v>30</v>
      </c>
      <c r="AQ16" s="6" t="s">
        <v>30</v>
      </c>
      <c r="AR16" s="37"/>
      <c r="AS16" s="37"/>
      <c r="AT16" s="37"/>
    </row>
    <row r="17" spans="1:46" ht="14.95" customHeight="1" thickBot="1" x14ac:dyDescent="0.3">
      <c r="A17" s="259" t="s">
        <v>870</v>
      </c>
      <c r="B17" s="260">
        <v>2</v>
      </c>
      <c r="C17" s="272">
        <v>0</v>
      </c>
      <c r="D17" s="376">
        <v>0</v>
      </c>
      <c r="E17" s="261">
        <f t="shared" si="0"/>
        <v>2</v>
      </c>
      <c r="F17" s="173" t="s">
        <v>870</v>
      </c>
      <c r="G17" s="174">
        <v>10</v>
      </c>
      <c r="H17" s="225">
        <v>0</v>
      </c>
      <c r="I17" s="378">
        <v>0</v>
      </c>
      <c r="J17" s="175">
        <f t="shared" si="1"/>
        <v>10</v>
      </c>
      <c r="K17" s="256" t="s">
        <v>504</v>
      </c>
      <c r="L17" s="262" t="s">
        <v>30</v>
      </c>
      <c r="M17" s="262" t="s">
        <v>30</v>
      </c>
      <c r="N17" s="264" t="s">
        <v>30</v>
      </c>
      <c r="O17" s="208" t="s">
        <v>30</v>
      </c>
      <c r="P17" s="208" t="s">
        <v>30</v>
      </c>
      <c r="Q17" s="6" t="s">
        <v>30</v>
      </c>
      <c r="R17" s="208" t="s">
        <v>30</v>
      </c>
      <c r="S17" s="208" t="s">
        <v>30</v>
      </c>
      <c r="T17" s="206" t="s">
        <v>30</v>
      </c>
      <c r="U17" s="207" t="s">
        <v>30</v>
      </c>
      <c r="V17" s="208" t="s">
        <v>30</v>
      </c>
      <c r="W17" s="6" t="s">
        <v>30</v>
      </c>
      <c r="AF17" s="6" t="s">
        <v>30</v>
      </c>
      <c r="AG17" s="6" t="s">
        <v>30</v>
      </c>
      <c r="AH17" s="6" t="s">
        <v>30</v>
      </c>
      <c r="AI17" s="6" t="s">
        <v>30</v>
      </c>
      <c r="AJ17" s="208" t="s">
        <v>30</v>
      </c>
      <c r="AK17" s="6" t="s">
        <v>30</v>
      </c>
      <c r="AL17" s="207" t="s">
        <v>30</v>
      </c>
      <c r="AM17" s="208" t="s">
        <v>30</v>
      </c>
      <c r="AN17" s="6" t="s">
        <v>30</v>
      </c>
      <c r="AO17" s="208" t="s">
        <v>30</v>
      </c>
      <c r="AP17" s="208" t="s">
        <v>30</v>
      </c>
      <c r="AQ17" s="6" t="s">
        <v>30</v>
      </c>
      <c r="AR17" s="100"/>
      <c r="AS17" s="100"/>
      <c r="AT17" s="100"/>
    </row>
    <row r="18" spans="1:46" ht="14.95" customHeight="1" thickBot="1" x14ac:dyDescent="0.3">
      <c r="A18" s="259" t="s">
        <v>798</v>
      </c>
      <c r="B18" s="260">
        <v>1</v>
      </c>
      <c r="C18" s="272">
        <v>0</v>
      </c>
      <c r="D18" s="376">
        <v>0</v>
      </c>
      <c r="E18" s="261">
        <f t="shared" si="0"/>
        <v>1</v>
      </c>
      <c r="F18" s="173" t="s">
        <v>798</v>
      </c>
      <c r="G18" s="174">
        <v>5</v>
      </c>
      <c r="H18" s="225">
        <v>0</v>
      </c>
      <c r="I18" s="378">
        <v>0</v>
      </c>
      <c r="J18" s="175">
        <f t="shared" si="1"/>
        <v>5</v>
      </c>
      <c r="K18" s="256" t="s">
        <v>225</v>
      </c>
      <c r="L18" s="262">
        <v>15</v>
      </c>
      <c r="M18" s="262">
        <v>19</v>
      </c>
      <c r="N18" s="263">
        <f>(L18/M18)*100</f>
        <v>78.94736842105263</v>
      </c>
      <c r="O18" s="205">
        <v>11</v>
      </c>
      <c r="P18" s="205">
        <v>14</v>
      </c>
      <c r="Q18" s="206">
        <f>(O18/P18)*100</f>
        <v>78.571428571428569</v>
      </c>
      <c r="R18" s="208" t="s">
        <v>30</v>
      </c>
      <c r="S18" s="208" t="s">
        <v>30</v>
      </c>
      <c r="T18" s="206" t="s">
        <v>30</v>
      </c>
      <c r="U18" s="6" t="s">
        <v>30</v>
      </c>
      <c r="V18" s="205" t="s">
        <v>30</v>
      </c>
      <c r="W18" s="6" t="s">
        <v>30</v>
      </c>
      <c r="AF18" s="6" t="s">
        <v>30</v>
      </c>
      <c r="AG18" s="6" t="s">
        <v>30</v>
      </c>
      <c r="AH18" s="6" t="s">
        <v>30</v>
      </c>
      <c r="AI18" s="6" t="s">
        <v>30</v>
      </c>
      <c r="AJ18" s="205" t="s">
        <v>30</v>
      </c>
      <c r="AK18" s="6" t="s">
        <v>30</v>
      </c>
      <c r="AL18" s="6" t="s">
        <v>30</v>
      </c>
      <c r="AM18" s="205" t="s">
        <v>30</v>
      </c>
      <c r="AN18" s="6" t="s">
        <v>30</v>
      </c>
      <c r="AO18" s="205" t="s">
        <v>30</v>
      </c>
      <c r="AP18" s="205" t="s">
        <v>30</v>
      </c>
      <c r="AQ18" s="6" t="s">
        <v>30</v>
      </c>
    </row>
    <row r="19" spans="1:46" ht="14.95" customHeight="1" thickBot="1" x14ac:dyDescent="0.3">
      <c r="A19" s="259" t="s">
        <v>639</v>
      </c>
      <c r="B19" s="260">
        <v>0</v>
      </c>
      <c r="C19" s="272">
        <v>0</v>
      </c>
      <c r="D19" s="376">
        <v>0</v>
      </c>
      <c r="E19" s="261">
        <f t="shared" si="0"/>
        <v>0</v>
      </c>
      <c r="F19" s="173" t="s">
        <v>639</v>
      </c>
      <c r="G19" s="174">
        <v>0</v>
      </c>
      <c r="H19" s="225">
        <v>0</v>
      </c>
      <c r="I19" s="378">
        <v>0</v>
      </c>
      <c r="J19" s="175">
        <f t="shared" si="1"/>
        <v>0</v>
      </c>
      <c r="K19" t="s">
        <v>44</v>
      </c>
      <c r="O19" s="35"/>
      <c r="P19" s="39"/>
      <c r="Q19" s="39"/>
      <c r="R19" s="39"/>
      <c r="S19" s="39"/>
      <c r="T19" s="39"/>
      <c r="U19" s="39"/>
      <c r="V19" s="39"/>
      <c r="W19" s="39"/>
    </row>
    <row r="20" spans="1:46" ht="14.95" customHeight="1" thickBot="1" x14ac:dyDescent="0.3">
      <c r="A20" s="259" t="s">
        <v>217</v>
      </c>
      <c r="B20" s="260">
        <v>1</v>
      </c>
      <c r="C20" s="272">
        <v>0</v>
      </c>
      <c r="D20" s="376">
        <v>0</v>
      </c>
      <c r="E20" s="261">
        <f t="shared" si="0"/>
        <v>1</v>
      </c>
      <c r="F20" s="173" t="s">
        <v>217</v>
      </c>
      <c r="G20" s="174">
        <v>5</v>
      </c>
      <c r="H20" s="225">
        <v>0</v>
      </c>
      <c r="I20" s="378">
        <v>0</v>
      </c>
      <c r="J20" s="175">
        <f t="shared" si="1"/>
        <v>5</v>
      </c>
      <c r="K20" s="542" t="s">
        <v>511</v>
      </c>
      <c r="L20" s="526" t="s">
        <v>29</v>
      </c>
      <c r="M20" s="527"/>
      <c r="N20" s="528"/>
      <c r="O20" s="520" t="s">
        <v>634</v>
      </c>
      <c r="P20" s="521"/>
      <c r="Q20" s="522"/>
      <c r="R20" s="520" t="s">
        <v>863</v>
      </c>
      <c r="S20" s="521"/>
      <c r="T20" s="522"/>
      <c r="U20" s="512" t="s">
        <v>621</v>
      </c>
      <c r="V20" s="513"/>
      <c r="W20" s="514"/>
      <c r="AF20" s="520" t="s">
        <v>178</v>
      </c>
      <c r="AG20" s="521"/>
      <c r="AH20" s="522"/>
      <c r="AI20" s="520" t="s">
        <v>122</v>
      </c>
      <c r="AJ20" s="549"/>
      <c r="AK20" s="550"/>
      <c r="AL20" s="520" t="s">
        <v>113</v>
      </c>
      <c r="AM20" s="549"/>
      <c r="AN20" s="550"/>
      <c r="AO20" s="520" t="s">
        <v>85</v>
      </c>
      <c r="AP20" s="549"/>
      <c r="AQ20" s="550"/>
    </row>
    <row r="21" spans="1:46" ht="14.95" customHeight="1" thickBot="1" x14ac:dyDescent="0.3">
      <c r="A21" s="259" t="s">
        <v>45</v>
      </c>
      <c r="B21" s="260">
        <v>0</v>
      </c>
      <c r="C21" s="272">
        <v>0</v>
      </c>
      <c r="D21" s="376">
        <v>0</v>
      </c>
      <c r="E21" s="261">
        <f t="shared" si="0"/>
        <v>0</v>
      </c>
      <c r="F21" s="173" t="s">
        <v>45</v>
      </c>
      <c r="G21" s="174">
        <v>0</v>
      </c>
      <c r="H21" s="225">
        <v>0</v>
      </c>
      <c r="I21" s="378">
        <v>0</v>
      </c>
      <c r="J21" s="175">
        <f t="shared" si="1"/>
        <v>0</v>
      </c>
      <c r="K21" s="543"/>
      <c r="L21" s="529"/>
      <c r="M21" s="530"/>
      <c r="N21" s="531"/>
      <c r="O21" s="523"/>
      <c r="P21" s="524"/>
      <c r="Q21" s="525"/>
      <c r="R21" s="523"/>
      <c r="S21" s="524"/>
      <c r="T21" s="525"/>
      <c r="U21" s="515"/>
      <c r="V21" s="516"/>
      <c r="W21" s="517"/>
      <c r="AF21" s="523"/>
      <c r="AG21" s="524"/>
      <c r="AH21" s="525"/>
      <c r="AI21" s="551"/>
      <c r="AJ21" s="552"/>
      <c r="AK21" s="553"/>
      <c r="AL21" s="551"/>
      <c r="AM21" s="552"/>
      <c r="AN21" s="553"/>
      <c r="AO21" s="551"/>
      <c r="AP21" s="552"/>
      <c r="AQ21" s="553"/>
    </row>
    <row r="22" spans="1:46" ht="14.95" customHeight="1" thickBot="1" x14ac:dyDescent="0.3">
      <c r="A22" s="259" t="s">
        <v>39</v>
      </c>
      <c r="B22" s="260">
        <v>2</v>
      </c>
      <c r="C22" s="272">
        <v>0</v>
      </c>
      <c r="D22" s="376">
        <v>0</v>
      </c>
      <c r="E22" s="261">
        <f t="shared" si="0"/>
        <v>2</v>
      </c>
      <c r="F22" s="173" t="s">
        <v>39</v>
      </c>
      <c r="G22" s="174">
        <v>10</v>
      </c>
      <c r="H22" s="225">
        <v>0</v>
      </c>
      <c r="I22" s="378">
        <v>0</v>
      </c>
      <c r="J22" s="175">
        <f t="shared" si="1"/>
        <v>10</v>
      </c>
      <c r="K22" s="479" t="s">
        <v>44</v>
      </c>
      <c r="L22" s="3" t="s">
        <v>107</v>
      </c>
      <c r="M22" s="3" t="s">
        <v>23</v>
      </c>
      <c r="N22" s="3" t="s">
        <v>24</v>
      </c>
      <c r="O22" s="7" t="s">
        <v>107</v>
      </c>
      <c r="P22" s="7" t="s">
        <v>23</v>
      </c>
      <c r="Q22" s="7" t="s">
        <v>24</v>
      </c>
      <c r="R22" s="7" t="s">
        <v>107</v>
      </c>
      <c r="S22" s="7" t="s">
        <v>23</v>
      </c>
      <c r="T22" s="7" t="s">
        <v>24</v>
      </c>
      <c r="U22" s="98" t="s">
        <v>107</v>
      </c>
      <c r="V22" s="93" t="s">
        <v>23</v>
      </c>
      <c r="W22" s="93" t="s">
        <v>24</v>
      </c>
      <c r="AF22" s="201" t="s">
        <v>107</v>
      </c>
      <c r="AG22" s="7" t="s">
        <v>23</v>
      </c>
      <c r="AH22" s="7" t="s">
        <v>24</v>
      </c>
      <c r="AI22" s="6" t="s">
        <v>107</v>
      </c>
      <c r="AJ22" s="6" t="s">
        <v>23</v>
      </c>
      <c r="AK22" s="6" t="s">
        <v>24</v>
      </c>
      <c r="AL22" s="6" t="s">
        <v>107</v>
      </c>
      <c r="AM22" s="6" t="s">
        <v>23</v>
      </c>
      <c r="AN22" s="6" t="s">
        <v>24</v>
      </c>
      <c r="AO22" s="6" t="s">
        <v>107</v>
      </c>
      <c r="AP22" s="6" t="s">
        <v>23</v>
      </c>
      <c r="AQ22" s="6" t="s">
        <v>24</v>
      </c>
    </row>
    <row r="23" spans="1:46" ht="14.95" customHeight="1" thickBot="1" x14ac:dyDescent="0.3">
      <c r="A23" s="259" t="s">
        <v>872</v>
      </c>
      <c r="B23" s="260">
        <v>2</v>
      </c>
      <c r="C23" s="272">
        <v>0</v>
      </c>
      <c r="D23" s="376">
        <v>0</v>
      </c>
      <c r="E23" s="261">
        <f t="shared" si="0"/>
        <v>2</v>
      </c>
      <c r="F23" s="173" t="s">
        <v>872</v>
      </c>
      <c r="G23" s="174">
        <v>10</v>
      </c>
      <c r="H23" s="225">
        <v>0</v>
      </c>
      <c r="I23" s="378">
        <v>0</v>
      </c>
      <c r="J23" s="175">
        <f t="shared" si="1"/>
        <v>10</v>
      </c>
      <c r="K23" s="256" t="s">
        <v>415</v>
      </c>
      <c r="L23" s="262" t="s">
        <v>30</v>
      </c>
      <c r="M23" s="262" t="s">
        <v>30</v>
      </c>
      <c r="N23" s="263" t="s">
        <v>30</v>
      </c>
      <c r="O23" s="208" t="s">
        <v>30</v>
      </c>
      <c r="P23" s="208" t="s">
        <v>30</v>
      </c>
      <c r="Q23" s="206" t="s">
        <v>30</v>
      </c>
      <c r="R23" s="208" t="s">
        <v>30</v>
      </c>
      <c r="S23" s="208" t="s">
        <v>30</v>
      </c>
      <c r="T23" s="206" t="s">
        <v>30</v>
      </c>
      <c r="U23" s="207">
        <v>1</v>
      </c>
      <c r="V23" s="208">
        <v>1</v>
      </c>
      <c r="W23" s="206">
        <f t="shared" ref="W23" si="2">SUM(U23/V23)*100</f>
        <v>100</v>
      </c>
      <c r="AF23" s="6" t="s">
        <v>30</v>
      </c>
      <c r="AG23" s="6" t="s">
        <v>30</v>
      </c>
      <c r="AH23" s="6" t="s">
        <v>30</v>
      </c>
      <c r="AI23" s="6" t="s">
        <v>30</v>
      </c>
      <c r="AJ23" s="6" t="s">
        <v>30</v>
      </c>
      <c r="AK23" s="6" t="s">
        <v>30</v>
      </c>
      <c r="AL23" s="6" t="s">
        <v>30</v>
      </c>
      <c r="AM23" s="6" t="s">
        <v>30</v>
      </c>
      <c r="AN23" s="6" t="s">
        <v>30</v>
      </c>
      <c r="AO23" s="6" t="s">
        <v>30</v>
      </c>
      <c r="AP23" s="6" t="s">
        <v>30</v>
      </c>
      <c r="AQ23" s="6" t="s">
        <v>30</v>
      </c>
    </row>
    <row r="24" spans="1:46" ht="14.95" customHeight="1" thickBot="1" x14ac:dyDescent="0.3">
      <c r="A24" s="259" t="s">
        <v>218</v>
      </c>
      <c r="B24" s="260">
        <v>1</v>
      </c>
      <c r="C24" s="272">
        <v>1</v>
      </c>
      <c r="D24" s="376">
        <v>0</v>
      </c>
      <c r="E24" s="261">
        <f t="shared" si="0"/>
        <v>2</v>
      </c>
      <c r="F24" s="173" t="s">
        <v>218</v>
      </c>
      <c r="G24" s="174">
        <v>5</v>
      </c>
      <c r="H24" s="225">
        <v>5</v>
      </c>
      <c r="I24" s="378">
        <v>0</v>
      </c>
      <c r="J24" s="175">
        <f t="shared" si="1"/>
        <v>10</v>
      </c>
      <c r="K24" s="256" t="s">
        <v>417</v>
      </c>
      <c r="L24" s="262" t="s">
        <v>30</v>
      </c>
      <c r="M24" s="262" t="s">
        <v>30</v>
      </c>
      <c r="N24" s="264" t="s">
        <v>30</v>
      </c>
      <c r="O24" s="208" t="s">
        <v>30</v>
      </c>
      <c r="P24" s="208" t="s">
        <v>30</v>
      </c>
      <c r="Q24" s="6" t="s">
        <v>30</v>
      </c>
      <c r="R24" s="208" t="s">
        <v>30</v>
      </c>
      <c r="S24" s="208" t="s">
        <v>30</v>
      </c>
      <c r="T24" s="206" t="s">
        <v>30</v>
      </c>
      <c r="U24" s="207" t="s">
        <v>30</v>
      </c>
      <c r="V24" s="208" t="s">
        <v>30</v>
      </c>
      <c r="W24" s="6" t="s">
        <v>30</v>
      </c>
      <c r="AF24" s="6" t="s">
        <v>30</v>
      </c>
      <c r="AG24" s="6" t="s">
        <v>30</v>
      </c>
      <c r="AH24" s="6" t="s">
        <v>30</v>
      </c>
      <c r="AI24" s="6" t="s">
        <v>30</v>
      </c>
      <c r="AJ24" s="208" t="s">
        <v>30</v>
      </c>
      <c r="AK24" s="6" t="s">
        <v>30</v>
      </c>
      <c r="AL24" s="207" t="s">
        <v>30</v>
      </c>
      <c r="AM24" s="208" t="s">
        <v>30</v>
      </c>
      <c r="AN24" s="6" t="s">
        <v>30</v>
      </c>
      <c r="AO24" s="208" t="s">
        <v>30</v>
      </c>
      <c r="AP24" s="208" t="s">
        <v>30</v>
      </c>
      <c r="AQ24" s="6" t="s">
        <v>30</v>
      </c>
    </row>
    <row r="25" spans="1:46" ht="14.95" customHeight="1" thickBot="1" x14ac:dyDescent="0.3">
      <c r="A25" s="259" t="s">
        <v>874</v>
      </c>
      <c r="B25" s="260">
        <v>3</v>
      </c>
      <c r="C25" s="272">
        <v>0</v>
      </c>
      <c r="D25" s="376">
        <v>0</v>
      </c>
      <c r="E25" s="261">
        <f t="shared" si="0"/>
        <v>3</v>
      </c>
      <c r="F25" s="173" t="s">
        <v>874</v>
      </c>
      <c r="G25" s="174">
        <v>15</v>
      </c>
      <c r="H25" s="225">
        <v>0</v>
      </c>
      <c r="I25" s="379">
        <v>0</v>
      </c>
      <c r="J25" s="179">
        <f t="shared" si="1"/>
        <v>15</v>
      </c>
      <c r="K25" s="256" t="s">
        <v>504</v>
      </c>
      <c r="L25" s="262" t="s">
        <v>30</v>
      </c>
      <c r="M25" s="262" t="s">
        <v>30</v>
      </c>
      <c r="N25" s="264" t="s">
        <v>30</v>
      </c>
      <c r="O25" s="208" t="s">
        <v>30</v>
      </c>
      <c r="P25" s="208" t="s">
        <v>30</v>
      </c>
      <c r="Q25" s="6" t="s">
        <v>30</v>
      </c>
      <c r="R25" s="208">
        <v>10</v>
      </c>
      <c r="S25" s="208">
        <v>10</v>
      </c>
      <c r="T25" s="6">
        <v>100</v>
      </c>
      <c r="U25" s="207" t="s">
        <v>30</v>
      </c>
      <c r="V25" s="208" t="s">
        <v>30</v>
      </c>
      <c r="W25" s="6" t="s">
        <v>30</v>
      </c>
      <c r="AF25" s="6" t="s">
        <v>30</v>
      </c>
      <c r="AG25" s="6" t="s">
        <v>30</v>
      </c>
      <c r="AH25" s="6" t="s">
        <v>30</v>
      </c>
      <c r="AI25" s="6" t="s">
        <v>30</v>
      </c>
      <c r="AJ25" s="208" t="s">
        <v>30</v>
      </c>
      <c r="AK25" s="6" t="s">
        <v>30</v>
      </c>
      <c r="AL25" s="207" t="s">
        <v>30</v>
      </c>
      <c r="AM25" s="208" t="s">
        <v>30</v>
      </c>
      <c r="AN25" s="6" t="s">
        <v>30</v>
      </c>
      <c r="AO25" s="208" t="s">
        <v>30</v>
      </c>
      <c r="AP25" s="208" t="s">
        <v>30</v>
      </c>
      <c r="AQ25" s="6" t="s">
        <v>30</v>
      </c>
    </row>
    <row r="26" spans="1:46" ht="14.95" customHeight="1" thickBot="1" x14ac:dyDescent="0.3">
      <c r="A26" s="259" t="s">
        <v>758</v>
      </c>
      <c r="B26" s="260">
        <v>0</v>
      </c>
      <c r="C26" s="272">
        <v>0</v>
      </c>
      <c r="D26" s="376">
        <v>1</v>
      </c>
      <c r="E26" s="261">
        <f t="shared" si="0"/>
        <v>1</v>
      </c>
      <c r="F26" s="173" t="s">
        <v>758</v>
      </c>
      <c r="G26" s="174">
        <v>0</v>
      </c>
      <c r="H26" s="225">
        <v>0</v>
      </c>
      <c r="I26" s="379">
        <v>5</v>
      </c>
      <c r="J26" s="179">
        <f t="shared" si="1"/>
        <v>5</v>
      </c>
      <c r="K26" s="256" t="s">
        <v>225</v>
      </c>
      <c r="L26" s="262" t="s">
        <v>30</v>
      </c>
      <c r="M26" s="262" t="s">
        <v>30</v>
      </c>
      <c r="N26" s="263" t="s">
        <v>30</v>
      </c>
      <c r="O26" s="208" t="s">
        <v>30</v>
      </c>
      <c r="P26" s="208" t="s">
        <v>30</v>
      </c>
      <c r="Q26" s="6" t="s">
        <v>30</v>
      </c>
      <c r="R26" s="205">
        <v>42</v>
      </c>
      <c r="S26" s="205">
        <v>47</v>
      </c>
      <c r="T26" s="206">
        <f>(R26/S26)*100</f>
        <v>89.361702127659569</v>
      </c>
      <c r="U26" s="6">
        <v>26</v>
      </c>
      <c r="V26" s="205">
        <v>45</v>
      </c>
      <c r="W26" s="206">
        <f t="shared" ref="W26" si="3">SUM(U26/V26)*100</f>
        <v>57.777777777777771</v>
      </c>
      <c r="AF26" s="6" t="s">
        <v>30</v>
      </c>
      <c r="AG26" s="6" t="s">
        <v>30</v>
      </c>
      <c r="AH26" s="6" t="s">
        <v>30</v>
      </c>
      <c r="AI26" s="6" t="s">
        <v>30</v>
      </c>
      <c r="AJ26" s="205" t="s">
        <v>30</v>
      </c>
      <c r="AK26" s="6" t="s">
        <v>30</v>
      </c>
      <c r="AL26" s="6" t="s">
        <v>30</v>
      </c>
      <c r="AM26" s="205" t="s">
        <v>30</v>
      </c>
      <c r="AN26" s="6" t="s">
        <v>30</v>
      </c>
      <c r="AO26" s="205" t="s">
        <v>30</v>
      </c>
      <c r="AP26" s="205" t="s">
        <v>30</v>
      </c>
      <c r="AQ26" s="6" t="s">
        <v>30</v>
      </c>
    </row>
    <row r="27" spans="1:46" ht="14.95" customHeight="1" thickBot="1" x14ac:dyDescent="0.3">
      <c r="A27" s="259" t="s">
        <v>641</v>
      </c>
      <c r="B27" s="260">
        <v>2</v>
      </c>
      <c r="C27" s="272">
        <v>0</v>
      </c>
      <c r="D27" s="376">
        <v>0</v>
      </c>
      <c r="E27" s="261">
        <f t="shared" si="0"/>
        <v>2</v>
      </c>
      <c r="F27" s="173" t="s">
        <v>641</v>
      </c>
      <c r="G27" s="174">
        <v>10</v>
      </c>
      <c r="H27" s="225">
        <v>0</v>
      </c>
      <c r="I27" s="379">
        <v>0</v>
      </c>
      <c r="J27" s="179">
        <f t="shared" si="1"/>
        <v>10</v>
      </c>
      <c r="O27" s="117"/>
      <c r="P27" s="117"/>
      <c r="Q27" s="117"/>
      <c r="R27" s="117"/>
      <c r="S27" s="117"/>
      <c r="T27" s="117"/>
      <c r="U27" s="117"/>
      <c r="V27" s="117"/>
      <c r="W27" s="117"/>
    </row>
    <row r="28" spans="1:46" ht="14.95" customHeight="1" thickBot="1" x14ac:dyDescent="0.3">
      <c r="A28" s="259" t="s">
        <v>1174</v>
      </c>
      <c r="B28" s="260">
        <v>0</v>
      </c>
      <c r="C28" s="272">
        <v>0</v>
      </c>
      <c r="D28" s="376">
        <v>1</v>
      </c>
      <c r="E28" s="261">
        <f t="shared" si="0"/>
        <v>1</v>
      </c>
      <c r="F28" s="173" t="s">
        <v>1174</v>
      </c>
      <c r="G28" s="174">
        <v>0</v>
      </c>
      <c r="H28" s="225">
        <v>0</v>
      </c>
      <c r="I28" s="379">
        <v>5</v>
      </c>
      <c r="J28" s="179">
        <f t="shared" si="1"/>
        <v>5</v>
      </c>
      <c r="K28" s="547" t="s">
        <v>231</v>
      </c>
      <c r="L28" s="526" t="s">
        <v>29</v>
      </c>
      <c r="M28" s="527"/>
      <c r="N28" s="528"/>
      <c r="O28" s="520" t="s">
        <v>863</v>
      </c>
      <c r="P28" s="521"/>
      <c r="Q28" s="522"/>
      <c r="R28" s="520" t="s">
        <v>621</v>
      </c>
      <c r="S28" s="521"/>
      <c r="T28" s="522"/>
      <c r="U28" s="512" t="s">
        <v>448</v>
      </c>
      <c r="V28" s="513"/>
      <c r="W28" s="514"/>
      <c r="AF28" s="520" t="s">
        <v>178</v>
      </c>
      <c r="AG28" s="521"/>
      <c r="AH28" s="522"/>
      <c r="AI28" s="362"/>
    </row>
    <row r="29" spans="1:46" ht="14.95" customHeight="1" thickBot="1" x14ac:dyDescent="0.3">
      <c r="A29" s="259" t="s">
        <v>219</v>
      </c>
      <c r="B29" s="260">
        <v>6</v>
      </c>
      <c r="C29" s="272">
        <v>0</v>
      </c>
      <c r="D29" s="376">
        <v>0</v>
      </c>
      <c r="E29" s="261">
        <f t="shared" si="0"/>
        <v>6</v>
      </c>
      <c r="F29" s="173" t="s">
        <v>219</v>
      </c>
      <c r="G29" s="174">
        <v>30</v>
      </c>
      <c r="H29" s="225">
        <v>0</v>
      </c>
      <c r="I29" s="379">
        <v>0</v>
      </c>
      <c r="J29" s="179">
        <f t="shared" si="1"/>
        <v>30</v>
      </c>
      <c r="K29" s="548"/>
      <c r="L29" s="529"/>
      <c r="M29" s="530"/>
      <c r="N29" s="531"/>
      <c r="O29" s="523"/>
      <c r="P29" s="524"/>
      <c r="Q29" s="525"/>
      <c r="R29" s="523"/>
      <c r="S29" s="524"/>
      <c r="T29" s="525"/>
      <c r="U29" s="515"/>
      <c r="V29" s="516"/>
      <c r="W29" s="517"/>
      <c r="AF29" s="523"/>
      <c r="AG29" s="524"/>
      <c r="AH29" s="525"/>
      <c r="AI29" s="107"/>
    </row>
    <row r="30" spans="1:46" ht="14.95" customHeight="1" thickBot="1" x14ac:dyDescent="0.3">
      <c r="A30" s="259" t="s">
        <v>504</v>
      </c>
      <c r="B30" s="260">
        <v>1</v>
      </c>
      <c r="C30" s="272">
        <v>1</v>
      </c>
      <c r="D30" s="376">
        <v>0</v>
      </c>
      <c r="E30" s="261">
        <f t="shared" si="0"/>
        <v>2</v>
      </c>
      <c r="F30" s="173" t="s">
        <v>504</v>
      </c>
      <c r="G30" s="174">
        <v>7</v>
      </c>
      <c r="H30" s="225">
        <v>5</v>
      </c>
      <c r="I30" s="379">
        <v>3</v>
      </c>
      <c r="J30" s="179">
        <f t="shared" si="1"/>
        <v>15</v>
      </c>
      <c r="K30" s="399" t="s">
        <v>44</v>
      </c>
      <c r="L30" s="3" t="s">
        <v>107</v>
      </c>
      <c r="M30" s="3" t="s">
        <v>23</v>
      </c>
      <c r="N30" s="3" t="s">
        <v>24</v>
      </c>
      <c r="O30" s="210" t="s">
        <v>107</v>
      </c>
      <c r="P30" s="210" t="s">
        <v>23</v>
      </c>
      <c r="Q30" s="210" t="s">
        <v>24</v>
      </c>
      <c r="R30" s="6" t="s">
        <v>107</v>
      </c>
      <c r="S30" s="6" t="s">
        <v>23</v>
      </c>
      <c r="T30" s="6" t="s">
        <v>24</v>
      </c>
      <c r="U30" s="114" t="s">
        <v>107</v>
      </c>
      <c r="V30" s="114" t="s">
        <v>23</v>
      </c>
      <c r="W30" s="114" t="s">
        <v>24</v>
      </c>
      <c r="AF30" s="6" t="s">
        <v>107</v>
      </c>
      <c r="AG30" s="7" t="s">
        <v>23</v>
      </c>
      <c r="AH30" s="7" t="s">
        <v>24</v>
      </c>
      <c r="AI30" s="107"/>
      <c r="AO30" s="4"/>
    </row>
    <row r="31" spans="1:46" ht="14.95" customHeight="1" thickBot="1" x14ac:dyDescent="0.3">
      <c r="A31" s="259" t="s">
        <v>1176</v>
      </c>
      <c r="B31" s="260">
        <v>0</v>
      </c>
      <c r="C31" s="272">
        <v>0</v>
      </c>
      <c r="D31" s="376">
        <v>0</v>
      </c>
      <c r="E31" s="261">
        <f t="shared" si="0"/>
        <v>0</v>
      </c>
      <c r="F31" s="173" t="s">
        <v>1176</v>
      </c>
      <c r="G31" s="174">
        <v>0</v>
      </c>
      <c r="H31" s="225">
        <v>0</v>
      </c>
      <c r="I31" s="379">
        <v>5</v>
      </c>
      <c r="J31" s="179">
        <f t="shared" si="1"/>
        <v>5</v>
      </c>
      <c r="K31" s="267" t="s">
        <v>415</v>
      </c>
      <c r="L31" s="262">
        <v>3</v>
      </c>
      <c r="M31" s="262">
        <v>4</v>
      </c>
      <c r="N31" s="264">
        <f>(L31/M31)*100</f>
        <v>75</v>
      </c>
      <c r="O31" s="208">
        <v>0</v>
      </c>
      <c r="P31" s="208">
        <v>1</v>
      </c>
      <c r="Q31" s="6">
        <f t="shared" ref="Q31:Q35" si="4">SUM(O31/P31)*100</f>
        <v>0</v>
      </c>
      <c r="R31" s="6" t="s">
        <v>30</v>
      </c>
      <c r="S31" s="6" t="s">
        <v>30</v>
      </c>
      <c r="T31" s="6" t="s">
        <v>30</v>
      </c>
      <c r="U31" s="6" t="s">
        <v>30</v>
      </c>
      <c r="V31" s="6" t="s">
        <v>30</v>
      </c>
      <c r="W31" s="6" t="s">
        <v>30</v>
      </c>
      <c r="AF31" s="6" t="s">
        <v>30</v>
      </c>
      <c r="AG31" s="6" t="s">
        <v>30</v>
      </c>
      <c r="AH31" s="6" t="s">
        <v>30</v>
      </c>
      <c r="AI31" s="107"/>
    </row>
    <row r="32" spans="1:46" ht="14.95" customHeight="1" thickBot="1" x14ac:dyDescent="0.3">
      <c r="A32" s="259" t="s">
        <v>220</v>
      </c>
      <c r="B32" s="260">
        <v>3</v>
      </c>
      <c r="C32" s="272">
        <v>0</v>
      </c>
      <c r="D32" s="376">
        <v>0</v>
      </c>
      <c r="E32" s="261">
        <f t="shared" si="0"/>
        <v>3</v>
      </c>
      <c r="F32" s="173" t="s">
        <v>220</v>
      </c>
      <c r="G32" s="174">
        <v>15</v>
      </c>
      <c r="H32" s="225">
        <v>0</v>
      </c>
      <c r="I32" s="379">
        <v>0</v>
      </c>
      <c r="J32" s="179">
        <f t="shared" si="1"/>
        <v>15</v>
      </c>
      <c r="K32" s="267" t="s">
        <v>417</v>
      </c>
      <c r="L32" s="262">
        <v>7</v>
      </c>
      <c r="M32" s="262">
        <v>8</v>
      </c>
      <c r="N32" s="263">
        <f>(L32/M32)*100</f>
        <v>87.5</v>
      </c>
      <c r="O32" s="208">
        <v>9</v>
      </c>
      <c r="P32" s="208">
        <v>9</v>
      </c>
      <c r="Q32" s="6">
        <f>SUM(O32/P32)*100</f>
        <v>100</v>
      </c>
      <c r="R32" s="6">
        <v>1</v>
      </c>
      <c r="S32" s="6">
        <v>1</v>
      </c>
      <c r="T32" s="206">
        <f t="shared" ref="T32" si="5">SUM(R32/S32)*100</f>
        <v>100</v>
      </c>
      <c r="U32" s="6" t="s">
        <v>30</v>
      </c>
      <c r="V32" s="6" t="s">
        <v>30</v>
      </c>
      <c r="W32" s="6" t="s">
        <v>30</v>
      </c>
      <c r="AF32" s="6" t="s">
        <v>30</v>
      </c>
      <c r="AG32" s="6" t="s">
        <v>30</v>
      </c>
      <c r="AH32" s="6" t="s">
        <v>30</v>
      </c>
      <c r="AI32" s="107"/>
    </row>
    <row r="33" spans="1:46" ht="14.95" customHeight="1" thickBot="1" x14ac:dyDescent="0.3">
      <c r="A33" s="259" t="s">
        <v>221</v>
      </c>
      <c r="B33" s="260">
        <v>4</v>
      </c>
      <c r="C33" s="272">
        <v>2</v>
      </c>
      <c r="D33" s="376">
        <v>0</v>
      </c>
      <c r="E33" s="261">
        <f t="shared" si="0"/>
        <v>6</v>
      </c>
      <c r="F33" s="173" t="s">
        <v>221</v>
      </c>
      <c r="G33" s="174">
        <v>20</v>
      </c>
      <c r="H33" s="225">
        <v>10</v>
      </c>
      <c r="I33" s="378">
        <v>0</v>
      </c>
      <c r="J33" s="175">
        <f t="shared" si="1"/>
        <v>30</v>
      </c>
      <c r="K33" s="267" t="s">
        <v>504</v>
      </c>
      <c r="L33" s="262">
        <v>1</v>
      </c>
      <c r="M33" s="262">
        <v>2</v>
      </c>
      <c r="N33" s="263">
        <f>(L33/M33)*100</f>
        <v>50</v>
      </c>
      <c r="O33" s="6" t="s">
        <v>30</v>
      </c>
      <c r="P33" s="6" t="s">
        <v>30</v>
      </c>
      <c r="Q33" s="6" t="s">
        <v>30</v>
      </c>
      <c r="R33" s="6" t="s">
        <v>30</v>
      </c>
      <c r="S33" s="6" t="s">
        <v>30</v>
      </c>
      <c r="T33" s="6" t="s">
        <v>30</v>
      </c>
      <c r="U33" s="6" t="s">
        <v>30</v>
      </c>
      <c r="V33" s="6" t="s">
        <v>30</v>
      </c>
      <c r="W33" s="6" t="s">
        <v>30</v>
      </c>
      <c r="AF33" s="6" t="s">
        <v>30</v>
      </c>
      <c r="AG33" s="6" t="s">
        <v>30</v>
      </c>
      <c r="AH33" s="6" t="s">
        <v>30</v>
      </c>
      <c r="AI33" s="107"/>
    </row>
    <row r="34" spans="1:46" ht="14.95" customHeight="1" thickBot="1" x14ac:dyDescent="0.3">
      <c r="A34" s="259" t="s">
        <v>643</v>
      </c>
      <c r="B34" s="260">
        <v>3</v>
      </c>
      <c r="C34" s="272">
        <v>1</v>
      </c>
      <c r="D34" s="376">
        <v>0</v>
      </c>
      <c r="E34" s="261">
        <f t="shared" si="0"/>
        <v>4</v>
      </c>
      <c r="F34" s="173" t="s">
        <v>643</v>
      </c>
      <c r="G34" s="174">
        <v>15</v>
      </c>
      <c r="H34" s="225">
        <v>5</v>
      </c>
      <c r="I34" s="378">
        <v>0</v>
      </c>
      <c r="J34" s="175">
        <f t="shared" si="1"/>
        <v>20</v>
      </c>
      <c r="K34" s="267" t="s">
        <v>1176</v>
      </c>
      <c r="L34" s="262">
        <v>2</v>
      </c>
      <c r="M34" s="262">
        <v>3</v>
      </c>
      <c r="N34" s="263">
        <f>(L34/M34)*100</f>
        <v>66.666666666666657</v>
      </c>
      <c r="O34" s="6" t="s">
        <v>30</v>
      </c>
      <c r="P34" s="6" t="s">
        <v>30</v>
      </c>
      <c r="Q34" s="6" t="s">
        <v>30</v>
      </c>
      <c r="R34" s="6" t="s">
        <v>30</v>
      </c>
      <c r="S34" s="6" t="s">
        <v>30</v>
      </c>
      <c r="T34" s="6" t="s">
        <v>30</v>
      </c>
      <c r="U34" s="6" t="s">
        <v>30</v>
      </c>
      <c r="V34" s="6" t="s">
        <v>30</v>
      </c>
      <c r="W34" s="6" t="s">
        <v>30</v>
      </c>
      <c r="AF34" s="6" t="s">
        <v>30</v>
      </c>
      <c r="AG34" s="6" t="s">
        <v>30</v>
      </c>
      <c r="AH34" s="6" t="s">
        <v>30</v>
      </c>
      <c r="AI34" s="107"/>
    </row>
    <row r="35" spans="1:46" ht="14.95" customHeight="1" thickBot="1" x14ac:dyDescent="0.3">
      <c r="A35" s="259" t="s">
        <v>222</v>
      </c>
      <c r="B35" s="260">
        <v>2</v>
      </c>
      <c r="C35" s="272">
        <v>3</v>
      </c>
      <c r="D35" s="376">
        <v>1</v>
      </c>
      <c r="E35" s="261">
        <f t="shared" si="0"/>
        <v>6</v>
      </c>
      <c r="F35" s="173" t="s">
        <v>222</v>
      </c>
      <c r="G35" s="174">
        <v>10</v>
      </c>
      <c r="H35" s="225">
        <v>15</v>
      </c>
      <c r="I35" s="378">
        <v>5</v>
      </c>
      <c r="J35" s="175">
        <f t="shared" si="1"/>
        <v>30</v>
      </c>
      <c r="K35" s="267" t="s">
        <v>225</v>
      </c>
      <c r="L35" s="262" t="s">
        <v>30</v>
      </c>
      <c r="M35" s="262" t="s">
        <v>30</v>
      </c>
      <c r="N35" s="263" t="s">
        <v>30</v>
      </c>
      <c r="O35" s="208">
        <v>4</v>
      </c>
      <c r="P35" s="208">
        <v>4</v>
      </c>
      <c r="Q35" s="6">
        <f t="shared" si="4"/>
        <v>100</v>
      </c>
      <c r="R35" s="6">
        <v>8</v>
      </c>
      <c r="S35" s="6">
        <v>9</v>
      </c>
      <c r="T35" s="206">
        <f t="shared" ref="T35:T36" si="6">SUM(R35/S35)*100</f>
        <v>88.888888888888886</v>
      </c>
      <c r="U35" s="458" t="s">
        <v>30</v>
      </c>
      <c r="V35" s="458" t="s">
        <v>30</v>
      </c>
      <c r="W35" s="458" t="s">
        <v>30</v>
      </c>
      <c r="AF35" s="6" t="s">
        <v>30</v>
      </c>
      <c r="AG35" s="6" t="s">
        <v>30</v>
      </c>
      <c r="AH35" s="6" t="s">
        <v>30</v>
      </c>
      <c r="AI35" s="107"/>
      <c r="AO35" s="4"/>
    </row>
    <row r="36" spans="1:46" ht="14.95" customHeight="1" thickBot="1" x14ac:dyDescent="0.3">
      <c r="A36" s="259" t="s">
        <v>6</v>
      </c>
      <c r="B36" s="260">
        <v>1</v>
      </c>
      <c r="C36" s="272">
        <v>1</v>
      </c>
      <c r="D36" s="376">
        <v>1</v>
      </c>
      <c r="E36" s="261">
        <f t="shared" si="0"/>
        <v>3</v>
      </c>
      <c r="F36" s="173" t="s">
        <v>6</v>
      </c>
      <c r="G36" s="174">
        <v>7</v>
      </c>
      <c r="H36" s="225">
        <v>7</v>
      </c>
      <c r="I36" s="378">
        <v>7</v>
      </c>
      <c r="J36" s="175">
        <f t="shared" si="1"/>
        <v>21</v>
      </c>
      <c r="K36" s="267" t="s">
        <v>1141</v>
      </c>
      <c r="L36" s="262" t="s">
        <v>30</v>
      </c>
      <c r="M36" s="262" t="s">
        <v>30</v>
      </c>
      <c r="N36" s="263" t="s">
        <v>30</v>
      </c>
      <c r="O36" s="481">
        <v>14</v>
      </c>
      <c r="P36" s="481">
        <v>20</v>
      </c>
      <c r="Q36" s="6">
        <v>70</v>
      </c>
      <c r="R36" s="7">
        <v>2</v>
      </c>
      <c r="S36" s="7">
        <v>4</v>
      </c>
      <c r="T36" s="206">
        <f t="shared" si="6"/>
        <v>50</v>
      </c>
      <c r="U36" s="458"/>
      <c r="V36" s="458"/>
      <c r="W36" s="458"/>
      <c r="AF36" s="201">
        <v>12</v>
      </c>
      <c r="AG36" s="7">
        <v>20</v>
      </c>
      <c r="AH36" s="206">
        <f>SUM(AF36/AG36)*100</f>
        <v>60</v>
      </c>
      <c r="AI36" s="107"/>
      <c r="AO36" s="4"/>
    </row>
    <row r="37" spans="1:46" ht="14.95" customHeight="1" thickBot="1" x14ac:dyDescent="0.3">
      <c r="A37" s="259" t="s">
        <v>876</v>
      </c>
      <c r="B37" s="260">
        <v>3</v>
      </c>
      <c r="C37" s="272">
        <v>0</v>
      </c>
      <c r="D37" s="376">
        <v>0</v>
      </c>
      <c r="E37" s="261">
        <f t="shared" si="0"/>
        <v>3</v>
      </c>
      <c r="F37" s="173" t="s">
        <v>876</v>
      </c>
      <c r="G37" s="174">
        <v>15</v>
      </c>
      <c r="H37" s="225">
        <v>0</v>
      </c>
      <c r="I37" s="378">
        <v>0</v>
      </c>
      <c r="J37" s="175">
        <f t="shared" si="1"/>
        <v>15</v>
      </c>
      <c r="K37" s="267" t="s">
        <v>877</v>
      </c>
      <c r="L37" s="262">
        <v>1</v>
      </c>
      <c r="M37" s="262">
        <v>2</v>
      </c>
      <c r="N37" s="263">
        <f>(L37/M37)*100</f>
        <v>50</v>
      </c>
      <c r="O37" s="6" t="s">
        <v>30</v>
      </c>
      <c r="P37" s="6" t="s">
        <v>30</v>
      </c>
      <c r="Q37" s="6" t="s">
        <v>30</v>
      </c>
      <c r="R37" s="6" t="s">
        <v>30</v>
      </c>
      <c r="S37" s="6" t="s">
        <v>30</v>
      </c>
      <c r="T37" s="6" t="s">
        <v>30</v>
      </c>
      <c r="U37" s="6" t="s">
        <v>30</v>
      </c>
      <c r="V37" s="6" t="s">
        <v>30</v>
      </c>
      <c r="W37" s="6" t="s">
        <v>30</v>
      </c>
      <c r="AF37" s="6" t="s">
        <v>30</v>
      </c>
      <c r="AG37" s="6" t="s">
        <v>30</v>
      </c>
      <c r="AH37" s="6" t="s">
        <v>30</v>
      </c>
      <c r="AI37" s="107"/>
      <c r="AO37" s="4"/>
    </row>
    <row r="38" spans="1:46" ht="14.95" customHeight="1" thickBot="1" x14ac:dyDescent="0.3">
      <c r="A38" s="259" t="s">
        <v>434</v>
      </c>
      <c r="B38" s="260">
        <v>0</v>
      </c>
      <c r="C38" s="272">
        <v>0</v>
      </c>
      <c r="D38" s="376">
        <v>0</v>
      </c>
      <c r="E38" s="261">
        <f t="shared" si="0"/>
        <v>0</v>
      </c>
      <c r="F38" s="173" t="s">
        <v>434</v>
      </c>
      <c r="G38" s="174">
        <v>0</v>
      </c>
      <c r="H38" s="225">
        <v>0</v>
      </c>
      <c r="I38" s="378">
        <v>0</v>
      </c>
      <c r="J38" s="175">
        <f t="shared" si="1"/>
        <v>0</v>
      </c>
      <c r="K38" s="554" t="s">
        <v>1142</v>
      </c>
      <c r="L38" s="519"/>
      <c r="M38" s="519"/>
      <c r="N38" s="519"/>
      <c r="O38" s="519"/>
      <c r="P38" s="519"/>
      <c r="Q38" s="519"/>
      <c r="R38" s="519"/>
      <c r="S38" s="519"/>
      <c r="T38" s="519"/>
      <c r="U38" s="519"/>
      <c r="V38" s="519"/>
      <c r="W38" s="519"/>
      <c r="X38" s="519"/>
      <c r="Y38" s="519"/>
      <c r="Z38" s="480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</row>
    <row r="39" spans="1:46" ht="14.95" customHeight="1" thickBot="1" x14ac:dyDescent="0.3">
      <c r="A39" s="259" t="s">
        <v>554</v>
      </c>
      <c r="B39" s="260">
        <v>3</v>
      </c>
      <c r="C39" s="272">
        <v>1</v>
      </c>
      <c r="D39" s="376">
        <v>0</v>
      </c>
      <c r="E39" s="261">
        <f t="shared" si="0"/>
        <v>4</v>
      </c>
      <c r="F39" s="173" t="s">
        <v>554</v>
      </c>
      <c r="G39" s="174">
        <v>15</v>
      </c>
      <c r="H39" s="225">
        <v>5</v>
      </c>
      <c r="I39" s="378">
        <v>0</v>
      </c>
      <c r="J39" s="175">
        <f t="shared" si="1"/>
        <v>20</v>
      </c>
      <c r="X39" s="109"/>
      <c r="Y39" s="109"/>
      <c r="Z39" s="109"/>
    </row>
    <row r="40" spans="1:46" ht="14.95" customHeight="1" thickBot="1" x14ac:dyDescent="0.3">
      <c r="A40" s="259" t="s">
        <v>567</v>
      </c>
      <c r="B40" s="260">
        <v>1</v>
      </c>
      <c r="C40" s="272">
        <v>3</v>
      </c>
      <c r="D40" s="376">
        <v>0</v>
      </c>
      <c r="E40" s="261">
        <f t="shared" si="0"/>
        <v>4</v>
      </c>
      <c r="F40" s="173" t="s">
        <v>567</v>
      </c>
      <c r="G40" s="174">
        <v>5</v>
      </c>
      <c r="H40" s="225">
        <v>15</v>
      </c>
      <c r="I40" s="378">
        <v>0</v>
      </c>
      <c r="J40" s="175">
        <f t="shared" si="1"/>
        <v>20</v>
      </c>
      <c r="X40" s="109"/>
      <c r="Y40" s="109"/>
      <c r="Z40" s="109"/>
    </row>
    <row r="41" spans="1:46" ht="14.95" thickBot="1" x14ac:dyDescent="0.3">
      <c r="A41" s="259" t="s">
        <v>224</v>
      </c>
      <c r="B41" s="260">
        <v>0</v>
      </c>
      <c r="C41" s="272">
        <v>1</v>
      </c>
      <c r="D41" s="376">
        <v>0</v>
      </c>
      <c r="E41" s="261">
        <f t="shared" si="0"/>
        <v>1</v>
      </c>
      <c r="F41" s="173" t="s">
        <v>224</v>
      </c>
      <c r="G41" s="174">
        <v>0</v>
      </c>
      <c r="H41" s="225">
        <v>5</v>
      </c>
      <c r="I41" s="378">
        <v>0</v>
      </c>
      <c r="J41" s="175">
        <f t="shared" si="1"/>
        <v>5</v>
      </c>
      <c r="X41" s="109"/>
      <c r="Y41" s="109"/>
      <c r="Z41" s="109"/>
      <c r="AP41" s="4"/>
      <c r="AQ41" s="4"/>
    </row>
    <row r="42" spans="1:46" ht="14.95" thickBot="1" x14ac:dyDescent="0.3">
      <c r="A42" s="259" t="s">
        <v>1100</v>
      </c>
      <c r="B42" s="260">
        <v>0</v>
      </c>
      <c r="C42" s="272">
        <v>0</v>
      </c>
      <c r="D42" s="376">
        <v>1</v>
      </c>
      <c r="E42" s="261">
        <f t="shared" si="0"/>
        <v>1</v>
      </c>
      <c r="F42" s="173" t="s">
        <v>1100</v>
      </c>
      <c r="G42" s="174">
        <v>0</v>
      </c>
      <c r="H42" s="225">
        <v>0</v>
      </c>
      <c r="I42" s="378">
        <v>5</v>
      </c>
      <c r="J42" s="175">
        <f t="shared" si="1"/>
        <v>5</v>
      </c>
      <c r="Z42" s="109"/>
    </row>
    <row r="43" spans="1:46" ht="14.95" thickBot="1" x14ac:dyDescent="0.3">
      <c r="A43" s="259" t="s">
        <v>225</v>
      </c>
      <c r="B43" s="260">
        <v>2</v>
      </c>
      <c r="C43" s="272">
        <v>1</v>
      </c>
      <c r="D43" s="376">
        <v>0</v>
      </c>
      <c r="E43" s="261">
        <f t="shared" si="0"/>
        <v>3</v>
      </c>
      <c r="F43" s="173" t="s">
        <v>225</v>
      </c>
      <c r="G43" s="174">
        <v>170</v>
      </c>
      <c r="H43" s="225">
        <v>37</v>
      </c>
      <c r="I43" s="378">
        <v>0</v>
      </c>
      <c r="J43" s="175">
        <f t="shared" si="1"/>
        <v>207</v>
      </c>
      <c r="Z43" s="109"/>
    </row>
    <row r="44" spans="1:46" ht="14.95" thickBot="1" x14ac:dyDescent="0.3">
      <c r="A44" s="259" t="s">
        <v>73</v>
      </c>
      <c r="B44" s="260">
        <v>0</v>
      </c>
      <c r="C44" s="272">
        <v>0</v>
      </c>
      <c r="D44" s="376">
        <v>0</v>
      </c>
      <c r="E44" s="261">
        <f t="shared" si="0"/>
        <v>0</v>
      </c>
      <c r="F44" s="173" t="s">
        <v>73</v>
      </c>
      <c r="G44" s="174">
        <v>0</v>
      </c>
      <c r="H44" s="225">
        <v>0</v>
      </c>
      <c r="I44" s="378">
        <v>0</v>
      </c>
      <c r="J44" s="175">
        <f t="shared" si="1"/>
        <v>0</v>
      </c>
      <c r="Z44" s="109"/>
    </row>
    <row r="45" spans="1:46" ht="14.95" thickBot="1" x14ac:dyDescent="0.3">
      <c r="A45" s="259" t="s">
        <v>1098</v>
      </c>
      <c r="B45" s="260">
        <v>1</v>
      </c>
      <c r="C45" s="272">
        <v>0</v>
      </c>
      <c r="D45" s="376">
        <v>1</v>
      </c>
      <c r="E45" s="261">
        <f t="shared" si="0"/>
        <v>2</v>
      </c>
      <c r="F45" s="173" t="s">
        <v>1098</v>
      </c>
      <c r="G45" s="174">
        <v>5</v>
      </c>
      <c r="H45" s="225">
        <v>0</v>
      </c>
      <c r="I45" s="378">
        <v>5</v>
      </c>
      <c r="J45" s="175">
        <f t="shared" si="1"/>
        <v>10</v>
      </c>
    </row>
    <row r="46" spans="1:46" ht="14.95" thickBot="1" x14ac:dyDescent="0.3">
      <c r="A46" s="259" t="s">
        <v>226</v>
      </c>
      <c r="B46" s="260">
        <v>6</v>
      </c>
      <c r="C46" s="272">
        <v>2</v>
      </c>
      <c r="D46" s="376">
        <v>0</v>
      </c>
      <c r="E46" s="261">
        <f t="shared" si="0"/>
        <v>8</v>
      </c>
      <c r="F46" s="173" t="s">
        <v>226</v>
      </c>
      <c r="G46" s="174">
        <v>30</v>
      </c>
      <c r="H46" s="225">
        <v>10</v>
      </c>
      <c r="I46" s="378">
        <v>0</v>
      </c>
      <c r="J46" s="175">
        <f t="shared" si="1"/>
        <v>40</v>
      </c>
    </row>
    <row r="47" spans="1:46" ht="14.95" thickBot="1" x14ac:dyDescent="0.3">
      <c r="A47" s="259" t="s">
        <v>227</v>
      </c>
      <c r="B47" s="260">
        <v>0</v>
      </c>
      <c r="C47" s="272">
        <v>0</v>
      </c>
      <c r="D47" s="376">
        <v>1</v>
      </c>
      <c r="E47" s="261">
        <f t="shared" si="0"/>
        <v>1</v>
      </c>
      <c r="F47" s="173" t="s">
        <v>227</v>
      </c>
      <c r="G47" s="174">
        <v>0</v>
      </c>
      <c r="H47" s="225">
        <v>0</v>
      </c>
      <c r="I47" s="378">
        <v>5</v>
      </c>
      <c r="J47" s="175">
        <f t="shared" si="1"/>
        <v>5</v>
      </c>
    </row>
    <row r="48" spans="1:46" ht="14.95" thickBot="1" x14ac:dyDescent="0.3">
      <c r="A48" s="259" t="s">
        <v>228</v>
      </c>
      <c r="B48" s="260">
        <v>1</v>
      </c>
      <c r="C48" s="272">
        <v>0</v>
      </c>
      <c r="D48" s="376">
        <v>0</v>
      </c>
      <c r="E48" s="261">
        <f t="shared" si="0"/>
        <v>1</v>
      </c>
      <c r="F48" s="173" t="s">
        <v>228</v>
      </c>
      <c r="G48" s="174">
        <v>5</v>
      </c>
      <c r="H48" s="225">
        <v>0</v>
      </c>
      <c r="I48" s="378">
        <v>0</v>
      </c>
      <c r="J48" s="175">
        <f t="shared" si="1"/>
        <v>5</v>
      </c>
      <c r="AL48" s="4"/>
    </row>
    <row r="49" spans="1:38" ht="14.95" thickBot="1" x14ac:dyDescent="0.3">
      <c r="A49" s="259" t="s">
        <v>229</v>
      </c>
      <c r="B49" s="260">
        <v>3</v>
      </c>
      <c r="C49" s="272">
        <v>0</v>
      </c>
      <c r="D49" s="376">
        <v>0</v>
      </c>
      <c r="E49" s="261">
        <f t="shared" si="0"/>
        <v>3</v>
      </c>
      <c r="F49" s="173" t="s">
        <v>229</v>
      </c>
      <c r="G49" s="174">
        <v>15</v>
      </c>
      <c r="H49" s="225">
        <v>0</v>
      </c>
      <c r="I49" s="378">
        <v>0</v>
      </c>
      <c r="J49" s="175">
        <f t="shared" si="1"/>
        <v>15</v>
      </c>
    </row>
    <row r="50" spans="1:38" ht="14.95" thickBot="1" x14ac:dyDescent="0.3">
      <c r="A50" s="259" t="s">
        <v>230</v>
      </c>
      <c r="B50" s="260">
        <v>1</v>
      </c>
      <c r="C50" s="272">
        <v>0</v>
      </c>
      <c r="D50" s="376">
        <v>0</v>
      </c>
      <c r="E50" s="261">
        <f t="shared" si="0"/>
        <v>1</v>
      </c>
      <c r="F50" s="173" t="s">
        <v>230</v>
      </c>
      <c r="G50" s="174">
        <v>5</v>
      </c>
      <c r="H50" s="225">
        <v>0</v>
      </c>
      <c r="I50" s="378">
        <v>0</v>
      </c>
      <c r="J50" s="175">
        <f t="shared" si="1"/>
        <v>5</v>
      </c>
    </row>
    <row r="51" spans="1:38" ht="14.95" customHeight="1" thickBot="1" x14ac:dyDescent="0.3">
      <c r="A51" s="259" t="s">
        <v>831</v>
      </c>
      <c r="B51" s="260">
        <v>2</v>
      </c>
      <c r="C51" s="272">
        <v>0</v>
      </c>
      <c r="D51" s="376">
        <v>0</v>
      </c>
      <c r="E51" s="261">
        <f t="shared" si="0"/>
        <v>2</v>
      </c>
      <c r="F51" s="173" t="s">
        <v>831</v>
      </c>
      <c r="G51" s="174">
        <v>32</v>
      </c>
      <c r="H51" s="225">
        <v>0</v>
      </c>
      <c r="I51" s="378">
        <v>0</v>
      </c>
      <c r="J51" s="175">
        <f t="shared" si="1"/>
        <v>32</v>
      </c>
    </row>
    <row r="52" spans="1:38" ht="14.95" customHeight="1" thickBot="1" x14ac:dyDescent="0.3">
      <c r="A52" s="259" t="s">
        <v>877</v>
      </c>
      <c r="B52" s="260">
        <v>0</v>
      </c>
      <c r="C52" s="272">
        <v>0</v>
      </c>
      <c r="D52" s="376">
        <v>0</v>
      </c>
      <c r="E52" s="261">
        <f t="shared" si="0"/>
        <v>0</v>
      </c>
      <c r="F52" s="173" t="s">
        <v>877</v>
      </c>
      <c r="G52" s="174">
        <v>0</v>
      </c>
      <c r="H52" s="225">
        <v>0</v>
      </c>
      <c r="I52" s="378">
        <v>2</v>
      </c>
      <c r="J52" s="175">
        <f t="shared" si="1"/>
        <v>2</v>
      </c>
      <c r="AI52" s="4"/>
      <c r="AJ52" s="4"/>
      <c r="AK52" s="4"/>
    </row>
    <row r="53" spans="1:38" ht="14.95" thickBot="1" x14ac:dyDescent="0.3">
      <c r="A53" s="259" t="s">
        <v>90</v>
      </c>
      <c r="B53" s="260">
        <v>0</v>
      </c>
      <c r="C53" s="272">
        <v>0</v>
      </c>
      <c r="D53" s="376">
        <v>0</v>
      </c>
      <c r="E53" s="261">
        <f t="shared" si="0"/>
        <v>0</v>
      </c>
      <c r="F53" s="173" t="s">
        <v>90</v>
      </c>
      <c r="G53" s="174">
        <v>0</v>
      </c>
      <c r="H53" s="225">
        <v>0</v>
      </c>
      <c r="I53" s="378">
        <v>0</v>
      </c>
      <c r="J53" s="175">
        <f t="shared" si="1"/>
        <v>0</v>
      </c>
    </row>
    <row r="54" spans="1:38" ht="14.95" customHeight="1" thickBot="1" x14ac:dyDescent="0.3">
      <c r="A54" s="259" t="s">
        <v>3</v>
      </c>
      <c r="B54" s="260">
        <f>SUM(B3:B53)</f>
        <v>73</v>
      </c>
      <c r="C54" s="272">
        <f>SUM(C3:C53)</f>
        <v>17</v>
      </c>
      <c r="D54" s="376">
        <f>SUM(D3:D53)</f>
        <v>18</v>
      </c>
      <c r="E54" s="261">
        <f t="shared" si="0"/>
        <v>108</v>
      </c>
      <c r="F54" s="173" t="s">
        <v>3</v>
      </c>
      <c r="G54" s="174">
        <f>SUM(G3:G53)</f>
        <v>573</v>
      </c>
      <c r="H54" s="225">
        <f>SUM(H3:H53)</f>
        <v>119</v>
      </c>
      <c r="I54" s="378">
        <f>SUM(I3:I53)</f>
        <v>122</v>
      </c>
      <c r="J54" s="175">
        <f t="shared" si="1"/>
        <v>814</v>
      </c>
      <c r="AL54" s="4"/>
    </row>
    <row r="55" spans="1:38" ht="14.95" customHeight="1" x14ac:dyDescent="0.25">
      <c r="B55" s="167"/>
      <c r="F55" s="38"/>
      <c r="G55" s="172"/>
      <c r="H55" s="35"/>
      <c r="I55" s="35"/>
      <c r="J55" s="35"/>
    </row>
    <row r="56" spans="1:38" ht="14.95" thickBot="1" x14ac:dyDescent="0.3">
      <c r="A56" t="s">
        <v>26</v>
      </c>
      <c r="B56" s="167"/>
      <c r="F56" s="34"/>
      <c r="G56" s="169"/>
      <c r="H56" s="37"/>
      <c r="I56" s="37"/>
      <c r="J56" s="37"/>
    </row>
    <row r="57" spans="1:38" ht="14.95" customHeight="1" thickBot="1" x14ac:dyDescent="0.3">
      <c r="A57" s="256" t="s">
        <v>0</v>
      </c>
      <c r="B57" s="257" t="s">
        <v>620</v>
      </c>
      <c r="C57" s="271" t="s">
        <v>63</v>
      </c>
      <c r="D57" s="375" t="s">
        <v>925</v>
      </c>
      <c r="E57" s="258" t="s">
        <v>1</v>
      </c>
      <c r="F57" s="176" t="s">
        <v>2</v>
      </c>
      <c r="G57" s="177" t="s">
        <v>620</v>
      </c>
      <c r="H57" s="224" t="s">
        <v>63</v>
      </c>
      <c r="I57" s="377" t="s">
        <v>925</v>
      </c>
      <c r="J57" s="178" t="s">
        <v>1</v>
      </c>
    </row>
    <row r="58" spans="1:38" ht="14.95" thickBot="1" x14ac:dyDescent="0.3">
      <c r="A58" s="259" t="s">
        <v>525</v>
      </c>
      <c r="B58" s="260">
        <v>8</v>
      </c>
      <c r="C58" s="272">
        <v>0</v>
      </c>
      <c r="D58" s="376">
        <v>0</v>
      </c>
      <c r="E58" s="261">
        <f t="shared" ref="E58:E89" si="7">SUM(B58:D58)</f>
        <v>8</v>
      </c>
      <c r="F58" s="173" t="s">
        <v>225</v>
      </c>
      <c r="G58" s="174">
        <v>170</v>
      </c>
      <c r="H58" s="225">
        <v>37</v>
      </c>
      <c r="I58" s="378">
        <v>0</v>
      </c>
      <c r="J58" s="175">
        <f t="shared" ref="J58:J89" si="8">SUM(G58:I58)</f>
        <v>207</v>
      </c>
      <c r="AI58" s="4"/>
      <c r="AJ58" s="4"/>
      <c r="AK58" s="4"/>
    </row>
    <row r="59" spans="1:38" ht="14.95" thickBot="1" x14ac:dyDescent="0.3">
      <c r="A59" s="259" t="s">
        <v>226</v>
      </c>
      <c r="B59" s="260">
        <v>6</v>
      </c>
      <c r="C59" s="272">
        <v>2</v>
      </c>
      <c r="D59" s="376">
        <v>0</v>
      </c>
      <c r="E59" s="261">
        <f t="shared" si="7"/>
        <v>8</v>
      </c>
      <c r="F59" s="173" t="s">
        <v>417</v>
      </c>
      <c r="G59" s="174">
        <v>27</v>
      </c>
      <c r="H59" s="225">
        <v>0</v>
      </c>
      <c r="I59" s="378">
        <v>14</v>
      </c>
      <c r="J59" s="175">
        <f t="shared" si="8"/>
        <v>41</v>
      </c>
    </row>
    <row r="60" spans="1:38" ht="14.95" thickBot="1" x14ac:dyDescent="0.3">
      <c r="A60" s="259" t="s">
        <v>219</v>
      </c>
      <c r="B60" s="260">
        <v>6</v>
      </c>
      <c r="C60" s="272">
        <v>0</v>
      </c>
      <c r="D60" s="376">
        <v>0</v>
      </c>
      <c r="E60" s="261">
        <f t="shared" si="7"/>
        <v>6</v>
      </c>
      <c r="F60" s="173" t="s">
        <v>525</v>
      </c>
      <c r="G60" s="174">
        <v>40</v>
      </c>
      <c r="H60" s="225">
        <v>0</v>
      </c>
      <c r="I60" s="378">
        <v>0</v>
      </c>
      <c r="J60" s="175">
        <f t="shared" si="8"/>
        <v>40</v>
      </c>
    </row>
    <row r="61" spans="1:38" ht="14.95" thickBot="1" x14ac:dyDescent="0.3">
      <c r="A61" s="259" t="s">
        <v>221</v>
      </c>
      <c r="B61" s="260">
        <v>4</v>
      </c>
      <c r="C61" s="272">
        <v>2</v>
      </c>
      <c r="D61" s="376">
        <v>0</v>
      </c>
      <c r="E61" s="261">
        <f t="shared" si="7"/>
        <v>6</v>
      </c>
      <c r="F61" s="173" t="s">
        <v>226</v>
      </c>
      <c r="G61" s="174">
        <v>30</v>
      </c>
      <c r="H61" s="225">
        <v>10</v>
      </c>
      <c r="I61" s="378">
        <v>0</v>
      </c>
      <c r="J61" s="175">
        <f t="shared" si="8"/>
        <v>40</v>
      </c>
    </row>
    <row r="62" spans="1:38" ht="14.95" thickBot="1" x14ac:dyDescent="0.3">
      <c r="A62" s="259" t="s">
        <v>222</v>
      </c>
      <c r="B62" s="260">
        <v>2</v>
      </c>
      <c r="C62" s="272">
        <v>3</v>
      </c>
      <c r="D62" s="376">
        <v>1</v>
      </c>
      <c r="E62" s="261">
        <f t="shared" si="7"/>
        <v>6</v>
      </c>
      <c r="F62" s="173" t="s">
        <v>831</v>
      </c>
      <c r="G62" s="174">
        <v>32</v>
      </c>
      <c r="H62" s="225">
        <v>0</v>
      </c>
      <c r="I62" s="378">
        <v>0</v>
      </c>
      <c r="J62" s="175">
        <f t="shared" si="8"/>
        <v>32</v>
      </c>
    </row>
    <row r="63" spans="1:38" ht="14.95" thickBot="1" x14ac:dyDescent="0.3">
      <c r="A63" s="259" t="s">
        <v>643</v>
      </c>
      <c r="B63" s="260">
        <v>3</v>
      </c>
      <c r="C63" s="272">
        <v>1</v>
      </c>
      <c r="D63" s="376">
        <v>0</v>
      </c>
      <c r="E63" s="261">
        <f t="shared" si="7"/>
        <v>4</v>
      </c>
      <c r="F63" s="173" t="s">
        <v>219</v>
      </c>
      <c r="G63" s="174">
        <v>30</v>
      </c>
      <c r="H63" s="225">
        <v>0</v>
      </c>
      <c r="I63" s="378">
        <v>0</v>
      </c>
      <c r="J63" s="175">
        <f t="shared" si="8"/>
        <v>30</v>
      </c>
    </row>
    <row r="64" spans="1:38" ht="14.95" thickBot="1" x14ac:dyDescent="0.3">
      <c r="A64" s="259" t="s">
        <v>554</v>
      </c>
      <c r="B64" s="260">
        <v>3</v>
      </c>
      <c r="C64" s="272">
        <v>1</v>
      </c>
      <c r="D64" s="376">
        <v>0</v>
      </c>
      <c r="E64" s="261">
        <f t="shared" si="7"/>
        <v>4</v>
      </c>
      <c r="F64" s="173" t="s">
        <v>221</v>
      </c>
      <c r="G64" s="174">
        <v>20</v>
      </c>
      <c r="H64" s="225">
        <v>10</v>
      </c>
      <c r="I64" s="378">
        <v>0</v>
      </c>
      <c r="J64" s="175">
        <f t="shared" si="8"/>
        <v>30</v>
      </c>
    </row>
    <row r="65" spans="1:10" ht="14.95" thickBot="1" x14ac:dyDescent="0.3">
      <c r="A65" s="259" t="s">
        <v>567</v>
      </c>
      <c r="B65" s="260">
        <v>1</v>
      </c>
      <c r="C65" s="272">
        <v>3</v>
      </c>
      <c r="D65" s="376">
        <v>0</v>
      </c>
      <c r="E65" s="261">
        <f t="shared" si="7"/>
        <v>4</v>
      </c>
      <c r="F65" s="173" t="s">
        <v>222</v>
      </c>
      <c r="G65" s="174">
        <v>10</v>
      </c>
      <c r="H65" s="225">
        <v>15</v>
      </c>
      <c r="I65" s="378">
        <v>5</v>
      </c>
      <c r="J65" s="175">
        <f t="shared" si="8"/>
        <v>30</v>
      </c>
    </row>
    <row r="66" spans="1:10" ht="14.95" thickBot="1" x14ac:dyDescent="0.3">
      <c r="A66" s="259" t="s">
        <v>635</v>
      </c>
      <c r="B66" s="260">
        <v>1</v>
      </c>
      <c r="C66" s="272">
        <v>0</v>
      </c>
      <c r="D66" s="376">
        <v>2</v>
      </c>
      <c r="E66" s="261">
        <f t="shared" si="7"/>
        <v>3</v>
      </c>
      <c r="F66" s="173" t="s">
        <v>6</v>
      </c>
      <c r="G66" s="174">
        <v>7</v>
      </c>
      <c r="H66" s="225">
        <v>7</v>
      </c>
      <c r="I66" s="378">
        <v>7</v>
      </c>
      <c r="J66" s="175">
        <f t="shared" si="8"/>
        <v>21</v>
      </c>
    </row>
    <row r="67" spans="1:10" ht="14.95" thickBot="1" x14ac:dyDescent="0.3">
      <c r="A67" s="259" t="s">
        <v>500</v>
      </c>
      <c r="B67" s="260">
        <v>2</v>
      </c>
      <c r="C67" s="272">
        <v>0</v>
      </c>
      <c r="D67" s="376">
        <v>1</v>
      </c>
      <c r="E67" s="261">
        <f t="shared" si="7"/>
        <v>3</v>
      </c>
      <c r="F67" s="173" t="s">
        <v>643</v>
      </c>
      <c r="G67" s="174">
        <v>15</v>
      </c>
      <c r="H67" s="225">
        <v>5</v>
      </c>
      <c r="I67" s="378">
        <v>0</v>
      </c>
      <c r="J67" s="175">
        <f t="shared" si="8"/>
        <v>20</v>
      </c>
    </row>
    <row r="68" spans="1:10" ht="14.95" thickBot="1" x14ac:dyDescent="0.3">
      <c r="A68" s="259" t="s">
        <v>607</v>
      </c>
      <c r="B68" s="260">
        <v>1</v>
      </c>
      <c r="C68" s="272">
        <v>0</v>
      </c>
      <c r="D68" s="376">
        <v>2</v>
      </c>
      <c r="E68" s="261">
        <f t="shared" si="7"/>
        <v>3</v>
      </c>
      <c r="F68" s="173" t="s">
        <v>554</v>
      </c>
      <c r="G68" s="174">
        <v>15</v>
      </c>
      <c r="H68" s="225">
        <v>5</v>
      </c>
      <c r="I68" s="378">
        <v>0</v>
      </c>
      <c r="J68" s="175">
        <f t="shared" si="8"/>
        <v>20</v>
      </c>
    </row>
    <row r="69" spans="1:10" ht="14.95" thickBot="1" x14ac:dyDescent="0.3">
      <c r="A69" s="259" t="s">
        <v>874</v>
      </c>
      <c r="B69" s="260">
        <v>3</v>
      </c>
      <c r="C69" s="272">
        <v>0</v>
      </c>
      <c r="D69" s="376">
        <v>0</v>
      </c>
      <c r="E69" s="261">
        <f t="shared" si="7"/>
        <v>3</v>
      </c>
      <c r="F69" s="173" t="s">
        <v>567</v>
      </c>
      <c r="G69" s="174">
        <v>5</v>
      </c>
      <c r="H69" s="225">
        <v>15</v>
      </c>
      <c r="I69" s="378">
        <v>0</v>
      </c>
      <c r="J69" s="175">
        <f t="shared" si="8"/>
        <v>20</v>
      </c>
    </row>
    <row r="70" spans="1:10" ht="14.95" thickBot="1" x14ac:dyDescent="0.3">
      <c r="A70" s="259" t="s">
        <v>220</v>
      </c>
      <c r="B70" s="260">
        <v>3</v>
      </c>
      <c r="C70" s="272">
        <v>0</v>
      </c>
      <c r="D70" s="376">
        <v>0</v>
      </c>
      <c r="E70" s="261">
        <f t="shared" si="7"/>
        <v>3</v>
      </c>
      <c r="F70" s="173" t="s">
        <v>635</v>
      </c>
      <c r="G70" s="174">
        <v>5</v>
      </c>
      <c r="H70" s="225">
        <v>0</v>
      </c>
      <c r="I70" s="378">
        <v>10</v>
      </c>
      <c r="J70" s="175">
        <f t="shared" si="8"/>
        <v>15</v>
      </c>
    </row>
    <row r="71" spans="1:10" ht="14.95" thickBot="1" x14ac:dyDescent="0.3">
      <c r="A71" s="259" t="s">
        <v>6</v>
      </c>
      <c r="B71" s="260">
        <v>1</v>
      </c>
      <c r="C71" s="272">
        <v>1</v>
      </c>
      <c r="D71" s="376">
        <v>1</v>
      </c>
      <c r="E71" s="261">
        <f t="shared" si="7"/>
        <v>3</v>
      </c>
      <c r="F71" s="173" t="s">
        <v>500</v>
      </c>
      <c r="G71" s="174">
        <v>10</v>
      </c>
      <c r="H71" s="225">
        <v>0</v>
      </c>
      <c r="I71" s="378">
        <v>5</v>
      </c>
      <c r="J71" s="175">
        <f t="shared" si="8"/>
        <v>15</v>
      </c>
    </row>
    <row r="72" spans="1:10" ht="14.95" thickBot="1" x14ac:dyDescent="0.3">
      <c r="A72" s="259" t="s">
        <v>876</v>
      </c>
      <c r="B72" s="260">
        <v>3</v>
      </c>
      <c r="C72" s="272">
        <v>0</v>
      </c>
      <c r="D72" s="376">
        <v>0</v>
      </c>
      <c r="E72" s="261">
        <f t="shared" si="7"/>
        <v>3</v>
      </c>
      <c r="F72" s="173" t="s">
        <v>607</v>
      </c>
      <c r="G72" s="174">
        <v>5</v>
      </c>
      <c r="H72" s="225">
        <v>0</v>
      </c>
      <c r="I72" s="378">
        <v>10</v>
      </c>
      <c r="J72" s="175">
        <f t="shared" si="8"/>
        <v>15</v>
      </c>
    </row>
    <row r="73" spans="1:10" ht="14.95" thickBot="1" x14ac:dyDescent="0.3">
      <c r="A73" s="259" t="s">
        <v>225</v>
      </c>
      <c r="B73" s="260">
        <v>2</v>
      </c>
      <c r="C73" s="272">
        <v>1</v>
      </c>
      <c r="D73" s="376">
        <v>0</v>
      </c>
      <c r="E73" s="261">
        <f t="shared" si="7"/>
        <v>3</v>
      </c>
      <c r="F73" s="173" t="s">
        <v>874</v>
      </c>
      <c r="G73" s="174">
        <v>15</v>
      </c>
      <c r="H73" s="225">
        <v>0</v>
      </c>
      <c r="I73" s="378">
        <v>0</v>
      </c>
      <c r="J73" s="175">
        <f t="shared" si="8"/>
        <v>15</v>
      </c>
    </row>
    <row r="74" spans="1:10" ht="14.95" thickBot="1" x14ac:dyDescent="0.3">
      <c r="A74" s="259" t="s">
        <v>229</v>
      </c>
      <c r="B74" s="260">
        <v>3</v>
      </c>
      <c r="C74" s="272">
        <v>0</v>
      </c>
      <c r="D74" s="376">
        <v>0</v>
      </c>
      <c r="E74" s="261">
        <f t="shared" si="7"/>
        <v>3</v>
      </c>
      <c r="F74" s="173" t="s">
        <v>504</v>
      </c>
      <c r="G74" s="174">
        <v>7</v>
      </c>
      <c r="H74" s="225">
        <v>5</v>
      </c>
      <c r="I74" s="378">
        <v>3</v>
      </c>
      <c r="J74" s="175">
        <f t="shared" si="8"/>
        <v>15</v>
      </c>
    </row>
    <row r="75" spans="1:10" ht="14.95" thickBot="1" x14ac:dyDescent="0.3">
      <c r="A75" s="259" t="s">
        <v>551</v>
      </c>
      <c r="B75" s="260">
        <v>1</v>
      </c>
      <c r="C75" s="272">
        <v>0</v>
      </c>
      <c r="D75" s="376">
        <v>1</v>
      </c>
      <c r="E75" s="261">
        <f t="shared" si="7"/>
        <v>2</v>
      </c>
      <c r="F75" s="173" t="s">
        <v>220</v>
      </c>
      <c r="G75" s="174">
        <v>15</v>
      </c>
      <c r="H75" s="225">
        <v>0</v>
      </c>
      <c r="I75" s="378">
        <v>0</v>
      </c>
      <c r="J75" s="175">
        <f t="shared" si="8"/>
        <v>15</v>
      </c>
    </row>
    <row r="76" spans="1:10" ht="14.95" thickBot="1" x14ac:dyDescent="0.3">
      <c r="A76" s="259" t="s">
        <v>502</v>
      </c>
      <c r="B76" s="260">
        <v>1</v>
      </c>
      <c r="C76" s="272">
        <v>0</v>
      </c>
      <c r="D76" s="376">
        <v>1</v>
      </c>
      <c r="E76" s="261">
        <f t="shared" si="7"/>
        <v>2</v>
      </c>
      <c r="F76" s="173" t="s">
        <v>876</v>
      </c>
      <c r="G76" s="174">
        <v>15</v>
      </c>
      <c r="H76" s="225">
        <v>0</v>
      </c>
      <c r="I76" s="378">
        <v>0</v>
      </c>
      <c r="J76" s="175">
        <f t="shared" si="8"/>
        <v>15</v>
      </c>
    </row>
    <row r="77" spans="1:10" ht="14.95" thickBot="1" x14ac:dyDescent="0.3">
      <c r="A77" s="259" t="s">
        <v>142</v>
      </c>
      <c r="B77" s="260">
        <v>0</v>
      </c>
      <c r="C77" s="272">
        <v>0</v>
      </c>
      <c r="D77" s="376">
        <v>2</v>
      </c>
      <c r="E77" s="261">
        <f t="shared" si="7"/>
        <v>2</v>
      </c>
      <c r="F77" s="173" t="s">
        <v>229</v>
      </c>
      <c r="G77" s="174">
        <v>15</v>
      </c>
      <c r="H77" s="225">
        <v>0</v>
      </c>
      <c r="I77" s="378">
        <v>0</v>
      </c>
      <c r="J77" s="175">
        <f t="shared" si="8"/>
        <v>15</v>
      </c>
    </row>
    <row r="78" spans="1:10" ht="14.95" thickBot="1" x14ac:dyDescent="0.3">
      <c r="A78" s="259" t="s">
        <v>870</v>
      </c>
      <c r="B78" s="260">
        <v>2</v>
      </c>
      <c r="C78" s="272">
        <v>0</v>
      </c>
      <c r="D78" s="376">
        <v>0</v>
      </c>
      <c r="E78" s="261">
        <f t="shared" si="7"/>
        <v>2</v>
      </c>
      <c r="F78" s="173" t="s">
        <v>415</v>
      </c>
      <c r="G78" s="174">
        <v>0</v>
      </c>
      <c r="H78" s="225">
        <v>0</v>
      </c>
      <c r="I78" s="378">
        <v>11</v>
      </c>
      <c r="J78" s="175">
        <f t="shared" si="8"/>
        <v>11</v>
      </c>
    </row>
    <row r="79" spans="1:10" ht="14.95" thickBot="1" x14ac:dyDescent="0.3">
      <c r="A79" s="259" t="s">
        <v>39</v>
      </c>
      <c r="B79" s="260">
        <v>2</v>
      </c>
      <c r="C79" s="272">
        <v>0</v>
      </c>
      <c r="D79" s="376">
        <v>0</v>
      </c>
      <c r="E79" s="261">
        <f t="shared" si="7"/>
        <v>2</v>
      </c>
      <c r="F79" s="173" t="s">
        <v>551</v>
      </c>
      <c r="G79" s="174">
        <v>5</v>
      </c>
      <c r="H79" s="225">
        <v>0</v>
      </c>
      <c r="I79" s="378">
        <v>5</v>
      </c>
      <c r="J79" s="175">
        <f t="shared" si="8"/>
        <v>10</v>
      </c>
    </row>
    <row r="80" spans="1:10" ht="14.95" thickBot="1" x14ac:dyDescent="0.3">
      <c r="A80" s="259" t="s">
        <v>872</v>
      </c>
      <c r="B80" s="260">
        <v>2</v>
      </c>
      <c r="C80" s="272">
        <v>0</v>
      </c>
      <c r="D80" s="376">
        <v>0</v>
      </c>
      <c r="E80" s="261">
        <f t="shared" si="7"/>
        <v>2</v>
      </c>
      <c r="F80" s="173" t="s">
        <v>502</v>
      </c>
      <c r="G80" s="174">
        <v>5</v>
      </c>
      <c r="H80" s="225">
        <v>0</v>
      </c>
      <c r="I80" s="379">
        <v>5</v>
      </c>
      <c r="J80" s="179">
        <f t="shared" si="8"/>
        <v>10</v>
      </c>
    </row>
    <row r="81" spans="1:10" ht="14.95" thickBot="1" x14ac:dyDescent="0.3">
      <c r="A81" s="259" t="s">
        <v>218</v>
      </c>
      <c r="B81" s="260">
        <v>1</v>
      </c>
      <c r="C81" s="272">
        <v>1</v>
      </c>
      <c r="D81" s="376">
        <v>0</v>
      </c>
      <c r="E81" s="261">
        <f t="shared" si="7"/>
        <v>2</v>
      </c>
      <c r="F81" s="173" t="s">
        <v>142</v>
      </c>
      <c r="G81" s="174">
        <v>0</v>
      </c>
      <c r="H81" s="225">
        <v>0</v>
      </c>
      <c r="I81" s="379">
        <v>10</v>
      </c>
      <c r="J81" s="179">
        <f t="shared" si="8"/>
        <v>10</v>
      </c>
    </row>
    <row r="82" spans="1:10" ht="14.95" thickBot="1" x14ac:dyDescent="0.3">
      <c r="A82" s="259" t="s">
        <v>641</v>
      </c>
      <c r="B82" s="260">
        <v>2</v>
      </c>
      <c r="C82" s="272">
        <v>0</v>
      </c>
      <c r="D82" s="376">
        <v>0</v>
      </c>
      <c r="E82" s="261">
        <f t="shared" si="7"/>
        <v>2</v>
      </c>
      <c r="F82" s="173" t="s">
        <v>870</v>
      </c>
      <c r="G82" s="174">
        <v>10</v>
      </c>
      <c r="H82" s="225">
        <v>0</v>
      </c>
      <c r="I82" s="379">
        <v>0</v>
      </c>
      <c r="J82" s="179">
        <f t="shared" si="8"/>
        <v>10</v>
      </c>
    </row>
    <row r="83" spans="1:10" ht="14.95" thickBot="1" x14ac:dyDescent="0.3">
      <c r="A83" s="259" t="s">
        <v>504</v>
      </c>
      <c r="B83" s="260">
        <v>1</v>
      </c>
      <c r="C83" s="272">
        <v>1</v>
      </c>
      <c r="D83" s="376">
        <v>0</v>
      </c>
      <c r="E83" s="261">
        <f t="shared" si="7"/>
        <v>2</v>
      </c>
      <c r="F83" s="173" t="s">
        <v>39</v>
      </c>
      <c r="G83" s="174">
        <v>10</v>
      </c>
      <c r="H83" s="225">
        <v>0</v>
      </c>
      <c r="I83" s="379">
        <v>0</v>
      </c>
      <c r="J83" s="179">
        <f t="shared" si="8"/>
        <v>10</v>
      </c>
    </row>
    <row r="84" spans="1:10" ht="14.95" thickBot="1" x14ac:dyDescent="0.3">
      <c r="A84" s="259" t="s">
        <v>1098</v>
      </c>
      <c r="B84" s="260">
        <v>1</v>
      </c>
      <c r="C84" s="272">
        <v>0</v>
      </c>
      <c r="D84" s="376">
        <v>1</v>
      </c>
      <c r="E84" s="261">
        <f t="shared" si="7"/>
        <v>2</v>
      </c>
      <c r="F84" s="173" t="s">
        <v>872</v>
      </c>
      <c r="G84" s="174">
        <v>10</v>
      </c>
      <c r="H84" s="225">
        <v>0</v>
      </c>
      <c r="I84" s="379">
        <v>0</v>
      </c>
      <c r="J84" s="179">
        <f t="shared" si="8"/>
        <v>10</v>
      </c>
    </row>
    <row r="85" spans="1:10" ht="14.95" thickBot="1" x14ac:dyDescent="0.3">
      <c r="A85" s="259" t="s">
        <v>831</v>
      </c>
      <c r="B85" s="260">
        <v>2</v>
      </c>
      <c r="C85" s="272">
        <v>0</v>
      </c>
      <c r="D85" s="376">
        <v>0</v>
      </c>
      <c r="E85" s="261">
        <f t="shared" si="7"/>
        <v>2</v>
      </c>
      <c r="F85" s="173" t="s">
        <v>218</v>
      </c>
      <c r="G85" s="174">
        <v>5</v>
      </c>
      <c r="H85" s="225">
        <v>5</v>
      </c>
      <c r="I85" s="379">
        <v>0</v>
      </c>
      <c r="J85" s="179">
        <f t="shared" si="8"/>
        <v>10</v>
      </c>
    </row>
    <row r="86" spans="1:10" ht="14.95" thickBot="1" x14ac:dyDescent="0.3">
      <c r="A86" s="259" t="s">
        <v>415</v>
      </c>
      <c r="B86" s="260">
        <v>0</v>
      </c>
      <c r="C86" s="272">
        <v>0</v>
      </c>
      <c r="D86" s="376">
        <v>1</v>
      </c>
      <c r="E86" s="261">
        <f t="shared" si="7"/>
        <v>1</v>
      </c>
      <c r="F86" s="173" t="s">
        <v>641</v>
      </c>
      <c r="G86" s="174">
        <v>10</v>
      </c>
      <c r="H86" s="225">
        <v>0</v>
      </c>
      <c r="I86" s="379">
        <v>0</v>
      </c>
      <c r="J86" s="179">
        <f t="shared" si="8"/>
        <v>10</v>
      </c>
    </row>
    <row r="87" spans="1:10" ht="14.95" thickBot="1" x14ac:dyDescent="0.3">
      <c r="A87" s="259" t="s">
        <v>1145</v>
      </c>
      <c r="B87" s="260">
        <v>1</v>
      </c>
      <c r="C87" s="272">
        <v>0</v>
      </c>
      <c r="D87" s="376">
        <v>0</v>
      </c>
      <c r="E87" s="261">
        <f t="shared" si="7"/>
        <v>1</v>
      </c>
      <c r="F87" s="173" t="s">
        <v>1098</v>
      </c>
      <c r="G87" s="174">
        <v>5</v>
      </c>
      <c r="H87" s="225">
        <v>0</v>
      </c>
      <c r="I87" s="379">
        <v>5</v>
      </c>
      <c r="J87" s="179">
        <f t="shared" si="8"/>
        <v>10</v>
      </c>
    </row>
    <row r="88" spans="1:10" ht="14.95" thickBot="1" x14ac:dyDescent="0.3">
      <c r="A88" s="259" t="s">
        <v>1058</v>
      </c>
      <c r="B88" s="260">
        <v>0</v>
      </c>
      <c r="C88" s="272">
        <v>0</v>
      </c>
      <c r="D88" s="376">
        <v>1</v>
      </c>
      <c r="E88" s="261">
        <f t="shared" si="7"/>
        <v>1</v>
      </c>
      <c r="F88" s="173" t="s">
        <v>1145</v>
      </c>
      <c r="G88" s="174">
        <v>5</v>
      </c>
      <c r="H88" s="225">
        <v>0</v>
      </c>
      <c r="I88" s="378">
        <v>0</v>
      </c>
      <c r="J88" s="175">
        <f t="shared" si="8"/>
        <v>5</v>
      </c>
    </row>
    <row r="89" spans="1:10" ht="14.95" thickBot="1" x14ac:dyDescent="0.3">
      <c r="A89" s="259" t="s">
        <v>417</v>
      </c>
      <c r="B89" s="260">
        <v>1</v>
      </c>
      <c r="C89" s="272">
        <v>0</v>
      </c>
      <c r="D89" s="376">
        <v>0</v>
      </c>
      <c r="E89" s="261">
        <f t="shared" si="7"/>
        <v>1</v>
      </c>
      <c r="F89" s="173" t="s">
        <v>1058</v>
      </c>
      <c r="G89" s="174">
        <v>0</v>
      </c>
      <c r="H89" s="225">
        <v>0</v>
      </c>
      <c r="I89" s="378">
        <v>5</v>
      </c>
      <c r="J89" s="175">
        <f t="shared" si="8"/>
        <v>5</v>
      </c>
    </row>
    <row r="90" spans="1:10" ht="14.95" thickBot="1" x14ac:dyDescent="0.3">
      <c r="A90" s="259" t="s">
        <v>798</v>
      </c>
      <c r="B90" s="260">
        <v>1</v>
      </c>
      <c r="C90" s="272">
        <v>0</v>
      </c>
      <c r="D90" s="376">
        <v>0</v>
      </c>
      <c r="E90" s="261">
        <f t="shared" ref="E90:E108" si="9">SUM(B90:D90)</f>
        <v>1</v>
      </c>
      <c r="F90" s="173" t="s">
        <v>798</v>
      </c>
      <c r="G90" s="174">
        <v>5</v>
      </c>
      <c r="H90" s="225">
        <v>0</v>
      </c>
      <c r="I90" s="378">
        <v>0</v>
      </c>
      <c r="J90" s="175">
        <f t="shared" ref="J90:J108" si="10">SUM(G90:I90)</f>
        <v>5</v>
      </c>
    </row>
    <row r="91" spans="1:10" ht="14.95" thickBot="1" x14ac:dyDescent="0.3">
      <c r="A91" s="259" t="s">
        <v>217</v>
      </c>
      <c r="B91" s="260">
        <v>1</v>
      </c>
      <c r="C91" s="272">
        <v>0</v>
      </c>
      <c r="D91" s="376">
        <v>0</v>
      </c>
      <c r="E91" s="261">
        <f t="shared" si="9"/>
        <v>1</v>
      </c>
      <c r="F91" s="173" t="s">
        <v>217</v>
      </c>
      <c r="G91" s="174">
        <v>5</v>
      </c>
      <c r="H91" s="225">
        <v>0</v>
      </c>
      <c r="I91" s="378">
        <v>0</v>
      </c>
      <c r="J91" s="175">
        <f t="shared" si="10"/>
        <v>5</v>
      </c>
    </row>
    <row r="92" spans="1:10" ht="14.95" thickBot="1" x14ac:dyDescent="0.3">
      <c r="A92" s="259" t="s">
        <v>758</v>
      </c>
      <c r="B92" s="260">
        <v>0</v>
      </c>
      <c r="C92" s="272">
        <v>0</v>
      </c>
      <c r="D92" s="376">
        <v>1</v>
      </c>
      <c r="E92" s="261">
        <f t="shared" si="9"/>
        <v>1</v>
      </c>
      <c r="F92" s="173" t="s">
        <v>758</v>
      </c>
      <c r="G92" s="174">
        <v>0</v>
      </c>
      <c r="H92" s="225">
        <v>0</v>
      </c>
      <c r="I92" s="378">
        <v>5</v>
      </c>
      <c r="J92" s="175">
        <f t="shared" si="10"/>
        <v>5</v>
      </c>
    </row>
    <row r="93" spans="1:10" ht="14.95" thickBot="1" x14ac:dyDescent="0.3">
      <c r="A93" s="259" t="s">
        <v>1174</v>
      </c>
      <c r="B93" s="260">
        <v>0</v>
      </c>
      <c r="C93" s="272">
        <v>0</v>
      </c>
      <c r="D93" s="376">
        <v>1</v>
      </c>
      <c r="E93" s="261">
        <f t="shared" si="9"/>
        <v>1</v>
      </c>
      <c r="F93" s="173" t="s">
        <v>1174</v>
      </c>
      <c r="G93" s="174">
        <v>0</v>
      </c>
      <c r="H93" s="225">
        <v>0</v>
      </c>
      <c r="I93" s="378">
        <v>5</v>
      </c>
      <c r="J93" s="175">
        <f t="shared" si="10"/>
        <v>5</v>
      </c>
    </row>
    <row r="94" spans="1:10" ht="14.95" thickBot="1" x14ac:dyDescent="0.3">
      <c r="A94" s="259" t="s">
        <v>224</v>
      </c>
      <c r="B94" s="260">
        <v>0</v>
      </c>
      <c r="C94" s="272">
        <v>1</v>
      </c>
      <c r="D94" s="376">
        <v>0</v>
      </c>
      <c r="E94" s="261">
        <f t="shared" si="9"/>
        <v>1</v>
      </c>
      <c r="F94" s="173" t="s">
        <v>1176</v>
      </c>
      <c r="G94" s="174">
        <v>0</v>
      </c>
      <c r="H94" s="225">
        <v>0</v>
      </c>
      <c r="I94" s="378">
        <v>5</v>
      </c>
      <c r="J94" s="175">
        <f t="shared" si="10"/>
        <v>5</v>
      </c>
    </row>
    <row r="95" spans="1:10" ht="14.95" thickBot="1" x14ac:dyDescent="0.3">
      <c r="A95" s="259" t="s">
        <v>1100</v>
      </c>
      <c r="B95" s="260">
        <v>0</v>
      </c>
      <c r="C95" s="272">
        <v>0</v>
      </c>
      <c r="D95" s="376">
        <v>1</v>
      </c>
      <c r="E95" s="261">
        <f t="shared" si="9"/>
        <v>1</v>
      </c>
      <c r="F95" s="173" t="s">
        <v>224</v>
      </c>
      <c r="G95" s="174">
        <v>0</v>
      </c>
      <c r="H95" s="225">
        <v>5</v>
      </c>
      <c r="I95" s="378">
        <v>0</v>
      </c>
      <c r="J95" s="175">
        <f t="shared" si="10"/>
        <v>5</v>
      </c>
    </row>
    <row r="96" spans="1:10" ht="14.95" thickBot="1" x14ac:dyDescent="0.3">
      <c r="A96" s="259" t="s">
        <v>227</v>
      </c>
      <c r="B96" s="260">
        <v>0</v>
      </c>
      <c r="C96" s="272">
        <v>0</v>
      </c>
      <c r="D96" s="376">
        <v>1</v>
      </c>
      <c r="E96" s="261">
        <f t="shared" si="9"/>
        <v>1</v>
      </c>
      <c r="F96" s="173" t="s">
        <v>1100</v>
      </c>
      <c r="G96" s="174">
        <v>0</v>
      </c>
      <c r="H96" s="225">
        <v>0</v>
      </c>
      <c r="I96" s="378">
        <v>5</v>
      </c>
      <c r="J96" s="175">
        <f t="shared" si="10"/>
        <v>5</v>
      </c>
    </row>
    <row r="97" spans="1:10" ht="14.95" thickBot="1" x14ac:dyDescent="0.3">
      <c r="A97" s="259" t="s">
        <v>228</v>
      </c>
      <c r="B97" s="260">
        <v>1</v>
      </c>
      <c r="C97" s="272">
        <v>0</v>
      </c>
      <c r="D97" s="376">
        <v>0</v>
      </c>
      <c r="E97" s="261">
        <f t="shared" si="9"/>
        <v>1</v>
      </c>
      <c r="F97" s="173" t="s">
        <v>227</v>
      </c>
      <c r="G97" s="174">
        <v>0</v>
      </c>
      <c r="H97" s="225">
        <v>0</v>
      </c>
      <c r="I97" s="378">
        <v>5</v>
      </c>
      <c r="J97" s="175">
        <f t="shared" si="10"/>
        <v>5</v>
      </c>
    </row>
    <row r="98" spans="1:10" ht="14.95" thickBot="1" x14ac:dyDescent="0.3">
      <c r="A98" s="259" t="s">
        <v>230</v>
      </c>
      <c r="B98" s="260">
        <v>1</v>
      </c>
      <c r="C98" s="272">
        <v>0</v>
      </c>
      <c r="D98" s="376">
        <v>0</v>
      </c>
      <c r="E98" s="261">
        <f t="shared" si="9"/>
        <v>1</v>
      </c>
      <c r="F98" s="173" t="s">
        <v>228</v>
      </c>
      <c r="G98" s="174">
        <v>5</v>
      </c>
      <c r="H98" s="225">
        <v>0</v>
      </c>
      <c r="I98" s="378">
        <v>0</v>
      </c>
      <c r="J98" s="175">
        <f t="shared" si="10"/>
        <v>5</v>
      </c>
    </row>
    <row r="99" spans="1:10" ht="14.95" customHeight="1" thickBot="1" x14ac:dyDescent="0.3">
      <c r="A99" s="259" t="s">
        <v>71</v>
      </c>
      <c r="B99" s="260">
        <v>0</v>
      </c>
      <c r="C99" s="272">
        <v>0</v>
      </c>
      <c r="D99" s="376">
        <v>0</v>
      </c>
      <c r="E99" s="261">
        <f t="shared" si="9"/>
        <v>0</v>
      </c>
      <c r="F99" s="173" t="s">
        <v>230</v>
      </c>
      <c r="G99" s="174">
        <v>5</v>
      </c>
      <c r="H99" s="225">
        <v>0</v>
      </c>
      <c r="I99" s="378">
        <v>0</v>
      </c>
      <c r="J99" s="175">
        <f t="shared" si="10"/>
        <v>5</v>
      </c>
    </row>
    <row r="100" spans="1:10" ht="14.95" thickBot="1" x14ac:dyDescent="0.3">
      <c r="A100" s="259" t="s">
        <v>637</v>
      </c>
      <c r="B100" s="260">
        <v>0</v>
      </c>
      <c r="C100" s="272">
        <v>0</v>
      </c>
      <c r="D100" s="376">
        <v>0</v>
      </c>
      <c r="E100" s="261">
        <f t="shared" si="9"/>
        <v>0</v>
      </c>
      <c r="F100" s="173" t="s">
        <v>877</v>
      </c>
      <c r="G100" s="174">
        <v>0</v>
      </c>
      <c r="H100" s="225">
        <v>0</v>
      </c>
      <c r="I100" s="378">
        <v>2</v>
      </c>
      <c r="J100" s="175">
        <f t="shared" si="10"/>
        <v>2</v>
      </c>
    </row>
    <row r="101" spans="1:10" ht="14.95" thickBot="1" x14ac:dyDescent="0.3">
      <c r="A101" s="259" t="s">
        <v>868</v>
      </c>
      <c r="B101" s="260">
        <v>0</v>
      </c>
      <c r="C101" s="272">
        <v>0</v>
      </c>
      <c r="D101" s="376">
        <v>0</v>
      </c>
      <c r="E101" s="261">
        <f t="shared" si="9"/>
        <v>0</v>
      </c>
      <c r="F101" s="173" t="s">
        <v>71</v>
      </c>
      <c r="G101" s="174">
        <v>0</v>
      </c>
      <c r="H101" s="225">
        <v>0</v>
      </c>
      <c r="I101" s="378">
        <v>0</v>
      </c>
      <c r="J101" s="175">
        <f t="shared" si="10"/>
        <v>0</v>
      </c>
    </row>
    <row r="102" spans="1:10" ht="14.95" customHeight="1" thickBot="1" x14ac:dyDescent="0.3">
      <c r="A102" s="259" t="s">
        <v>639</v>
      </c>
      <c r="B102" s="260">
        <v>0</v>
      </c>
      <c r="C102" s="272">
        <v>0</v>
      </c>
      <c r="D102" s="376">
        <v>0</v>
      </c>
      <c r="E102" s="261">
        <f t="shared" si="9"/>
        <v>0</v>
      </c>
      <c r="F102" s="173" t="s">
        <v>637</v>
      </c>
      <c r="G102" s="174">
        <v>0</v>
      </c>
      <c r="H102" s="225">
        <v>0</v>
      </c>
      <c r="I102" s="378">
        <v>0</v>
      </c>
      <c r="J102" s="175">
        <f t="shared" si="10"/>
        <v>0</v>
      </c>
    </row>
    <row r="103" spans="1:10" ht="14.95" thickBot="1" x14ac:dyDescent="0.3">
      <c r="A103" s="259" t="s">
        <v>45</v>
      </c>
      <c r="B103" s="260">
        <v>0</v>
      </c>
      <c r="C103" s="272">
        <v>0</v>
      </c>
      <c r="D103" s="376">
        <v>0</v>
      </c>
      <c r="E103" s="261">
        <f t="shared" si="9"/>
        <v>0</v>
      </c>
      <c r="F103" s="173" t="s">
        <v>868</v>
      </c>
      <c r="G103" s="174">
        <v>0</v>
      </c>
      <c r="H103" s="225">
        <v>0</v>
      </c>
      <c r="I103" s="378">
        <v>0</v>
      </c>
      <c r="J103" s="175">
        <f t="shared" si="10"/>
        <v>0</v>
      </c>
    </row>
    <row r="104" spans="1:10" ht="14.95" thickBot="1" x14ac:dyDescent="0.3">
      <c r="A104" s="259" t="s">
        <v>1176</v>
      </c>
      <c r="B104" s="260">
        <v>0</v>
      </c>
      <c r="C104" s="272">
        <v>0</v>
      </c>
      <c r="D104" s="376">
        <v>0</v>
      </c>
      <c r="E104" s="261">
        <f t="shared" si="9"/>
        <v>0</v>
      </c>
      <c r="F104" s="173" t="s">
        <v>639</v>
      </c>
      <c r="G104" s="174">
        <v>0</v>
      </c>
      <c r="H104" s="225">
        <v>0</v>
      </c>
      <c r="I104" s="378">
        <v>0</v>
      </c>
      <c r="J104" s="175">
        <f t="shared" si="10"/>
        <v>0</v>
      </c>
    </row>
    <row r="105" spans="1:10" ht="14.95" customHeight="1" thickBot="1" x14ac:dyDescent="0.3">
      <c r="A105" s="259" t="s">
        <v>434</v>
      </c>
      <c r="B105" s="260">
        <v>0</v>
      </c>
      <c r="C105" s="272">
        <v>0</v>
      </c>
      <c r="D105" s="376">
        <v>0</v>
      </c>
      <c r="E105" s="261">
        <f t="shared" si="9"/>
        <v>0</v>
      </c>
      <c r="F105" s="173" t="s">
        <v>45</v>
      </c>
      <c r="G105" s="174">
        <v>0</v>
      </c>
      <c r="H105" s="225">
        <v>0</v>
      </c>
      <c r="I105" s="378">
        <v>0</v>
      </c>
      <c r="J105" s="175">
        <f t="shared" si="10"/>
        <v>0</v>
      </c>
    </row>
    <row r="106" spans="1:10" ht="14.95" thickBot="1" x14ac:dyDescent="0.3">
      <c r="A106" s="259" t="s">
        <v>73</v>
      </c>
      <c r="B106" s="260">
        <v>0</v>
      </c>
      <c r="C106" s="272">
        <v>0</v>
      </c>
      <c r="D106" s="376">
        <v>0</v>
      </c>
      <c r="E106" s="261">
        <f t="shared" si="9"/>
        <v>0</v>
      </c>
      <c r="F106" s="173" t="s">
        <v>434</v>
      </c>
      <c r="G106" s="174">
        <v>0</v>
      </c>
      <c r="H106" s="225">
        <v>0</v>
      </c>
      <c r="I106" s="378">
        <v>0</v>
      </c>
      <c r="J106" s="175">
        <f t="shared" si="10"/>
        <v>0</v>
      </c>
    </row>
    <row r="107" spans="1:10" ht="14.95" thickBot="1" x14ac:dyDescent="0.3">
      <c r="A107" s="259" t="s">
        <v>877</v>
      </c>
      <c r="B107" s="260">
        <v>0</v>
      </c>
      <c r="C107" s="272">
        <v>0</v>
      </c>
      <c r="D107" s="376">
        <v>0</v>
      </c>
      <c r="E107" s="261">
        <f t="shared" si="9"/>
        <v>0</v>
      </c>
      <c r="F107" s="173" t="s">
        <v>73</v>
      </c>
      <c r="G107" s="174">
        <v>0</v>
      </c>
      <c r="H107" s="225">
        <v>0</v>
      </c>
      <c r="I107" s="378">
        <v>0</v>
      </c>
      <c r="J107" s="175">
        <f t="shared" si="10"/>
        <v>0</v>
      </c>
    </row>
    <row r="108" spans="1:10" ht="14.95" customHeight="1" thickBot="1" x14ac:dyDescent="0.3">
      <c r="A108" s="259" t="s">
        <v>90</v>
      </c>
      <c r="B108" s="260">
        <v>0</v>
      </c>
      <c r="C108" s="272">
        <v>0</v>
      </c>
      <c r="D108" s="376">
        <v>0</v>
      </c>
      <c r="E108" s="261">
        <f t="shared" si="9"/>
        <v>0</v>
      </c>
      <c r="F108" s="173" t="s">
        <v>90</v>
      </c>
      <c r="G108" s="174">
        <v>0</v>
      </c>
      <c r="H108" s="225">
        <v>0</v>
      </c>
      <c r="I108" s="378">
        <v>0</v>
      </c>
      <c r="J108" s="175">
        <f t="shared" si="10"/>
        <v>0</v>
      </c>
    </row>
    <row r="109" spans="1:10" ht="14.95" thickBot="1" x14ac:dyDescent="0.3">
      <c r="A109" s="259" t="s">
        <v>3</v>
      </c>
      <c r="B109" s="260">
        <f>SUM(B58:B108)</f>
        <v>73</v>
      </c>
      <c r="C109" s="272">
        <f>SUM(C58:C108)</f>
        <v>17</v>
      </c>
      <c r="D109" s="376">
        <f>SUM(D58:D108)</f>
        <v>18</v>
      </c>
      <c r="E109" s="261">
        <f t="shared" ref="E109" si="11">SUM(B109:D109)</f>
        <v>108</v>
      </c>
      <c r="F109" s="173" t="s">
        <v>3</v>
      </c>
      <c r="G109" s="174">
        <f>SUM(G58:G108)</f>
        <v>573</v>
      </c>
      <c r="H109" s="225">
        <f>SUM(H58:H108)</f>
        <v>119</v>
      </c>
      <c r="I109" s="378">
        <f>SUM(I58:I108)</f>
        <v>122</v>
      </c>
      <c r="J109" s="175">
        <f t="shared" ref="J109" si="12">SUM(G109:I109)</f>
        <v>814</v>
      </c>
    </row>
    <row r="110" spans="1:10" x14ac:dyDescent="0.25">
      <c r="A110" s="532" t="s">
        <v>81</v>
      </c>
      <c r="B110" s="519"/>
      <c r="C110" s="519"/>
      <c r="D110" s="519"/>
      <c r="E110" s="519"/>
      <c r="F110" s="519"/>
      <c r="G110" s="519"/>
      <c r="H110" s="519"/>
    </row>
  </sheetData>
  <sortState xmlns:xlrd2="http://schemas.microsoft.com/office/spreadsheetml/2017/richdata2" ref="F58:J108">
    <sortCondition descending="1" ref="J58:J108"/>
  </sortState>
  <mergeCells count="38">
    <mergeCell ref="K38:Y38"/>
    <mergeCell ref="AF20:AH21"/>
    <mergeCell ref="AI20:AK21"/>
    <mergeCell ref="O20:Q21"/>
    <mergeCell ref="R20:T21"/>
    <mergeCell ref="U20:W21"/>
    <mergeCell ref="L12:N13"/>
    <mergeCell ref="R28:T29"/>
    <mergeCell ref="AR1:AT2"/>
    <mergeCell ref="AL12:AN13"/>
    <mergeCell ref="AI12:AK13"/>
    <mergeCell ref="AL1:AN2"/>
    <mergeCell ref="O1:Q2"/>
    <mergeCell ref="U12:W13"/>
    <mergeCell ref="T1:V2"/>
    <mergeCell ref="O12:Q13"/>
    <mergeCell ref="AF1:AH2"/>
    <mergeCell ref="AO12:AQ13"/>
    <mergeCell ref="AO1:AQ2"/>
    <mergeCell ref="AL20:AN21"/>
    <mergeCell ref="AO20:AQ21"/>
    <mergeCell ref="O28:Q29"/>
    <mergeCell ref="A110:H110"/>
    <mergeCell ref="W1:Y2"/>
    <mergeCell ref="R12:T13"/>
    <mergeCell ref="AI1:AK2"/>
    <mergeCell ref="AF12:AH13"/>
    <mergeCell ref="AF28:AH29"/>
    <mergeCell ref="U28:W29"/>
    <mergeCell ref="A1:J1"/>
    <mergeCell ref="K28:K29"/>
    <mergeCell ref="L28:N29"/>
    <mergeCell ref="R1:S2"/>
    <mergeCell ref="K12:K13"/>
    <mergeCell ref="K1:K2"/>
    <mergeCell ref="L1:N2"/>
    <mergeCell ref="K20:K21"/>
    <mergeCell ref="L20:N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110"/>
  <sheetViews>
    <sheetView workbookViewId="0">
      <selection activeCell="T7" sqref="T7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5.75" customWidth="1"/>
    <col min="12" max="18" width="5.375" customWidth="1"/>
    <col min="19" max="19" width="5.75" customWidth="1"/>
    <col min="20" max="30" width="5.375" customWidth="1"/>
    <col min="31" max="48" width="5.75" customWidth="1"/>
  </cols>
  <sheetData>
    <row r="1" spans="1:54" ht="14.95" customHeight="1" thickBot="1" x14ac:dyDescent="0.3">
      <c r="A1" s="103" t="s">
        <v>843</v>
      </c>
      <c r="B1" s="76"/>
      <c r="C1" s="76"/>
      <c r="D1" s="76"/>
      <c r="E1" s="76"/>
      <c r="F1" s="76"/>
      <c r="G1" s="76"/>
      <c r="H1" s="76"/>
      <c r="I1" s="76"/>
      <c r="J1" s="77"/>
      <c r="K1" s="540" t="s">
        <v>509</v>
      </c>
      <c r="L1" s="526" t="s">
        <v>105</v>
      </c>
      <c r="M1" s="527"/>
      <c r="N1" s="528"/>
      <c r="O1" s="526" t="s">
        <v>93</v>
      </c>
      <c r="P1" s="527"/>
      <c r="Q1" s="528"/>
      <c r="R1" s="526" t="s">
        <v>508</v>
      </c>
      <c r="S1" s="528"/>
      <c r="T1" s="520" t="s">
        <v>649</v>
      </c>
      <c r="U1" s="521"/>
      <c r="V1" s="522"/>
      <c r="W1" s="520" t="s">
        <v>863</v>
      </c>
      <c r="X1" s="521"/>
      <c r="Y1" s="522"/>
      <c r="Z1" s="214"/>
      <c r="AA1" s="326"/>
      <c r="AB1" s="520" t="s">
        <v>622</v>
      </c>
      <c r="AC1" s="521"/>
      <c r="AD1" s="522"/>
      <c r="AE1" s="520" t="s">
        <v>448</v>
      </c>
      <c r="AF1" s="521"/>
      <c r="AG1" s="522"/>
      <c r="AH1" s="520" t="s">
        <v>178</v>
      </c>
      <c r="AI1" s="521"/>
      <c r="AJ1" s="522"/>
      <c r="AK1" s="520" t="s">
        <v>122</v>
      </c>
      <c r="AL1" s="521"/>
      <c r="AM1" s="522"/>
      <c r="AN1" s="520" t="s">
        <v>113</v>
      </c>
      <c r="AO1" s="521"/>
      <c r="AP1" s="522"/>
      <c r="AQ1" s="520" t="s">
        <v>85</v>
      </c>
      <c r="AR1" s="521"/>
      <c r="AS1" s="522"/>
      <c r="AT1" s="520" t="s">
        <v>97</v>
      </c>
      <c r="AU1" s="521"/>
      <c r="AV1" s="522"/>
      <c r="AW1" s="4"/>
      <c r="AX1" s="4"/>
      <c r="AY1" s="4"/>
      <c r="BB1" s="4"/>
    </row>
    <row r="2" spans="1:54" ht="14.95" customHeight="1" thickBot="1" x14ac:dyDescent="0.3">
      <c r="A2" s="131" t="s">
        <v>0</v>
      </c>
      <c r="B2" s="145" t="s">
        <v>620</v>
      </c>
      <c r="C2" s="132" t="s">
        <v>63</v>
      </c>
      <c r="D2" s="426" t="s">
        <v>925</v>
      </c>
      <c r="E2" s="133" t="s">
        <v>1</v>
      </c>
      <c r="F2" s="196" t="s">
        <v>2</v>
      </c>
      <c r="G2" s="138" t="s">
        <v>620</v>
      </c>
      <c r="H2" s="195" t="s">
        <v>63</v>
      </c>
      <c r="I2" s="428" t="s">
        <v>925</v>
      </c>
      <c r="J2" s="139" t="s">
        <v>1</v>
      </c>
      <c r="K2" s="541"/>
      <c r="L2" s="529"/>
      <c r="M2" s="530"/>
      <c r="N2" s="531"/>
      <c r="O2" s="529"/>
      <c r="P2" s="530"/>
      <c r="Q2" s="531"/>
      <c r="R2" s="529"/>
      <c r="S2" s="531"/>
      <c r="T2" s="523"/>
      <c r="U2" s="524"/>
      <c r="V2" s="525"/>
      <c r="W2" s="523"/>
      <c r="X2" s="524"/>
      <c r="Y2" s="525"/>
      <c r="Z2" s="214"/>
      <c r="AA2" s="326"/>
      <c r="AB2" s="523"/>
      <c r="AC2" s="524"/>
      <c r="AD2" s="525"/>
      <c r="AE2" s="523"/>
      <c r="AF2" s="524"/>
      <c r="AG2" s="525"/>
      <c r="AH2" s="523"/>
      <c r="AI2" s="524"/>
      <c r="AJ2" s="525"/>
      <c r="AK2" s="523"/>
      <c r="AL2" s="524"/>
      <c r="AM2" s="525"/>
      <c r="AN2" s="523"/>
      <c r="AO2" s="524"/>
      <c r="AP2" s="525"/>
      <c r="AQ2" s="523"/>
      <c r="AR2" s="524"/>
      <c r="AS2" s="525"/>
      <c r="AT2" s="523"/>
      <c r="AU2" s="524"/>
      <c r="AV2" s="525"/>
      <c r="AW2" s="4"/>
      <c r="AX2" s="4"/>
      <c r="AY2" s="4"/>
      <c r="AZ2" s="4"/>
      <c r="BA2" s="4"/>
    </row>
    <row r="3" spans="1:54" ht="14.95" customHeight="1" thickBot="1" x14ac:dyDescent="0.3">
      <c r="A3" s="45" t="s">
        <v>49</v>
      </c>
      <c r="B3" s="91">
        <v>3</v>
      </c>
      <c r="C3" s="43">
        <v>1</v>
      </c>
      <c r="D3" s="427">
        <v>0</v>
      </c>
      <c r="E3" s="5">
        <f>SUM(B3:D3)</f>
        <v>4</v>
      </c>
      <c r="F3" s="197" t="s">
        <v>49</v>
      </c>
      <c r="G3" s="92">
        <v>15</v>
      </c>
      <c r="H3" s="194">
        <v>5</v>
      </c>
      <c r="I3" s="429">
        <v>0</v>
      </c>
      <c r="J3" s="74">
        <f>SUM(G3:I3)</f>
        <v>20</v>
      </c>
      <c r="K3" s="393" t="s">
        <v>44</v>
      </c>
      <c r="L3" s="3" t="s">
        <v>107</v>
      </c>
      <c r="M3" s="3" t="s">
        <v>23</v>
      </c>
      <c r="N3" s="3" t="s">
        <v>24</v>
      </c>
      <c r="O3" s="3" t="s">
        <v>107</v>
      </c>
      <c r="P3" s="3" t="s">
        <v>23</v>
      </c>
      <c r="Q3" s="3" t="s">
        <v>24</v>
      </c>
      <c r="R3" s="3" t="s">
        <v>34</v>
      </c>
      <c r="S3" s="3" t="s">
        <v>135</v>
      </c>
      <c r="T3" s="7" t="s">
        <v>107</v>
      </c>
      <c r="U3" s="7" t="s">
        <v>23</v>
      </c>
      <c r="V3" s="7" t="s">
        <v>24</v>
      </c>
      <c r="W3" s="201" t="s">
        <v>107</v>
      </c>
      <c r="X3" s="7" t="s">
        <v>23</v>
      </c>
      <c r="Y3" s="7" t="s">
        <v>24</v>
      </c>
      <c r="Z3" s="109"/>
      <c r="AA3" s="327"/>
      <c r="AB3" s="201" t="s">
        <v>107</v>
      </c>
      <c r="AC3" s="7" t="s">
        <v>23</v>
      </c>
      <c r="AD3" s="7" t="s">
        <v>24</v>
      </c>
      <c r="AE3" s="201" t="s">
        <v>107</v>
      </c>
      <c r="AF3" s="7" t="s">
        <v>23</v>
      </c>
      <c r="AG3" s="7" t="s">
        <v>24</v>
      </c>
      <c r="AH3" s="201" t="s">
        <v>107</v>
      </c>
      <c r="AI3" s="7" t="s">
        <v>23</v>
      </c>
      <c r="AJ3" s="7" t="s">
        <v>24</v>
      </c>
      <c r="AK3" s="6" t="s">
        <v>107</v>
      </c>
      <c r="AL3" s="7" t="s">
        <v>23</v>
      </c>
      <c r="AM3" s="7" t="s">
        <v>24</v>
      </c>
      <c r="AN3" s="7" t="s">
        <v>107</v>
      </c>
      <c r="AO3" s="7" t="s">
        <v>23</v>
      </c>
      <c r="AP3" s="7" t="s">
        <v>24</v>
      </c>
      <c r="AQ3" s="7" t="s">
        <v>107</v>
      </c>
      <c r="AR3" s="7" t="s">
        <v>23</v>
      </c>
      <c r="AS3" s="7" t="s">
        <v>24</v>
      </c>
      <c r="AT3" s="7" t="s">
        <v>107</v>
      </c>
      <c r="AU3" s="7" t="s">
        <v>23</v>
      </c>
      <c r="AV3" s="7" t="s">
        <v>24</v>
      </c>
    </row>
    <row r="4" spans="1:54" ht="14.95" customHeight="1" thickBot="1" x14ac:dyDescent="0.3">
      <c r="A4" s="45" t="s">
        <v>422</v>
      </c>
      <c r="B4" s="91">
        <v>1</v>
      </c>
      <c r="C4" s="43">
        <v>0</v>
      </c>
      <c r="D4" s="427">
        <v>0</v>
      </c>
      <c r="E4" s="5">
        <f t="shared" ref="E4:E54" si="0">SUM(B4:D4)</f>
        <v>1</v>
      </c>
      <c r="F4" s="197" t="s">
        <v>422</v>
      </c>
      <c r="G4" s="92">
        <v>5</v>
      </c>
      <c r="H4" s="194">
        <v>0</v>
      </c>
      <c r="I4" s="429">
        <v>0</v>
      </c>
      <c r="J4" s="74">
        <f t="shared" ref="J4:J54" si="1">SUM(G4:I4)</f>
        <v>5</v>
      </c>
      <c r="K4" s="152" t="s">
        <v>602</v>
      </c>
      <c r="L4" s="43" t="s">
        <v>30</v>
      </c>
      <c r="M4" s="43" t="s">
        <v>30</v>
      </c>
      <c r="N4" s="44" t="s">
        <v>30</v>
      </c>
      <c r="O4" s="104" t="s">
        <v>30</v>
      </c>
      <c r="P4" s="104" t="s">
        <v>30</v>
      </c>
      <c r="Q4" s="105" t="s">
        <v>30</v>
      </c>
      <c r="R4" s="43">
        <v>-2</v>
      </c>
      <c r="S4" s="43">
        <v>-1</v>
      </c>
      <c r="T4" s="7" t="s">
        <v>30</v>
      </c>
      <c r="U4" s="7" t="s">
        <v>30</v>
      </c>
      <c r="V4" s="7" t="s">
        <v>30</v>
      </c>
      <c r="W4" s="201">
        <v>0</v>
      </c>
      <c r="X4" s="7">
        <v>2</v>
      </c>
      <c r="Y4" s="7">
        <f t="shared" ref="Y4" si="2">SUM(W4/X4)*100</f>
        <v>0</v>
      </c>
      <c r="Z4" s="109"/>
      <c r="AA4" s="327"/>
      <c r="AB4" s="201" t="s">
        <v>30</v>
      </c>
      <c r="AC4" s="7" t="s">
        <v>30</v>
      </c>
      <c r="AD4" s="7" t="s">
        <v>30</v>
      </c>
      <c r="AE4" s="201" t="s">
        <v>30</v>
      </c>
      <c r="AF4" s="7" t="s">
        <v>30</v>
      </c>
      <c r="AG4" s="7" t="s">
        <v>30</v>
      </c>
      <c r="AH4" s="201" t="s">
        <v>30</v>
      </c>
      <c r="AI4" s="7" t="s">
        <v>30</v>
      </c>
      <c r="AJ4" s="7" t="s">
        <v>30</v>
      </c>
      <c r="AK4" s="201" t="s">
        <v>30</v>
      </c>
      <c r="AL4" s="7" t="s">
        <v>30</v>
      </c>
      <c r="AM4" s="7" t="s">
        <v>30</v>
      </c>
      <c r="AN4" s="7" t="s">
        <v>30</v>
      </c>
      <c r="AO4" s="7" t="s">
        <v>30</v>
      </c>
      <c r="AP4" s="7" t="s">
        <v>30</v>
      </c>
      <c r="AQ4" s="7" t="s">
        <v>30</v>
      </c>
      <c r="AR4" s="7" t="s">
        <v>30</v>
      </c>
      <c r="AS4" s="7" t="s">
        <v>30</v>
      </c>
      <c r="AT4" s="7" t="s">
        <v>30</v>
      </c>
      <c r="AU4" s="7" t="s">
        <v>30</v>
      </c>
      <c r="AV4" s="7" t="s">
        <v>30</v>
      </c>
      <c r="AW4" s="4"/>
      <c r="AX4" s="4"/>
      <c r="AY4" s="4"/>
      <c r="AZ4" s="4"/>
      <c r="BA4" s="4"/>
    </row>
    <row r="5" spans="1:54" ht="14.95" customHeight="1" thickBot="1" x14ac:dyDescent="0.3">
      <c r="A5" s="45" t="s">
        <v>599</v>
      </c>
      <c r="B5" s="91">
        <v>3</v>
      </c>
      <c r="C5" s="43">
        <v>0</v>
      </c>
      <c r="D5" s="427">
        <v>0</v>
      </c>
      <c r="E5" s="5">
        <f t="shared" si="0"/>
        <v>3</v>
      </c>
      <c r="F5" s="197" t="s">
        <v>599</v>
      </c>
      <c r="G5" s="92">
        <v>15</v>
      </c>
      <c r="H5" s="194">
        <v>0</v>
      </c>
      <c r="I5" s="429">
        <v>0</v>
      </c>
      <c r="J5" s="74">
        <f t="shared" si="1"/>
        <v>15</v>
      </c>
      <c r="K5" s="152" t="s">
        <v>523</v>
      </c>
      <c r="L5" s="43">
        <v>3</v>
      </c>
      <c r="M5" s="43">
        <v>3</v>
      </c>
      <c r="N5" s="44">
        <f t="shared" ref="N5" si="3">SUM(L5/M5)*100</f>
        <v>100</v>
      </c>
      <c r="O5" s="104" t="s">
        <v>30</v>
      </c>
      <c r="P5" s="104" t="s">
        <v>30</v>
      </c>
      <c r="Q5" s="105" t="s">
        <v>30</v>
      </c>
      <c r="R5" s="43">
        <v>3</v>
      </c>
      <c r="S5" s="43">
        <v>3</v>
      </c>
      <c r="T5" s="7" t="s">
        <v>30</v>
      </c>
      <c r="U5" s="7" t="s">
        <v>30</v>
      </c>
      <c r="V5" s="7" t="s">
        <v>30</v>
      </c>
      <c r="W5" s="201" t="s">
        <v>30</v>
      </c>
      <c r="X5" s="7" t="s">
        <v>30</v>
      </c>
      <c r="Y5" s="7" t="s">
        <v>30</v>
      </c>
      <c r="Z5" s="109"/>
      <c r="AA5" s="327"/>
      <c r="AB5" s="201">
        <v>4</v>
      </c>
      <c r="AC5" s="7">
        <v>4</v>
      </c>
      <c r="AD5" s="7">
        <v>100</v>
      </c>
      <c r="AE5" s="201" t="s">
        <v>30</v>
      </c>
      <c r="AF5" s="7" t="s">
        <v>30</v>
      </c>
      <c r="AG5" s="7" t="s">
        <v>30</v>
      </c>
      <c r="AH5" s="201">
        <v>5</v>
      </c>
      <c r="AI5" s="7">
        <v>7</v>
      </c>
      <c r="AJ5" s="206">
        <v>71.428571428571431</v>
      </c>
      <c r="AK5" s="201">
        <v>1</v>
      </c>
      <c r="AL5" s="7">
        <v>1</v>
      </c>
      <c r="AM5" s="7">
        <v>100</v>
      </c>
      <c r="AN5" s="7">
        <v>3</v>
      </c>
      <c r="AO5" s="7">
        <v>5</v>
      </c>
      <c r="AP5" s="7">
        <v>60</v>
      </c>
      <c r="AQ5" s="7" t="s">
        <v>30</v>
      </c>
      <c r="AR5" s="7" t="s">
        <v>30</v>
      </c>
      <c r="AS5" s="7" t="s">
        <v>30</v>
      </c>
      <c r="AT5" s="7" t="s">
        <v>30</v>
      </c>
      <c r="AU5" s="7" t="s">
        <v>30</v>
      </c>
      <c r="AV5" s="7" t="s">
        <v>30</v>
      </c>
      <c r="AW5" s="4"/>
      <c r="AX5" s="4"/>
      <c r="AY5" s="4"/>
      <c r="AZ5" s="4"/>
      <c r="BA5" s="4"/>
    </row>
    <row r="6" spans="1:54" ht="14.95" customHeight="1" thickBot="1" x14ac:dyDescent="0.3">
      <c r="A6" s="45" t="s">
        <v>66</v>
      </c>
      <c r="B6" s="91">
        <v>1</v>
      </c>
      <c r="C6" s="43">
        <v>1</v>
      </c>
      <c r="D6" s="427">
        <v>0</v>
      </c>
      <c r="E6" s="5">
        <f t="shared" si="0"/>
        <v>2</v>
      </c>
      <c r="F6" s="197" t="s">
        <v>66</v>
      </c>
      <c r="G6" s="92">
        <v>5</v>
      </c>
      <c r="H6" s="194">
        <v>5</v>
      </c>
      <c r="I6" s="429">
        <v>0</v>
      </c>
      <c r="J6" s="74">
        <f t="shared" si="1"/>
        <v>10</v>
      </c>
      <c r="K6" s="15" t="s">
        <v>32</v>
      </c>
      <c r="L6" s="104">
        <v>18</v>
      </c>
      <c r="M6" s="104">
        <v>25</v>
      </c>
      <c r="N6" s="105">
        <f t="shared" ref="N6" si="4">SUM(L6/M6)*100</f>
        <v>72</v>
      </c>
      <c r="O6" s="104" t="s">
        <v>30</v>
      </c>
      <c r="P6" s="104" t="s">
        <v>30</v>
      </c>
      <c r="Q6" s="105" t="s">
        <v>30</v>
      </c>
      <c r="R6" s="104">
        <v>-1</v>
      </c>
      <c r="S6" s="104">
        <v>-1</v>
      </c>
      <c r="T6" s="7" t="s">
        <v>30</v>
      </c>
      <c r="U6" s="7" t="s">
        <v>30</v>
      </c>
      <c r="V6" s="7" t="s">
        <v>30</v>
      </c>
      <c r="W6" s="201" t="s">
        <v>30</v>
      </c>
      <c r="X6" s="7" t="s">
        <v>30</v>
      </c>
      <c r="Y6" s="7" t="s">
        <v>30</v>
      </c>
      <c r="Z6" s="109"/>
      <c r="AA6" s="327"/>
      <c r="AB6" s="201" t="s">
        <v>30</v>
      </c>
      <c r="AC6" s="7" t="s">
        <v>30</v>
      </c>
      <c r="AD6" s="7" t="s">
        <v>30</v>
      </c>
      <c r="AE6" s="201">
        <v>2</v>
      </c>
      <c r="AF6" s="7">
        <v>7</v>
      </c>
      <c r="AG6" s="206">
        <f t="shared" ref="AG6:AG7" si="5">SUM(AE6/AF6)*100</f>
        <v>28.571428571428569</v>
      </c>
      <c r="AH6" s="201">
        <v>27</v>
      </c>
      <c r="AI6" s="7">
        <v>36</v>
      </c>
      <c r="AJ6" s="206">
        <f>SUM(AH6/AI6)*100</f>
        <v>75</v>
      </c>
      <c r="AK6" s="201">
        <v>3</v>
      </c>
      <c r="AL6" s="7">
        <v>6</v>
      </c>
      <c r="AM6" s="206">
        <f>SUM(AK6/AL6)*100</f>
        <v>50</v>
      </c>
      <c r="AN6" s="7">
        <v>44</v>
      </c>
      <c r="AO6" s="7">
        <v>56</v>
      </c>
      <c r="AP6" s="206">
        <f>SUM(AN6/AO6)*100</f>
        <v>78.571428571428569</v>
      </c>
      <c r="AQ6" s="7">
        <v>14</v>
      </c>
      <c r="AR6" s="7">
        <v>22</v>
      </c>
      <c r="AS6" s="206">
        <f>SUM(AQ6/AR6)*100</f>
        <v>63.636363636363633</v>
      </c>
      <c r="AT6" s="7">
        <v>1</v>
      </c>
      <c r="AU6" s="7">
        <v>1</v>
      </c>
      <c r="AV6" s="7">
        <v>100</v>
      </c>
      <c r="AW6" s="4"/>
      <c r="AX6" s="4"/>
      <c r="AY6" s="4"/>
      <c r="AZ6" s="4"/>
      <c r="BA6" s="4"/>
    </row>
    <row r="7" spans="1:54" ht="14.95" customHeight="1" thickBot="1" x14ac:dyDescent="0.3">
      <c r="A7" s="45" t="s">
        <v>116</v>
      </c>
      <c r="B7" s="91">
        <v>0</v>
      </c>
      <c r="C7" s="43">
        <v>0</v>
      </c>
      <c r="D7" s="427">
        <v>0</v>
      </c>
      <c r="E7" s="5">
        <f t="shared" si="0"/>
        <v>0</v>
      </c>
      <c r="F7" s="197" t="s">
        <v>116</v>
      </c>
      <c r="G7" s="92">
        <v>0</v>
      </c>
      <c r="H7" s="194">
        <v>0</v>
      </c>
      <c r="I7" s="429">
        <v>0</v>
      </c>
      <c r="J7" s="74">
        <f t="shared" si="1"/>
        <v>0</v>
      </c>
      <c r="K7" s="106" t="s">
        <v>130</v>
      </c>
      <c r="L7" s="104">
        <v>54</v>
      </c>
      <c r="M7" s="104">
        <v>70</v>
      </c>
      <c r="N7" s="105">
        <f t="shared" ref="N7:N8" si="6">SUM(L7/M7)*100</f>
        <v>77.142857142857153</v>
      </c>
      <c r="O7" s="104">
        <v>6</v>
      </c>
      <c r="P7" s="104">
        <v>7</v>
      </c>
      <c r="Q7" s="105">
        <f t="shared" ref="Q7" si="7">SUM(O7/P7)*100</f>
        <v>85.714285714285708</v>
      </c>
      <c r="R7" s="104">
        <v>4</v>
      </c>
      <c r="S7" s="104">
        <v>4</v>
      </c>
      <c r="T7" s="7">
        <v>79</v>
      </c>
      <c r="U7" s="7">
        <v>105</v>
      </c>
      <c r="V7" s="206">
        <f t="shared" ref="V7" si="8">SUM(T7/U7)*100</f>
        <v>75.238095238095241</v>
      </c>
      <c r="W7" s="201">
        <v>64</v>
      </c>
      <c r="X7" s="7">
        <v>71</v>
      </c>
      <c r="Y7" s="206">
        <f t="shared" ref="Y7" si="9">SUM(W7/X7)*100</f>
        <v>90.140845070422543</v>
      </c>
      <c r="Z7" s="109"/>
      <c r="AA7" s="327"/>
      <c r="AB7" s="201">
        <v>40</v>
      </c>
      <c r="AC7" s="7">
        <v>48</v>
      </c>
      <c r="AD7" s="206">
        <f t="shared" ref="AD7" si="10">SUM(AB7/AC7)*100</f>
        <v>83.333333333333343</v>
      </c>
      <c r="AE7" s="201">
        <v>32</v>
      </c>
      <c r="AF7" s="7">
        <v>38</v>
      </c>
      <c r="AG7" s="206">
        <f t="shared" si="5"/>
        <v>84.210526315789465</v>
      </c>
      <c r="AH7" s="6">
        <v>7</v>
      </c>
      <c r="AI7" s="6">
        <v>8</v>
      </c>
      <c r="AJ7" s="206">
        <f>SUM(AH7/AI7)*100</f>
        <v>87.5</v>
      </c>
      <c r="AK7" s="201" t="s">
        <v>30</v>
      </c>
      <c r="AL7" s="7" t="s">
        <v>30</v>
      </c>
      <c r="AM7" s="7" t="s">
        <v>30</v>
      </c>
      <c r="AN7" s="7" t="s">
        <v>30</v>
      </c>
      <c r="AO7" s="7" t="s">
        <v>30</v>
      </c>
      <c r="AP7" s="7" t="s">
        <v>30</v>
      </c>
      <c r="AQ7" s="7" t="s">
        <v>30</v>
      </c>
      <c r="AR7" s="7" t="s">
        <v>30</v>
      </c>
      <c r="AS7" s="7" t="s">
        <v>30</v>
      </c>
      <c r="AT7" s="7" t="s">
        <v>30</v>
      </c>
      <c r="AU7" s="7" t="s">
        <v>30</v>
      </c>
      <c r="AV7" s="7" t="s">
        <v>30</v>
      </c>
      <c r="AW7" s="4"/>
      <c r="AX7" s="4"/>
      <c r="AY7" s="4"/>
      <c r="AZ7" s="4"/>
      <c r="BA7" s="4"/>
    </row>
    <row r="8" spans="1:54" ht="14.95" customHeight="1" thickBot="1" x14ac:dyDescent="0.3">
      <c r="A8" s="45" t="s">
        <v>36</v>
      </c>
      <c r="B8" s="91">
        <v>6</v>
      </c>
      <c r="C8" s="43">
        <v>1</v>
      </c>
      <c r="D8" s="427">
        <v>0</v>
      </c>
      <c r="E8" s="5">
        <f t="shared" si="0"/>
        <v>7</v>
      </c>
      <c r="F8" s="197" t="s">
        <v>36</v>
      </c>
      <c r="G8" s="92">
        <v>30</v>
      </c>
      <c r="H8" s="194">
        <v>5</v>
      </c>
      <c r="I8" s="429">
        <v>0</v>
      </c>
      <c r="J8" s="74">
        <f t="shared" si="1"/>
        <v>35</v>
      </c>
      <c r="K8" s="106" t="s">
        <v>414</v>
      </c>
      <c r="L8" s="104">
        <v>3</v>
      </c>
      <c r="M8" s="104">
        <v>7</v>
      </c>
      <c r="N8" s="105">
        <f t="shared" si="6"/>
        <v>42.857142857142854</v>
      </c>
      <c r="O8" s="104" t="s">
        <v>30</v>
      </c>
      <c r="P8" s="104" t="s">
        <v>30</v>
      </c>
      <c r="Q8" s="105" t="s">
        <v>30</v>
      </c>
      <c r="R8" s="104">
        <v>-4</v>
      </c>
      <c r="S8" s="104">
        <v>-4</v>
      </c>
      <c r="T8" s="7">
        <v>5</v>
      </c>
      <c r="U8" s="7">
        <v>8</v>
      </c>
      <c r="V8" s="206">
        <f>SUM(T8/U8)*100</f>
        <v>62.5</v>
      </c>
      <c r="W8" s="201">
        <v>3</v>
      </c>
      <c r="X8" s="7">
        <v>5</v>
      </c>
      <c r="Y8" s="7">
        <f t="shared" ref="Y8" si="11">SUM(W8/X8)*100</f>
        <v>60</v>
      </c>
      <c r="Z8" s="109"/>
      <c r="AA8" s="327"/>
      <c r="AB8" s="201" t="s">
        <v>30</v>
      </c>
      <c r="AC8" s="7" t="s">
        <v>30</v>
      </c>
      <c r="AD8" s="7" t="s">
        <v>30</v>
      </c>
      <c r="AE8" s="201" t="s">
        <v>30</v>
      </c>
      <c r="AF8" s="7" t="s">
        <v>30</v>
      </c>
      <c r="AG8" s="7" t="s">
        <v>30</v>
      </c>
      <c r="AH8" s="201" t="s">
        <v>30</v>
      </c>
      <c r="AI8" s="7" t="s">
        <v>30</v>
      </c>
      <c r="AJ8" s="7" t="s">
        <v>30</v>
      </c>
      <c r="AK8" s="201" t="s">
        <v>30</v>
      </c>
      <c r="AL8" s="7" t="s">
        <v>30</v>
      </c>
      <c r="AM8" s="7" t="s">
        <v>30</v>
      </c>
      <c r="AN8" s="7" t="s">
        <v>30</v>
      </c>
      <c r="AO8" s="7" t="s">
        <v>30</v>
      </c>
      <c r="AP8" s="7" t="s">
        <v>30</v>
      </c>
      <c r="AQ8" s="7" t="s">
        <v>30</v>
      </c>
      <c r="AR8" s="7" t="s">
        <v>30</v>
      </c>
      <c r="AS8" s="7" t="s">
        <v>30</v>
      </c>
      <c r="AT8" s="7" t="s">
        <v>30</v>
      </c>
      <c r="AU8" s="7" t="s">
        <v>30</v>
      </c>
      <c r="AV8" s="7" t="s">
        <v>30</v>
      </c>
      <c r="AW8" s="4"/>
      <c r="AX8" s="4"/>
      <c r="AY8" s="4"/>
      <c r="AZ8" s="4"/>
      <c r="BA8" s="4"/>
    </row>
    <row r="9" spans="1:54" ht="14.95" customHeight="1" thickBot="1" x14ac:dyDescent="0.3">
      <c r="A9" s="45" t="s">
        <v>593</v>
      </c>
      <c r="B9" s="91">
        <v>1</v>
      </c>
      <c r="C9" s="43">
        <v>3</v>
      </c>
      <c r="D9" s="427">
        <v>0</v>
      </c>
      <c r="E9" s="5">
        <f t="shared" si="0"/>
        <v>4</v>
      </c>
      <c r="F9" s="197" t="s">
        <v>593</v>
      </c>
      <c r="G9" s="92">
        <v>5</v>
      </c>
      <c r="H9" s="194">
        <v>15</v>
      </c>
      <c r="I9" s="429">
        <v>0</v>
      </c>
      <c r="J9" s="74">
        <f t="shared" si="1"/>
        <v>20</v>
      </c>
      <c r="K9" s="305" t="s">
        <v>647</v>
      </c>
      <c r="L9" s="306" t="s">
        <v>30</v>
      </c>
      <c r="M9" s="306" t="s">
        <v>30</v>
      </c>
      <c r="N9" s="307" t="s">
        <v>30</v>
      </c>
      <c r="O9" s="104" t="s">
        <v>30</v>
      </c>
      <c r="P9" s="104" t="s">
        <v>30</v>
      </c>
      <c r="Q9" s="105" t="s">
        <v>30</v>
      </c>
      <c r="R9" s="104">
        <v>1</v>
      </c>
      <c r="S9" s="104">
        <v>-1</v>
      </c>
      <c r="T9" s="6">
        <v>2</v>
      </c>
      <c r="U9" s="6">
        <v>3</v>
      </c>
      <c r="V9" s="211">
        <f t="shared" ref="V9" si="12">SUM(T9/U9)*100</f>
        <v>66.666666666666657</v>
      </c>
      <c r="W9" s="201" t="s">
        <v>30</v>
      </c>
      <c r="X9" s="7" t="s">
        <v>30</v>
      </c>
      <c r="Y9" s="7" t="s">
        <v>30</v>
      </c>
      <c r="Z9" s="109"/>
      <c r="AA9" s="327"/>
      <c r="AB9" s="201" t="s">
        <v>30</v>
      </c>
      <c r="AC9" s="7" t="s">
        <v>30</v>
      </c>
      <c r="AD9" s="7" t="s">
        <v>30</v>
      </c>
      <c r="AE9" s="201" t="s">
        <v>30</v>
      </c>
      <c r="AF9" s="7" t="s">
        <v>30</v>
      </c>
      <c r="AG9" s="7" t="s">
        <v>30</v>
      </c>
      <c r="AH9" s="201" t="s">
        <v>30</v>
      </c>
      <c r="AI9" s="7" t="s">
        <v>30</v>
      </c>
      <c r="AJ9" s="7" t="s">
        <v>30</v>
      </c>
      <c r="AK9" s="201" t="s">
        <v>30</v>
      </c>
      <c r="AL9" s="7" t="s">
        <v>30</v>
      </c>
      <c r="AM9" s="7" t="s">
        <v>30</v>
      </c>
      <c r="AN9" s="7" t="s">
        <v>30</v>
      </c>
      <c r="AO9" s="7" t="s">
        <v>30</v>
      </c>
      <c r="AP9" s="7" t="s">
        <v>30</v>
      </c>
      <c r="AQ9" s="7" t="s">
        <v>30</v>
      </c>
      <c r="AR9" s="7" t="s">
        <v>30</v>
      </c>
      <c r="AS9" s="7" t="s">
        <v>30</v>
      </c>
      <c r="AT9" s="7" t="s">
        <v>30</v>
      </c>
      <c r="AU9" s="7" t="s">
        <v>30</v>
      </c>
      <c r="AV9" s="7" t="s">
        <v>30</v>
      </c>
    </row>
    <row r="10" spans="1:54" ht="14.95" customHeight="1" thickBot="1" x14ac:dyDescent="0.3">
      <c r="A10" s="45" t="s">
        <v>1165</v>
      </c>
      <c r="B10" s="91">
        <v>3</v>
      </c>
      <c r="C10" s="43">
        <v>0</v>
      </c>
      <c r="D10" s="427">
        <v>0</v>
      </c>
      <c r="E10" s="5">
        <f t="shared" si="0"/>
        <v>3</v>
      </c>
      <c r="F10" s="197" t="s">
        <v>1165</v>
      </c>
      <c r="G10" s="92">
        <v>15</v>
      </c>
      <c r="H10" s="194">
        <v>0</v>
      </c>
      <c r="I10" s="429">
        <v>0</v>
      </c>
      <c r="J10" s="74">
        <f t="shared" si="1"/>
        <v>15</v>
      </c>
      <c r="K10" s="66"/>
      <c r="AQ10" s="4"/>
      <c r="AR10" s="4"/>
      <c r="AS10" s="4"/>
      <c r="AU10" s="4"/>
      <c r="AV10" s="4"/>
    </row>
    <row r="11" spans="1:54" ht="14.95" customHeight="1" thickBot="1" x14ac:dyDescent="0.3">
      <c r="A11" s="45" t="s">
        <v>576</v>
      </c>
      <c r="B11" s="91">
        <v>1</v>
      </c>
      <c r="C11" s="43">
        <v>0</v>
      </c>
      <c r="D11" s="427">
        <v>1</v>
      </c>
      <c r="E11" s="5">
        <f t="shared" si="0"/>
        <v>2</v>
      </c>
      <c r="F11" s="197" t="s">
        <v>576</v>
      </c>
      <c r="G11" s="92">
        <v>5</v>
      </c>
      <c r="H11" s="194">
        <v>0</v>
      </c>
      <c r="I11" s="429">
        <v>5</v>
      </c>
      <c r="J11" s="74">
        <f t="shared" si="1"/>
        <v>10</v>
      </c>
      <c r="K11" s="538" t="s">
        <v>510</v>
      </c>
      <c r="L11" s="526" t="s">
        <v>29</v>
      </c>
      <c r="M11" s="527"/>
      <c r="N11" s="528"/>
      <c r="O11" s="520" t="s">
        <v>634</v>
      </c>
      <c r="P11" s="521"/>
      <c r="Q11" s="522"/>
      <c r="R11" s="520" t="s">
        <v>863</v>
      </c>
      <c r="S11" s="521"/>
      <c r="T11" s="522"/>
      <c r="U11" s="520" t="s">
        <v>621</v>
      </c>
      <c r="V11" s="521"/>
      <c r="W11" s="522"/>
      <c r="X11" s="561"/>
      <c r="Y11" s="561"/>
      <c r="Z11" s="214"/>
      <c r="AA11" s="214"/>
      <c r="AB11" s="520" t="s">
        <v>448</v>
      </c>
      <c r="AC11" s="521"/>
      <c r="AD11" s="522"/>
      <c r="AE11" s="520" t="s">
        <v>178</v>
      </c>
      <c r="AF11" s="521"/>
      <c r="AG11" s="522"/>
      <c r="AH11" s="520" t="s">
        <v>122</v>
      </c>
      <c r="AI11" s="521"/>
      <c r="AJ11" s="522"/>
      <c r="AK11" s="520" t="s">
        <v>113</v>
      </c>
      <c r="AL11" s="521"/>
      <c r="AM11" s="522"/>
      <c r="AN11" s="520" t="s">
        <v>96</v>
      </c>
      <c r="AO11" s="521"/>
      <c r="AP11" s="522"/>
      <c r="AQ11" s="73"/>
      <c r="AR11" s="73"/>
    </row>
    <row r="12" spans="1:54" ht="14.95" customHeight="1" thickBot="1" x14ac:dyDescent="0.3">
      <c r="A12" s="45" t="s">
        <v>88</v>
      </c>
      <c r="B12" s="91">
        <v>0</v>
      </c>
      <c r="C12" s="43">
        <v>0</v>
      </c>
      <c r="D12" s="427">
        <v>0</v>
      </c>
      <c r="E12" s="5">
        <f t="shared" si="0"/>
        <v>0</v>
      </c>
      <c r="F12" s="197" t="s">
        <v>88</v>
      </c>
      <c r="G12" s="92">
        <v>0</v>
      </c>
      <c r="H12" s="194">
        <v>0</v>
      </c>
      <c r="I12" s="429">
        <v>0</v>
      </c>
      <c r="J12" s="74">
        <f t="shared" si="1"/>
        <v>0</v>
      </c>
      <c r="K12" s="539"/>
      <c r="L12" s="529"/>
      <c r="M12" s="530"/>
      <c r="N12" s="531"/>
      <c r="O12" s="523"/>
      <c r="P12" s="524"/>
      <c r="Q12" s="525"/>
      <c r="R12" s="523"/>
      <c r="S12" s="524"/>
      <c r="T12" s="525"/>
      <c r="U12" s="523"/>
      <c r="V12" s="524"/>
      <c r="W12" s="525"/>
      <c r="X12" s="561"/>
      <c r="Y12" s="561"/>
      <c r="Z12" s="214"/>
      <c r="AA12" s="214"/>
      <c r="AB12" s="523"/>
      <c r="AC12" s="524"/>
      <c r="AD12" s="525"/>
      <c r="AE12" s="523"/>
      <c r="AF12" s="524"/>
      <c r="AG12" s="525"/>
      <c r="AH12" s="523"/>
      <c r="AI12" s="524"/>
      <c r="AJ12" s="525"/>
      <c r="AK12" s="523"/>
      <c r="AL12" s="524"/>
      <c r="AM12" s="525"/>
      <c r="AN12" s="523"/>
      <c r="AO12" s="524"/>
      <c r="AP12" s="525"/>
      <c r="AQ12" s="73"/>
      <c r="AR12" s="73"/>
      <c r="AX12" s="4"/>
      <c r="AY12" s="4"/>
      <c r="AZ12" s="4"/>
      <c r="BA12" s="4"/>
      <c r="BB12" s="4"/>
    </row>
    <row r="13" spans="1:54" ht="14.95" customHeight="1" thickBot="1" x14ac:dyDescent="0.3">
      <c r="A13" s="45" t="s">
        <v>78</v>
      </c>
      <c r="B13" s="91">
        <v>1</v>
      </c>
      <c r="C13" s="43">
        <v>0</v>
      </c>
      <c r="D13" s="427">
        <v>0</v>
      </c>
      <c r="E13" s="5">
        <f t="shared" si="0"/>
        <v>1</v>
      </c>
      <c r="F13" s="197" t="s">
        <v>78</v>
      </c>
      <c r="G13" s="92">
        <v>5</v>
      </c>
      <c r="H13" s="194">
        <v>0</v>
      </c>
      <c r="I13" s="429">
        <v>0</v>
      </c>
      <c r="J13" s="74">
        <f t="shared" si="1"/>
        <v>5</v>
      </c>
      <c r="K13" s="395" t="s">
        <v>44</v>
      </c>
      <c r="L13" s="3" t="s">
        <v>107</v>
      </c>
      <c r="M13" s="3" t="s">
        <v>23</v>
      </c>
      <c r="N13" s="3" t="s">
        <v>24</v>
      </c>
      <c r="O13" s="7" t="s">
        <v>107</v>
      </c>
      <c r="P13" s="7" t="s">
        <v>23</v>
      </c>
      <c r="Q13" s="7" t="s">
        <v>24</v>
      </c>
      <c r="R13" s="7" t="s">
        <v>107</v>
      </c>
      <c r="S13" s="7" t="s">
        <v>23</v>
      </c>
      <c r="T13" s="7" t="s">
        <v>24</v>
      </c>
      <c r="U13" s="201" t="s">
        <v>107</v>
      </c>
      <c r="V13" s="7" t="s">
        <v>23</v>
      </c>
      <c r="W13" s="7" t="s">
        <v>24</v>
      </c>
      <c r="X13" s="101"/>
      <c r="Y13" s="101"/>
      <c r="AB13" s="201" t="s">
        <v>107</v>
      </c>
      <c r="AC13" s="7" t="s">
        <v>23</v>
      </c>
      <c r="AD13" s="7" t="s">
        <v>24</v>
      </c>
      <c r="AE13" s="201" t="s">
        <v>107</v>
      </c>
      <c r="AF13" s="7" t="s">
        <v>23</v>
      </c>
      <c r="AG13" s="7" t="s">
        <v>24</v>
      </c>
      <c r="AH13" s="201" t="s">
        <v>107</v>
      </c>
      <c r="AI13" s="7" t="s">
        <v>23</v>
      </c>
      <c r="AJ13" s="7" t="s">
        <v>24</v>
      </c>
      <c r="AK13" s="201" t="s">
        <v>107</v>
      </c>
      <c r="AL13" s="7" t="s">
        <v>23</v>
      </c>
      <c r="AM13" s="7" t="s">
        <v>24</v>
      </c>
      <c r="AN13" s="201" t="s">
        <v>107</v>
      </c>
      <c r="AO13" s="7" t="s">
        <v>23</v>
      </c>
      <c r="AP13" s="7" t="s">
        <v>24</v>
      </c>
      <c r="AQ13" s="73"/>
      <c r="AR13" s="73"/>
      <c r="AX13" s="4"/>
      <c r="AY13" s="4"/>
      <c r="AZ13" s="4"/>
      <c r="BA13" s="4"/>
      <c r="BB13" s="4"/>
    </row>
    <row r="14" spans="1:54" ht="14.95" customHeight="1" thickBot="1" x14ac:dyDescent="0.3">
      <c r="A14" s="45" t="s">
        <v>61</v>
      </c>
      <c r="B14" s="91">
        <v>2</v>
      </c>
      <c r="C14" s="43">
        <v>0</v>
      </c>
      <c r="D14" s="427">
        <v>0</v>
      </c>
      <c r="E14" s="5">
        <f t="shared" si="0"/>
        <v>2</v>
      </c>
      <c r="F14" s="197" t="s">
        <v>61</v>
      </c>
      <c r="G14" s="92">
        <v>10</v>
      </c>
      <c r="H14" s="194">
        <v>0</v>
      </c>
      <c r="I14" s="429">
        <v>0</v>
      </c>
      <c r="J14" s="74">
        <f t="shared" si="1"/>
        <v>10</v>
      </c>
      <c r="K14" s="152" t="s">
        <v>523</v>
      </c>
      <c r="L14" s="43" t="s">
        <v>30</v>
      </c>
      <c r="M14" s="43" t="s">
        <v>30</v>
      </c>
      <c r="N14" s="43" t="s">
        <v>30</v>
      </c>
      <c r="O14" s="7" t="s">
        <v>30</v>
      </c>
      <c r="P14" s="7" t="s">
        <v>30</v>
      </c>
      <c r="Q14" s="7" t="s">
        <v>30</v>
      </c>
      <c r="R14" s="7" t="s">
        <v>30</v>
      </c>
      <c r="S14" s="7" t="s">
        <v>30</v>
      </c>
      <c r="T14" s="7" t="s">
        <v>30</v>
      </c>
      <c r="U14" s="201">
        <v>0</v>
      </c>
      <c r="V14" s="7">
        <v>1</v>
      </c>
      <c r="W14" s="7">
        <f t="shared" ref="W14" si="13">SUM(U14/V14)*100</f>
        <v>0</v>
      </c>
      <c r="X14" s="101"/>
      <c r="Y14" s="101"/>
      <c r="AB14" s="201">
        <v>0</v>
      </c>
      <c r="AC14" s="7">
        <v>2</v>
      </c>
      <c r="AD14" s="7">
        <v>0</v>
      </c>
      <c r="AE14" s="201">
        <v>4</v>
      </c>
      <c r="AF14" s="7">
        <v>7</v>
      </c>
      <c r="AG14" s="7">
        <v>57</v>
      </c>
      <c r="AH14" s="201">
        <v>1</v>
      </c>
      <c r="AI14" s="7">
        <v>3</v>
      </c>
      <c r="AJ14" s="7">
        <v>33</v>
      </c>
      <c r="AK14" s="201">
        <v>0</v>
      </c>
      <c r="AL14" s="7">
        <v>4</v>
      </c>
      <c r="AM14" s="7">
        <v>0</v>
      </c>
      <c r="AN14" s="201">
        <v>2</v>
      </c>
      <c r="AO14" s="7">
        <v>2</v>
      </c>
      <c r="AP14" s="7">
        <v>100</v>
      </c>
      <c r="AQ14" s="73"/>
      <c r="AR14" s="73"/>
      <c r="AX14" s="4"/>
      <c r="AY14" s="4"/>
      <c r="AZ14" s="4"/>
      <c r="BA14" s="4"/>
      <c r="BB14" s="4"/>
    </row>
    <row r="15" spans="1:54" ht="14.95" customHeight="1" thickBot="1" x14ac:dyDescent="0.3">
      <c r="A15" s="45" t="s">
        <v>467</v>
      </c>
      <c r="B15" s="91">
        <v>0</v>
      </c>
      <c r="C15" s="43">
        <v>0</v>
      </c>
      <c r="D15" s="427">
        <v>0</v>
      </c>
      <c r="E15" s="5">
        <f t="shared" si="0"/>
        <v>0</v>
      </c>
      <c r="F15" s="197" t="s">
        <v>467</v>
      </c>
      <c r="G15" s="92">
        <v>0</v>
      </c>
      <c r="H15" s="194">
        <v>0</v>
      </c>
      <c r="I15" s="429">
        <v>0</v>
      </c>
      <c r="J15" s="74">
        <f t="shared" si="1"/>
        <v>0</v>
      </c>
      <c r="K15" s="15" t="s">
        <v>32</v>
      </c>
      <c r="L15" s="104">
        <v>2</v>
      </c>
      <c r="M15" s="104">
        <v>2</v>
      </c>
      <c r="N15" s="104">
        <f t="shared" ref="N15" si="14">SUM(L15/M15)*100</f>
        <v>100</v>
      </c>
      <c r="O15" s="7" t="s">
        <v>30</v>
      </c>
      <c r="P15" s="7" t="s">
        <v>30</v>
      </c>
      <c r="Q15" s="7" t="s">
        <v>30</v>
      </c>
      <c r="R15" s="7" t="s">
        <v>30</v>
      </c>
      <c r="S15" s="7" t="s">
        <v>30</v>
      </c>
      <c r="T15" s="7" t="s">
        <v>30</v>
      </c>
      <c r="U15" s="201" t="s">
        <v>30</v>
      </c>
      <c r="V15" s="7" t="s">
        <v>30</v>
      </c>
      <c r="W15" s="7" t="s">
        <v>30</v>
      </c>
      <c r="X15" s="101"/>
      <c r="Y15" s="101"/>
      <c r="AB15" s="201" t="s">
        <v>30</v>
      </c>
      <c r="AC15" s="7" t="s">
        <v>30</v>
      </c>
      <c r="AD15" s="7" t="s">
        <v>30</v>
      </c>
      <c r="AE15" s="201">
        <v>4</v>
      </c>
      <c r="AF15" s="7">
        <v>5</v>
      </c>
      <c r="AG15" s="206">
        <f>SUM(AE15/AF15)*100</f>
        <v>80</v>
      </c>
      <c r="AH15" s="201">
        <v>5</v>
      </c>
      <c r="AI15" s="7">
        <v>8</v>
      </c>
      <c r="AJ15" s="206">
        <f>SUM(AH15/AI15)*100</f>
        <v>62.5</v>
      </c>
      <c r="AK15" s="6" t="s">
        <v>30</v>
      </c>
      <c r="AL15" s="7" t="s">
        <v>30</v>
      </c>
      <c r="AM15" s="7" t="s">
        <v>30</v>
      </c>
      <c r="AN15" s="201">
        <v>8</v>
      </c>
      <c r="AO15" s="7">
        <v>9</v>
      </c>
      <c r="AP15" s="206">
        <f>SUM(AN15/AO15)*100</f>
        <v>88.888888888888886</v>
      </c>
      <c r="AQ15" s="73"/>
      <c r="AR15" s="73"/>
      <c r="AW15" s="102"/>
      <c r="AX15" s="4"/>
      <c r="AY15" s="4"/>
      <c r="AZ15" s="4"/>
      <c r="BA15" s="4"/>
      <c r="BB15" s="4"/>
    </row>
    <row r="16" spans="1:54" ht="14.95" customHeight="1" thickBot="1" x14ac:dyDescent="0.3">
      <c r="A16" s="45" t="s">
        <v>602</v>
      </c>
      <c r="B16" s="91">
        <v>2</v>
      </c>
      <c r="C16" s="43">
        <v>0</v>
      </c>
      <c r="D16" s="427">
        <v>0</v>
      </c>
      <c r="E16" s="5">
        <f t="shared" si="0"/>
        <v>2</v>
      </c>
      <c r="F16" s="197" t="s">
        <v>602</v>
      </c>
      <c r="G16" s="92">
        <v>10</v>
      </c>
      <c r="H16" s="194">
        <v>0</v>
      </c>
      <c r="I16" s="429">
        <v>14</v>
      </c>
      <c r="J16" s="74">
        <f t="shared" si="1"/>
        <v>24</v>
      </c>
      <c r="K16" s="149" t="s">
        <v>214</v>
      </c>
      <c r="L16" s="104" t="s">
        <v>30</v>
      </c>
      <c r="M16" s="104" t="s">
        <v>30</v>
      </c>
      <c r="N16" s="104" t="s">
        <v>30</v>
      </c>
      <c r="O16" s="7" t="s">
        <v>30</v>
      </c>
      <c r="P16" s="7" t="s">
        <v>30</v>
      </c>
      <c r="Q16" s="7" t="s">
        <v>30</v>
      </c>
      <c r="R16" s="7" t="s">
        <v>30</v>
      </c>
      <c r="S16" s="7" t="s">
        <v>30</v>
      </c>
      <c r="T16" s="7" t="s">
        <v>30</v>
      </c>
      <c r="U16" s="201" t="s">
        <v>30</v>
      </c>
      <c r="V16" s="7" t="s">
        <v>30</v>
      </c>
      <c r="W16" s="7" t="s">
        <v>30</v>
      </c>
      <c r="X16" s="101"/>
      <c r="Y16" s="101"/>
      <c r="AB16" s="201" t="s">
        <v>30</v>
      </c>
      <c r="AC16" s="7" t="s">
        <v>30</v>
      </c>
      <c r="AD16" s="7" t="s">
        <v>30</v>
      </c>
      <c r="AE16" s="201" t="s">
        <v>30</v>
      </c>
      <c r="AF16" s="7" t="s">
        <v>30</v>
      </c>
      <c r="AG16" s="7" t="s">
        <v>30</v>
      </c>
      <c r="AH16" s="201" t="s">
        <v>30</v>
      </c>
      <c r="AI16" s="7" t="s">
        <v>30</v>
      </c>
      <c r="AJ16" s="7" t="s">
        <v>30</v>
      </c>
      <c r="AK16" s="6" t="s">
        <v>30</v>
      </c>
      <c r="AL16" s="7" t="s">
        <v>30</v>
      </c>
      <c r="AM16" s="7" t="s">
        <v>30</v>
      </c>
      <c r="AN16" s="7" t="s">
        <v>30</v>
      </c>
      <c r="AO16" s="7" t="s">
        <v>30</v>
      </c>
      <c r="AP16" s="7" t="s">
        <v>30</v>
      </c>
      <c r="AQ16" s="215"/>
      <c r="AR16" s="101"/>
      <c r="AS16" s="102"/>
      <c r="AT16" s="102"/>
      <c r="AU16" s="102"/>
      <c r="AV16" s="102"/>
    </row>
    <row r="17" spans="1:54" ht="14.95" customHeight="1" thickBot="1" x14ac:dyDescent="0.3">
      <c r="A17" s="45" t="s">
        <v>523</v>
      </c>
      <c r="B17" s="91">
        <v>4</v>
      </c>
      <c r="C17" s="43">
        <v>2</v>
      </c>
      <c r="D17" s="427">
        <v>0</v>
      </c>
      <c r="E17" s="5">
        <f t="shared" si="0"/>
        <v>6</v>
      </c>
      <c r="F17" s="197" t="s">
        <v>523</v>
      </c>
      <c r="G17" s="92">
        <v>26</v>
      </c>
      <c r="H17" s="194">
        <v>13</v>
      </c>
      <c r="I17" s="429">
        <v>0</v>
      </c>
      <c r="J17" s="74">
        <f t="shared" si="1"/>
        <v>39</v>
      </c>
      <c r="K17" s="15" t="s">
        <v>130</v>
      </c>
      <c r="L17" s="104">
        <v>14</v>
      </c>
      <c r="M17" s="104">
        <v>22</v>
      </c>
      <c r="N17" s="105">
        <f t="shared" ref="N17" si="15">SUM(L17/M17)*100</f>
        <v>63.636363636363633</v>
      </c>
      <c r="O17" s="7">
        <v>13</v>
      </c>
      <c r="P17" s="7">
        <v>16</v>
      </c>
      <c r="Q17" s="206">
        <f t="shared" ref="Q17:Q18" si="16">SUM(O17/P17)*100</f>
        <v>81.25</v>
      </c>
      <c r="R17" s="7">
        <v>13</v>
      </c>
      <c r="S17" s="7">
        <v>16</v>
      </c>
      <c r="T17" s="206">
        <f t="shared" ref="T17:T18" si="17">SUM(R17/S17)*100</f>
        <v>81.25</v>
      </c>
      <c r="U17" s="201">
        <v>39</v>
      </c>
      <c r="V17" s="7">
        <v>41</v>
      </c>
      <c r="W17" s="206">
        <f t="shared" ref="W17" si="18">SUM(U17/V17)*100</f>
        <v>95.121951219512198</v>
      </c>
      <c r="X17" s="101"/>
      <c r="Y17" s="101"/>
      <c r="AB17" s="201">
        <v>2</v>
      </c>
      <c r="AC17" s="7">
        <v>2</v>
      </c>
      <c r="AD17" s="206">
        <f t="shared" ref="AD17" si="19">SUM(AB17/AC17)*100</f>
        <v>100</v>
      </c>
      <c r="AE17" s="201">
        <v>1</v>
      </c>
      <c r="AF17" s="7">
        <v>2</v>
      </c>
      <c r="AG17" s="206">
        <f>SUM(AE17/AF17)*100</f>
        <v>50</v>
      </c>
      <c r="AH17" s="201" t="s">
        <v>30</v>
      </c>
      <c r="AI17" s="7" t="s">
        <v>30</v>
      </c>
      <c r="AJ17" s="7" t="s">
        <v>30</v>
      </c>
      <c r="AK17" s="6" t="s">
        <v>30</v>
      </c>
      <c r="AL17" s="7" t="s">
        <v>30</v>
      </c>
      <c r="AM17" s="7" t="s">
        <v>30</v>
      </c>
      <c r="AN17" s="201" t="s">
        <v>30</v>
      </c>
      <c r="AO17" s="7" t="s">
        <v>30</v>
      </c>
      <c r="AP17" s="7" t="s">
        <v>30</v>
      </c>
      <c r="AQ17" s="73"/>
      <c r="AR17" s="73"/>
      <c r="AX17" s="4"/>
      <c r="AY17" s="4"/>
    </row>
    <row r="18" spans="1:54" ht="14.95" customHeight="1" thickBot="1" x14ac:dyDescent="0.3">
      <c r="A18" s="45" t="s">
        <v>645</v>
      </c>
      <c r="B18" s="91">
        <v>5</v>
      </c>
      <c r="C18" s="43">
        <v>0</v>
      </c>
      <c r="D18" s="427">
        <v>0</v>
      </c>
      <c r="E18" s="5">
        <f t="shared" si="0"/>
        <v>5</v>
      </c>
      <c r="F18" s="197" t="s">
        <v>645</v>
      </c>
      <c r="G18" s="92">
        <v>25</v>
      </c>
      <c r="H18" s="194">
        <v>0</v>
      </c>
      <c r="I18" s="429">
        <v>0</v>
      </c>
      <c r="J18" s="74">
        <f t="shared" si="1"/>
        <v>25</v>
      </c>
      <c r="K18" s="305" t="s">
        <v>414</v>
      </c>
      <c r="L18" s="104" t="s">
        <v>30</v>
      </c>
      <c r="M18" s="104" t="s">
        <v>30</v>
      </c>
      <c r="N18" s="104" t="s">
        <v>30</v>
      </c>
      <c r="O18" s="6">
        <v>1</v>
      </c>
      <c r="P18" s="6">
        <v>1</v>
      </c>
      <c r="Q18" s="392">
        <f t="shared" si="16"/>
        <v>100</v>
      </c>
      <c r="R18" s="6">
        <v>1</v>
      </c>
      <c r="S18" s="6">
        <v>1</v>
      </c>
      <c r="T18" s="211">
        <f t="shared" si="17"/>
        <v>100</v>
      </c>
      <c r="U18" s="6" t="s">
        <v>30</v>
      </c>
      <c r="V18" s="7" t="s">
        <v>30</v>
      </c>
      <c r="W18" s="7" t="s">
        <v>30</v>
      </c>
      <c r="X18" s="101"/>
      <c r="Y18" s="101"/>
      <c r="AB18" s="201" t="s">
        <v>30</v>
      </c>
      <c r="AC18" s="7" t="s">
        <v>30</v>
      </c>
      <c r="AD18" s="7" t="s">
        <v>30</v>
      </c>
      <c r="AE18" s="201" t="s">
        <v>30</v>
      </c>
      <c r="AF18" s="7" t="s">
        <v>30</v>
      </c>
      <c r="AG18" s="7" t="s">
        <v>30</v>
      </c>
      <c r="AH18" s="201" t="s">
        <v>30</v>
      </c>
      <c r="AI18" s="7" t="s">
        <v>30</v>
      </c>
      <c r="AJ18" s="7" t="s">
        <v>30</v>
      </c>
      <c r="AK18" s="6" t="s">
        <v>30</v>
      </c>
      <c r="AL18" s="7" t="s">
        <v>30</v>
      </c>
      <c r="AM18" s="7" t="s">
        <v>30</v>
      </c>
      <c r="AN18" s="7" t="s">
        <v>30</v>
      </c>
      <c r="AO18" s="7" t="s">
        <v>30</v>
      </c>
      <c r="AP18" s="7" t="s">
        <v>30</v>
      </c>
      <c r="AQ18" s="73"/>
      <c r="AR18" s="73"/>
    </row>
    <row r="19" spans="1:54" ht="14.95" customHeight="1" thickBot="1" x14ac:dyDescent="0.3">
      <c r="A19" s="45" t="s">
        <v>926</v>
      </c>
      <c r="B19" s="91">
        <v>1</v>
      </c>
      <c r="C19" s="43">
        <v>0</v>
      </c>
      <c r="D19" s="427">
        <v>1</v>
      </c>
      <c r="E19" s="5">
        <f t="shared" si="0"/>
        <v>2</v>
      </c>
      <c r="F19" s="197" t="s">
        <v>926</v>
      </c>
      <c r="G19" s="92">
        <v>5</v>
      </c>
      <c r="H19" s="194">
        <v>0</v>
      </c>
      <c r="I19" s="429">
        <v>5</v>
      </c>
      <c r="J19" s="74">
        <f t="shared" si="1"/>
        <v>10</v>
      </c>
      <c r="K19" s="67"/>
      <c r="L19" s="68"/>
      <c r="M19" s="68"/>
      <c r="N19" s="69"/>
      <c r="O19" s="216"/>
      <c r="P19" s="216"/>
      <c r="Q19" s="216"/>
      <c r="R19" s="73"/>
      <c r="S19" s="73"/>
      <c r="T19" s="73"/>
      <c r="U19" s="73"/>
      <c r="V19" s="73"/>
      <c r="W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O19" s="4"/>
      <c r="AP19" s="4"/>
      <c r="AQ19" s="4"/>
      <c r="AT19" s="4"/>
    </row>
    <row r="20" spans="1:54" ht="14.95" customHeight="1" thickBot="1" x14ac:dyDescent="0.3">
      <c r="A20" s="45" t="s">
        <v>15</v>
      </c>
      <c r="B20" s="91">
        <v>0</v>
      </c>
      <c r="C20" s="43">
        <v>0</v>
      </c>
      <c r="D20" s="427">
        <v>0</v>
      </c>
      <c r="E20" s="5">
        <f t="shared" si="0"/>
        <v>0</v>
      </c>
      <c r="F20" s="198" t="s">
        <v>15</v>
      </c>
      <c r="G20" s="92">
        <v>0</v>
      </c>
      <c r="H20" s="194">
        <v>0</v>
      </c>
      <c r="I20" s="429">
        <v>0</v>
      </c>
      <c r="J20" s="74">
        <f t="shared" si="1"/>
        <v>0</v>
      </c>
      <c r="K20" s="542" t="s">
        <v>511</v>
      </c>
      <c r="L20" s="520" t="s">
        <v>29</v>
      </c>
      <c r="M20" s="521"/>
      <c r="N20" s="522"/>
      <c r="O20" s="520" t="s">
        <v>634</v>
      </c>
      <c r="P20" s="521"/>
      <c r="Q20" s="522"/>
      <c r="R20" s="520" t="s">
        <v>863</v>
      </c>
      <c r="S20" s="521"/>
      <c r="T20" s="522"/>
      <c r="U20" s="520" t="s">
        <v>622</v>
      </c>
      <c r="V20" s="521"/>
      <c r="W20" s="522"/>
      <c r="X20" s="214"/>
      <c r="Y20" s="214"/>
      <c r="AB20" s="520" t="s">
        <v>448</v>
      </c>
      <c r="AC20" s="521"/>
      <c r="AD20" s="522"/>
      <c r="AE20" s="520" t="s">
        <v>178</v>
      </c>
      <c r="AF20" s="521"/>
      <c r="AG20" s="522"/>
      <c r="AH20" s="520" t="s">
        <v>122</v>
      </c>
      <c r="AI20" s="521"/>
      <c r="AJ20" s="522"/>
      <c r="AK20" s="520" t="s">
        <v>136</v>
      </c>
      <c r="AL20" s="521"/>
      <c r="AM20" s="522"/>
      <c r="AN20" s="520" t="s">
        <v>96</v>
      </c>
      <c r="AO20" s="521"/>
      <c r="AP20" s="522"/>
      <c r="AQ20" s="73"/>
      <c r="AR20" s="73"/>
      <c r="BA20" s="4"/>
      <c r="BB20" s="4"/>
    </row>
    <row r="21" spans="1:54" ht="14.95" customHeight="1" thickBot="1" x14ac:dyDescent="0.3">
      <c r="A21" s="45" t="s">
        <v>424</v>
      </c>
      <c r="B21" s="91">
        <v>1</v>
      </c>
      <c r="C21" s="43">
        <v>0</v>
      </c>
      <c r="D21" s="427">
        <v>0</v>
      </c>
      <c r="E21" s="5">
        <f t="shared" si="0"/>
        <v>1</v>
      </c>
      <c r="F21" s="197" t="s">
        <v>424</v>
      </c>
      <c r="G21" s="92">
        <v>5</v>
      </c>
      <c r="H21" s="194">
        <v>0</v>
      </c>
      <c r="I21" s="429">
        <v>0</v>
      </c>
      <c r="J21" s="74">
        <f t="shared" si="1"/>
        <v>5</v>
      </c>
      <c r="K21" s="543"/>
      <c r="L21" s="523"/>
      <c r="M21" s="524"/>
      <c r="N21" s="525"/>
      <c r="O21" s="523"/>
      <c r="P21" s="524"/>
      <c r="Q21" s="525"/>
      <c r="R21" s="523"/>
      <c r="S21" s="524"/>
      <c r="T21" s="525"/>
      <c r="U21" s="523"/>
      <c r="V21" s="524"/>
      <c r="W21" s="525"/>
      <c r="X21" s="214"/>
      <c r="Y21" s="214"/>
      <c r="AB21" s="523"/>
      <c r="AC21" s="524"/>
      <c r="AD21" s="525"/>
      <c r="AE21" s="523"/>
      <c r="AF21" s="524"/>
      <c r="AG21" s="525"/>
      <c r="AH21" s="523"/>
      <c r="AI21" s="524"/>
      <c r="AJ21" s="525"/>
      <c r="AK21" s="523"/>
      <c r="AL21" s="524"/>
      <c r="AM21" s="525"/>
      <c r="AN21" s="523"/>
      <c r="AO21" s="524"/>
      <c r="AP21" s="525"/>
      <c r="AQ21" s="73"/>
      <c r="AR21" s="73"/>
      <c r="AX21" s="4"/>
      <c r="AY21" s="4"/>
      <c r="AZ21" s="4"/>
    </row>
    <row r="22" spans="1:54" ht="14.95" customHeight="1" thickBot="1" x14ac:dyDescent="0.3">
      <c r="A22" s="45" t="s">
        <v>965</v>
      </c>
      <c r="B22" s="91">
        <v>1</v>
      </c>
      <c r="C22" s="43">
        <v>0</v>
      </c>
      <c r="D22" s="427">
        <v>1</v>
      </c>
      <c r="E22" s="5">
        <f t="shared" si="0"/>
        <v>2</v>
      </c>
      <c r="F22" s="197" t="s">
        <v>965</v>
      </c>
      <c r="G22" s="92">
        <v>5</v>
      </c>
      <c r="H22" s="194">
        <v>0</v>
      </c>
      <c r="I22" s="429">
        <v>5</v>
      </c>
      <c r="J22" s="74">
        <f t="shared" si="1"/>
        <v>10</v>
      </c>
      <c r="K22" s="466" t="s">
        <v>44</v>
      </c>
      <c r="L22" s="7" t="s">
        <v>107</v>
      </c>
      <c r="M22" s="7" t="s">
        <v>23</v>
      </c>
      <c r="N22" s="7" t="s">
        <v>24</v>
      </c>
      <c r="O22" s="7" t="s">
        <v>107</v>
      </c>
      <c r="P22" s="7" t="s">
        <v>23</v>
      </c>
      <c r="Q22" s="7" t="s">
        <v>24</v>
      </c>
      <c r="R22" s="7" t="s">
        <v>107</v>
      </c>
      <c r="S22" s="7" t="s">
        <v>23</v>
      </c>
      <c r="T22" s="7" t="s">
        <v>24</v>
      </c>
      <c r="U22" s="201" t="s">
        <v>107</v>
      </c>
      <c r="V22" s="7" t="s">
        <v>23</v>
      </c>
      <c r="W22" s="7" t="s">
        <v>24</v>
      </c>
      <c r="AB22" s="201" t="s">
        <v>107</v>
      </c>
      <c r="AC22" s="7" t="s">
        <v>23</v>
      </c>
      <c r="AD22" s="7" t="s">
        <v>24</v>
      </c>
      <c r="AE22" s="201" t="s">
        <v>107</v>
      </c>
      <c r="AF22" s="7" t="s">
        <v>23</v>
      </c>
      <c r="AG22" s="7" t="s">
        <v>24</v>
      </c>
      <c r="AH22" s="201" t="s">
        <v>107</v>
      </c>
      <c r="AI22" s="7" t="s">
        <v>23</v>
      </c>
      <c r="AJ22" s="7" t="s">
        <v>24</v>
      </c>
      <c r="AK22" s="201" t="s">
        <v>107</v>
      </c>
      <c r="AL22" s="7" t="s">
        <v>23</v>
      </c>
      <c r="AM22" s="7" t="s">
        <v>24</v>
      </c>
      <c r="AN22" s="201" t="s">
        <v>107</v>
      </c>
      <c r="AO22" s="7" t="s">
        <v>23</v>
      </c>
      <c r="AP22" s="7" t="s">
        <v>24</v>
      </c>
      <c r="AQ22" s="73"/>
      <c r="AR22" s="73"/>
      <c r="AZ22" s="4"/>
    </row>
    <row r="23" spans="1:54" ht="14.95" customHeight="1" thickBot="1" x14ac:dyDescent="0.3">
      <c r="A23" s="45" t="s">
        <v>541</v>
      </c>
      <c r="B23" s="91">
        <v>0</v>
      </c>
      <c r="C23" s="43">
        <v>0</v>
      </c>
      <c r="D23" s="427">
        <v>0</v>
      </c>
      <c r="E23" s="5">
        <f t="shared" si="0"/>
        <v>0</v>
      </c>
      <c r="F23" s="197" t="s">
        <v>541</v>
      </c>
      <c r="G23" s="92">
        <v>0</v>
      </c>
      <c r="H23" s="194">
        <v>0</v>
      </c>
      <c r="I23" s="429">
        <v>0</v>
      </c>
      <c r="J23" s="74">
        <f t="shared" si="1"/>
        <v>0</v>
      </c>
      <c r="K23" s="152" t="s">
        <v>523</v>
      </c>
      <c r="L23" s="7" t="s">
        <v>30</v>
      </c>
      <c r="M23" s="7" t="s">
        <v>30</v>
      </c>
      <c r="N23" s="7" t="s">
        <v>30</v>
      </c>
      <c r="O23" s="7" t="s">
        <v>30</v>
      </c>
      <c r="P23" s="7" t="s">
        <v>30</v>
      </c>
      <c r="Q23" s="7" t="s">
        <v>30</v>
      </c>
      <c r="R23" s="7" t="s">
        <v>30</v>
      </c>
      <c r="S23" s="7" t="s">
        <v>30</v>
      </c>
      <c r="T23" s="7" t="s">
        <v>30</v>
      </c>
      <c r="U23" s="7" t="s">
        <v>30</v>
      </c>
      <c r="V23" s="7" t="s">
        <v>30</v>
      </c>
      <c r="W23" s="7" t="s">
        <v>30</v>
      </c>
      <c r="AB23" s="201" t="s">
        <v>30</v>
      </c>
      <c r="AC23" s="201" t="s">
        <v>30</v>
      </c>
      <c r="AD23" s="7" t="s">
        <v>30</v>
      </c>
      <c r="AE23" s="7" t="s">
        <v>30</v>
      </c>
      <c r="AF23" s="201" t="s">
        <v>30</v>
      </c>
      <c r="AG23" s="201" t="s">
        <v>30</v>
      </c>
      <c r="AH23" s="201" t="s">
        <v>30</v>
      </c>
      <c r="AI23" s="7" t="s">
        <v>30</v>
      </c>
      <c r="AJ23" s="7" t="s">
        <v>30</v>
      </c>
      <c r="AK23" s="6" t="s">
        <v>30</v>
      </c>
      <c r="AL23" s="7" t="s">
        <v>30</v>
      </c>
      <c r="AM23" s="7" t="s">
        <v>30</v>
      </c>
      <c r="AN23" s="7" t="s">
        <v>30</v>
      </c>
      <c r="AO23" s="7" t="s">
        <v>30</v>
      </c>
      <c r="AP23" s="7" t="s">
        <v>30</v>
      </c>
      <c r="AQ23" s="73"/>
      <c r="AR23" s="73"/>
      <c r="AX23" s="4"/>
      <c r="AY23" s="4"/>
      <c r="BA23" s="4"/>
      <c r="BB23" s="4"/>
    </row>
    <row r="24" spans="1:54" ht="14.95" customHeight="1" thickBot="1" x14ac:dyDescent="0.3">
      <c r="A24" s="45" t="s">
        <v>436</v>
      </c>
      <c r="B24" s="91">
        <v>0</v>
      </c>
      <c r="C24" s="43">
        <v>0</v>
      </c>
      <c r="D24" s="427">
        <v>0</v>
      </c>
      <c r="E24" s="5">
        <f t="shared" si="0"/>
        <v>0</v>
      </c>
      <c r="F24" s="197" t="s">
        <v>436</v>
      </c>
      <c r="G24" s="92">
        <v>0</v>
      </c>
      <c r="H24" s="194">
        <v>0</v>
      </c>
      <c r="I24" s="429">
        <v>0</v>
      </c>
      <c r="J24" s="74">
        <f t="shared" si="1"/>
        <v>0</v>
      </c>
      <c r="K24" s="15" t="s">
        <v>32</v>
      </c>
      <c r="L24" s="7" t="s">
        <v>30</v>
      </c>
      <c r="M24" s="7" t="s">
        <v>30</v>
      </c>
      <c r="N24" s="7" t="s">
        <v>30</v>
      </c>
      <c r="O24" s="7" t="s">
        <v>30</v>
      </c>
      <c r="P24" s="7" t="s">
        <v>30</v>
      </c>
      <c r="Q24" s="7" t="s">
        <v>30</v>
      </c>
      <c r="R24" s="7" t="s">
        <v>30</v>
      </c>
      <c r="S24" s="7" t="s">
        <v>30</v>
      </c>
      <c r="T24" s="7" t="s">
        <v>30</v>
      </c>
      <c r="U24" s="7" t="s">
        <v>30</v>
      </c>
      <c r="V24" s="7" t="s">
        <v>30</v>
      </c>
      <c r="W24" s="7" t="s">
        <v>30</v>
      </c>
      <c r="AB24" s="201" t="s">
        <v>30</v>
      </c>
      <c r="AC24" s="201" t="s">
        <v>30</v>
      </c>
      <c r="AD24" s="7" t="s">
        <v>30</v>
      </c>
      <c r="AE24" s="7" t="s">
        <v>30</v>
      </c>
      <c r="AF24" s="201" t="s">
        <v>30</v>
      </c>
      <c r="AG24" s="201" t="s">
        <v>30</v>
      </c>
      <c r="AH24" s="201" t="s">
        <v>30</v>
      </c>
      <c r="AI24" s="7" t="s">
        <v>30</v>
      </c>
      <c r="AJ24" s="7" t="s">
        <v>30</v>
      </c>
      <c r="AK24" s="201">
        <v>20</v>
      </c>
      <c r="AL24" s="7">
        <v>25</v>
      </c>
      <c r="AM24" s="206">
        <f>SUM(AK24/AL24)*100</f>
        <v>80</v>
      </c>
      <c r="AN24" s="7" t="s">
        <v>30</v>
      </c>
      <c r="AO24" s="7" t="s">
        <v>30</v>
      </c>
      <c r="AP24" s="7" t="s">
        <v>30</v>
      </c>
      <c r="AQ24" s="73"/>
      <c r="AR24" s="73"/>
      <c r="AX24" s="4"/>
      <c r="AY24" s="4"/>
      <c r="AZ24" s="4"/>
      <c r="BA24" s="4"/>
    </row>
    <row r="25" spans="1:54" ht="14.95" customHeight="1" thickBot="1" x14ac:dyDescent="0.3">
      <c r="A25" s="45" t="s">
        <v>335</v>
      </c>
      <c r="B25" s="91">
        <v>1</v>
      </c>
      <c r="C25" s="43">
        <v>0</v>
      </c>
      <c r="D25" s="427">
        <v>0</v>
      </c>
      <c r="E25" s="5">
        <f t="shared" si="0"/>
        <v>1</v>
      </c>
      <c r="F25" s="197" t="s">
        <v>335</v>
      </c>
      <c r="G25" s="92">
        <v>5</v>
      </c>
      <c r="H25" s="194">
        <v>0</v>
      </c>
      <c r="I25" s="429">
        <v>0</v>
      </c>
      <c r="J25" s="74">
        <f t="shared" si="1"/>
        <v>5</v>
      </c>
      <c r="K25" s="149" t="s">
        <v>214</v>
      </c>
      <c r="L25" s="7" t="s">
        <v>30</v>
      </c>
      <c r="M25" s="7" t="s">
        <v>30</v>
      </c>
      <c r="N25" s="7" t="s">
        <v>30</v>
      </c>
      <c r="O25" s="7" t="s">
        <v>30</v>
      </c>
      <c r="P25" s="7" t="s">
        <v>30</v>
      </c>
      <c r="Q25" s="7" t="s">
        <v>30</v>
      </c>
      <c r="R25" s="7" t="s">
        <v>30</v>
      </c>
      <c r="S25" s="7" t="s">
        <v>30</v>
      </c>
      <c r="T25" s="7" t="s">
        <v>30</v>
      </c>
      <c r="U25" s="7" t="s">
        <v>30</v>
      </c>
      <c r="V25" s="7" t="s">
        <v>30</v>
      </c>
      <c r="W25" s="7" t="s">
        <v>30</v>
      </c>
      <c r="AB25" s="201" t="s">
        <v>30</v>
      </c>
      <c r="AC25" s="201" t="s">
        <v>30</v>
      </c>
      <c r="AD25" s="7" t="s">
        <v>30</v>
      </c>
      <c r="AE25" s="7" t="s">
        <v>30</v>
      </c>
      <c r="AF25" s="201" t="s">
        <v>30</v>
      </c>
      <c r="AG25" s="7" t="s">
        <v>30</v>
      </c>
      <c r="AH25" s="201" t="s">
        <v>30</v>
      </c>
      <c r="AI25" s="7" t="s">
        <v>30</v>
      </c>
      <c r="AJ25" s="7" t="s">
        <v>30</v>
      </c>
      <c r="AK25" s="6">
        <v>1</v>
      </c>
      <c r="AL25" s="7">
        <v>1</v>
      </c>
      <c r="AM25" s="206">
        <f>SUM(AK25/AL25)*100</f>
        <v>100</v>
      </c>
      <c r="AN25" s="7" t="s">
        <v>30</v>
      </c>
      <c r="AO25" s="7" t="s">
        <v>30</v>
      </c>
      <c r="AP25" s="7" t="s">
        <v>30</v>
      </c>
      <c r="AQ25" s="215"/>
      <c r="AR25" s="101"/>
      <c r="AS25" s="102"/>
      <c r="AT25" s="102"/>
      <c r="AU25" s="102"/>
      <c r="AV25" s="102"/>
      <c r="AX25" s="4"/>
      <c r="AY25" s="4"/>
    </row>
    <row r="26" spans="1:54" ht="14.95" customHeight="1" thickBot="1" x14ac:dyDescent="0.3">
      <c r="A26" s="45" t="s">
        <v>1216</v>
      </c>
      <c r="B26" s="91">
        <v>1</v>
      </c>
      <c r="C26" s="43">
        <v>1</v>
      </c>
      <c r="D26" s="427">
        <v>0</v>
      </c>
      <c r="E26" s="5">
        <f t="shared" si="0"/>
        <v>2</v>
      </c>
      <c r="F26" s="197" t="s">
        <v>1216</v>
      </c>
      <c r="G26" s="92">
        <v>5</v>
      </c>
      <c r="H26" s="194">
        <v>5</v>
      </c>
      <c r="I26" s="429">
        <v>0</v>
      </c>
      <c r="J26" s="74">
        <f t="shared" si="1"/>
        <v>10</v>
      </c>
      <c r="K26" s="15" t="s">
        <v>130</v>
      </c>
      <c r="L26" s="7" t="s">
        <v>30</v>
      </c>
      <c r="M26" s="7" t="s">
        <v>30</v>
      </c>
      <c r="N26" s="7" t="s">
        <v>30</v>
      </c>
      <c r="O26" s="7" t="s">
        <v>30</v>
      </c>
      <c r="P26" s="7" t="s">
        <v>30</v>
      </c>
      <c r="Q26" s="7" t="s">
        <v>30</v>
      </c>
      <c r="R26" s="7" t="s">
        <v>30</v>
      </c>
      <c r="S26" s="7" t="s">
        <v>30</v>
      </c>
      <c r="T26" s="7" t="s">
        <v>30</v>
      </c>
      <c r="U26" s="7" t="s">
        <v>30</v>
      </c>
      <c r="V26" s="7" t="s">
        <v>30</v>
      </c>
      <c r="W26" s="7" t="s">
        <v>30</v>
      </c>
      <c r="AB26" s="201" t="s">
        <v>30</v>
      </c>
      <c r="AC26" s="201" t="s">
        <v>30</v>
      </c>
      <c r="AD26" s="7" t="s">
        <v>30</v>
      </c>
      <c r="AE26" s="7" t="s">
        <v>30</v>
      </c>
      <c r="AF26" s="201" t="s">
        <v>30</v>
      </c>
      <c r="AG26" s="201" t="s">
        <v>30</v>
      </c>
      <c r="AH26" s="201" t="s">
        <v>30</v>
      </c>
      <c r="AI26" s="7" t="s">
        <v>30</v>
      </c>
      <c r="AJ26" s="7" t="s">
        <v>30</v>
      </c>
      <c r="AK26" s="6" t="s">
        <v>30</v>
      </c>
      <c r="AL26" s="7" t="s">
        <v>30</v>
      </c>
      <c r="AM26" s="7" t="s">
        <v>30</v>
      </c>
      <c r="AN26" s="201" t="s">
        <v>30</v>
      </c>
      <c r="AO26" s="7" t="s">
        <v>30</v>
      </c>
      <c r="AP26" s="7" t="s">
        <v>30</v>
      </c>
      <c r="AQ26" s="73"/>
      <c r="AR26" s="73"/>
    </row>
    <row r="27" spans="1:54" ht="14.95" customHeight="1" thickBot="1" x14ac:dyDescent="0.3">
      <c r="A27" s="45" t="s">
        <v>89</v>
      </c>
      <c r="B27" s="91">
        <v>0</v>
      </c>
      <c r="C27" s="43">
        <v>0</v>
      </c>
      <c r="D27" s="427">
        <v>0</v>
      </c>
      <c r="E27" s="5">
        <f t="shared" si="0"/>
        <v>0</v>
      </c>
      <c r="F27" s="197" t="s">
        <v>89</v>
      </c>
      <c r="G27" s="92">
        <v>0</v>
      </c>
      <c r="H27" s="194">
        <v>0</v>
      </c>
      <c r="I27" s="429">
        <v>0</v>
      </c>
      <c r="J27" s="74">
        <f t="shared" si="1"/>
        <v>0</v>
      </c>
      <c r="K27" s="305" t="s">
        <v>414</v>
      </c>
      <c r="L27" s="7" t="s">
        <v>30</v>
      </c>
      <c r="M27" s="7" t="s">
        <v>30</v>
      </c>
      <c r="N27" s="7" t="s">
        <v>30</v>
      </c>
      <c r="O27" s="7" t="s">
        <v>30</v>
      </c>
      <c r="P27" s="7" t="s">
        <v>30</v>
      </c>
      <c r="Q27" s="7" t="s">
        <v>30</v>
      </c>
      <c r="R27" s="7" t="s">
        <v>30</v>
      </c>
      <c r="S27" s="7" t="s">
        <v>30</v>
      </c>
      <c r="T27" s="7" t="s">
        <v>30</v>
      </c>
      <c r="U27" s="7" t="s">
        <v>30</v>
      </c>
      <c r="V27" s="7" t="s">
        <v>30</v>
      </c>
      <c r="W27" s="7" t="s">
        <v>30</v>
      </c>
      <c r="AB27" s="201" t="s">
        <v>30</v>
      </c>
      <c r="AC27" s="201" t="s">
        <v>30</v>
      </c>
      <c r="AD27" s="7" t="s">
        <v>30</v>
      </c>
      <c r="AE27" s="7" t="s">
        <v>30</v>
      </c>
      <c r="AF27" s="7" t="s">
        <v>30</v>
      </c>
      <c r="AG27" s="7" t="s">
        <v>30</v>
      </c>
      <c r="AH27" s="201" t="s">
        <v>30</v>
      </c>
      <c r="AI27" s="7" t="s">
        <v>30</v>
      </c>
      <c r="AJ27" s="7" t="s">
        <v>30</v>
      </c>
      <c r="AK27" s="6" t="s">
        <v>30</v>
      </c>
      <c r="AL27" s="7" t="s">
        <v>30</v>
      </c>
      <c r="AM27" s="7" t="s">
        <v>30</v>
      </c>
      <c r="AN27" s="7" t="s">
        <v>30</v>
      </c>
      <c r="AO27" s="7" t="s">
        <v>30</v>
      </c>
      <c r="AP27" s="7" t="s">
        <v>30</v>
      </c>
      <c r="AQ27" s="73"/>
      <c r="AR27" s="73"/>
    </row>
    <row r="28" spans="1:54" ht="14.95" customHeight="1" thickBot="1" x14ac:dyDescent="0.3">
      <c r="A28" s="45" t="s">
        <v>930</v>
      </c>
      <c r="B28" s="91">
        <v>0</v>
      </c>
      <c r="C28" s="43">
        <v>0</v>
      </c>
      <c r="D28" s="427">
        <v>0</v>
      </c>
      <c r="E28" s="5">
        <f t="shared" si="0"/>
        <v>0</v>
      </c>
      <c r="F28" s="197" t="s">
        <v>930</v>
      </c>
      <c r="G28" s="92">
        <v>0</v>
      </c>
      <c r="H28" s="194">
        <v>0</v>
      </c>
      <c r="I28" s="429">
        <v>0</v>
      </c>
      <c r="J28" s="74">
        <f t="shared" si="1"/>
        <v>0</v>
      </c>
      <c r="K28" s="67"/>
      <c r="L28" s="68"/>
      <c r="M28" s="68"/>
      <c r="N28" s="69"/>
      <c r="O28" s="216"/>
      <c r="P28" s="216"/>
      <c r="Q28" s="216"/>
      <c r="R28" s="73"/>
      <c r="S28" s="73"/>
      <c r="T28" s="73"/>
      <c r="U28" s="73"/>
      <c r="V28" s="73"/>
      <c r="W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O28" s="4"/>
      <c r="AP28" s="4"/>
      <c r="AQ28" s="4"/>
      <c r="AT28" s="4"/>
    </row>
    <row r="29" spans="1:54" ht="14.95" customHeight="1" thickBot="1" x14ac:dyDescent="0.3">
      <c r="A29" s="45" t="s">
        <v>1167</v>
      </c>
      <c r="B29" s="91">
        <v>1</v>
      </c>
      <c r="C29" s="43">
        <v>0</v>
      </c>
      <c r="D29" s="427">
        <v>3</v>
      </c>
      <c r="E29" s="5">
        <f t="shared" si="0"/>
        <v>4</v>
      </c>
      <c r="F29" s="197" t="s">
        <v>1167</v>
      </c>
      <c r="G29" s="92">
        <v>5</v>
      </c>
      <c r="H29" s="194">
        <v>0</v>
      </c>
      <c r="I29" s="429">
        <v>15</v>
      </c>
      <c r="J29" s="74">
        <f t="shared" si="1"/>
        <v>20</v>
      </c>
      <c r="K29" s="536" t="s">
        <v>179</v>
      </c>
      <c r="L29" s="555" t="s">
        <v>29</v>
      </c>
      <c r="M29" s="556"/>
      <c r="N29" s="557"/>
      <c r="O29" s="520" t="s">
        <v>634</v>
      </c>
      <c r="P29" s="521"/>
      <c r="Q29" s="522"/>
      <c r="R29" s="520" t="s">
        <v>863</v>
      </c>
      <c r="S29" s="521"/>
      <c r="T29" s="522"/>
      <c r="U29" s="520" t="s">
        <v>622</v>
      </c>
      <c r="V29" s="521"/>
      <c r="W29" s="522"/>
      <c r="AB29" s="520" t="s">
        <v>448</v>
      </c>
      <c r="AC29" s="521"/>
      <c r="AD29" s="522"/>
      <c r="AE29" s="520" t="s">
        <v>178</v>
      </c>
      <c r="AF29" s="521"/>
      <c r="AG29" s="522"/>
      <c r="AH29" s="520" t="s">
        <v>113</v>
      </c>
      <c r="AI29" s="521"/>
      <c r="AJ29" s="522"/>
      <c r="AK29" s="520" t="s">
        <v>85</v>
      </c>
      <c r="AL29" s="521"/>
      <c r="AM29" s="522"/>
      <c r="AN29" s="73"/>
      <c r="AO29" s="73"/>
      <c r="AP29" s="73"/>
      <c r="AQ29" s="73"/>
      <c r="AR29" s="73"/>
    </row>
    <row r="30" spans="1:54" ht="14.95" customHeight="1" thickBot="1" x14ac:dyDescent="0.3">
      <c r="A30" s="45" t="s">
        <v>68</v>
      </c>
      <c r="B30" s="91">
        <v>2</v>
      </c>
      <c r="C30" s="43">
        <v>1</v>
      </c>
      <c r="D30" s="427">
        <v>0</v>
      </c>
      <c r="E30" s="5">
        <f t="shared" si="0"/>
        <v>3</v>
      </c>
      <c r="F30" s="197" t="s">
        <v>68</v>
      </c>
      <c r="G30" s="92">
        <v>10</v>
      </c>
      <c r="H30" s="194">
        <v>5</v>
      </c>
      <c r="I30" s="429">
        <v>0</v>
      </c>
      <c r="J30" s="74">
        <f t="shared" si="1"/>
        <v>15</v>
      </c>
      <c r="K30" s="537"/>
      <c r="L30" s="558"/>
      <c r="M30" s="559"/>
      <c r="N30" s="560"/>
      <c r="O30" s="523"/>
      <c r="P30" s="524"/>
      <c r="Q30" s="525"/>
      <c r="R30" s="523"/>
      <c r="S30" s="524"/>
      <c r="T30" s="525"/>
      <c r="U30" s="523"/>
      <c r="V30" s="524"/>
      <c r="W30" s="525"/>
      <c r="AB30" s="523"/>
      <c r="AC30" s="524"/>
      <c r="AD30" s="525"/>
      <c r="AE30" s="523"/>
      <c r="AF30" s="524"/>
      <c r="AG30" s="525"/>
      <c r="AH30" s="523"/>
      <c r="AI30" s="524"/>
      <c r="AJ30" s="525"/>
      <c r="AK30" s="523"/>
      <c r="AL30" s="524"/>
      <c r="AM30" s="525"/>
      <c r="AN30" s="73"/>
      <c r="AO30" s="73"/>
      <c r="AP30" s="73"/>
      <c r="AQ30" s="73"/>
      <c r="AR30" s="73"/>
    </row>
    <row r="31" spans="1:54" ht="14.95" customHeight="1" thickBot="1" x14ac:dyDescent="0.3">
      <c r="A31" s="45" t="s">
        <v>928</v>
      </c>
      <c r="B31" s="91">
        <v>0</v>
      </c>
      <c r="C31" s="43">
        <v>1</v>
      </c>
      <c r="D31" s="427">
        <v>0</v>
      </c>
      <c r="E31" s="5">
        <f t="shared" si="0"/>
        <v>1</v>
      </c>
      <c r="F31" s="197" t="s">
        <v>928</v>
      </c>
      <c r="G31" s="92">
        <v>0</v>
      </c>
      <c r="H31" s="194">
        <v>5</v>
      </c>
      <c r="I31" s="429">
        <v>0</v>
      </c>
      <c r="J31" s="74">
        <f t="shared" si="1"/>
        <v>5</v>
      </c>
      <c r="K31" s="430" t="s">
        <v>44</v>
      </c>
      <c r="L31" s="229" t="s">
        <v>107</v>
      </c>
      <c r="M31" s="229" t="s">
        <v>23</v>
      </c>
      <c r="N31" s="229" t="s">
        <v>24</v>
      </c>
      <c r="O31" s="7" t="s">
        <v>107</v>
      </c>
      <c r="P31" s="7" t="s">
        <v>23</v>
      </c>
      <c r="Q31" s="7" t="s">
        <v>24</v>
      </c>
      <c r="R31" s="7" t="s">
        <v>107</v>
      </c>
      <c r="S31" s="7" t="s">
        <v>23</v>
      </c>
      <c r="T31" s="7" t="s">
        <v>24</v>
      </c>
      <c r="U31" s="201" t="s">
        <v>107</v>
      </c>
      <c r="V31" s="7" t="s">
        <v>23</v>
      </c>
      <c r="W31" s="7" t="s">
        <v>24</v>
      </c>
      <c r="AB31" s="201" t="s">
        <v>107</v>
      </c>
      <c r="AC31" s="7" t="s">
        <v>23</v>
      </c>
      <c r="AD31" s="7" t="s">
        <v>24</v>
      </c>
      <c r="AE31" s="201" t="s">
        <v>107</v>
      </c>
      <c r="AF31" s="7" t="s">
        <v>23</v>
      </c>
      <c r="AG31" s="7" t="s">
        <v>24</v>
      </c>
      <c r="AH31" s="201" t="s">
        <v>107</v>
      </c>
      <c r="AI31" s="7" t="s">
        <v>23</v>
      </c>
      <c r="AJ31" s="7" t="s">
        <v>24</v>
      </c>
      <c r="AK31" s="6" t="s">
        <v>107</v>
      </c>
      <c r="AL31" s="7" t="s">
        <v>23</v>
      </c>
      <c r="AM31" s="7" t="s">
        <v>24</v>
      </c>
      <c r="AN31" s="73"/>
      <c r="AO31" s="73"/>
      <c r="AP31" s="73"/>
      <c r="AQ31" s="73"/>
      <c r="AR31" s="73"/>
    </row>
    <row r="32" spans="1:54" ht="14.95" customHeight="1" thickBot="1" x14ac:dyDescent="0.3">
      <c r="A32" s="45" t="s">
        <v>141</v>
      </c>
      <c r="B32" s="91">
        <v>5</v>
      </c>
      <c r="C32" s="43">
        <v>3</v>
      </c>
      <c r="D32" s="427">
        <v>0</v>
      </c>
      <c r="E32" s="5">
        <f t="shared" si="0"/>
        <v>8</v>
      </c>
      <c r="F32" s="197" t="s">
        <v>141</v>
      </c>
      <c r="G32" s="92">
        <v>25</v>
      </c>
      <c r="H32" s="194">
        <v>15</v>
      </c>
      <c r="I32" s="429">
        <v>0</v>
      </c>
      <c r="J32" s="74">
        <f t="shared" si="1"/>
        <v>40</v>
      </c>
      <c r="K32" s="15" t="s">
        <v>602</v>
      </c>
      <c r="L32" s="43">
        <v>6</v>
      </c>
      <c r="M32" s="43">
        <v>7</v>
      </c>
      <c r="N32" s="44">
        <f t="shared" ref="N32" si="20">SUM(L32/M32)*100</f>
        <v>85.714285714285708</v>
      </c>
      <c r="O32" s="7" t="s">
        <v>30</v>
      </c>
      <c r="P32" s="7" t="s">
        <v>30</v>
      </c>
      <c r="Q32" s="7" t="s">
        <v>30</v>
      </c>
      <c r="R32" s="7" t="s">
        <v>30</v>
      </c>
      <c r="S32" s="7" t="s">
        <v>30</v>
      </c>
      <c r="T32" s="7" t="s">
        <v>30</v>
      </c>
      <c r="U32" s="7" t="s">
        <v>30</v>
      </c>
      <c r="V32" s="7" t="s">
        <v>30</v>
      </c>
      <c r="W32" s="7" t="s">
        <v>30</v>
      </c>
      <c r="AB32" s="7" t="s">
        <v>30</v>
      </c>
      <c r="AC32" s="7" t="s">
        <v>30</v>
      </c>
      <c r="AD32" s="7" t="s">
        <v>30</v>
      </c>
      <c r="AE32" s="7" t="s">
        <v>30</v>
      </c>
      <c r="AF32" s="7" t="s">
        <v>30</v>
      </c>
      <c r="AG32" s="7" t="s">
        <v>30</v>
      </c>
      <c r="AH32" s="6" t="s">
        <v>30</v>
      </c>
      <c r="AI32" s="6" t="s">
        <v>30</v>
      </c>
      <c r="AJ32" s="6" t="s">
        <v>30</v>
      </c>
      <c r="AK32" s="6" t="s">
        <v>30</v>
      </c>
      <c r="AL32" s="6" t="s">
        <v>30</v>
      </c>
      <c r="AM32" s="6" t="s">
        <v>30</v>
      </c>
      <c r="AN32" s="73"/>
      <c r="AO32" s="73"/>
      <c r="AP32" s="73"/>
      <c r="AQ32" s="73"/>
      <c r="AR32" s="73"/>
    </row>
    <row r="33" spans="1:44" ht="14.95" customHeight="1" thickBot="1" x14ac:dyDescent="0.3">
      <c r="A33" s="45" t="s">
        <v>1143</v>
      </c>
      <c r="B33" s="91">
        <v>1</v>
      </c>
      <c r="C33" s="43">
        <v>0</v>
      </c>
      <c r="D33" s="427">
        <v>0</v>
      </c>
      <c r="E33" s="5">
        <f t="shared" si="0"/>
        <v>1</v>
      </c>
      <c r="F33" s="197" t="s">
        <v>1143</v>
      </c>
      <c r="G33" s="92">
        <v>5</v>
      </c>
      <c r="H33" s="194">
        <v>0</v>
      </c>
      <c r="I33" s="429">
        <v>0</v>
      </c>
      <c r="J33" s="74">
        <f t="shared" si="1"/>
        <v>5</v>
      </c>
      <c r="K33" s="15" t="s">
        <v>130</v>
      </c>
      <c r="L33" s="43" t="s">
        <v>30</v>
      </c>
      <c r="M33" s="43" t="s">
        <v>30</v>
      </c>
      <c r="N33" s="44" t="s">
        <v>30</v>
      </c>
      <c r="O33" s="7" t="s">
        <v>30</v>
      </c>
      <c r="P33" s="7" t="s">
        <v>30</v>
      </c>
      <c r="Q33" s="7" t="s">
        <v>30</v>
      </c>
      <c r="R33" s="7">
        <v>11</v>
      </c>
      <c r="S33" s="7">
        <v>11</v>
      </c>
      <c r="T33" s="7">
        <f>(R33/S33)*100</f>
        <v>100</v>
      </c>
      <c r="U33" s="201">
        <v>5</v>
      </c>
      <c r="V33" s="7">
        <v>9</v>
      </c>
      <c r="W33" s="206">
        <f>SUM(U33/V33)*100</f>
        <v>55.555555555555557</v>
      </c>
      <c r="AB33" s="201">
        <v>22</v>
      </c>
      <c r="AC33" s="7">
        <v>30</v>
      </c>
      <c r="AD33" s="206">
        <f t="shared" ref="AD33" si="21">SUM(AB33/AC33)*100</f>
        <v>73.333333333333329</v>
      </c>
      <c r="AE33" s="6">
        <v>21</v>
      </c>
      <c r="AF33" s="6">
        <v>32</v>
      </c>
      <c r="AG33" s="206">
        <f>SUM(AE33/AF33)*100</f>
        <v>65.625</v>
      </c>
      <c r="AH33" s="6" t="s">
        <v>30</v>
      </c>
      <c r="AI33" s="6" t="s">
        <v>30</v>
      </c>
      <c r="AJ33" s="6" t="s">
        <v>30</v>
      </c>
      <c r="AK33" s="6" t="s">
        <v>30</v>
      </c>
      <c r="AL33" s="6" t="s">
        <v>30</v>
      </c>
      <c r="AM33" s="6" t="s">
        <v>30</v>
      </c>
      <c r="AN33" s="73"/>
      <c r="AO33" s="73"/>
      <c r="AP33" s="73"/>
      <c r="AQ33" s="73"/>
      <c r="AR33" s="73"/>
    </row>
    <row r="34" spans="1:44" ht="14.95" customHeight="1" thickBot="1" x14ac:dyDescent="0.3">
      <c r="A34" s="45" t="s">
        <v>6</v>
      </c>
      <c r="B34" s="91">
        <v>1</v>
      </c>
      <c r="C34" s="43">
        <v>0</v>
      </c>
      <c r="D34" s="427">
        <v>0</v>
      </c>
      <c r="E34" s="5">
        <f t="shared" si="0"/>
        <v>1</v>
      </c>
      <c r="F34" s="197" t="s">
        <v>6</v>
      </c>
      <c r="G34" s="92">
        <v>7</v>
      </c>
      <c r="H34" s="194">
        <v>0</v>
      </c>
      <c r="I34" s="429">
        <v>0</v>
      </c>
      <c r="J34" s="74">
        <f t="shared" si="1"/>
        <v>7</v>
      </c>
      <c r="K34" s="15" t="s">
        <v>414</v>
      </c>
      <c r="L34" s="43" t="s">
        <v>30</v>
      </c>
      <c r="M34" s="43" t="s">
        <v>30</v>
      </c>
      <c r="N34" s="44" t="s">
        <v>30</v>
      </c>
      <c r="O34" s="7" t="s">
        <v>30</v>
      </c>
      <c r="P34" s="7" t="s">
        <v>30</v>
      </c>
      <c r="Q34" s="7" t="s">
        <v>30</v>
      </c>
      <c r="R34" s="7">
        <v>1</v>
      </c>
      <c r="S34" s="7">
        <v>2</v>
      </c>
      <c r="T34" s="7">
        <f>(R34/S34)*100</f>
        <v>50</v>
      </c>
      <c r="U34" s="201">
        <v>4</v>
      </c>
      <c r="V34" s="7">
        <v>6</v>
      </c>
      <c r="W34" s="206">
        <f>SUM(U34/V34)*100</f>
        <v>66.666666666666657</v>
      </c>
      <c r="AB34" s="201" t="s">
        <v>30</v>
      </c>
      <c r="AC34" s="7" t="s">
        <v>30</v>
      </c>
      <c r="AD34" s="7" t="s">
        <v>30</v>
      </c>
      <c r="AE34" s="201" t="s">
        <v>30</v>
      </c>
      <c r="AF34" s="7" t="s">
        <v>30</v>
      </c>
      <c r="AG34" s="7" t="s">
        <v>30</v>
      </c>
      <c r="AH34" s="201" t="s">
        <v>30</v>
      </c>
      <c r="AI34" s="7" t="s">
        <v>30</v>
      </c>
      <c r="AJ34" s="7" t="s">
        <v>30</v>
      </c>
      <c r="AK34" s="6" t="s">
        <v>30</v>
      </c>
      <c r="AL34" s="7" t="s">
        <v>30</v>
      </c>
      <c r="AM34" s="7" t="s">
        <v>30</v>
      </c>
      <c r="AN34" s="73"/>
      <c r="AO34" s="73"/>
      <c r="AP34" s="73"/>
      <c r="AQ34" s="73"/>
      <c r="AR34" s="73"/>
    </row>
    <row r="35" spans="1:44" ht="14.95" customHeight="1" thickBot="1" x14ac:dyDescent="0.3">
      <c r="A35" s="45" t="s">
        <v>1091</v>
      </c>
      <c r="B35" s="91">
        <v>0</v>
      </c>
      <c r="C35" s="43">
        <v>0</v>
      </c>
      <c r="D35" s="427">
        <v>1</v>
      </c>
      <c r="E35" s="5">
        <f t="shared" si="0"/>
        <v>1</v>
      </c>
      <c r="F35" s="197" t="s">
        <v>1091</v>
      </c>
      <c r="G35" s="92">
        <v>0</v>
      </c>
      <c r="H35" s="194">
        <v>0</v>
      </c>
      <c r="I35" s="429">
        <v>5</v>
      </c>
      <c r="J35" s="74">
        <f t="shared" si="1"/>
        <v>5</v>
      </c>
      <c r="K35" s="15" t="s">
        <v>32</v>
      </c>
      <c r="L35" s="43" t="s">
        <v>30</v>
      </c>
      <c r="M35" s="43" t="s">
        <v>30</v>
      </c>
      <c r="N35" s="44" t="s">
        <v>30</v>
      </c>
      <c r="O35" s="7" t="s">
        <v>30</v>
      </c>
      <c r="P35" s="7" t="s">
        <v>30</v>
      </c>
      <c r="Q35" s="7" t="s">
        <v>30</v>
      </c>
      <c r="R35" s="7" t="s">
        <v>30</v>
      </c>
      <c r="S35" s="7" t="s">
        <v>30</v>
      </c>
      <c r="T35" s="7" t="s">
        <v>30</v>
      </c>
      <c r="U35" s="201" t="s">
        <v>30</v>
      </c>
      <c r="V35" s="7" t="s">
        <v>30</v>
      </c>
      <c r="W35" s="7" t="s">
        <v>30</v>
      </c>
      <c r="AB35" s="201" t="s">
        <v>30</v>
      </c>
      <c r="AC35" s="7" t="s">
        <v>30</v>
      </c>
      <c r="AD35" s="7" t="s">
        <v>30</v>
      </c>
      <c r="AE35" s="201" t="s">
        <v>30</v>
      </c>
      <c r="AF35" s="7" t="s">
        <v>30</v>
      </c>
      <c r="AG35" s="7" t="s">
        <v>30</v>
      </c>
      <c r="AH35" s="201" t="s">
        <v>30</v>
      </c>
      <c r="AI35" s="7" t="s">
        <v>30</v>
      </c>
      <c r="AJ35" s="7" t="s">
        <v>30</v>
      </c>
      <c r="AK35" s="6">
        <v>6</v>
      </c>
      <c r="AL35" s="7">
        <v>14</v>
      </c>
      <c r="AM35" s="206">
        <f>SUM(AK35/AL35)*100</f>
        <v>42.857142857142854</v>
      </c>
      <c r="AN35" s="73"/>
      <c r="AO35" s="73"/>
      <c r="AP35" s="73"/>
      <c r="AQ35" s="4"/>
      <c r="AR35" s="4"/>
    </row>
    <row r="36" spans="1:44" ht="14.95" customHeight="1" thickBot="1" x14ac:dyDescent="0.3">
      <c r="A36" s="45" t="s">
        <v>1134</v>
      </c>
      <c r="B36" s="91">
        <v>5</v>
      </c>
      <c r="C36" s="43">
        <v>0</v>
      </c>
      <c r="D36" s="427">
        <v>0</v>
      </c>
      <c r="E36" s="5">
        <f t="shared" si="0"/>
        <v>5</v>
      </c>
      <c r="F36" s="197" t="s">
        <v>1134</v>
      </c>
      <c r="G36" s="92">
        <v>25</v>
      </c>
      <c r="H36" s="194">
        <v>0</v>
      </c>
      <c r="I36" s="429">
        <v>0</v>
      </c>
      <c r="J36" s="74">
        <f t="shared" si="1"/>
        <v>25</v>
      </c>
      <c r="K36" s="15" t="s">
        <v>647</v>
      </c>
      <c r="L36" s="43">
        <v>4</v>
      </c>
      <c r="M36" s="43">
        <v>6</v>
      </c>
      <c r="N36" s="44">
        <f t="shared" ref="N36" si="22">SUM(L36/M36)*100</f>
        <v>66.666666666666657</v>
      </c>
      <c r="O36" s="7" t="s">
        <v>30</v>
      </c>
      <c r="P36" s="7" t="s">
        <v>30</v>
      </c>
      <c r="Q36" s="7" t="s">
        <v>30</v>
      </c>
      <c r="R36" s="7" t="s">
        <v>30</v>
      </c>
      <c r="S36" s="7" t="s">
        <v>30</v>
      </c>
      <c r="T36" s="7" t="s">
        <v>30</v>
      </c>
      <c r="U36" s="201" t="s">
        <v>30</v>
      </c>
      <c r="V36" s="7" t="s">
        <v>30</v>
      </c>
      <c r="W36" s="7" t="s">
        <v>30</v>
      </c>
      <c r="AB36" s="201" t="s">
        <v>30</v>
      </c>
      <c r="AC36" s="7" t="s">
        <v>30</v>
      </c>
      <c r="AD36" s="7" t="s">
        <v>30</v>
      </c>
      <c r="AE36" s="201" t="s">
        <v>30</v>
      </c>
      <c r="AF36" s="7" t="s">
        <v>30</v>
      </c>
      <c r="AG36" s="7" t="s">
        <v>30</v>
      </c>
      <c r="AH36" s="201" t="s">
        <v>30</v>
      </c>
      <c r="AI36" s="7" t="s">
        <v>30</v>
      </c>
      <c r="AJ36" s="7" t="s">
        <v>30</v>
      </c>
      <c r="AK36" s="201" t="s">
        <v>30</v>
      </c>
      <c r="AL36" s="7" t="s">
        <v>30</v>
      </c>
      <c r="AM36" s="7" t="s">
        <v>30</v>
      </c>
      <c r="AN36" s="73"/>
      <c r="AO36" s="73"/>
      <c r="AP36" s="73"/>
      <c r="AQ36" s="4"/>
      <c r="AR36" s="4"/>
    </row>
    <row r="37" spans="1:44" ht="14.95" customHeight="1" thickBot="1" x14ac:dyDescent="0.3">
      <c r="A37" s="45" t="s">
        <v>130</v>
      </c>
      <c r="B37" s="91">
        <v>3</v>
      </c>
      <c r="C37" s="43">
        <v>0</v>
      </c>
      <c r="D37" s="427">
        <v>0</v>
      </c>
      <c r="E37" s="5">
        <f t="shared" si="0"/>
        <v>3</v>
      </c>
      <c r="F37" s="197" t="s">
        <v>130</v>
      </c>
      <c r="G37" s="92">
        <v>131</v>
      </c>
      <c r="H37" s="194">
        <v>28</v>
      </c>
      <c r="I37" s="429">
        <v>0</v>
      </c>
      <c r="J37" s="74">
        <f t="shared" si="1"/>
        <v>159</v>
      </c>
      <c r="K37" s="562" t="s">
        <v>986</v>
      </c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  <c r="W37" s="563"/>
      <c r="X37" s="519"/>
      <c r="Y37" s="519"/>
      <c r="AN37" s="4"/>
      <c r="AO37" s="4"/>
      <c r="AP37" s="4"/>
      <c r="AQ37" s="4"/>
      <c r="AR37" s="4"/>
    </row>
    <row r="38" spans="1:44" ht="14.95" customHeight="1" thickBot="1" x14ac:dyDescent="0.3">
      <c r="A38" s="45" t="s">
        <v>131</v>
      </c>
      <c r="B38" s="91">
        <v>4</v>
      </c>
      <c r="C38" s="43">
        <v>7</v>
      </c>
      <c r="D38" s="427">
        <v>0</v>
      </c>
      <c r="E38" s="5">
        <f t="shared" si="0"/>
        <v>11</v>
      </c>
      <c r="F38" s="197" t="s">
        <v>131</v>
      </c>
      <c r="G38" s="92">
        <v>20</v>
      </c>
      <c r="H38" s="194">
        <v>35</v>
      </c>
      <c r="I38" s="429">
        <v>0</v>
      </c>
      <c r="J38" s="74">
        <f t="shared" si="1"/>
        <v>55</v>
      </c>
      <c r="K38" s="518"/>
      <c r="L38" s="519"/>
      <c r="M38" s="519"/>
      <c r="N38" s="519"/>
      <c r="O38" s="519"/>
      <c r="P38" s="519"/>
      <c r="Q38" s="519"/>
      <c r="R38" s="519"/>
      <c r="S38" s="519"/>
      <c r="T38" s="519"/>
      <c r="U38" s="519"/>
      <c r="V38" s="519"/>
      <c r="W38" s="519"/>
      <c r="X38" s="519"/>
      <c r="Y38" s="519"/>
      <c r="Z38" s="519"/>
      <c r="AN38" s="4"/>
      <c r="AO38" s="4"/>
      <c r="AP38" s="4"/>
    </row>
    <row r="39" spans="1:44" ht="14.95" customHeight="1" thickBot="1" x14ac:dyDescent="0.3">
      <c r="A39" s="45" t="s">
        <v>414</v>
      </c>
      <c r="B39" s="91">
        <v>0</v>
      </c>
      <c r="C39" s="43">
        <v>0</v>
      </c>
      <c r="D39" s="427">
        <v>0</v>
      </c>
      <c r="E39" s="5">
        <f t="shared" si="0"/>
        <v>0</v>
      </c>
      <c r="F39" s="197" t="s">
        <v>414</v>
      </c>
      <c r="G39" s="92">
        <v>8</v>
      </c>
      <c r="H39" s="194">
        <v>0</v>
      </c>
      <c r="I39" s="429">
        <v>0</v>
      </c>
      <c r="J39" s="74">
        <f t="shared" si="1"/>
        <v>8</v>
      </c>
      <c r="K39" s="518"/>
      <c r="L39" s="519"/>
      <c r="M39" s="519"/>
      <c r="N39" s="519"/>
      <c r="O39" s="519"/>
      <c r="P39" s="519"/>
      <c r="Q39" s="519"/>
      <c r="R39" s="519"/>
      <c r="S39" s="519"/>
      <c r="T39" s="519"/>
      <c r="U39" s="519"/>
      <c r="V39" s="519"/>
      <c r="W39" s="519"/>
      <c r="X39" s="519"/>
      <c r="Y39" s="519"/>
      <c r="AN39" s="4"/>
      <c r="AO39" s="4"/>
      <c r="AP39" s="4"/>
    </row>
    <row r="40" spans="1:44" ht="14.95" customHeight="1" thickBot="1" x14ac:dyDescent="0.3">
      <c r="A40" s="45" t="s">
        <v>368</v>
      </c>
      <c r="B40" s="91">
        <v>1</v>
      </c>
      <c r="C40" s="43">
        <v>0</v>
      </c>
      <c r="D40" s="427">
        <v>0</v>
      </c>
      <c r="E40" s="5">
        <f t="shared" si="0"/>
        <v>1</v>
      </c>
      <c r="F40" s="197" t="s">
        <v>368</v>
      </c>
      <c r="G40" s="92">
        <v>5</v>
      </c>
      <c r="H40" s="194">
        <v>0</v>
      </c>
      <c r="I40" s="429">
        <v>0</v>
      </c>
      <c r="J40" s="74">
        <f t="shared" si="1"/>
        <v>5</v>
      </c>
      <c r="Z40">
        <f>Grayexeeurtries</f>
        <v>3</v>
      </c>
      <c r="AB40" t="s">
        <v>44</v>
      </c>
    </row>
    <row r="41" spans="1:44" ht="14.95" customHeight="1" thickBot="1" x14ac:dyDescent="0.3">
      <c r="A41" s="45" t="s">
        <v>32</v>
      </c>
      <c r="B41" s="91">
        <v>4</v>
      </c>
      <c r="C41" s="43">
        <v>0</v>
      </c>
      <c r="D41" s="427">
        <v>0</v>
      </c>
      <c r="E41" s="5">
        <f t="shared" si="0"/>
        <v>4</v>
      </c>
      <c r="F41" s="197" t="s">
        <v>32</v>
      </c>
      <c r="G41" s="92">
        <v>62</v>
      </c>
      <c r="H41" s="194">
        <v>4</v>
      </c>
      <c r="I41" s="429">
        <v>0</v>
      </c>
      <c r="J41" s="74">
        <f t="shared" si="1"/>
        <v>66</v>
      </c>
    </row>
    <row r="42" spans="1:44" ht="14.95" customHeight="1" thickBot="1" x14ac:dyDescent="0.3">
      <c r="A42" s="45" t="s">
        <v>611</v>
      </c>
      <c r="B42" s="91">
        <v>0</v>
      </c>
      <c r="C42" s="43">
        <v>0</v>
      </c>
      <c r="D42" s="427">
        <v>1</v>
      </c>
      <c r="E42" s="5">
        <f t="shared" si="0"/>
        <v>1</v>
      </c>
      <c r="F42" s="197" t="s">
        <v>611</v>
      </c>
      <c r="G42" s="92">
        <v>0</v>
      </c>
      <c r="H42" s="194">
        <v>0</v>
      </c>
      <c r="I42" s="429">
        <v>5</v>
      </c>
      <c r="J42" s="74">
        <f t="shared" si="1"/>
        <v>5</v>
      </c>
      <c r="AQ42" s="4"/>
      <c r="AR42" s="4"/>
    </row>
    <row r="43" spans="1:44" ht="14.95" customHeight="1" thickBot="1" x14ac:dyDescent="0.3">
      <c r="A43" s="45" t="s">
        <v>498</v>
      </c>
      <c r="B43" s="91">
        <v>1</v>
      </c>
      <c r="C43" s="43">
        <v>0</v>
      </c>
      <c r="D43" s="427">
        <v>0</v>
      </c>
      <c r="E43" s="5">
        <f t="shared" si="0"/>
        <v>1</v>
      </c>
      <c r="F43" s="197" t="s">
        <v>498</v>
      </c>
      <c r="G43" s="92">
        <v>5</v>
      </c>
      <c r="H43" s="194">
        <v>0</v>
      </c>
      <c r="I43" s="429">
        <v>0</v>
      </c>
      <c r="J43" s="74">
        <f t="shared" si="1"/>
        <v>5</v>
      </c>
    </row>
    <row r="44" spans="1:44" ht="14.95" customHeight="1" thickBot="1" x14ac:dyDescent="0.3">
      <c r="A44" s="45" t="s">
        <v>69</v>
      </c>
      <c r="B44" s="91">
        <v>1</v>
      </c>
      <c r="C44" s="43">
        <v>0</v>
      </c>
      <c r="D44" s="427">
        <v>0</v>
      </c>
      <c r="E44" s="5">
        <f t="shared" si="0"/>
        <v>1</v>
      </c>
      <c r="F44" s="197" t="s">
        <v>69</v>
      </c>
      <c r="G44" s="92">
        <v>5</v>
      </c>
      <c r="H44" s="194">
        <v>0</v>
      </c>
      <c r="I44" s="429">
        <v>0</v>
      </c>
      <c r="J44" s="74">
        <f t="shared" si="1"/>
        <v>5</v>
      </c>
      <c r="AN44" s="4"/>
      <c r="AO44" s="4"/>
      <c r="AP44" s="4"/>
    </row>
    <row r="45" spans="1:44" ht="14.95" customHeight="1" thickBot="1" x14ac:dyDescent="0.3">
      <c r="A45" s="45" t="s">
        <v>1007</v>
      </c>
      <c r="B45" s="91">
        <v>1</v>
      </c>
      <c r="C45" s="43">
        <v>0</v>
      </c>
      <c r="D45" s="427">
        <v>1</v>
      </c>
      <c r="E45" s="5">
        <f t="shared" si="0"/>
        <v>2</v>
      </c>
      <c r="F45" s="197" t="s">
        <v>1007</v>
      </c>
      <c r="G45" s="92">
        <v>5</v>
      </c>
      <c r="H45" s="194">
        <v>0</v>
      </c>
      <c r="I45" s="429">
        <v>5</v>
      </c>
      <c r="J45" s="74">
        <f t="shared" si="1"/>
        <v>10</v>
      </c>
    </row>
    <row r="46" spans="1:44" ht="14.95" customHeight="1" thickBot="1" x14ac:dyDescent="0.3">
      <c r="A46" s="45" t="s">
        <v>480</v>
      </c>
      <c r="B46" s="91">
        <v>3</v>
      </c>
      <c r="C46" s="43">
        <v>2</v>
      </c>
      <c r="D46" s="427">
        <v>0</v>
      </c>
      <c r="E46" s="5">
        <f t="shared" si="0"/>
        <v>5</v>
      </c>
      <c r="F46" s="197" t="s">
        <v>480</v>
      </c>
      <c r="G46" s="92">
        <v>15</v>
      </c>
      <c r="H46" s="194">
        <v>10</v>
      </c>
      <c r="I46" s="429">
        <v>0</v>
      </c>
      <c r="J46" s="74">
        <f t="shared" si="1"/>
        <v>25</v>
      </c>
      <c r="AQ46" s="4"/>
      <c r="AR46" s="4"/>
    </row>
    <row r="47" spans="1:44" ht="14.95" customHeight="1" thickBot="1" x14ac:dyDescent="0.3">
      <c r="A47" s="45" t="s">
        <v>647</v>
      </c>
      <c r="B47" s="91">
        <v>0</v>
      </c>
      <c r="C47" s="43">
        <v>0</v>
      </c>
      <c r="D47" s="427">
        <v>2</v>
      </c>
      <c r="E47" s="5">
        <f t="shared" si="0"/>
        <v>2</v>
      </c>
      <c r="F47" s="197" t="s">
        <v>647</v>
      </c>
      <c r="G47" s="92">
        <v>0</v>
      </c>
      <c r="H47" s="194">
        <v>0</v>
      </c>
      <c r="I47" s="429">
        <v>18</v>
      </c>
      <c r="J47" s="74">
        <f t="shared" si="1"/>
        <v>18</v>
      </c>
      <c r="AQ47" s="4"/>
      <c r="AR47" s="4"/>
    </row>
    <row r="48" spans="1:44" ht="14.95" customHeight="1" thickBot="1" x14ac:dyDescent="0.3">
      <c r="A48" s="45" t="s">
        <v>31</v>
      </c>
      <c r="B48" s="91">
        <v>1</v>
      </c>
      <c r="C48" s="43">
        <v>0</v>
      </c>
      <c r="D48" s="427">
        <v>0</v>
      </c>
      <c r="E48" s="5">
        <f t="shared" si="0"/>
        <v>1</v>
      </c>
      <c r="F48" s="197" t="s">
        <v>31</v>
      </c>
      <c r="G48" s="92">
        <v>5</v>
      </c>
      <c r="H48" s="194">
        <v>0</v>
      </c>
      <c r="I48" s="429">
        <v>0</v>
      </c>
      <c r="J48" s="74">
        <f t="shared" si="1"/>
        <v>5</v>
      </c>
      <c r="AN48" s="4"/>
      <c r="AO48" s="4"/>
      <c r="AP48" s="4"/>
    </row>
    <row r="49" spans="1:44" ht="14.95" customHeight="1" thickBot="1" x14ac:dyDescent="0.3">
      <c r="A49" s="45" t="s">
        <v>7</v>
      </c>
      <c r="B49" s="91">
        <v>0</v>
      </c>
      <c r="C49" s="43">
        <v>0</v>
      </c>
      <c r="D49" s="427">
        <v>0</v>
      </c>
      <c r="E49" s="5">
        <f t="shared" si="0"/>
        <v>0</v>
      </c>
      <c r="F49" s="197" t="s">
        <v>7</v>
      </c>
      <c r="G49" s="92">
        <v>0</v>
      </c>
      <c r="H49" s="194">
        <v>0</v>
      </c>
      <c r="I49" s="429">
        <v>0</v>
      </c>
      <c r="J49" s="74">
        <f t="shared" si="1"/>
        <v>0</v>
      </c>
      <c r="AN49" s="4"/>
      <c r="AO49" s="4"/>
      <c r="AP49" s="4"/>
      <c r="AQ49" s="4"/>
      <c r="AR49" s="4"/>
    </row>
    <row r="50" spans="1:44" ht="14.95" customHeight="1" thickBot="1" x14ac:dyDescent="0.3">
      <c r="A50" s="45" t="s">
        <v>600</v>
      </c>
      <c r="B50" s="91">
        <v>3</v>
      </c>
      <c r="C50" s="43">
        <v>0</v>
      </c>
      <c r="D50" s="427">
        <v>0</v>
      </c>
      <c r="E50" s="5">
        <f t="shared" si="0"/>
        <v>3</v>
      </c>
      <c r="F50" s="197" t="s">
        <v>600</v>
      </c>
      <c r="G50" s="92">
        <v>15</v>
      </c>
      <c r="H50" s="194">
        <v>0</v>
      </c>
      <c r="I50" s="429">
        <v>0</v>
      </c>
      <c r="J50" s="74">
        <f t="shared" si="1"/>
        <v>15</v>
      </c>
      <c r="AQ50" s="4"/>
      <c r="AR50" s="4"/>
    </row>
    <row r="51" spans="1:44" ht="14.95" customHeight="1" thickBot="1" x14ac:dyDescent="0.3">
      <c r="A51" s="45" t="s">
        <v>50</v>
      </c>
      <c r="B51" s="91">
        <v>6</v>
      </c>
      <c r="C51" s="43">
        <v>0</v>
      </c>
      <c r="D51" s="427">
        <v>0</v>
      </c>
      <c r="E51" s="5">
        <f t="shared" si="0"/>
        <v>6</v>
      </c>
      <c r="F51" s="197" t="s">
        <v>50</v>
      </c>
      <c r="G51" s="92">
        <v>30</v>
      </c>
      <c r="H51" s="194">
        <v>0</v>
      </c>
      <c r="I51" s="429">
        <v>0</v>
      </c>
      <c r="J51" s="74">
        <f t="shared" si="1"/>
        <v>30</v>
      </c>
      <c r="AN51" s="4"/>
      <c r="AO51" s="4"/>
      <c r="AP51" s="4"/>
    </row>
    <row r="52" spans="1:44" ht="14.95" customHeight="1" thickBot="1" x14ac:dyDescent="0.3">
      <c r="A52" s="45" t="s">
        <v>469</v>
      </c>
      <c r="B52" s="91">
        <v>0</v>
      </c>
      <c r="C52" s="43">
        <v>0</v>
      </c>
      <c r="D52" s="427">
        <v>0</v>
      </c>
      <c r="E52" s="5">
        <f t="shared" si="0"/>
        <v>0</v>
      </c>
      <c r="F52" s="197" t="s">
        <v>469</v>
      </c>
      <c r="G52" s="92">
        <v>0</v>
      </c>
      <c r="H52" s="194">
        <v>0</v>
      </c>
      <c r="I52" s="429">
        <v>0</v>
      </c>
      <c r="J52" s="74">
        <f t="shared" si="1"/>
        <v>0</v>
      </c>
      <c r="AN52" s="4"/>
      <c r="AO52" s="4"/>
      <c r="AP52" s="4"/>
    </row>
    <row r="53" spans="1:44" ht="14.95" customHeight="1" thickBot="1" x14ac:dyDescent="0.3">
      <c r="A53" s="45" t="s">
        <v>60</v>
      </c>
      <c r="B53" s="91">
        <v>1</v>
      </c>
      <c r="C53" s="43">
        <v>0</v>
      </c>
      <c r="D53" s="427">
        <v>0</v>
      </c>
      <c r="E53" s="5">
        <f t="shared" si="0"/>
        <v>1</v>
      </c>
      <c r="F53" s="197" t="s">
        <v>60</v>
      </c>
      <c r="G53" s="92">
        <v>5</v>
      </c>
      <c r="H53" s="194">
        <v>0</v>
      </c>
      <c r="I53" s="429">
        <v>0</v>
      </c>
      <c r="J53" s="74">
        <f t="shared" si="1"/>
        <v>5</v>
      </c>
    </row>
    <row r="54" spans="1:44" ht="14.95" customHeight="1" thickBot="1" x14ac:dyDescent="0.3">
      <c r="A54" s="45" t="s">
        <v>3</v>
      </c>
      <c r="B54" s="91">
        <f>SUM(B3:B53)</f>
        <v>82</v>
      </c>
      <c r="C54" s="43">
        <f>SUM(C3:C53)</f>
        <v>23</v>
      </c>
      <c r="D54" s="427">
        <f>SUM(D3:D53)</f>
        <v>11</v>
      </c>
      <c r="E54" s="5">
        <f t="shared" si="0"/>
        <v>116</v>
      </c>
      <c r="F54" s="197" t="s">
        <v>3</v>
      </c>
      <c r="G54" s="92">
        <f>SUM(G3:G53)</f>
        <v>584</v>
      </c>
      <c r="H54" s="194">
        <f>SUM(H3:H53)</f>
        <v>150</v>
      </c>
      <c r="I54" s="429">
        <f>SUM(I3:I53)</f>
        <v>77</v>
      </c>
      <c r="J54" s="74">
        <f t="shared" si="1"/>
        <v>811</v>
      </c>
    </row>
    <row r="55" spans="1:44" ht="14.95" customHeight="1" x14ac:dyDescent="0.25">
      <c r="B55" s="167"/>
      <c r="F55" s="40"/>
      <c r="G55" s="168"/>
      <c r="H55" s="41"/>
      <c r="I55" s="41"/>
      <c r="J55" s="42"/>
    </row>
    <row r="56" spans="1:44" ht="14.95" customHeight="1" thickBot="1" x14ac:dyDescent="0.3">
      <c r="A56" t="s">
        <v>26</v>
      </c>
      <c r="B56" s="167"/>
      <c r="F56" s="85"/>
      <c r="G56" s="169"/>
      <c r="H56" s="85"/>
      <c r="I56" s="85"/>
      <c r="J56" s="85"/>
    </row>
    <row r="57" spans="1:44" ht="14.95" customHeight="1" thickBot="1" x14ac:dyDescent="0.3">
      <c r="A57" s="131" t="s">
        <v>0</v>
      </c>
      <c r="B57" s="145" t="s">
        <v>620</v>
      </c>
      <c r="C57" s="132" t="s">
        <v>63</v>
      </c>
      <c r="D57" s="426" t="s">
        <v>925</v>
      </c>
      <c r="E57" s="133" t="s">
        <v>1</v>
      </c>
      <c r="F57" s="196" t="s">
        <v>2</v>
      </c>
      <c r="G57" s="138" t="s">
        <v>620</v>
      </c>
      <c r="H57" s="195" t="s">
        <v>63</v>
      </c>
      <c r="I57" s="428" t="s">
        <v>925</v>
      </c>
      <c r="J57" s="139" t="s">
        <v>1</v>
      </c>
    </row>
    <row r="58" spans="1:44" ht="14.95" thickBot="1" x14ac:dyDescent="0.3">
      <c r="A58" s="45" t="s">
        <v>131</v>
      </c>
      <c r="B58" s="91">
        <v>4</v>
      </c>
      <c r="C58" s="43">
        <v>7</v>
      </c>
      <c r="D58" s="427">
        <v>0</v>
      </c>
      <c r="E58" s="5">
        <f t="shared" ref="E58:E89" si="23">SUM(B58:D58)</f>
        <v>11</v>
      </c>
      <c r="F58" s="197" t="s">
        <v>130</v>
      </c>
      <c r="G58" s="92">
        <v>131</v>
      </c>
      <c r="H58" s="194">
        <v>28</v>
      </c>
      <c r="I58" s="429">
        <v>0</v>
      </c>
      <c r="J58" s="74">
        <f t="shared" ref="J58:J89" si="24">SUM(G58:I58)</f>
        <v>159</v>
      </c>
    </row>
    <row r="59" spans="1:44" ht="14.95" thickBot="1" x14ac:dyDescent="0.3">
      <c r="A59" s="45" t="s">
        <v>141</v>
      </c>
      <c r="B59" s="91">
        <v>5</v>
      </c>
      <c r="C59" s="43">
        <v>3</v>
      </c>
      <c r="D59" s="427">
        <v>0</v>
      </c>
      <c r="E59" s="5">
        <f t="shared" si="23"/>
        <v>8</v>
      </c>
      <c r="F59" s="197" t="s">
        <v>32</v>
      </c>
      <c r="G59" s="92">
        <v>62</v>
      </c>
      <c r="H59" s="194">
        <v>4</v>
      </c>
      <c r="I59" s="429">
        <v>0</v>
      </c>
      <c r="J59" s="74">
        <f t="shared" si="24"/>
        <v>66</v>
      </c>
    </row>
    <row r="60" spans="1:44" ht="14.95" thickBot="1" x14ac:dyDescent="0.3">
      <c r="A60" s="45" t="s">
        <v>36</v>
      </c>
      <c r="B60" s="91">
        <v>6</v>
      </c>
      <c r="C60" s="43">
        <v>1</v>
      </c>
      <c r="D60" s="427">
        <v>0</v>
      </c>
      <c r="E60" s="5">
        <f t="shared" si="23"/>
        <v>7</v>
      </c>
      <c r="F60" s="197" t="s">
        <v>131</v>
      </c>
      <c r="G60" s="92">
        <v>20</v>
      </c>
      <c r="H60" s="194">
        <v>35</v>
      </c>
      <c r="I60" s="429">
        <v>0</v>
      </c>
      <c r="J60" s="74">
        <f t="shared" si="24"/>
        <v>55</v>
      </c>
    </row>
    <row r="61" spans="1:44" ht="14.95" thickBot="1" x14ac:dyDescent="0.3">
      <c r="A61" s="45" t="s">
        <v>523</v>
      </c>
      <c r="B61" s="91">
        <v>4</v>
      </c>
      <c r="C61" s="43">
        <v>2</v>
      </c>
      <c r="D61" s="427">
        <v>0</v>
      </c>
      <c r="E61" s="5">
        <f t="shared" si="23"/>
        <v>6</v>
      </c>
      <c r="F61" s="197" t="s">
        <v>141</v>
      </c>
      <c r="G61" s="92">
        <v>25</v>
      </c>
      <c r="H61" s="194">
        <v>15</v>
      </c>
      <c r="I61" s="429">
        <v>0</v>
      </c>
      <c r="J61" s="74">
        <f t="shared" si="24"/>
        <v>40</v>
      </c>
    </row>
    <row r="62" spans="1:44" ht="14.95" thickBot="1" x14ac:dyDescent="0.3">
      <c r="A62" s="45" t="s">
        <v>50</v>
      </c>
      <c r="B62" s="91">
        <v>6</v>
      </c>
      <c r="C62" s="43">
        <v>0</v>
      </c>
      <c r="D62" s="427">
        <v>0</v>
      </c>
      <c r="E62" s="5">
        <f t="shared" si="23"/>
        <v>6</v>
      </c>
      <c r="F62" s="197" t="s">
        <v>523</v>
      </c>
      <c r="G62" s="92">
        <v>26</v>
      </c>
      <c r="H62" s="194">
        <v>13</v>
      </c>
      <c r="I62" s="429">
        <v>0</v>
      </c>
      <c r="J62" s="74">
        <f t="shared" si="24"/>
        <v>39</v>
      </c>
    </row>
    <row r="63" spans="1:44" ht="14.95" thickBot="1" x14ac:dyDescent="0.3">
      <c r="A63" s="45" t="s">
        <v>645</v>
      </c>
      <c r="B63" s="91">
        <v>5</v>
      </c>
      <c r="C63" s="43">
        <v>0</v>
      </c>
      <c r="D63" s="427">
        <v>0</v>
      </c>
      <c r="E63" s="5">
        <f t="shared" si="23"/>
        <v>5</v>
      </c>
      <c r="F63" s="197" t="s">
        <v>36</v>
      </c>
      <c r="G63" s="92">
        <v>30</v>
      </c>
      <c r="H63" s="194">
        <v>5</v>
      </c>
      <c r="I63" s="429">
        <v>0</v>
      </c>
      <c r="J63" s="74">
        <f t="shared" si="24"/>
        <v>35</v>
      </c>
    </row>
    <row r="64" spans="1:44" ht="14.95" thickBot="1" x14ac:dyDescent="0.3">
      <c r="A64" s="45" t="s">
        <v>1134</v>
      </c>
      <c r="B64" s="91">
        <v>5</v>
      </c>
      <c r="C64" s="43">
        <v>0</v>
      </c>
      <c r="D64" s="427">
        <v>0</v>
      </c>
      <c r="E64" s="5">
        <f t="shared" si="23"/>
        <v>5</v>
      </c>
      <c r="F64" s="197" t="s">
        <v>50</v>
      </c>
      <c r="G64" s="92">
        <v>30</v>
      </c>
      <c r="H64" s="194">
        <v>0</v>
      </c>
      <c r="I64" s="429">
        <v>0</v>
      </c>
      <c r="J64" s="74">
        <f t="shared" si="24"/>
        <v>30</v>
      </c>
    </row>
    <row r="65" spans="1:10" ht="14.95" thickBot="1" x14ac:dyDescent="0.3">
      <c r="A65" s="45" t="s">
        <v>480</v>
      </c>
      <c r="B65" s="91">
        <v>3</v>
      </c>
      <c r="C65" s="43">
        <v>2</v>
      </c>
      <c r="D65" s="427">
        <v>0</v>
      </c>
      <c r="E65" s="5">
        <f t="shared" si="23"/>
        <v>5</v>
      </c>
      <c r="F65" s="197" t="s">
        <v>645</v>
      </c>
      <c r="G65" s="92">
        <v>25</v>
      </c>
      <c r="H65" s="194">
        <v>0</v>
      </c>
      <c r="I65" s="429">
        <v>0</v>
      </c>
      <c r="J65" s="74">
        <f t="shared" si="24"/>
        <v>25</v>
      </c>
    </row>
    <row r="66" spans="1:10" ht="14.95" thickBot="1" x14ac:dyDescent="0.3">
      <c r="A66" s="45" t="s">
        <v>49</v>
      </c>
      <c r="B66" s="91">
        <v>3</v>
      </c>
      <c r="C66" s="43">
        <v>1</v>
      </c>
      <c r="D66" s="427">
        <v>0</v>
      </c>
      <c r="E66" s="5">
        <f t="shared" si="23"/>
        <v>4</v>
      </c>
      <c r="F66" s="197" t="s">
        <v>1134</v>
      </c>
      <c r="G66" s="92">
        <v>25</v>
      </c>
      <c r="H66" s="194">
        <v>0</v>
      </c>
      <c r="I66" s="429">
        <v>0</v>
      </c>
      <c r="J66" s="74">
        <f t="shared" si="24"/>
        <v>25</v>
      </c>
    </row>
    <row r="67" spans="1:10" ht="14.95" thickBot="1" x14ac:dyDescent="0.3">
      <c r="A67" s="45" t="s">
        <v>593</v>
      </c>
      <c r="B67" s="91">
        <v>1</v>
      </c>
      <c r="C67" s="43">
        <v>3</v>
      </c>
      <c r="D67" s="427">
        <v>0</v>
      </c>
      <c r="E67" s="5">
        <f t="shared" si="23"/>
        <v>4</v>
      </c>
      <c r="F67" s="197" t="s">
        <v>480</v>
      </c>
      <c r="G67" s="92">
        <v>15</v>
      </c>
      <c r="H67" s="194">
        <v>10</v>
      </c>
      <c r="I67" s="429">
        <v>0</v>
      </c>
      <c r="J67" s="74">
        <f t="shared" si="24"/>
        <v>25</v>
      </c>
    </row>
    <row r="68" spans="1:10" ht="14.95" thickBot="1" x14ac:dyDescent="0.3">
      <c r="A68" s="45" t="s">
        <v>1167</v>
      </c>
      <c r="B68" s="91">
        <v>1</v>
      </c>
      <c r="C68" s="43">
        <v>0</v>
      </c>
      <c r="D68" s="427">
        <v>3</v>
      </c>
      <c r="E68" s="5">
        <f t="shared" si="23"/>
        <v>4</v>
      </c>
      <c r="F68" s="197" t="s">
        <v>602</v>
      </c>
      <c r="G68" s="92">
        <v>10</v>
      </c>
      <c r="H68" s="194">
        <v>0</v>
      </c>
      <c r="I68" s="429">
        <v>14</v>
      </c>
      <c r="J68" s="74">
        <f t="shared" si="24"/>
        <v>24</v>
      </c>
    </row>
    <row r="69" spans="1:10" ht="14.95" thickBot="1" x14ac:dyDescent="0.3">
      <c r="A69" s="45" t="s">
        <v>32</v>
      </c>
      <c r="B69" s="91">
        <v>4</v>
      </c>
      <c r="C69" s="43">
        <v>0</v>
      </c>
      <c r="D69" s="427">
        <v>0</v>
      </c>
      <c r="E69" s="5">
        <f t="shared" si="23"/>
        <v>4</v>
      </c>
      <c r="F69" s="197" t="s">
        <v>49</v>
      </c>
      <c r="G69" s="92">
        <v>15</v>
      </c>
      <c r="H69" s="194">
        <v>5</v>
      </c>
      <c r="I69" s="429">
        <v>0</v>
      </c>
      <c r="J69" s="74">
        <f t="shared" si="24"/>
        <v>20</v>
      </c>
    </row>
    <row r="70" spans="1:10" ht="14.95" thickBot="1" x14ac:dyDescent="0.3">
      <c r="A70" s="45" t="s">
        <v>599</v>
      </c>
      <c r="B70" s="91">
        <v>3</v>
      </c>
      <c r="C70" s="43">
        <v>0</v>
      </c>
      <c r="D70" s="427">
        <v>0</v>
      </c>
      <c r="E70" s="5">
        <f t="shared" si="23"/>
        <v>3</v>
      </c>
      <c r="F70" s="197" t="s">
        <v>593</v>
      </c>
      <c r="G70" s="92">
        <v>5</v>
      </c>
      <c r="H70" s="194">
        <v>15</v>
      </c>
      <c r="I70" s="429">
        <v>0</v>
      </c>
      <c r="J70" s="74">
        <f t="shared" si="24"/>
        <v>20</v>
      </c>
    </row>
    <row r="71" spans="1:10" ht="14.95" thickBot="1" x14ac:dyDescent="0.3">
      <c r="A71" s="45" t="s">
        <v>1165</v>
      </c>
      <c r="B71" s="91">
        <v>3</v>
      </c>
      <c r="C71" s="43">
        <v>0</v>
      </c>
      <c r="D71" s="427">
        <v>0</v>
      </c>
      <c r="E71" s="5">
        <f t="shared" si="23"/>
        <v>3</v>
      </c>
      <c r="F71" s="197" t="s">
        <v>1167</v>
      </c>
      <c r="G71" s="92">
        <v>5</v>
      </c>
      <c r="H71" s="194">
        <v>0</v>
      </c>
      <c r="I71" s="429">
        <v>15</v>
      </c>
      <c r="J71" s="74">
        <f t="shared" si="24"/>
        <v>20</v>
      </c>
    </row>
    <row r="72" spans="1:10" ht="14.95" thickBot="1" x14ac:dyDescent="0.3">
      <c r="A72" s="45" t="s">
        <v>68</v>
      </c>
      <c r="B72" s="91">
        <v>2</v>
      </c>
      <c r="C72" s="43">
        <v>1</v>
      </c>
      <c r="D72" s="427">
        <v>0</v>
      </c>
      <c r="E72" s="5">
        <f t="shared" si="23"/>
        <v>3</v>
      </c>
      <c r="F72" s="197" t="s">
        <v>647</v>
      </c>
      <c r="G72" s="92">
        <v>0</v>
      </c>
      <c r="H72" s="194">
        <v>0</v>
      </c>
      <c r="I72" s="429">
        <v>18</v>
      </c>
      <c r="J72" s="74">
        <f t="shared" si="24"/>
        <v>18</v>
      </c>
    </row>
    <row r="73" spans="1:10" ht="14.95" thickBot="1" x14ac:dyDescent="0.3">
      <c r="A73" s="45" t="s">
        <v>130</v>
      </c>
      <c r="B73" s="91">
        <v>3</v>
      </c>
      <c r="C73" s="43">
        <v>0</v>
      </c>
      <c r="D73" s="427">
        <v>0</v>
      </c>
      <c r="E73" s="5">
        <f t="shared" si="23"/>
        <v>3</v>
      </c>
      <c r="F73" s="197" t="s">
        <v>599</v>
      </c>
      <c r="G73" s="92">
        <v>15</v>
      </c>
      <c r="H73" s="194">
        <v>0</v>
      </c>
      <c r="I73" s="429">
        <v>0</v>
      </c>
      <c r="J73" s="74">
        <f t="shared" si="24"/>
        <v>15</v>
      </c>
    </row>
    <row r="74" spans="1:10" ht="14.95" thickBot="1" x14ac:dyDescent="0.3">
      <c r="A74" s="45" t="s">
        <v>600</v>
      </c>
      <c r="B74" s="91">
        <v>3</v>
      </c>
      <c r="C74" s="43">
        <v>0</v>
      </c>
      <c r="D74" s="427">
        <v>0</v>
      </c>
      <c r="E74" s="5">
        <f t="shared" si="23"/>
        <v>3</v>
      </c>
      <c r="F74" s="197" t="s">
        <v>1165</v>
      </c>
      <c r="G74" s="92">
        <v>15</v>
      </c>
      <c r="H74" s="194">
        <v>0</v>
      </c>
      <c r="I74" s="429">
        <v>0</v>
      </c>
      <c r="J74" s="74">
        <f t="shared" si="24"/>
        <v>15</v>
      </c>
    </row>
    <row r="75" spans="1:10" ht="14.95" thickBot="1" x14ac:dyDescent="0.3">
      <c r="A75" s="45" t="s">
        <v>66</v>
      </c>
      <c r="B75" s="91">
        <v>1</v>
      </c>
      <c r="C75" s="43">
        <v>1</v>
      </c>
      <c r="D75" s="427">
        <v>0</v>
      </c>
      <c r="E75" s="5">
        <f t="shared" si="23"/>
        <v>2</v>
      </c>
      <c r="F75" s="198" t="s">
        <v>68</v>
      </c>
      <c r="G75" s="92">
        <v>10</v>
      </c>
      <c r="H75" s="194">
        <v>5</v>
      </c>
      <c r="I75" s="429">
        <v>0</v>
      </c>
      <c r="J75" s="74">
        <f t="shared" si="24"/>
        <v>15</v>
      </c>
    </row>
    <row r="76" spans="1:10" ht="14.95" thickBot="1" x14ac:dyDescent="0.3">
      <c r="A76" s="45" t="s">
        <v>576</v>
      </c>
      <c r="B76" s="91">
        <v>1</v>
      </c>
      <c r="C76" s="43">
        <v>0</v>
      </c>
      <c r="D76" s="427">
        <v>1</v>
      </c>
      <c r="E76" s="5">
        <f t="shared" si="23"/>
        <v>2</v>
      </c>
      <c r="F76" s="197" t="s">
        <v>600</v>
      </c>
      <c r="G76" s="92">
        <v>15</v>
      </c>
      <c r="H76" s="194">
        <v>0</v>
      </c>
      <c r="I76" s="429">
        <v>0</v>
      </c>
      <c r="J76" s="74">
        <f t="shared" si="24"/>
        <v>15</v>
      </c>
    </row>
    <row r="77" spans="1:10" ht="14.95" thickBot="1" x14ac:dyDescent="0.3">
      <c r="A77" s="45" t="s">
        <v>61</v>
      </c>
      <c r="B77" s="91">
        <v>2</v>
      </c>
      <c r="C77" s="43">
        <v>0</v>
      </c>
      <c r="D77" s="427">
        <v>0</v>
      </c>
      <c r="E77" s="5">
        <f t="shared" si="23"/>
        <v>2</v>
      </c>
      <c r="F77" s="197" t="s">
        <v>66</v>
      </c>
      <c r="G77" s="92">
        <v>5</v>
      </c>
      <c r="H77" s="194">
        <v>5</v>
      </c>
      <c r="I77" s="429">
        <v>0</v>
      </c>
      <c r="J77" s="74">
        <f t="shared" si="24"/>
        <v>10</v>
      </c>
    </row>
    <row r="78" spans="1:10" ht="14.95" thickBot="1" x14ac:dyDescent="0.3">
      <c r="A78" s="45" t="s">
        <v>602</v>
      </c>
      <c r="B78" s="91">
        <v>2</v>
      </c>
      <c r="C78" s="43">
        <v>0</v>
      </c>
      <c r="D78" s="427">
        <v>0</v>
      </c>
      <c r="E78" s="5">
        <f t="shared" si="23"/>
        <v>2</v>
      </c>
      <c r="F78" s="197" t="s">
        <v>576</v>
      </c>
      <c r="G78" s="92">
        <v>5</v>
      </c>
      <c r="H78" s="194">
        <v>0</v>
      </c>
      <c r="I78" s="429">
        <v>5</v>
      </c>
      <c r="J78" s="74">
        <f t="shared" si="24"/>
        <v>10</v>
      </c>
    </row>
    <row r="79" spans="1:10" ht="14.95" thickBot="1" x14ac:dyDescent="0.3">
      <c r="A79" s="45" t="s">
        <v>926</v>
      </c>
      <c r="B79" s="91">
        <v>1</v>
      </c>
      <c r="C79" s="43">
        <v>0</v>
      </c>
      <c r="D79" s="427">
        <v>1</v>
      </c>
      <c r="E79" s="5">
        <f t="shared" si="23"/>
        <v>2</v>
      </c>
      <c r="F79" s="197" t="s">
        <v>61</v>
      </c>
      <c r="G79" s="92">
        <v>10</v>
      </c>
      <c r="H79" s="194">
        <v>0</v>
      </c>
      <c r="I79" s="429">
        <v>0</v>
      </c>
      <c r="J79" s="74">
        <f t="shared" si="24"/>
        <v>10</v>
      </c>
    </row>
    <row r="80" spans="1:10" ht="14.95" thickBot="1" x14ac:dyDescent="0.3">
      <c r="A80" s="45" t="s">
        <v>965</v>
      </c>
      <c r="B80" s="91">
        <v>1</v>
      </c>
      <c r="C80" s="43">
        <v>0</v>
      </c>
      <c r="D80" s="427">
        <v>1</v>
      </c>
      <c r="E80" s="5">
        <f t="shared" si="23"/>
        <v>2</v>
      </c>
      <c r="F80" s="197" t="s">
        <v>926</v>
      </c>
      <c r="G80" s="92">
        <v>5</v>
      </c>
      <c r="H80" s="194">
        <v>0</v>
      </c>
      <c r="I80" s="429">
        <v>5</v>
      </c>
      <c r="J80" s="74">
        <f t="shared" si="24"/>
        <v>10</v>
      </c>
    </row>
    <row r="81" spans="1:10" ht="14.95" thickBot="1" x14ac:dyDescent="0.3">
      <c r="A81" s="45" t="s">
        <v>1216</v>
      </c>
      <c r="B81" s="91">
        <v>1</v>
      </c>
      <c r="C81" s="43">
        <v>1</v>
      </c>
      <c r="D81" s="427">
        <v>0</v>
      </c>
      <c r="E81" s="5">
        <f t="shared" si="23"/>
        <v>2</v>
      </c>
      <c r="F81" s="197" t="s">
        <v>965</v>
      </c>
      <c r="G81" s="92">
        <v>5</v>
      </c>
      <c r="H81" s="194">
        <v>0</v>
      </c>
      <c r="I81" s="429">
        <v>5</v>
      </c>
      <c r="J81" s="74">
        <f t="shared" si="24"/>
        <v>10</v>
      </c>
    </row>
    <row r="82" spans="1:10" ht="14.95" thickBot="1" x14ac:dyDescent="0.3">
      <c r="A82" s="45" t="s">
        <v>1007</v>
      </c>
      <c r="B82" s="91">
        <v>1</v>
      </c>
      <c r="C82" s="43">
        <v>0</v>
      </c>
      <c r="D82" s="427">
        <v>1</v>
      </c>
      <c r="E82" s="5">
        <f t="shared" si="23"/>
        <v>2</v>
      </c>
      <c r="F82" s="197" t="s">
        <v>1216</v>
      </c>
      <c r="G82" s="92">
        <v>5</v>
      </c>
      <c r="H82" s="194">
        <v>5</v>
      </c>
      <c r="I82" s="429">
        <v>0</v>
      </c>
      <c r="J82" s="74">
        <f t="shared" si="24"/>
        <v>10</v>
      </c>
    </row>
    <row r="83" spans="1:10" ht="14.95" thickBot="1" x14ac:dyDescent="0.3">
      <c r="A83" s="45" t="s">
        <v>647</v>
      </c>
      <c r="B83" s="91">
        <v>0</v>
      </c>
      <c r="C83" s="43">
        <v>0</v>
      </c>
      <c r="D83" s="427">
        <v>2</v>
      </c>
      <c r="E83" s="5">
        <f t="shared" si="23"/>
        <v>2</v>
      </c>
      <c r="F83" s="197" t="s">
        <v>1007</v>
      </c>
      <c r="G83" s="92">
        <v>5</v>
      </c>
      <c r="H83" s="194">
        <v>0</v>
      </c>
      <c r="I83" s="429">
        <v>5</v>
      </c>
      <c r="J83" s="74">
        <f t="shared" si="24"/>
        <v>10</v>
      </c>
    </row>
    <row r="84" spans="1:10" ht="14.95" thickBot="1" x14ac:dyDescent="0.3">
      <c r="A84" s="45" t="s">
        <v>422</v>
      </c>
      <c r="B84" s="91">
        <v>1</v>
      </c>
      <c r="C84" s="43">
        <v>0</v>
      </c>
      <c r="D84" s="427">
        <v>0</v>
      </c>
      <c r="E84" s="5">
        <f t="shared" si="23"/>
        <v>1</v>
      </c>
      <c r="F84" s="197" t="s">
        <v>414</v>
      </c>
      <c r="G84" s="92">
        <v>8</v>
      </c>
      <c r="H84" s="194">
        <v>0</v>
      </c>
      <c r="I84" s="429">
        <v>0</v>
      </c>
      <c r="J84" s="74">
        <f t="shared" si="24"/>
        <v>8</v>
      </c>
    </row>
    <row r="85" spans="1:10" ht="14.95" thickBot="1" x14ac:dyDescent="0.3">
      <c r="A85" s="45" t="s">
        <v>78</v>
      </c>
      <c r="B85" s="91">
        <v>1</v>
      </c>
      <c r="C85" s="43">
        <v>0</v>
      </c>
      <c r="D85" s="427">
        <v>0</v>
      </c>
      <c r="E85" s="5">
        <f t="shared" si="23"/>
        <v>1</v>
      </c>
      <c r="F85" s="197" t="s">
        <v>6</v>
      </c>
      <c r="G85" s="92">
        <v>7</v>
      </c>
      <c r="H85" s="194">
        <v>0</v>
      </c>
      <c r="I85" s="429">
        <v>0</v>
      </c>
      <c r="J85" s="74">
        <f t="shared" si="24"/>
        <v>7</v>
      </c>
    </row>
    <row r="86" spans="1:10" ht="14.95" thickBot="1" x14ac:dyDescent="0.3">
      <c r="A86" s="45" t="s">
        <v>424</v>
      </c>
      <c r="B86" s="91">
        <v>1</v>
      </c>
      <c r="C86" s="43">
        <v>0</v>
      </c>
      <c r="D86" s="427">
        <v>0</v>
      </c>
      <c r="E86" s="5">
        <f t="shared" si="23"/>
        <v>1</v>
      </c>
      <c r="F86" s="197" t="s">
        <v>422</v>
      </c>
      <c r="G86" s="92">
        <v>5</v>
      </c>
      <c r="H86" s="194">
        <v>0</v>
      </c>
      <c r="I86" s="429">
        <v>0</v>
      </c>
      <c r="J86" s="74">
        <f t="shared" si="24"/>
        <v>5</v>
      </c>
    </row>
    <row r="87" spans="1:10" ht="14.95" thickBot="1" x14ac:dyDescent="0.3">
      <c r="A87" s="45" t="s">
        <v>335</v>
      </c>
      <c r="B87" s="91">
        <v>1</v>
      </c>
      <c r="C87" s="43">
        <v>0</v>
      </c>
      <c r="D87" s="427">
        <v>0</v>
      </c>
      <c r="E87" s="5">
        <f t="shared" si="23"/>
        <v>1</v>
      </c>
      <c r="F87" s="197" t="s">
        <v>78</v>
      </c>
      <c r="G87" s="92">
        <v>5</v>
      </c>
      <c r="H87" s="194">
        <v>0</v>
      </c>
      <c r="I87" s="429">
        <v>0</v>
      </c>
      <c r="J87" s="74">
        <f t="shared" si="24"/>
        <v>5</v>
      </c>
    </row>
    <row r="88" spans="1:10" ht="14.95" thickBot="1" x14ac:dyDescent="0.3">
      <c r="A88" s="45" t="s">
        <v>928</v>
      </c>
      <c r="B88" s="91">
        <v>0</v>
      </c>
      <c r="C88" s="43">
        <v>1</v>
      </c>
      <c r="D88" s="427">
        <v>0</v>
      </c>
      <c r="E88" s="5">
        <f t="shared" si="23"/>
        <v>1</v>
      </c>
      <c r="F88" s="197" t="s">
        <v>424</v>
      </c>
      <c r="G88" s="92">
        <v>5</v>
      </c>
      <c r="H88" s="194">
        <v>0</v>
      </c>
      <c r="I88" s="429">
        <v>0</v>
      </c>
      <c r="J88" s="74">
        <f t="shared" si="24"/>
        <v>5</v>
      </c>
    </row>
    <row r="89" spans="1:10" ht="14.95" thickBot="1" x14ac:dyDescent="0.3">
      <c r="A89" s="45" t="s">
        <v>1143</v>
      </c>
      <c r="B89" s="91">
        <v>1</v>
      </c>
      <c r="C89" s="43">
        <v>0</v>
      </c>
      <c r="D89" s="427">
        <v>0</v>
      </c>
      <c r="E89" s="5">
        <f t="shared" si="23"/>
        <v>1</v>
      </c>
      <c r="F89" s="197" t="s">
        <v>335</v>
      </c>
      <c r="G89" s="92">
        <v>5</v>
      </c>
      <c r="H89" s="194">
        <v>0</v>
      </c>
      <c r="I89" s="429">
        <v>0</v>
      </c>
      <c r="J89" s="74">
        <f t="shared" si="24"/>
        <v>5</v>
      </c>
    </row>
    <row r="90" spans="1:10" ht="14.95" thickBot="1" x14ac:dyDescent="0.3">
      <c r="A90" s="45" t="s">
        <v>6</v>
      </c>
      <c r="B90" s="91">
        <v>1</v>
      </c>
      <c r="C90" s="43">
        <v>0</v>
      </c>
      <c r="D90" s="427">
        <v>0</v>
      </c>
      <c r="E90" s="5">
        <f t="shared" ref="E90:E108" si="25">SUM(B90:D90)</f>
        <v>1</v>
      </c>
      <c r="F90" s="197" t="s">
        <v>928</v>
      </c>
      <c r="G90" s="92">
        <v>0</v>
      </c>
      <c r="H90" s="194">
        <v>5</v>
      </c>
      <c r="I90" s="429">
        <v>0</v>
      </c>
      <c r="J90" s="74">
        <f t="shared" ref="J90:J108" si="26">SUM(G90:I90)</f>
        <v>5</v>
      </c>
    </row>
    <row r="91" spans="1:10" ht="14.95" thickBot="1" x14ac:dyDescent="0.3">
      <c r="A91" s="45" t="s">
        <v>1091</v>
      </c>
      <c r="B91" s="91">
        <v>0</v>
      </c>
      <c r="C91" s="43">
        <v>0</v>
      </c>
      <c r="D91" s="427">
        <v>1</v>
      </c>
      <c r="E91" s="5">
        <f t="shared" si="25"/>
        <v>1</v>
      </c>
      <c r="F91" s="197" t="s">
        <v>1143</v>
      </c>
      <c r="G91" s="92">
        <v>5</v>
      </c>
      <c r="H91" s="194">
        <v>0</v>
      </c>
      <c r="I91" s="429">
        <v>0</v>
      </c>
      <c r="J91" s="74">
        <f t="shared" si="26"/>
        <v>5</v>
      </c>
    </row>
    <row r="92" spans="1:10" ht="14.95" thickBot="1" x14ac:dyDescent="0.3">
      <c r="A92" s="45" t="s">
        <v>368</v>
      </c>
      <c r="B92" s="91">
        <v>1</v>
      </c>
      <c r="C92" s="43">
        <v>0</v>
      </c>
      <c r="D92" s="427">
        <v>0</v>
      </c>
      <c r="E92" s="5">
        <f t="shared" si="25"/>
        <v>1</v>
      </c>
      <c r="F92" s="197" t="s">
        <v>1091</v>
      </c>
      <c r="G92" s="92">
        <v>0</v>
      </c>
      <c r="H92" s="194">
        <v>0</v>
      </c>
      <c r="I92" s="429">
        <v>5</v>
      </c>
      <c r="J92" s="74">
        <f t="shared" si="26"/>
        <v>5</v>
      </c>
    </row>
    <row r="93" spans="1:10" ht="14.95" thickBot="1" x14ac:dyDescent="0.3">
      <c r="A93" s="45" t="s">
        <v>611</v>
      </c>
      <c r="B93" s="91">
        <v>0</v>
      </c>
      <c r="C93" s="43">
        <v>0</v>
      </c>
      <c r="D93" s="427">
        <v>1</v>
      </c>
      <c r="E93" s="5">
        <f t="shared" si="25"/>
        <v>1</v>
      </c>
      <c r="F93" s="197" t="s">
        <v>368</v>
      </c>
      <c r="G93" s="92">
        <v>5</v>
      </c>
      <c r="H93" s="194">
        <v>0</v>
      </c>
      <c r="I93" s="429">
        <v>0</v>
      </c>
      <c r="J93" s="74">
        <f t="shared" si="26"/>
        <v>5</v>
      </c>
    </row>
    <row r="94" spans="1:10" ht="14.95" thickBot="1" x14ac:dyDescent="0.3">
      <c r="A94" s="45" t="s">
        <v>498</v>
      </c>
      <c r="B94" s="91">
        <v>1</v>
      </c>
      <c r="C94" s="43">
        <v>0</v>
      </c>
      <c r="D94" s="427">
        <v>0</v>
      </c>
      <c r="E94" s="5">
        <f t="shared" si="25"/>
        <v>1</v>
      </c>
      <c r="F94" s="197" t="s">
        <v>611</v>
      </c>
      <c r="G94" s="92">
        <v>0</v>
      </c>
      <c r="H94" s="194">
        <v>0</v>
      </c>
      <c r="I94" s="429">
        <v>5</v>
      </c>
      <c r="J94" s="74">
        <f t="shared" si="26"/>
        <v>5</v>
      </c>
    </row>
    <row r="95" spans="1:10" ht="14.95" thickBot="1" x14ac:dyDescent="0.3">
      <c r="A95" s="45" t="s">
        <v>69</v>
      </c>
      <c r="B95" s="91">
        <v>1</v>
      </c>
      <c r="C95" s="43">
        <v>0</v>
      </c>
      <c r="D95" s="427">
        <v>0</v>
      </c>
      <c r="E95" s="5">
        <f t="shared" si="25"/>
        <v>1</v>
      </c>
      <c r="F95" s="197" t="s">
        <v>498</v>
      </c>
      <c r="G95" s="92">
        <v>5</v>
      </c>
      <c r="H95" s="194">
        <v>0</v>
      </c>
      <c r="I95" s="429">
        <v>0</v>
      </c>
      <c r="J95" s="74">
        <f t="shared" si="26"/>
        <v>5</v>
      </c>
    </row>
    <row r="96" spans="1:10" ht="14.95" thickBot="1" x14ac:dyDescent="0.3">
      <c r="A96" s="45" t="s">
        <v>31</v>
      </c>
      <c r="B96" s="91">
        <v>1</v>
      </c>
      <c r="C96" s="43">
        <v>0</v>
      </c>
      <c r="D96" s="427">
        <v>0</v>
      </c>
      <c r="E96" s="5">
        <f t="shared" si="25"/>
        <v>1</v>
      </c>
      <c r="F96" s="197" t="s">
        <v>69</v>
      </c>
      <c r="G96" s="92">
        <v>5</v>
      </c>
      <c r="H96" s="194">
        <v>0</v>
      </c>
      <c r="I96" s="429">
        <v>0</v>
      </c>
      <c r="J96" s="74">
        <f t="shared" si="26"/>
        <v>5</v>
      </c>
    </row>
    <row r="97" spans="1:10" ht="14.95" thickBot="1" x14ac:dyDescent="0.3">
      <c r="A97" s="45" t="s">
        <v>60</v>
      </c>
      <c r="B97" s="91">
        <v>1</v>
      </c>
      <c r="C97" s="43">
        <v>0</v>
      </c>
      <c r="D97" s="427">
        <v>0</v>
      </c>
      <c r="E97" s="5">
        <f t="shared" si="25"/>
        <v>1</v>
      </c>
      <c r="F97" s="197" t="s">
        <v>31</v>
      </c>
      <c r="G97" s="92">
        <v>5</v>
      </c>
      <c r="H97" s="194">
        <v>0</v>
      </c>
      <c r="I97" s="429">
        <v>0</v>
      </c>
      <c r="J97" s="74">
        <f t="shared" si="26"/>
        <v>5</v>
      </c>
    </row>
    <row r="98" spans="1:10" ht="14.95" thickBot="1" x14ac:dyDescent="0.3">
      <c r="A98" s="45" t="s">
        <v>116</v>
      </c>
      <c r="B98" s="91">
        <v>0</v>
      </c>
      <c r="C98" s="43">
        <v>0</v>
      </c>
      <c r="D98" s="427">
        <v>0</v>
      </c>
      <c r="E98" s="5">
        <f t="shared" si="25"/>
        <v>0</v>
      </c>
      <c r="F98" s="197" t="s">
        <v>60</v>
      </c>
      <c r="G98" s="92">
        <v>5</v>
      </c>
      <c r="H98" s="194">
        <v>0</v>
      </c>
      <c r="I98" s="429">
        <v>0</v>
      </c>
      <c r="J98" s="74">
        <f t="shared" si="26"/>
        <v>5</v>
      </c>
    </row>
    <row r="99" spans="1:10" ht="14.95" thickBot="1" x14ac:dyDescent="0.3">
      <c r="A99" s="45" t="s">
        <v>88</v>
      </c>
      <c r="B99" s="91">
        <v>0</v>
      </c>
      <c r="C99" s="43">
        <v>0</v>
      </c>
      <c r="D99" s="427">
        <v>0</v>
      </c>
      <c r="E99" s="5">
        <f t="shared" si="25"/>
        <v>0</v>
      </c>
      <c r="F99" s="197" t="s">
        <v>116</v>
      </c>
      <c r="G99" s="92">
        <v>0</v>
      </c>
      <c r="H99" s="194">
        <v>0</v>
      </c>
      <c r="I99" s="429">
        <v>0</v>
      </c>
      <c r="J99" s="74">
        <f t="shared" si="26"/>
        <v>0</v>
      </c>
    </row>
    <row r="100" spans="1:10" ht="14.95" customHeight="1" thickBot="1" x14ac:dyDescent="0.3">
      <c r="A100" s="45" t="s">
        <v>467</v>
      </c>
      <c r="B100" s="91">
        <v>0</v>
      </c>
      <c r="C100" s="43">
        <v>0</v>
      </c>
      <c r="D100" s="427">
        <v>0</v>
      </c>
      <c r="E100" s="5">
        <f t="shared" si="25"/>
        <v>0</v>
      </c>
      <c r="F100" s="197" t="s">
        <v>88</v>
      </c>
      <c r="G100" s="92">
        <v>0</v>
      </c>
      <c r="H100" s="194">
        <v>0</v>
      </c>
      <c r="I100" s="429">
        <v>0</v>
      </c>
      <c r="J100" s="74">
        <f t="shared" si="26"/>
        <v>0</v>
      </c>
    </row>
    <row r="101" spans="1:10" ht="14.95" thickBot="1" x14ac:dyDescent="0.3">
      <c r="A101" s="45" t="s">
        <v>15</v>
      </c>
      <c r="B101" s="91">
        <v>0</v>
      </c>
      <c r="C101" s="43">
        <v>0</v>
      </c>
      <c r="D101" s="427">
        <v>0</v>
      </c>
      <c r="E101" s="5">
        <f t="shared" si="25"/>
        <v>0</v>
      </c>
      <c r="F101" s="197" t="s">
        <v>467</v>
      </c>
      <c r="G101" s="92">
        <v>0</v>
      </c>
      <c r="H101" s="194">
        <v>0</v>
      </c>
      <c r="I101" s="429">
        <v>0</v>
      </c>
      <c r="J101" s="74">
        <f t="shared" si="26"/>
        <v>0</v>
      </c>
    </row>
    <row r="102" spans="1:10" ht="14.95" thickBot="1" x14ac:dyDescent="0.3">
      <c r="A102" s="45" t="s">
        <v>541</v>
      </c>
      <c r="B102" s="91">
        <v>0</v>
      </c>
      <c r="C102" s="43">
        <v>0</v>
      </c>
      <c r="D102" s="427">
        <v>0</v>
      </c>
      <c r="E102" s="5">
        <f t="shared" si="25"/>
        <v>0</v>
      </c>
      <c r="F102" s="197" t="s">
        <v>15</v>
      </c>
      <c r="G102" s="92">
        <v>0</v>
      </c>
      <c r="H102" s="194">
        <v>0</v>
      </c>
      <c r="I102" s="429">
        <v>0</v>
      </c>
      <c r="J102" s="74">
        <f t="shared" si="26"/>
        <v>0</v>
      </c>
    </row>
    <row r="103" spans="1:10" ht="14.95" customHeight="1" thickBot="1" x14ac:dyDescent="0.3">
      <c r="A103" s="45" t="s">
        <v>436</v>
      </c>
      <c r="B103" s="91">
        <v>0</v>
      </c>
      <c r="C103" s="43">
        <v>0</v>
      </c>
      <c r="D103" s="427">
        <v>0</v>
      </c>
      <c r="E103" s="5">
        <f t="shared" si="25"/>
        <v>0</v>
      </c>
      <c r="F103" s="197" t="s">
        <v>541</v>
      </c>
      <c r="G103" s="92">
        <v>0</v>
      </c>
      <c r="H103" s="194">
        <v>0</v>
      </c>
      <c r="I103" s="429">
        <v>0</v>
      </c>
      <c r="J103" s="74">
        <f t="shared" si="26"/>
        <v>0</v>
      </c>
    </row>
    <row r="104" spans="1:10" ht="14.95" thickBot="1" x14ac:dyDescent="0.3">
      <c r="A104" s="45" t="s">
        <v>89</v>
      </c>
      <c r="B104" s="91">
        <v>0</v>
      </c>
      <c r="C104" s="43">
        <v>0</v>
      </c>
      <c r="D104" s="427">
        <v>0</v>
      </c>
      <c r="E104" s="5">
        <f t="shared" si="25"/>
        <v>0</v>
      </c>
      <c r="F104" s="197" t="s">
        <v>436</v>
      </c>
      <c r="G104" s="92">
        <v>0</v>
      </c>
      <c r="H104" s="194">
        <v>0</v>
      </c>
      <c r="I104" s="429">
        <v>0</v>
      </c>
      <c r="J104" s="74">
        <f t="shared" si="26"/>
        <v>0</v>
      </c>
    </row>
    <row r="105" spans="1:10" ht="14.95" customHeight="1" thickBot="1" x14ac:dyDescent="0.3">
      <c r="A105" s="45" t="s">
        <v>930</v>
      </c>
      <c r="B105" s="91">
        <v>0</v>
      </c>
      <c r="C105" s="43">
        <v>0</v>
      </c>
      <c r="D105" s="427">
        <v>0</v>
      </c>
      <c r="E105" s="5">
        <f t="shared" si="25"/>
        <v>0</v>
      </c>
      <c r="F105" s="197" t="s">
        <v>89</v>
      </c>
      <c r="G105" s="92">
        <v>0</v>
      </c>
      <c r="H105" s="194">
        <v>0</v>
      </c>
      <c r="I105" s="429">
        <v>0</v>
      </c>
      <c r="J105" s="74">
        <f t="shared" si="26"/>
        <v>0</v>
      </c>
    </row>
    <row r="106" spans="1:10" ht="14.95" customHeight="1" thickBot="1" x14ac:dyDescent="0.3">
      <c r="A106" s="45" t="s">
        <v>414</v>
      </c>
      <c r="B106" s="91">
        <v>0</v>
      </c>
      <c r="C106" s="43">
        <v>0</v>
      </c>
      <c r="D106" s="427">
        <v>0</v>
      </c>
      <c r="E106" s="5">
        <f t="shared" si="25"/>
        <v>0</v>
      </c>
      <c r="F106" s="197" t="s">
        <v>930</v>
      </c>
      <c r="G106" s="92">
        <v>0</v>
      </c>
      <c r="H106" s="194">
        <v>0</v>
      </c>
      <c r="I106" s="429">
        <v>0</v>
      </c>
      <c r="J106" s="74">
        <f t="shared" si="26"/>
        <v>0</v>
      </c>
    </row>
    <row r="107" spans="1:10" ht="14.95" thickBot="1" x14ac:dyDescent="0.3">
      <c r="A107" s="45" t="s">
        <v>7</v>
      </c>
      <c r="B107" s="91">
        <v>0</v>
      </c>
      <c r="C107" s="43">
        <v>0</v>
      </c>
      <c r="D107" s="427">
        <v>0</v>
      </c>
      <c r="E107" s="5">
        <f t="shared" si="25"/>
        <v>0</v>
      </c>
      <c r="F107" s="197" t="s">
        <v>7</v>
      </c>
      <c r="G107" s="92">
        <v>0</v>
      </c>
      <c r="H107" s="194">
        <v>0</v>
      </c>
      <c r="I107" s="429">
        <v>0</v>
      </c>
      <c r="J107" s="74">
        <f t="shared" si="26"/>
        <v>0</v>
      </c>
    </row>
    <row r="108" spans="1:10" ht="14.95" thickBot="1" x14ac:dyDescent="0.3">
      <c r="A108" s="45" t="s">
        <v>469</v>
      </c>
      <c r="B108" s="91">
        <v>0</v>
      </c>
      <c r="C108" s="43">
        <v>0</v>
      </c>
      <c r="D108" s="427">
        <v>0</v>
      </c>
      <c r="E108" s="5">
        <f t="shared" si="25"/>
        <v>0</v>
      </c>
      <c r="F108" s="197" t="s">
        <v>469</v>
      </c>
      <c r="G108" s="92">
        <v>0</v>
      </c>
      <c r="H108" s="194">
        <v>0</v>
      </c>
      <c r="I108" s="429">
        <v>0</v>
      </c>
      <c r="J108" s="74">
        <f t="shared" si="26"/>
        <v>0</v>
      </c>
    </row>
    <row r="109" spans="1:10" ht="14.95" customHeight="1" thickBot="1" x14ac:dyDescent="0.3">
      <c r="A109" s="45" t="s">
        <v>3</v>
      </c>
      <c r="B109" s="91">
        <f>SUM(B58:B108)</f>
        <v>82</v>
      </c>
      <c r="C109" s="43">
        <f>SUM(C58:C108)</f>
        <v>23</v>
      </c>
      <c r="D109" s="427">
        <f>SUM(D58:D108)</f>
        <v>11</v>
      </c>
      <c r="E109" s="5">
        <f t="shared" ref="E109" si="27">SUM(B109:D109)</f>
        <v>116</v>
      </c>
      <c r="F109" s="197" t="s">
        <v>3</v>
      </c>
      <c r="G109" s="92">
        <f>SUM(G58:G108)</f>
        <v>584</v>
      </c>
      <c r="H109" s="194">
        <f>SUM(H58:H108)</f>
        <v>150</v>
      </c>
      <c r="I109" s="429">
        <f>SUM(I58:I108)</f>
        <v>77</v>
      </c>
      <c r="J109" s="74">
        <f t="shared" ref="J109" si="28">SUM(G109:I109)</f>
        <v>811</v>
      </c>
    </row>
    <row r="110" spans="1:10" x14ac:dyDescent="0.25">
      <c r="A110" s="532" t="s">
        <v>81</v>
      </c>
      <c r="B110" s="519"/>
      <c r="C110" s="519"/>
      <c r="D110" s="519"/>
      <c r="E110" s="519"/>
      <c r="F110" s="519"/>
      <c r="G110" s="519"/>
      <c r="H110" s="519"/>
      <c r="I110" s="519"/>
      <c r="J110" s="519"/>
    </row>
  </sheetData>
  <sortState xmlns:xlrd2="http://schemas.microsoft.com/office/spreadsheetml/2017/richdata2" ref="F58:J108">
    <sortCondition descending="1" ref="J58:J108"/>
  </sortState>
  <mergeCells count="47">
    <mergeCell ref="K38:Z38"/>
    <mergeCell ref="K37:Y37"/>
    <mergeCell ref="R29:T30"/>
    <mergeCell ref="O29:Q30"/>
    <mergeCell ref="AN20:AP21"/>
    <mergeCell ref="R20:T21"/>
    <mergeCell ref="U20:W21"/>
    <mergeCell ref="AB20:AD21"/>
    <mergeCell ref="AE20:AG21"/>
    <mergeCell ref="AH20:AJ21"/>
    <mergeCell ref="AN11:AP12"/>
    <mergeCell ref="AH1:AJ2"/>
    <mergeCell ref="AT1:AV2"/>
    <mergeCell ref="AQ1:AS2"/>
    <mergeCell ref="AN1:AP2"/>
    <mergeCell ref="AK1:AM2"/>
    <mergeCell ref="AK11:AM12"/>
    <mergeCell ref="AB1:AD2"/>
    <mergeCell ref="AB11:AD12"/>
    <mergeCell ref="AK29:AM30"/>
    <mergeCell ref="X11:Y12"/>
    <mergeCell ref="U29:W30"/>
    <mergeCell ref="AK20:AM21"/>
    <mergeCell ref="AH11:AJ12"/>
    <mergeCell ref="AH29:AJ30"/>
    <mergeCell ref="AE29:AG30"/>
    <mergeCell ref="AB29:AD30"/>
    <mergeCell ref="W1:Y2"/>
    <mergeCell ref="AE1:AG2"/>
    <mergeCell ref="U11:W12"/>
    <mergeCell ref="AE11:AG12"/>
    <mergeCell ref="A110:J110"/>
    <mergeCell ref="O11:Q12"/>
    <mergeCell ref="K29:K30"/>
    <mergeCell ref="T1:V2"/>
    <mergeCell ref="R1:S2"/>
    <mergeCell ref="K1:K2"/>
    <mergeCell ref="L1:N2"/>
    <mergeCell ref="O1:Q2"/>
    <mergeCell ref="K20:K21"/>
    <mergeCell ref="L20:N21"/>
    <mergeCell ref="O20:Q21"/>
    <mergeCell ref="K11:K12"/>
    <mergeCell ref="L11:N12"/>
    <mergeCell ref="R11:T12"/>
    <mergeCell ref="L29:N30"/>
    <mergeCell ref="K39:Y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106"/>
  <sheetViews>
    <sheetView zoomScaleNormal="100" workbookViewId="0">
      <selection activeCell="Q15" sqref="Q15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6.75" customWidth="1"/>
    <col min="12" max="18" width="5.375" customWidth="1"/>
    <col min="19" max="19" width="5.75" customWidth="1"/>
    <col min="20" max="31" width="5.375" customWidth="1"/>
    <col min="32" max="49" width="5.75" customWidth="1"/>
  </cols>
  <sheetData>
    <row r="1" spans="1:56" ht="14.95" customHeight="1" thickBot="1" x14ac:dyDescent="0.3">
      <c r="A1" s="564" t="s">
        <v>844</v>
      </c>
      <c r="B1" s="565"/>
      <c r="C1" s="565"/>
      <c r="D1" s="565"/>
      <c r="E1" s="565"/>
      <c r="F1" s="565"/>
      <c r="G1" s="565"/>
      <c r="H1" s="565"/>
      <c r="I1" s="565"/>
      <c r="J1" s="566"/>
      <c r="K1" s="540" t="s">
        <v>509</v>
      </c>
      <c r="L1" s="526" t="s">
        <v>29</v>
      </c>
      <c r="M1" s="527"/>
      <c r="N1" s="528"/>
      <c r="O1" s="526" t="s">
        <v>93</v>
      </c>
      <c r="P1" s="527"/>
      <c r="Q1" s="528"/>
      <c r="R1" s="526" t="s">
        <v>508</v>
      </c>
      <c r="S1" s="528"/>
      <c r="T1" s="520" t="s">
        <v>634</v>
      </c>
      <c r="U1" s="521"/>
      <c r="V1" s="522"/>
      <c r="W1" s="520" t="s">
        <v>863</v>
      </c>
      <c r="X1" s="521"/>
      <c r="Y1" s="522"/>
      <c r="Z1" s="325"/>
      <c r="AA1" s="214"/>
      <c r="AB1" s="326"/>
      <c r="AC1" s="520" t="s">
        <v>621</v>
      </c>
      <c r="AD1" s="521"/>
      <c r="AE1" s="522"/>
      <c r="AF1" s="520" t="s">
        <v>448</v>
      </c>
      <c r="AG1" s="521"/>
      <c r="AH1" s="522"/>
      <c r="AI1" s="520" t="s">
        <v>178</v>
      </c>
      <c r="AJ1" s="521"/>
      <c r="AK1" s="522"/>
      <c r="AL1" s="520" t="s">
        <v>122</v>
      </c>
      <c r="AM1" s="521"/>
      <c r="AN1" s="522"/>
      <c r="AO1" s="520" t="s">
        <v>113</v>
      </c>
      <c r="AP1" s="521"/>
      <c r="AQ1" s="522"/>
      <c r="AR1" s="520" t="s">
        <v>96</v>
      </c>
      <c r="AS1" s="521"/>
      <c r="AT1" s="522"/>
      <c r="AU1" s="520" t="s">
        <v>106</v>
      </c>
      <c r="AV1" s="521"/>
      <c r="AW1" s="522"/>
      <c r="AY1" s="4"/>
      <c r="AZ1" s="4"/>
      <c r="BA1" s="4"/>
      <c r="BD1" s="4"/>
    </row>
    <row r="2" spans="1:56" ht="14.95" customHeight="1" thickBot="1" x14ac:dyDescent="0.3">
      <c r="A2" s="142" t="s">
        <v>0</v>
      </c>
      <c r="B2" s="279" t="s">
        <v>620</v>
      </c>
      <c r="C2" s="464" t="s">
        <v>64</v>
      </c>
      <c r="D2" s="439" t="s">
        <v>925</v>
      </c>
      <c r="E2" s="143" t="s">
        <v>1</v>
      </c>
      <c r="F2" s="144" t="s">
        <v>2</v>
      </c>
      <c r="G2" s="277" t="s">
        <v>620</v>
      </c>
      <c r="H2" s="462" t="s">
        <v>64</v>
      </c>
      <c r="I2" s="440" t="s">
        <v>925</v>
      </c>
      <c r="J2" s="130" t="s">
        <v>1</v>
      </c>
      <c r="K2" s="541"/>
      <c r="L2" s="529"/>
      <c r="M2" s="530"/>
      <c r="N2" s="531"/>
      <c r="O2" s="529"/>
      <c r="P2" s="530"/>
      <c r="Q2" s="531"/>
      <c r="R2" s="529"/>
      <c r="S2" s="531"/>
      <c r="T2" s="523"/>
      <c r="U2" s="524"/>
      <c r="V2" s="525"/>
      <c r="W2" s="523"/>
      <c r="X2" s="524"/>
      <c r="Y2" s="525"/>
      <c r="Z2" s="325"/>
      <c r="AA2" s="214"/>
      <c r="AB2" s="326"/>
      <c r="AC2" s="523"/>
      <c r="AD2" s="524"/>
      <c r="AE2" s="525"/>
      <c r="AF2" s="523"/>
      <c r="AG2" s="524"/>
      <c r="AH2" s="525"/>
      <c r="AI2" s="523"/>
      <c r="AJ2" s="524"/>
      <c r="AK2" s="525"/>
      <c r="AL2" s="523"/>
      <c r="AM2" s="524"/>
      <c r="AN2" s="525"/>
      <c r="AO2" s="523"/>
      <c r="AP2" s="524"/>
      <c r="AQ2" s="525"/>
      <c r="AR2" s="523"/>
      <c r="AS2" s="524"/>
      <c r="AT2" s="525"/>
      <c r="AU2" s="523"/>
      <c r="AV2" s="524"/>
      <c r="AW2" s="525"/>
    </row>
    <row r="3" spans="1:56" ht="14.95" customHeight="1" thickBot="1" x14ac:dyDescent="0.3">
      <c r="A3" s="46" t="s">
        <v>156</v>
      </c>
      <c r="B3" s="280">
        <v>4</v>
      </c>
      <c r="C3" s="465">
        <v>0</v>
      </c>
      <c r="D3" s="441">
        <v>1</v>
      </c>
      <c r="E3" s="70">
        <f>SUM(B3:D3)</f>
        <v>5</v>
      </c>
      <c r="F3" s="88" t="s">
        <v>156</v>
      </c>
      <c r="G3" s="278">
        <v>20</v>
      </c>
      <c r="H3" s="463">
        <v>0</v>
      </c>
      <c r="I3" s="442">
        <v>5</v>
      </c>
      <c r="J3" s="90">
        <f>SUM(G3:I3)</f>
        <v>25</v>
      </c>
      <c r="K3" s="393" t="s">
        <v>44</v>
      </c>
      <c r="L3" s="3" t="s">
        <v>107</v>
      </c>
      <c r="M3" s="3" t="s">
        <v>23</v>
      </c>
      <c r="N3" s="3" t="s">
        <v>24</v>
      </c>
      <c r="O3" s="217" t="s">
        <v>107</v>
      </c>
      <c r="P3" s="3" t="s">
        <v>23</v>
      </c>
      <c r="Q3" s="3" t="s">
        <v>24</v>
      </c>
      <c r="R3" s="3" t="s">
        <v>34</v>
      </c>
      <c r="S3" s="3" t="s">
        <v>135</v>
      </c>
      <c r="T3" s="93" t="s">
        <v>107</v>
      </c>
      <c r="U3" s="93" t="s">
        <v>23</v>
      </c>
      <c r="V3" s="93" t="s">
        <v>24</v>
      </c>
      <c r="W3" s="201" t="s">
        <v>107</v>
      </c>
      <c r="X3" s="7" t="s">
        <v>23</v>
      </c>
      <c r="Y3" s="7" t="s">
        <v>24</v>
      </c>
      <c r="Z3" s="108"/>
      <c r="AA3" s="109"/>
      <c r="AB3" s="327"/>
      <c r="AC3" s="201" t="s">
        <v>107</v>
      </c>
      <c r="AD3" s="7" t="s">
        <v>23</v>
      </c>
      <c r="AE3" s="7" t="s">
        <v>24</v>
      </c>
      <c r="AF3" s="201" t="s">
        <v>107</v>
      </c>
      <c r="AG3" s="7" t="s">
        <v>23</v>
      </c>
      <c r="AH3" s="7" t="s">
        <v>24</v>
      </c>
      <c r="AI3" s="201" t="s">
        <v>107</v>
      </c>
      <c r="AJ3" s="7" t="s">
        <v>23</v>
      </c>
      <c r="AK3" s="7" t="s">
        <v>24</v>
      </c>
      <c r="AL3" s="201" t="s">
        <v>107</v>
      </c>
      <c r="AM3" s="7" t="s">
        <v>23</v>
      </c>
      <c r="AN3" s="7" t="s">
        <v>24</v>
      </c>
      <c r="AO3" s="7" t="s">
        <v>107</v>
      </c>
      <c r="AP3" s="7" t="s">
        <v>23</v>
      </c>
      <c r="AQ3" s="7" t="s">
        <v>24</v>
      </c>
      <c r="AR3" s="7" t="s">
        <v>107</v>
      </c>
      <c r="AS3" s="7" t="s">
        <v>23</v>
      </c>
      <c r="AT3" s="7" t="s">
        <v>24</v>
      </c>
      <c r="AU3" s="7" t="s">
        <v>107</v>
      </c>
      <c r="AV3" s="7" t="s">
        <v>23</v>
      </c>
      <c r="AW3" s="7" t="s">
        <v>24</v>
      </c>
    </row>
    <row r="4" spans="1:56" ht="14.95" customHeight="1" thickBot="1" x14ac:dyDescent="0.3">
      <c r="A4" s="46" t="s">
        <v>604</v>
      </c>
      <c r="B4" s="280">
        <v>1</v>
      </c>
      <c r="C4" s="465">
        <v>2</v>
      </c>
      <c r="D4" s="441">
        <v>0</v>
      </c>
      <c r="E4" s="70">
        <f t="shared" ref="E4:E52" si="0">SUM(B4:D4)</f>
        <v>3</v>
      </c>
      <c r="F4" s="88" t="s">
        <v>604</v>
      </c>
      <c r="G4" s="278">
        <v>5</v>
      </c>
      <c r="H4" s="463">
        <v>10</v>
      </c>
      <c r="I4" s="442">
        <v>0</v>
      </c>
      <c r="J4" s="90">
        <f t="shared" ref="J4:J52" si="1">SUM(G4:I4)</f>
        <v>15</v>
      </c>
      <c r="K4" s="56" t="s">
        <v>468</v>
      </c>
      <c r="L4" s="14">
        <v>3</v>
      </c>
      <c r="M4" s="14">
        <v>5</v>
      </c>
      <c r="N4" s="200">
        <f t="shared" ref="N4:N5" si="2">(L4/M4)*100</f>
        <v>60</v>
      </c>
      <c r="O4" s="14" t="s">
        <v>30</v>
      </c>
      <c r="P4" s="14" t="s">
        <v>30</v>
      </c>
      <c r="Q4" s="200" t="s">
        <v>30</v>
      </c>
      <c r="R4" s="14">
        <v>1</v>
      </c>
      <c r="S4" s="14">
        <v>1</v>
      </c>
      <c r="T4" s="93">
        <v>16</v>
      </c>
      <c r="U4" s="93">
        <v>17</v>
      </c>
      <c r="V4" s="270">
        <f t="shared" ref="V4" si="3">(T4/U4)*100</f>
        <v>94.117647058823522</v>
      </c>
      <c r="W4" s="201" t="s">
        <v>30</v>
      </c>
      <c r="X4" s="7" t="s">
        <v>30</v>
      </c>
      <c r="Y4" s="7" t="s">
        <v>30</v>
      </c>
      <c r="Z4" s="108"/>
      <c r="AA4" s="109"/>
      <c r="AB4" s="327"/>
      <c r="AC4" s="201" t="s">
        <v>30</v>
      </c>
      <c r="AD4" s="7" t="s">
        <v>30</v>
      </c>
      <c r="AE4" s="7" t="s">
        <v>30</v>
      </c>
      <c r="AF4" s="201" t="s">
        <v>30</v>
      </c>
      <c r="AG4" s="7" t="s">
        <v>30</v>
      </c>
      <c r="AH4" s="7" t="s">
        <v>30</v>
      </c>
      <c r="AI4" s="201" t="s">
        <v>30</v>
      </c>
      <c r="AJ4" s="7" t="s">
        <v>30</v>
      </c>
      <c r="AK4" s="7" t="s">
        <v>30</v>
      </c>
      <c r="AL4" s="6" t="s">
        <v>30</v>
      </c>
      <c r="AM4" s="7" t="s">
        <v>30</v>
      </c>
      <c r="AN4" s="7" t="s">
        <v>30</v>
      </c>
      <c r="AO4" s="7" t="s">
        <v>30</v>
      </c>
      <c r="AP4" s="7" t="s">
        <v>30</v>
      </c>
      <c r="AQ4" s="7" t="s">
        <v>30</v>
      </c>
      <c r="AR4" s="7" t="s">
        <v>30</v>
      </c>
      <c r="AS4" s="7" t="s">
        <v>30</v>
      </c>
      <c r="AT4" s="7" t="s">
        <v>30</v>
      </c>
      <c r="AU4" s="7" t="s">
        <v>30</v>
      </c>
      <c r="AV4" s="7" t="s">
        <v>30</v>
      </c>
      <c r="AW4" s="7" t="s">
        <v>30</v>
      </c>
    </row>
    <row r="5" spans="1:56" ht="14.95" customHeight="1" thickBot="1" x14ac:dyDescent="0.3">
      <c r="A5" s="46" t="s">
        <v>70</v>
      </c>
      <c r="B5" s="280">
        <v>2</v>
      </c>
      <c r="C5" s="465">
        <v>1</v>
      </c>
      <c r="D5" s="441">
        <v>0</v>
      </c>
      <c r="E5" s="70">
        <f t="shared" si="0"/>
        <v>3</v>
      </c>
      <c r="F5" s="87" t="s">
        <v>70</v>
      </c>
      <c r="G5" s="278">
        <v>10</v>
      </c>
      <c r="H5" s="463">
        <v>5</v>
      </c>
      <c r="I5" s="442">
        <v>0</v>
      </c>
      <c r="J5" s="90">
        <f t="shared" si="1"/>
        <v>15</v>
      </c>
      <c r="K5" s="56" t="s">
        <v>410</v>
      </c>
      <c r="L5" s="14">
        <v>0</v>
      </c>
      <c r="M5" s="14">
        <v>1</v>
      </c>
      <c r="N5" s="200">
        <f t="shared" si="2"/>
        <v>0</v>
      </c>
      <c r="O5" s="14" t="s">
        <v>30</v>
      </c>
      <c r="P5" s="14" t="s">
        <v>30</v>
      </c>
      <c r="Q5" s="200" t="s">
        <v>30</v>
      </c>
      <c r="R5" s="14">
        <v>-1</v>
      </c>
      <c r="S5" s="14">
        <v>-1</v>
      </c>
      <c r="T5" s="93" t="s">
        <v>30</v>
      </c>
      <c r="U5" s="93" t="s">
        <v>30</v>
      </c>
      <c r="V5" s="270" t="s">
        <v>30</v>
      </c>
      <c r="W5" s="201" t="s">
        <v>30</v>
      </c>
      <c r="X5" s="7" t="s">
        <v>30</v>
      </c>
      <c r="Y5" s="7" t="s">
        <v>30</v>
      </c>
      <c r="Z5" s="108"/>
      <c r="AA5" s="109"/>
      <c r="AB5" s="327"/>
      <c r="AC5" s="201" t="s">
        <v>30</v>
      </c>
      <c r="AD5" s="7" t="s">
        <v>30</v>
      </c>
      <c r="AE5" s="7" t="s">
        <v>30</v>
      </c>
      <c r="AF5" s="201" t="s">
        <v>30</v>
      </c>
      <c r="AG5" s="7" t="s">
        <v>30</v>
      </c>
      <c r="AH5" s="7" t="s">
        <v>30</v>
      </c>
      <c r="AI5" s="201" t="s">
        <v>30</v>
      </c>
      <c r="AJ5" s="7" t="s">
        <v>30</v>
      </c>
      <c r="AK5" s="7" t="s">
        <v>30</v>
      </c>
      <c r="AL5" s="6" t="s">
        <v>30</v>
      </c>
      <c r="AM5" s="7" t="s">
        <v>30</v>
      </c>
      <c r="AN5" s="7" t="s">
        <v>30</v>
      </c>
      <c r="AO5" s="7" t="s">
        <v>30</v>
      </c>
      <c r="AP5" s="7" t="s">
        <v>30</v>
      </c>
      <c r="AQ5" s="7" t="s">
        <v>30</v>
      </c>
      <c r="AR5" s="7" t="s">
        <v>30</v>
      </c>
      <c r="AS5" s="7" t="s">
        <v>30</v>
      </c>
      <c r="AT5" s="7" t="s">
        <v>30</v>
      </c>
      <c r="AU5" s="7" t="s">
        <v>30</v>
      </c>
      <c r="AV5" s="7" t="s">
        <v>30</v>
      </c>
      <c r="AW5" s="7" t="s">
        <v>30</v>
      </c>
    </row>
    <row r="6" spans="1:56" ht="14.95" customHeight="1" thickBot="1" x14ac:dyDescent="0.3">
      <c r="A6" s="46" t="s">
        <v>77</v>
      </c>
      <c r="B6" s="280">
        <v>3</v>
      </c>
      <c r="C6" s="465">
        <v>0</v>
      </c>
      <c r="D6" s="441">
        <v>1</v>
      </c>
      <c r="E6" s="70">
        <f t="shared" si="0"/>
        <v>4</v>
      </c>
      <c r="F6" s="87" t="s">
        <v>77</v>
      </c>
      <c r="G6" s="278">
        <v>15</v>
      </c>
      <c r="H6" s="463">
        <v>0</v>
      </c>
      <c r="I6" s="442">
        <v>5</v>
      </c>
      <c r="J6" s="90">
        <f t="shared" si="1"/>
        <v>20</v>
      </c>
      <c r="K6" s="56" t="s">
        <v>4</v>
      </c>
      <c r="L6" s="14">
        <v>15</v>
      </c>
      <c r="M6" s="14">
        <v>19</v>
      </c>
      <c r="N6" s="200">
        <f t="shared" ref="N6:N7" si="4">(L6/M6)*100</f>
        <v>78.94736842105263</v>
      </c>
      <c r="O6" s="14" t="s">
        <v>30</v>
      </c>
      <c r="P6" s="14" t="s">
        <v>30</v>
      </c>
      <c r="Q6" s="200" t="s">
        <v>30</v>
      </c>
      <c r="R6" s="14">
        <v>-1</v>
      </c>
      <c r="S6" s="14">
        <v>-1</v>
      </c>
      <c r="T6" s="93">
        <v>13</v>
      </c>
      <c r="U6" s="93">
        <v>18</v>
      </c>
      <c r="V6" s="270">
        <f t="shared" ref="V6:V9" si="5">(T6/U6)*100</f>
        <v>72.222222222222214</v>
      </c>
      <c r="W6" s="201">
        <v>5</v>
      </c>
      <c r="X6" s="7">
        <v>8</v>
      </c>
      <c r="Y6" s="206">
        <f t="shared" ref="Y6:Y9" si="6">(W6/X6)*100</f>
        <v>62.5</v>
      </c>
      <c r="Z6" s="108"/>
      <c r="AA6" s="109"/>
      <c r="AB6" s="327"/>
      <c r="AC6" s="201">
        <v>5</v>
      </c>
      <c r="AD6" s="7">
        <v>7</v>
      </c>
      <c r="AE6" s="206">
        <v>71.428571428571431</v>
      </c>
      <c r="AF6" s="201" t="s">
        <v>30</v>
      </c>
      <c r="AG6" s="7" t="s">
        <v>30</v>
      </c>
      <c r="AH6" s="7" t="s">
        <v>30</v>
      </c>
      <c r="AI6" s="201" t="s">
        <v>30</v>
      </c>
      <c r="AJ6" s="7" t="s">
        <v>30</v>
      </c>
      <c r="AK6" s="7" t="s">
        <v>30</v>
      </c>
      <c r="AL6" s="201" t="s">
        <v>30</v>
      </c>
      <c r="AM6" s="7" t="s">
        <v>30</v>
      </c>
      <c r="AN6" s="7" t="s">
        <v>30</v>
      </c>
      <c r="AO6" s="7" t="s">
        <v>30</v>
      </c>
      <c r="AP6" s="7" t="s">
        <v>30</v>
      </c>
      <c r="AQ6" s="7" t="s">
        <v>30</v>
      </c>
      <c r="AR6" s="7" t="s">
        <v>30</v>
      </c>
      <c r="AS6" s="7" t="s">
        <v>30</v>
      </c>
      <c r="AT6" s="7" t="s">
        <v>30</v>
      </c>
      <c r="AU6" s="7" t="s">
        <v>30</v>
      </c>
      <c r="AV6" s="7" t="s">
        <v>30</v>
      </c>
      <c r="AW6" s="7" t="s">
        <v>30</v>
      </c>
    </row>
    <row r="7" spans="1:56" ht="14.95" customHeight="1" thickBot="1" x14ac:dyDescent="0.3">
      <c r="A7" s="46" t="s">
        <v>1212</v>
      </c>
      <c r="B7" s="280">
        <v>0</v>
      </c>
      <c r="C7" s="465">
        <v>0</v>
      </c>
      <c r="D7" s="441">
        <v>1</v>
      </c>
      <c r="E7" s="70">
        <f t="shared" si="0"/>
        <v>1</v>
      </c>
      <c r="F7" s="87" t="s">
        <v>1212</v>
      </c>
      <c r="G7" s="278">
        <v>0</v>
      </c>
      <c r="H7" s="463">
        <v>0</v>
      </c>
      <c r="I7" s="442">
        <v>5</v>
      </c>
      <c r="J7" s="90">
        <f t="shared" si="1"/>
        <v>5</v>
      </c>
      <c r="K7" s="56" t="s">
        <v>1004</v>
      </c>
      <c r="L7" s="14">
        <v>72</v>
      </c>
      <c r="M7" s="14">
        <v>93</v>
      </c>
      <c r="N7" s="200">
        <f t="shared" si="4"/>
        <v>77.41935483870968</v>
      </c>
      <c r="O7" s="14">
        <v>7</v>
      </c>
      <c r="P7" s="14">
        <v>8</v>
      </c>
      <c r="Q7" s="200">
        <f t="shared" ref="Q7" si="7">(O7/P7)*100</f>
        <v>87.5</v>
      </c>
      <c r="R7" s="14">
        <v>4</v>
      </c>
      <c r="S7" s="14">
        <v>4</v>
      </c>
      <c r="T7" s="93">
        <v>14</v>
      </c>
      <c r="U7" s="93">
        <v>17</v>
      </c>
      <c r="V7" s="270">
        <v>82.35294117647058</v>
      </c>
      <c r="W7" s="201">
        <v>16</v>
      </c>
      <c r="X7" s="7">
        <v>25</v>
      </c>
      <c r="Y7" s="206">
        <v>64</v>
      </c>
      <c r="Z7" s="108"/>
      <c r="AA7" s="109"/>
      <c r="AB7" s="327"/>
      <c r="AC7" s="201">
        <v>55</v>
      </c>
      <c r="AD7" s="7">
        <v>64</v>
      </c>
      <c r="AE7" s="206">
        <v>85.9375</v>
      </c>
      <c r="AF7" s="201">
        <v>25</v>
      </c>
      <c r="AG7" s="7">
        <v>33</v>
      </c>
      <c r="AH7" s="7">
        <v>76</v>
      </c>
      <c r="AI7" s="201"/>
      <c r="AJ7" s="7"/>
      <c r="AK7" s="7"/>
      <c r="AL7" s="201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</row>
    <row r="8" spans="1:56" ht="14.95" customHeight="1" thickBot="1" x14ac:dyDescent="0.3">
      <c r="A8" s="46" t="s">
        <v>468</v>
      </c>
      <c r="B8" s="280">
        <v>0</v>
      </c>
      <c r="C8" s="465">
        <v>0</v>
      </c>
      <c r="D8" s="441">
        <v>1</v>
      </c>
      <c r="E8" s="70">
        <f t="shared" si="0"/>
        <v>1</v>
      </c>
      <c r="F8" s="87" t="s">
        <v>468</v>
      </c>
      <c r="G8" s="278">
        <v>6</v>
      </c>
      <c r="H8" s="463">
        <v>2</v>
      </c>
      <c r="I8" s="442">
        <v>34</v>
      </c>
      <c r="J8" s="90">
        <f t="shared" si="1"/>
        <v>42</v>
      </c>
      <c r="K8" s="56" t="s">
        <v>54</v>
      </c>
      <c r="L8" s="14" t="s">
        <v>30</v>
      </c>
      <c r="M8" s="14" t="s">
        <v>30</v>
      </c>
      <c r="N8" s="25" t="s">
        <v>30</v>
      </c>
      <c r="O8" s="14" t="s">
        <v>30</v>
      </c>
      <c r="P8" s="14" t="s">
        <v>30</v>
      </c>
      <c r="Q8" s="200" t="s">
        <v>30</v>
      </c>
      <c r="R8" s="70">
        <v>2</v>
      </c>
      <c r="S8" s="70">
        <v>-1</v>
      </c>
      <c r="T8" s="93">
        <v>2</v>
      </c>
      <c r="U8" s="93">
        <v>2</v>
      </c>
      <c r="V8" s="270">
        <f t="shared" si="5"/>
        <v>100</v>
      </c>
      <c r="W8" s="201" t="s">
        <v>30</v>
      </c>
      <c r="X8" s="7" t="s">
        <v>30</v>
      </c>
      <c r="Y8" s="7" t="s">
        <v>30</v>
      </c>
      <c r="Z8" s="108"/>
      <c r="AA8" s="109"/>
      <c r="AB8" s="327"/>
      <c r="AC8" s="201" t="s">
        <v>30</v>
      </c>
      <c r="AD8" s="7" t="s">
        <v>30</v>
      </c>
      <c r="AE8" s="7" t="s">
        <v>30</v>
      </c>
      <c r="AF8" s="201" t="s">
        <v>30</v>
      </c>
      <c r="AG8" s="7" t="s">
        <v>30</v>
      </c>
      <c r="AH8" s="7" t="s">
        <v>30</v>
      </c>
      <c r="AI8" s="201" t="s">
        <v>30</v>
      </c>
      <c r="AJ8" s="7" t="s">
        <v>30</v>
      </c>
      <c r="AK8" s="7" t="s">
        <v>30</v>
      </c>
      <c r="AL8" s="6" t="s">
        <v>30</v>
      </c>
      <c r="AM8" s="7" t="s">
        <v>30</v>
      </c>
      <c r="AN8" s="7" t="s">
        <v>30</v>
      </c>
      <c r="AO8" s="7" t="s">
        <v>30</v>
      </c>
      <c r="AP8" s="7" t="s">
        <v>30</v>
      </c>
      <c r="AQ8" s="7" t="s">
        <v>30</v>
      </c>
      <c r="AR8" s="7" t="s">
        <v>30</v>
      </c>
      <c r="AS8" s="7" t="s">
        <v>30</v>
      </c>
      <c r="AT8" s="7" t="s">
        <v>30</v>
      </c>
      <c r="AU8" s="7" t="s">
        <v>30</v>
      </c>
      <c r="AV8" s="7" t="s">
        <v>30</v>
      </c>
      <c r="AW8" s="7" t="s">
        <v>30</v>
      </c>
    </row>
    <row r="9" spans="1:56" ht="14.95" customHeight="1" thickBot="1" x14ac:dyDescent="0.3">
      <c r="A9" s="46" t="s">
        <v>1120</v>
      </c>
      <c r="B9" s="280">
        <v>0</v>
      </c>
      <c r="C9" s="465">
        <v>0</v>
      </c>
      <c r="D9" s="441">
        <v>1</v>
      </c>
      <c r="E9" s="70">
        <f t="shared" si="0"/>
        <v>1</v>
      </c>
      <c r="F9" s="88" t="s">
        <v>1120</v>
      </c>
      <c r="G9" s="278">
        <v>0</v>
      </c>
      <c r="H9" s="463">
        <v>0</v>
      </c>
      <c r="I9" s="442">
        <v>5</v>
      </c>
      <c r="J9" s="90">
        <f t="shared" si="1"/>
        <v>5</v>
      </c>
      <c r="K9" s="56" t="s">
        <v>22</v>
      </c>
      <c r="L9" s="14">
        <v>0</v>
      </c>
      <c r="M9" s="14">
        <v>1</v>
      </c>
      <c r="N9" s="25">
        <f t="shared" ref="N9" si="8">(L9/M9)*100</f>
        <v>0</v>
      </c>
      <c r="O9" s="14" t="s">
        <v>30</v>
      </c>
      <c r="P9" s="14" t="s">
        <v>30</v>
      </c>
      <c r="Q9" s="200" t="s">
        <v>30</v>
      </c>
      <c r="R9" s="14">
        <v>-1</v>
      </c>
      <c r="S9" s="14">
        <v>6</v>
      </c>
      <c r="T9" s="93">
        <v>38</v>
      </c>
      <c r="U9" s="93">
        <v>57</v>
      </c>
      <c r="V9" s="270">
        <f t="shared" si="5"/>
        <v>66.666666666666657</v>
      </c>
      <c r="W9" s="201">
        <v>44</v>
      </c>
      <c r="X9" s="7">
        <v>68</v>
      </c>
      <c r="Y9" s="206">
        <f t="shared" si="6"/>
        <v>64.705882352941174</v>
      </c>
      <c r="Z9" s="108"/>
      <c r="AA9" s="109"/>
      <c r="AB9" s="327"/>
      <c r="AC9" s="201">
        <v>70</v>
      </c>
      <c r="AD9" s="7">
        <v>88</v>
      </c>
      <c r="AE9" s="206">
        <f>SUM(AC9/AD9)*100</f>
        <v>79.545454545454547</v>
      </c>
      <c r="AF9" s="201">
        <v>48</v>
      </c>
      <c r="AG9" s="7">
        <v>58</v>
      </c>
      <c r="AH9" s="206">
        <f>SUM(AF9/AG9)*100</f>
        <v>82.758620689655174</v>
      </c>
      <c r="AI9" s="201">
        <v>11</v>
      </c>
      <c r="AJ9" s="7">
        <v>15</v>
      </c>
      <c r="AK9" s="206">
        <f>SUM(AI9/AJ9)*100</f>
        <v>73.333333333333329</v>
      </c>
      <c r="AL9" s="201">
        <v>22</v>
      </c>
      <c r="AM9" s="7">
        <v>31</v>
      </c>
      <c r="AN9" s="206">
        <f>SUM(AL9/AM9)*100</f>
        <v>70.967741935483872</v>
      </c>
      <c r="AO9" s="7">
        <v>5</v>
      </c>
      <c r="AP9" s="7">
        <v>13</v>
      </c>
      <c r="AQ9" s="206">
        <f>SUM(AO9/AP9)*100</f>
        <v>38.461538461538467</v>
      </c>
      <c r="AR9" s="7">
        <v>23</v>
      </c>
      <c r="AS9" s="7">
        <v>29</v>
      </c>
      <c r="AT9" s="206">
        <f>SUM(AR9/AS9)*100</f>
        <v>79.310344827586206</v>
      </c>
      <c r="AU9" s="7">
        <v>8</v>
      </c>
      <c r="AV9" s="7">
        <v>10</v>
      </c>
      <c r="AW9" s="7">
        <v>80</v>
      </c>
    </row>
    <row r="10" spans="1:56" ht="14.95" customHeight="1" thickBot="1" x14ac:dyDescent="0.3">
      <c r="A10" s="46" t="s">
        <v>772</v>
      </c>
      <c r="B10" s="280">
        <v>4</v>
      </c>
      <c r="C10" s="465">
        <v>0</v>
      </c>
      <c r="D10" s="441">
        <v>0</v>
      </c>
      <c r="E10" s="70">
        <f t="shared" si="0"/>
        <v>4</v>
      </c>
      <c r="F10" s="88" t="s">
        <v>772</v>
      </c>
      <c r="G10" s="278">
        <v>20</v>
      </c>
      <c r="H10" s="463">
        <v>0</v>
      </c>
      <c r="I10" s="442">
        <v>0</v>
      </c>
      <c r="J10" s="90">
        <f t="shared" si="1"/>
        <v>20</v>
      </c>
      <c r="K10" s="99" t="s">
        <v>170</v>
      </c>
      <c r="L10" s="14" t="s">
        <v>30</v>
      </c>
      <c r="M10" s="14" t="s">
        <v>30</v>
      </c>
      <c r="N10" s="200" t="s">
        <v>30</v>
      </c>
      <c r="O10" s="14" t="s">
        <v>30</v>
      </c>
      <c r="P10" s="14" t="s">
        <v>30</v>
      </c>
      <c r="Q10" s="200" t="s">
        <v>30</v>
      </c>
      <c r="R10" s="14">
        <v>-2</v>
      </c>
      <c r="S10" s="14">
        <v>-2</v>
      </c>
      <c r="T10" s="93" t="s">
        <v>30</v>
      </c>
      <c r="U10" s="93" t="s">
        <v>30</v>
      </c>
      <c r="V10" s="270" t="s">
        <v>30</v>
      </c>
      <c r="W10" s="201" t="s">
        <v>30</v>
      </c>
      <c r="X10" s="7" t="s">
        <v>30</v>
      </c>
      <c r="Y10" s="7" t="s">
        <v>30</v>
      </c>
      <c r="Z10" s="108"/>
      <c r="AA10" s="109"/>
      <c r="AB10" s="327"/>
      <c r="AC10" s="201" t="s">
        <v>30</v>
      </c>
      <c r="AD10" s="7" t="s">
        <v>30</v>
      </c>
      <c r="AE10" s="7" t="s">
        <v>30</v>
      </c>
      <c r="AF10" s="201" t="s">
        <v>30</v>
      </c>
      <c r="AG10" s="7" t="s">
        <v>30</v>
      </c>
      <c r="AH10" s="7" t="s">
        <v>30</v>
      </c>
      <c r="AI10" s="201">
        <v>25</v>
      </c>
      <c r="AJ10" s="7">
        <v>36</v>
      </c>
      <c r="AK10" s="206">
        <f>SUM(AI10/AJ10)*100</f>
        <v>69.444444444444443</v>
      </c>
      <c r="AL10" s="201" t="s">
        <v>30</v>
      </c>
      <c r="AM10" s="7" t="s">
        <v>30</v>
      </c>
      <c r="AN10" s="7" t="s">
        <v>30</v>
      </c>
      <c r="AO10" s="7" t="s">
        <v>30</v>
      </c>
      <c r="AP10" s="7" t="s">
        <v>30</v>
      </c>
      <c r="AQ10" s="7" t="s">
        <v>30</v>
      </c>
      <c r="AR10" s="7" t="s">
        <v>30</v>
      </c>
      <c r="AS10" s="7" t="s">
        <v>30</v>
      </c>
      <c r="AT10" s="7" t="s">
        <v>30</v>
      </c>
      <c r="AU10" s="7" t="s">
        <v>30</v>
      </c>
      <c r="AV10" s="7" t="s">
        <v>30</v>
      </c>
      <c r="AW10" s="7" t="s">
        <v>30</v>
      </c>
    </row>
    <row r="11" spans="1:56" ht="14.95" customHeight="1" thickBot="1" x14ac:dyDescent="0.3">
      <c r="A11" s="46" t="s">
        <v>410</v>
      </c>
      <c r="B11" s="280">
        <v>4</v>
      </c>
      <c r="C11" s="465">
        <v>0</v>
      </c>
      <c r="D11" s="441">
        <v>0</v>
      </c>
      <c r="E11" s="70">
        <f t="shared" si="0"/>
        <v>4</v>
      </c>
      <c r="F11" s="88" t="s">
        <v>410</v>
      </c>
      <c r="G11" s="278">
        <v>20</v>
      </c>
      <c r="H11" s="463">
        <v>0</v>
      </c>
      <c r="I11" s="442">
        <v>0</v>
      </c>
      <c r="J11" s="90">
        <f t="shared" si="1"/>
        <v>20</v>
      </c>
      <c r="K11" s="52"/>
      <c r="L11" s="66"/>
    </row>
    <row r="12" spans="1:56" ht="14.95" customHeight="1" thickBot="1" x14ac:dyDescent="0.3">
      <c r="A12" s="46" t="s">
        <v>138</v>
      </c>
      <c r="B12" s="280">
        <v>2</v>
      </c>
      <c r="C12" s="465">
        <v>0</v>
      </c>
      <c r="D12" s="441">
        <v>0</v>
      </c>
      <c r="E12" s="70">
        <f t="shared" si="0"/>
        <v>2</v>
      </c>
      <c r="F12" s="88" t="s">
        <v>138</v>
      </c>
      <c r="G12" s="278">
        <v>10</v>
      </c>
      <c r="H12" s="463">
        <v>0</v>
      </c>
      <c r="I12" s="442">
        <v>0</v>
      </c>
      <c r="J12" s="90">
        <f t="shared" si="1"/>
        <v>10</v>
      </c>
      <c r="K12" s="538" t="s">
        <v>510</v>
      </c>
      <c r="L12" s="512" t="s">
        <v>29</v>
      </c>
      <c r="M12" s="513"/>
      <c r="N12" s="514"/>
      <c r="O12" s="512" t="s">
        <v>634</v>
      </c>
      <c r="P12" s="513"/>
      <c r="Q12" s="514"/>
      <c r="R12" s="520" t="s">
        <v>863</v>
      </c>
      <c r="S12" s="521"/>
      <c r="T12" s="522"/>
      <c r="U12" s="520" t="s">
        <v>621</v>
      </c>
      <c r="V12" s="521"/>
      <c r="W12" s="522"/>
      <c r="X12" s="325"/>
      <c r="Y12" s="214"/>
      <c r="Z12" s="214"/>
      <c r="AB12" s="276"/>
      <c r="AC12" s="520" t="s">
        <v>448</v>
      </c>
      <c r="AD12" s="521"/>
      <c r="AE12" s="522"/>
      <c r="AF12" s="520" t="s">
        <v>178</v>
      </c>
      <c r="AG12" s="521"/>
      <c r="AH12" s="522"/>
      <c r="AI12" s="520" t="s">
        <v>122</v>
      </c>
      <c r="AJ12" s="521"/>
      <c r="AK12" s="522"/>
      <c r="AL12" s="520" t="s">
        <v>113</v>
      </c>
      <c r="AM12" s="521"/>
      <c r="AN12" s="522"/>
      <c r="AO12" s="520" t="s">
        <v>657</v>
      </c>
      <c r="AP12" s="521"/>
      <c r="AQ12" s="522"/>
    </row>
    <row r="13" spans="1:56" ht="14.95" customHeight="1" thickBot="1" x14ac:dyDescent="0.3">
      <c r="A13" s="46" t="s">
        <v>1000</v>
      </c>
      <c r="B13" s="280">
        <v>4</v>
      </c>
      <c r="C13" s="465">
        <v>1</v>
      </c>
      <c r="D13" s="441">
        <v>2</v>
      </c>
      <c r="E13" s="70">
        <f t="shared" si="0"/>
        <v>7</v>
      </c>
      <c r="F13" s="88" t="s">
        <v>1000</v>
      </c>
      <c r="G13" s="278">
        <v>20</v>
      </c>
      <c r="H13" s="463">
        <v>5</v>
      </c>
      <c r="I13" s="442">
        <v>10</v>
      </c>
      <c r="J13" s="90">
        <f t="shared" si="1"/>
        <v>35</v>
      </c>
      <c r="K13" s="539"/>
      <c r="L13" s="515"/>
      <c r="M13" s="516"/>
      <c r="N13" s="517"/>
      <c r="O13" s="515"/>
      <c r="P13" s="516"/>
      <c r="Q13" s="517"/>
      <c r="R13" s="523"/>
      <c r="S13" s="524"/>
      <c r="T13" s="525"/>
      <c r="U13" s="523"/>
      <c r="V13" s="524"/>
      <c r="W13" s="525"/>
      <c r="X13" s="325"/>
      <c r="Y13" s="214"/>
      <c r="Z13" s="214"/>
      <c r="AB13" s="276"/>
      <c r="AC13" s="523"/>
      <c r="AD13" s="524"/>
      <c r="AE13" s="525"/>
      <c r="AF13" s="523"/>
      <c r="AG13" s="524"/>
      <c r="AH13" s="525"/>
      <c r="AI13" s="523"/>
      <c r="AJ13" s="524"/>
      <c r="AK13" s="525"/>
      <c r="AL13" s="523"/>
      <c r="AM13" s="524"/>
      <c r="AN13" s="525"/>
      <c r="AO13" s="523"/>
      <c r="AP13" s="524"/>
      <c r="AQ13" s="525"/>
    </row>
    <row r="14" spans="1:56" ht="14.95" customHeight="1" thickBot="1" x14ac:dyDescent="0.3">
      <c r="A14" s="46" t="s">
        <v>650</v>
      </c>
      <c r="B14" s="280">
        <v>0</v>
      </c>
      <c r="C14" s="465">
        <v>0</v>
      </c>
      <c r="D14" s="441">
        <v>0</v>
      </c>
      <c r="E14" s="70">
        <f t="shared" si="0"/>
        <v>0</v>
      </c>
      <c r="F14" s="88" t="s">
        <v>650</v>
      </c>
      <c r="G14" s="278">
        <v>0</v>
      </c>
      <c r="H14" s="463">
        <v>0</v>
      </c>
      <c r="I14" s="442">
        <v>0</v>
      </c>
      <c r="J14" s="90">
        <f t="shared" si="1"/>
        <v>0</v>
      </c>
      <c r="K14" s="395" t="s">
        <v>44</v>
      </c>
      <c r="L14" s="93" t="s">
        <v>107</v>
      </c>
      <c r="M14" s="93" t="s">
        <v>23</v>
      </c>
      <c r="N14" s="93" t="s">
        <v>24</v>
      </c>
      <c r="O14" s="93" t="s">
        <v>107</v>
      </c>
      <c r="P14" s="93" t="s">
        <v>23</v>
      </c>
      <c r="Q14" s="93" t="s">
        <v>24</v>
      </c>
      <c r="R14" s="7" t="s">
        <v>107</v>
      </c>
      <c r="S14" s="7" t="s">
        <v>23</v>
      </c>
      <c r="T14" s="7" t="s">
        <v>24</v>
      </c>
      <c r="U14" s="201" t="s">
        <v>107</v>
      </c>
      <c r="V14" s="7" t="s">
        <v>23</v>
      </c>
      <c r="W14" s="7" t="s">
        <v>24</v>
      </c>
      <c r="X14" s="107"/>
      <c r="AB14" s="276"/>
      <c r="AC14" s="201" t="s">
        <v>107</v>
      </c>
      <c r="AD14" s="7" t="s">
        <v>23</v>
      </c>
      <c r="AE14" s="7" t="s">
        <v>24</v>
      </c>
      <c r="AF14" s="201" t="s">
        <v>107</v>
      </c>
      <c r="AG14" s="7" t="s">
        <v>23</v>
      </c>
      <c r="AH14" s="7" t="s">
        <v>24</v>
      </c>
      <c r="AI14" s="201" t="s">
        <v>107</v>
      </c>
      <c r="AJ14" s="7" t="s">
        <v>23</v>
      </c>
      <c r="AK14" s="7" t="s">
        <v>24</v>
      </c>
      <c r="AL14" s="201" t="s">
        <v>107</v>
      </c>
      <c r="AM14" s="7" t="s">
        <v>23</v>
      </c>
      <c r="AN14" s="7" t="s">
        <v>24</v>
      </c>
      <c r="AO14" s="201" t="s">
        <v>25</v>
      </c>
      <c r="AP14" s="7" t="s">
        <v>23</v>
      </c>
      <c r="AQ14" s="7" t="s">
        <v>24</v>
      </c>
    </row>
    <row r="15" spans="1:56" ht="14.95" customHeight="1" thickBot="1" x14ac:dyDescent="0.3">
      <c r="A15" s="46" t="s">
        <v>1050</v>
      </c>
      <c r="B15" s="280">
        <v>0</v>
      </c>
      <c r="C15" s="465">
        <v>0</v>
      </c>
      <c r="D15" s="441">
        <v>1</v>
      </c>
      <c r="E15" s="70">
        <f t="shared" si="0"/>
        <v>1</v>
      </c>
      <c r="F15" s="88" t="s">
        <v>1050</v>
      </c>
      <c r="G15" s="278">
        <v>0</v>
      </c>
      <c r="H15" s="463">
        <v>0</v>
      </c>
      <c r="I15" s="442">
        <v>5</v>
      </c>
      <c r="J15" s="90">
        <f t="shared" si="1"/>
        <v>5</v>
      </c>
      <c r="K15" s="56" t="s">
        <v>468</v>
      </c>
      <c r="L15" s="93" t="s">
        <v>30</v>
      </c>
      <c r="M15" s="93" t="s">
        <v>30</v>
      </c>
      <c r="N15" s="270" t="s">
        <v>30</v>
      </c>
      <c r="O15" s="93">
        <v>6</v>
      </c>
      <c r="P15" s="93">
        <v>6</v>
      </c>
      <c r="Q15" s="270">
        <f t="shared" ref="Q15" si="9">(O15/P15)*100</f>
        <v>100</v>
      </c>
      <c r="R15" s="7" t="s">
        <v>30</v>
      </c>
      <c r="S15" s="7" t="s">
        <v>30</v>
      </c>
      <c r="T15" s="206" t="s">
        <v>30</v>
      </c>
      <c r="U15" s="201">
        <v>3</v>
      </c>
      <c r="V15" s="7">
        <v>5</v>
      </c>
      <c r="W15" s="206">
        <f>SUM(U15/V15)*100</f>
        <v>60</v>
      </c>
      <c r="X15" s="107"/>
      <c r="AB15" s="276"/>
      <c r="AC15" s="201" t="s">
        <v>30</v>
      </c>
      <c r="AD15" s="7" t="s">
        <v>30</v>
      </c>
      <c r="AE15" s="7" t="s">
        <v>30</v>
      </c>
      <c r="AF15" s="201" t="s">
        <v>30</v>
      </c>
      <c r="AG15" s="7" t="s">
        <v>30</v>
      </c>
      <c r="AH15" s="7" t="s">
        <v>30</v>
      </c>
      <c r="AI15" s="201" t="s">
        <v>30</v>
      </c>
      <c r="AJ15" s="7" t="s">
        <v>30</v>
      </c>
      <c r="AK15" s="7" t="s">
        <v>30</v>
      </c>
      <c r="AL15" s="201" t="s">
        <v>30</v>
      </c>
      <c r="AM15" s="7" t="s">
        <v>30</v>
      </c>
      <c r="AN15" s="7" t="s">
        <v>30</v>
      </c>
      <c r="AO15" s="201">
        <v>6</v>
      </c>
      <c r="AP15" s="7">
        <v>9</v>
      </c>
      <c r="AQ15" s="206">
        <f>SUM(AO15/AP15)*100</f>
        <v>66.666666666666657</v>
      </c>
    </row>
    <row r="16" spans="1:56" ht="14.95" customHeight="1" thickBot="1" x14ac:dyDescent="0.3">
      <c r="A16" s="46" t="s">
        <v>1158</v>
      </c>
      <c r="B16" s="280">
        <v>2</v>
      </c>
      <c r="C16" s="465">
        <v>0</v>
      </c>
      <c r="D16" s="441">
        <v>0</v>
      </c>
      <c r="E16" s="70">
        <f t="shared" si="0"/>
        <v>2</v>
      </c>
      <c r="F16" s="88" t="s">
        <v>1158</v>
      </c>
      <c r="G16" s="278">
        <v>10</v>
      </c>
      <c r="H16" s="463">
        <v>0</v>
      </c>
      <c r="I16" s="442">
        <v>0</v>
      </c>
      <c r="J16" s="90">
        <f t="shared" si="1"/>
        <v>10</v>
      </c>
      <c r="K16" s="56" t="s">
        <v>46</v>
      </c>
      <c r="L16" s="93" t="s">
        <v>30</v>
      </c>
      <c r="M16" s="93" t="s">
        <v>30</v>
      </c>
      <c r="N16" s="270" t="s">
        <v>30</v>
      </c>
      <c r="O16" s="93" t="s">
        <v>30</v>
      </c>
      <c r="P16" s="93" t="s">
        <v>30</v>
      </c>
      <c r="Q16" s="270" t="s">
        <v>30</v>
      </c>
      <c r="R16" s="7">
        <v>12</v>
      </c>
      <c r="S16" s="7">
        <v>15</v>
      </c>
      <c r="T16" s="206">
        <f>SUM(R16/S16)*100</f>
        <v>80</v>
      </c>
      <c r="U16" s="201">
        <v>6</v>
      </c>
      <c r="V16" s="7">
        <v>9</v>
      </c>
      <c r="W16" s="206">
        <f>SUM(U16/V16)*100</f>
        <v>66.666666666666657</v>
      </c>
      <c r="X16" s="107"/>
      <c r="AB16" s="276"/>
      <c r="AC16" s="201" t="s">
        <v>30</v>
      </c>
      <c r="AD16" s="7" t="s">
        <v>30</v>
      </c>
      <c r="AE16" s="7" t="s">
        <v>30</v>
      </c>
      <c r="AF16" s="201" t="s">
        <v>30</v>
      </c>
      <c r="AG16" s="7" t="s">
        <v>30</v>
      </c>
      <c r="AH16" s="7" t="s">
        <v>30</v>
      </c>
      <c r="AI16" s="201" t="s">
        <v>30</v>
      </c>
      <c r="AJ16" s="7" t="s">
        <v>30</v>
      </c>
      <c r="AK16" s="7" t="s">
        <v>30</v>
      </c>
      <c r="AL16" s="201" t="s">
        <v>30</v>
      </c>
      <c r="AM16" s="7" t="s">
        <v>30</v>
      </c>
      <c r="AN16" s="7" t="s">
        <v>30</v>
      </c>
      <c r="AO16" s="201">
        <v>6</v>
      </c>
      <c r="AP16" s="7">
        <v>9</v>
      </c>
      <c r="AQ16" s="206">
        <f>SUM(AO16/AP16)*100</f>
        <v>66.666666666666657</v>
      </c>
    </row>
    <row r="17" spans="1:43" ht="14.95" customHeight="1" thickBot="1" x14ac:dyDescent="0.3">
      <c r="A17" s="46" t="s">
        <v>4</v>
      </c>
      <c r="B17" s="280">
        <v>0</v>
      </c>
      <c r="C17" s="465">
        <v>0</v>
      </c>
      <c r="D17" s="441">
        <v>0</v>
      </c>
      <c r="E17" s="70">
        <f t="shared" si="0"/>
        <v>0</v>
      </c>
      <c r="F17" s="88" t="s">
        <v>4</v>
      </c>
      <c r="G17" s="278">
        <v>36</v>
      </c>
      <c r="H17" s="463">
        <v>12</v>
      </c>
      <c r="I17" s="442">
        <v>29</v>
      </c>
      <c r="J17" s="90">
        <f t="shared" si="1"/>
        <v>77</v>
      </c>
      <c r="K17" s="56" t="s">
        <v>4</v>
      </c>
      <c r="L17" s="93" t="s">
        <v>30</v>
      </c>
      <c r="M17" s="93" t="s">
        <v>30</v>
      </c>
      <c r="N17" s="270" t="s">
        <v>30</v>
      </c>
      <c r="O17" s="93">
        <v>4</v>
      </c>
      <c r="P17" s="93">
        <v>4</v>
      </c>
      <c r="Q17" s="93">
        <f t="shared" ref="Q17:Q19" si="10">(O17/P17)*100</f>
        <v>100</v>
      </c>
      <c r="R17" s="7">
        <v>1</v>
      </c>
      <c r="S17" s="7">
        <v>1</v>
      </c>
      <c r="T17" s="7">
        <f>SUM(R17/S17)*100</f>
        <v>100</v>
      </c>
      <c r="U17" s="201" t="s">
        <v>30</v>
      </c>
      <c r="V17" s="7" t="s">
        <v>30</v>
      </c>
      <c r="W17" s="7" t="s">
        <v>30</v>
      </c>
      <c r="X17" s="107"/>
      <c r="AB17" s="276"/>
      <c r="AC17" s="201" t="s">
        <v>30</v>
      </c>
      <c r="AD17" s="7" t="s">
        <v>30</v>
      </c>
      <c r="AE17" s="7" t="s">
        <v>30</v>
      </c>
      <c r="AF17" s="201" t="s">
        <v>30</v>
      </c>
      <c r="AG17" s="7" t="s">
        <v>30</v>
      </c>
      <c r="AH17" s="7" t="s">
        <v>30</v>
      </c>
      <c r="AI17" s="201" t="s">
        <v>30</v>
      </c>
      <c r="AJ17" s="7" t="s">
        <v>30</v>
      </c>
      <c r="AK17" s="7" t="s">
        <v>30</v>
      </c>
      <c r="AL17" s="201" t="s">
        <v>30</v>
      </c>
      <c r="AM17" s="7" t="s">
        <v>30</v>
      </c>
      <c r="AN17" s="7" t="s">
        <v>30</v>
      </c>
      <c r="AO17" s="7" t="s">
        <v>30</v>
      </c>
      <c r="AP17" s="7" t="s">
        <v>30</v>
      </c>
      <c r="AQ17" s="7" t="s">
        <v>30</v>
      </c>
    </row>
    <row r="18" spans="1:43" ht="14.95" customHeight="1" thickBot="1" x14ac:dyDescent="0.3">
      <c r="A18" s="46" t="s">
        <v>652</v>
      </c>
      <c r="B18" s="280">
        <v>1</v>
      </c>
      <c r="C18" s="465">
        <v>0</v>
      </c>
      <c r="D18" s="441">
        <v>0</v>
      </c>
      <c r="E18" s="70">
        <f t="shared" si="0"/>
        <v>1</v>
      </c>
      <c r="F18" s="88" t="s">
        <v>652</v>
      </c>
      <c r="G18" s="278">
        <v>5</v>
      </c>
      <c r="H18" s="463">
        <v>0</v>
      </c>
      <c r="I18" s="442">
        <v>0</v>
      </c>
      <c r="J18" s="90">
        <f t="shared" si="1"/>
        <v>5</v>
      </c>
      <c r="K18" s="56" t="s">
        <v>1004</v>
      </c>
      <c r="L18" s="93" t="s">
        <v>30</v>
      </c>
      <c r="M18" s="93" t="s">
        <v>30</v>
      </c>
      <c r="N18" s="270" t="s">
        <v>30</v>
      </c>
      <c r="O18" s="93" t="s">
        <v>30</v>
      </c>
      <c r="P18" s="93" t="s">
        <v>30</v>
      </c>
      <c r="Q18" s="270" t="s">
        <v>30</v>
      </c>
      <c r="R18" s="7">
        <v>24</v>
      </c>
      <c r="S18" s="7">
        <v>26</v>
      </c>
      <c r="T18" s="7">
        <v>92</v>
      </c>
      <c r="U18" s="201">
        <v>23</v>
      </c>
      <c r="V18" s="7">
        <v>28</v>
      </c>
      <c r="W18" s="7">
        <v>82</v>
      </c>
      <c r="X18" s="107"/>
      <c r="AB18" s="276"/>
      <c r="AC18" s="201" t="s">
        <v>30</v>
      </c>
      <c r="AD18" s="7" t="s">
        <v>30</v>
      </c>
      <c r="AE18" s="7" t="s">
        <v>30</v>
      </c>
      <c r="AF18" s="201" t="s">
        <v>30</v>
      </c>
      <c r="AG18" s="7" t="s">
        <v>30</v>
      </c>
      <c r="AH18" s="7" t="s">
        <v>30</v>
      </c>
      <c r="AI18" s="201" t="s">
        <v>30</v>
      </c>
      <c r="AJ18" s="7" t="s">
        <v>30</v>
      </c>
      <c r="AK18" s="7" t="s">
        <v>30</v>
      </c>
      <c r="AL18" s="201" t="s">
        <v>30</v>
      </c>
      <c r="AM18" s="7" t="s">
        <v>30</v>
      </c>
      <c r="AN18" s="7" t="s">
        <v>30</v>
      </c>
      <c r="AO18" s="7" t="s">
        <v>30</v>
      </c>
      <c r="AP18" s="7" t="s">
        <v>30</v>
      </c>
      <c r="AQ18" s="7" t="s">
        <v>30</v>
      </c>
    </row>
    <row r="19" spans="1:43" ht="14.95" customHeight="1" thickBot="1" x14ac:dyDescent="0.3">
      <c r="A19" s="46" t="s">
        <v>233</v>
      </c>
      <c r="B19" s="280">
        <v>0</v>
      </c>
      <c r="C19" s="465">
        <v>0</v>
      </c>
      <c r="D19" s="441">
        <v>0</v>
      </c>
      <c r="E19" s="70">
        <f t="shared" si="0"/>
        <v>0</v>
      </c>
      <c r="F19" s="88" t="s">
        <v>233</v>
      </c>
      <c r="G19" s="278">
        <v>0</v>
      </c>
      <c r="H19" s="463">
        <v>0</v>
      </c>
      <c r="I19" s="442">
        <v>0</v>
      </c>
      <c r="J19" s="90">
        <f t="shared" si="1"/>
        <v>0</v>
      </c>
      <c r="K19" s="56" t="s">
        <v>54</v>
      </c>
      <c r="L19" s="93" t="s">
        <v>30</v>
      </c>
      <c r="M19" s="93" t="s">
        <v>30</v>
      </c>
      <c r="N19" s="270" t="s">
        <v>30</v>
      </c>
      <c r="O19" s="93">
        <v>0</v>
      </c>
      <c r="P19" s="93">
        <v>1</v>
      </c>
      <c r="Q19" s="270">
        <f t="shared" si="10"/>
        <v>0</v>
      </c>
      <c r="R19" s="7" t="s">
        <v>30</v>
      </c>
      <c r="S19" s="7" t="s">
        <v>30</v>
      </c>
      <c r="T19" s="7" t="s">
        <v>30</v>
      </c>
      <c r="U19" s="201" t="s">
        <v>30</v>
      </c>
      <c r="V19" s="7" t="s">
        <v>30</v>
      </c>
      <c r="W19" s="7" t="s">
        <v>30</v>
      </c>
      <c r="X19" s="107"/>
      <c r="AB19" s="276"/>
      <c r="AC19" s="201" t="s">
        <v>30</v>
      </c>
      <c r="AD19" s="7" t="s">
        <v>30</v>
      </c>
      <c r="AE19" s="7" t="s">
        <v>30</v>
      </c>
      <c r="AF19" s="201" t="s">
        <v>30</v>
      </c>
      <c r="AG19" s="7" t="s">
        <v>30</v>
      </c>
      <c r="AH19" s="7" t="s">
        <v>30</v>
      </c>
      <c r="AI19" s="201" t="s">
        <v>30</v>
      </c>
      <c r="AJ19" s="7" t="s">
        <v>30</v>
      </c>
      <c r="AK19" s="7" t="s">
        <v>30</v>
      </c>
      <c r="AL19" s="201" t="s">
        <v>30</v>
      </c>
      <c r="AM19" s="7" t="s">
        <v>30</v>
      </c>
      <c r="AN19" s="7" t="s">
        <v>30</v>
      </c>
      <c r="AO19" s="7" t="s">
        <v>30</v>
      </c>
      <c r="AP19" s="7" t="s">
        <v>30</v>
      </c>
      <c r="AQ19" s="7" t="s">
        <v>30</v>
      </c>
    </row>
    <row r="20" spans="1:43" ht="14.95" customHeight="1" thickBot="1" x14ac:dyDescent="0.3">
      <c r="A20" s="46" t="s">
        <v>520</v>
      </c>
      <c r="B20" s="280">
        <v>7</v>
      </c>
      <c r="C20" s="465">
        <v>1</v>
      </c>
      <c r="D20" s="441">
        <v>0</v>
      </c>
      <c r="E20" s="70">
        <f t="shared" si="0"/>
        <v>8</v>
      </c>
      <c r="F20" s="88" t="s">
        <v>520</v>
      </c>
      <c r="G20" s="278">
        <v>35</v>
      </c>
      <c r="H20" s="463">
        <v>5</v>
      </c>
      <c r="I20" s="442">
        <v>0</v>
      </c>
      <c r="J20" s="90">
        <f t="shared" si="1"/>
        <v>40</v>
      </c>
      <c r="K20" s="56" t="s">
        <v>170</v>
      </c>
      <c r="L20" s="93" t="s">
        <v>30</v>
      </c>
      <c r="M20" s="93" t="s">
        <v>30</v>
      </c>
      <c r="N20" s="270" t="s">
        <v>30</v>
      </c>
      <c r="O20" s="93" t="s">
        <v>30</v>
      </c>
      <c r="P20" s="93" t="s">
        <v>30</v>
      </c>
      <c r="Q20" s="93" t="s">
        <v>30</v>
      </c>
      <c r="R20" s="7" t="s">
        <v>30</v>
      </c>
      <c r="S20" s="7" t="s">
        <v>30</v>
      </c>
      <c r="T20" s="7" t="s">
        <v>30</v>
      </c>
      <c r="U20" s="201" t="s">
        <v>30</v>
      </c>
      <c r="V20" s="7" t="s">
        <v>30</v>
      </c>
      <c r="W20" s="7" t="s">
        <v>30</v>
      </c>
      <c r="X20" s="107"/>
      <c r="AB20" s="276"/>
      <c r="AC20" s="201" t="s">
        <v>30</v>
      </c>
      <c r="AD20" s="7" t="s">
        <v>30</v>
      </c>
      <c r="AE20" s="7" t="s">
        <v>30</v>
      </c>
      <c r="AF20" s="201" t="s">
        <v>30</v>
      </c>
      <c r="AG20" s="7" t="s">
        <v>30</v>
      </c>
      <c r="AH20" s="7" t="s">
        <v>30</v>
      </c>
      <c r="AI20" s="201" t="s">
        <v>30</v>
      </c>
      <c r="AJ20" s="7" t="s">
        <v>30</v>
      </c>
      <c r="AK20" s="7" t="s">
        <v>30</v>
      </c>
      <c r="AL20" s="201" t="s">
        <v>30</v>
      </c>
      <c r="AM20" s="7" t="s">
        <v>30</v>
      </c>
      <c r="AN20" s="7" t="s">
        <v>30</v>
      </c>
      <c r="AO20" s="201" t="s">
        <v>30</v>
      </c>
      <c r="AP20" s="7" t="s">
        <v>30</v>
      </c>
      <c r="AQ20" s="7" t="s">
        <v>30</v>
      </c>
    </row>
    <row r="21" spans="1:43" ht="14.95" customHeight="1" thickBot="1" x14ac:dyDescent="0.3">
      <c r="A21" s="46" t="s">
        <v>1002</v>
      </c>
      <c r="B21" s="280">
        <v>0</v>
      </c>
      <c r="C21" s="465">
        <v>0</v>
      </c>
      <c r="D21" s="441">
        <v>0</v>
      </c>
      <c r="E21" s="70">
        <f t="shared" si="0"/>
        <v>0</v>
      </c>
      <c r="F21" s="88" t="s">
        <v>1002</v>
      </c>
      <c r="G21" s="278">
        <v>175</v>
      </c>
      <c r="H21" s="463">
        <v>32</v>
      </c>
      <c r="I21" s="442">
        <v>0</v>
      </c>
      <c r="J21" s="90">
        <f t="shared" si="1"/>
        <v>207</v>
      </c>
      <c r="AC21" t="s">
        <v>44</v>
      </c>
    </row>
    <row r="22" spans="1:43" ht="14.95" customHeight="1" thickBot="1" x14ac:dyDescent="0.3">
      <c r="A22" s="46" t="s">
        <v>1171</v>
      </c>
      <c r="B22" s="280">
        <v>1</v>
      </c>
      <c r="C22" s="465">
        <v>0</v>
      </c>
      <c r="D22" s="441">
        <v>0</v>
      </c>
      <c r="E22" s="70">
        <f t="shared" si="0"/>
        <v>1</v>
      </c>
      <c r="F22" s="88" t="s">
        <v>1171</v>
      </c>
      <c r="G22" s="278">
        <v>5</v>
      </c>
      <c r="H22" s="463">
        <v>0</v>
      </c>
      <c r="I22" s="442">
        <v>0</v>
      </c>
      <c r="J22" s="90">
        <f t="shared" si="1"/>
        <v>5</v>
      </c>
      <c r="K22" s="542" t="s">
        <v>511</v>
      </c>
      <c r="L22" s="526" t="s">
        <v>29</v>
      </c>
      <c r="M22" s="527"/>
      <c r="N22" s="528"/>
      <c r="O22" s="512" t="s">
        <v>634</v>
      </c>
      <c r="P22" s="513"/>
      <c r="Q22" s="514"/>
      <c r="R22" s="520" t="s">
        <v>863</v>
      </c>
      <c r="S22" s="521"/>
      <c r="T22" s="522"/>
      <c r="U22" s="520" t="s">
        <v>621</v>
      </c>
      <c r="V22" s="521"/>
      <c r="W22" s="522"/>
      <c r="X22" s="325"/>
      <c r="Y22" s="214"/>
      <c r="Z22" s="214"/>
      <c r="AB22" s="276"/>
      <c r="AC22" s="520" t="s">
        <v>448</v>
      </c>
      <c r="AD22" s="521"/>
      <c r="AE22" s="522"/>
      <c r="AF22" s="520" t="s">
        <v>178</v>
      </c>
      <c r="AG22" s="521"/>
      <c r="AH22" s="522"/>
      <c r="AI22" s="520" t="s">
        <v>122</v>
      </c>
      <c r="AJ22" s="521"/>
      <c r="AK22" s="522"/>
      <c r="AL22" s="520" t="s">
        <v>113</v>
      </c>
      <c r="AM22" s="521"/>
      <c r="AN22" s="522"/>
      <c r="AO22" s="520" t="s">
        <v>85</v>
      </c>
      <c r="AP22" s="521"/>
      <c r="AQ22" s="522"/>
    </row>
    <row r="23" spans="1:43" ht="14.95" customHeight="1" thickBot="1" x14ac:dyDescent="0.3">
      <c r="A23" s="46" t="s">
        <v>1108</v>
      </c>
      <c r="B23" s="280">
        <v>0</v>
      </c>
      <c r="C23" s="465">
        <v>1</v>
      </c>
      <c r="D23" s="441">
        <v>1</v>
      </c>
      <c r="E23" s="70">
        <f t="shared" si="0"/>
        <v>2</v>
      </c>
      <c r="F23" s="88" t="s">
        <v>1108</v>
      </c>
      <c r="G23" s="278">
        <v>0</v>
      </c>
      <c r="H23" s="463">
        <v>5</v>
      </c>
      <c r="I23" s="442">
        <v>5</v>
      </c>
      <c r="J23" s="90">
        <f t="shared" si="1"/>
        <v>10</v>
      </c>
      <c r="K23" s="543"/>
      <c r="L23" s="529"/>
      <c r="M23" s="530"/>
      <c r="N23" s="531"/>
      <c r="O23" s="515"/>
      <c r="P23" s="516"/>
      <c r="Q23" s="517"/>
      <c r="R23" s="523"/>
      <c r="S23" s="524"/>
      <c r="T23" s="525"/>
      <c r="U23" s="523"/>
      <c r="V23" s="524"/>
      <c r="W23" s="525"/>
      <c r="X23" s="325"/>
      <c r="Y23" s="214"/>
      <c r="Z23" s="214"/>
      <c r="AB23" s="276"/>
      <c r="AC23" s="523"/>
      <c r="AD23" s="524"/>
      <c r="AE23" s="525"/>
      <c r="AF23" s="523"/>
      <c r="AG23" s="524"/>
      <c r="AH23" s="525"/>
      <c r="AI23" s="523"/>
      <c r="AJ23" s="524"/>
      <c r="AK23" s="525"/>
      <c r="AL23" s="523"/>
      <c r="AM23" s="524"/>
      <c r="AN23" s="525"/>
      <c r="AO23" s="523"/>
      <c r="AP23" s="524"/>
      <c r="AQ23" s="525"/>
    </row>
    <row r="24" spans="1:43" ht="14.95" customHeight="1" thickBot="1" x14ac:dyDescent="0.3">
      <c r="A24" s="46" t="s">
        <v>109</v>
      </c>
      <c r="B24" s="280">
        <v>2</v>
      </c>
      <c r="C24" s="465">
        <v>1</v>
      </c>
      <c r="D24" s="441">
        <v>1</v>
      </c>
      <c r="E24" s="70">
        <f t="shared" si="0"/>
        <v>4</v>
      </c>
      <c r="F24" s="88" t="s">
        <v>109</v>
      </c>
      <c r="G24" s="278">
        <v>10</v>
      </c>
      <c r="H24" s="463">
        <v>5</v>
      </c>
      <c r="I24" s="442">
        <v>5</v>
      </c>
      <c r="J24" s="90">
        <f t="shared" si="1"/>
        <v>20</v>
      </c>
      <c r="K24" s="466" t="s">
        <v>44</v>
      </c>
      <c r="L24" s="3" t="s">
        <v>107</v>
      </c>
      <c r="M24" s="3" t="s">
        <v>23</v>
      </c>
      <c r="N24" s="3" t="s">
        <v>24</v>
      </c>
      <c r="O24" s="93" t="s">
        <v>107</v>
      </c>
      <c r="P24" s="93" t="s">
        <v>23</v>
      </c>
      <c r="Q24" s="93" t="s">
        <v>24</v>
      </c>
      <c r="R24" s="7" t="s">
        <v>107</v>
      </c>
      <c r="S24" s="7" t="s">
        <v>23</v>
      </c>
      <c r="T24" s="7" t="s">
        <v>24</v>
      </c>
      <c r="U24" s="201" t="s">
        <v>107</v>
      </c>
      <c r="V24" s="7" t="s">
        <v>23</v>
      </c>
      <c r="W24" s="7" t="s">
        <v>24</v>
      </c>
      <c r="X24" s="107"/>
      <c r="AB24" s="276"/>
      <c r="AC24" s="201" t="s">
        <v>107</v>
      </c>
      <c r="AD24" s="7" t="s">
        <v>23</v>
      </c>
      <c r="AE24" s="7" t="s">
        <v>24</v>
      </c>
      <c r="AF24" s="201" t="s">
        <v>107</v>
      </c>
      <c r="AG24" s="7" t="s">
        <v>23</v>
      </c>
      <c r="AH24" s="7" t="s">
        <v>24</v>
      </c>
      <c r="AI24" s="201" t="s">
        <v>107</v>
      </c>
      <c r="AJ24" s="7" t="s">
        <v>23</v>
      </c>
      <c r="AK24" s="7" t="s">
        <v>24</v>
      </c>
      <c r="AL24" s="201" t="s">
        <v>107</v>
      </c>
      <c r="AM24" s="7" t="s">
        <v>23</v>
      </c>
      <c r="AN24" s="7" t="s">
        <v>24</v>
      </c>
      <c r="AO24" s="201" t="s">
        <v>25</v>
      </c>
      <c r="AP24" s="7" t="s">
        <v>23</v>
      </c>
      <c r="AQ24" s="7" t="s">
        <v>24</v>
      </c>
    </row>
    <row r="25" spans="1:43" ht="14.95" customHeight="1" thickBot="1" x14ac:dyDescent="0.3">
      <c r="A25" s="46" t="s">
        <v>21</v>
      </c>
      <c r="B25" s="280">
        <v>3</v>
      </c>
      <c r="C25" s="465">
        <v>1</v>
      </c>
      <c r="D25" s="441">
        <v>0</v>
      </c>
      <c r="E25" s="70">
        <f t="shared" si="0"/>
        <v>4</v>
      </c>
      <c r="F25" s="88" t="s">
        <v>21</v>
      </c>
      <c r="G25" s="278">
        <v>15</v>
      </c>
      <c r="H25" s="463">
        <v>5</v>
      </c>
      <c r="I25" s="442">
        <v>0</v>
      </c>
      <c r="J25" s="90">
        <f t="shared" si="1"/>
        <v>20</v>
      </c>
      <c r="K25" s="56" t="s">
        <v>468</v>
      </c>
      <c r="L25" s="14">
        <v>1</v>
      </c>
      <c r="M25" s="14">
        <v>2</v>
      </c>
      <c r="N25" s="25">
        <f t="shared" ref="N25" si="11">(L25/M25)*100</f>
        <v>50</v>
      </c>
      <c r="O25" s="93" t="s">
        <v>30</v>
      </c>
      <c r="P25" s="93" t="s">
        <v>30</v>
      </c>
      <c r="Q25" s="270" t="s">
        <v>30</v>
      </c>
      <c r="R25" s="7" t="s">
        <v>30</v>
      </c>
      <c r="S25" s="7" t="s">
        <v>30</v>
      </c>
      <c r="T25" s="206" t="s">
        <v>30</v>
      </c>
      <c r="U25" s="201" t="s">
        <v>30</v>
      </c>
      <c r="V25" s="7" t="s">
        <v>30</v>
      </c>
      <c r="W25" s="206" t="s">
        <v>30</v>
      </c>
      <c r="X25" s="107"/>
      <c r="AB25" s="276"/>
      <c r="AC25" s="201">
        <v>21</v>
      </c>
      <c r="AD25" s="7">
        <v>25</v>
      </c>
      <c r="AE25" s="206">
        <f>SUM(AC25/AD25)*100</f>
        <v>84</v>
      </c>
      <c r="AF25" s="201">
        <v>11</v>
      </c>
      <c r="AG25" s="7">
        <v>13</v>
      </c>
      <c r="AH25" s="206">
        <f>SUM(AF25/AG25)*100</f>
        <v>84.615384615384613</v>
      </c>
      <c r="AI25" s="201">
        <v>11</v>
      </c>
      <c r="AJ25" s="7">
        <v>18</v>
      </c>
      <c r="AK25" s="206">
        <f>SUM(AI25/AJ25)*100</f>
        <v>61.111111111111114</v>
      </c>
      <c r="AL25" s="201">
        <v>13</v>
      </c>
      <c r="AM25" s="7">
        <v>18</v>
      </c>
      <c r="AN25" s="206">
        <f>SUM(AL25/AM25)*100</f>
        <v>72.222222222222214</v>
      </c>
      <c r="AO25" s="7" t="s">
        <v>30</v>
      </c>
      <c r="AP25" s="7" t="s">
        <v>30</v>
      </c>
      <c r="AQ25" s="7" t="s">
        <v>30</v>
      </c>
    </row>
    <row r="26" spans="1:43" ht="14.95" customHeight="1" thickBot="1" x14ac:dyDescent="0.3">
      <c r="A26" s="46" t="s">
        <v>1112</v>
      </c>
      <c r="B26" s="280">
        <v>1</v>
      </c>
      <c r="C26" s="465">
        <v>1</v>
      </c>
      <c r="D26" s="441">
        <v>0</v>
      </c>
      <c r="E26" s="70">
        <f t="shared" si="0"/>
        <v>2</v>
      </c>
      <c r="F26" s="88" t="s">
        <v>1112</v>
      </c>
      <c r="G26" s="278">
        <v>5</v>
      </c>
      <c r="H26" s="463">
        <v>5</v>
      </c>
      <c r="I26" s="442">
        <v>0</v>
      </c>
      <c r="J26" s="90">
        <f t="shared" si="1"/>
        <v>10</v>
      </c>
      <c r="K26" s="56" t="s">
        <v>46</v>
      </c>
      <c r="L26" s="14">
        <v>6</v>
      </c>
      <c r="M26" s="14">
        <v>6</v>
      </c>
      <c r="N26" s="25">
        <f t="shared" ref="N26:N28" si="12">(L26/M26)*100</f>
        <v>100</v>
      </c>
      <c r="O26" s="93" t="s">
        <v>30</v>
      </c>
      <c r="P26" s="93" t="s">
        <v>30</v>
      </c>
      <c r="Q26" s="270" t="s">
        <v>30</v>
      </c>
      <c r="R26" s="7" t="s">
        <v>30</v>
      </c>
      <c r="S26" s="7" t="s">
        <v>30</v>
      </c>
      <c r="T26" s="206" t="s">
        <v>30</v>
      </c>
      <c r="U26" s="201" t="s">
        <v>30</v>
      </c>
      <c r="V26" s="7" t="s">
        <v>30</v>
      </c>
      <c r="W26" s="206" t="s">
        <v>30</v>
      </c>
      <c r="X26" s="107"/>
      <c r="AB26" s="276"/>
      <c r="AC26" s="201">
        <v>22</v>
      </c>
      <c r="AD26" s="7">
        <v>27</v>
      </c>
      <c r="AE26" s="206">
        <f>SUM(AC26/AD26)*100</f>
        <v>81.481481481481481</v>
      </c>
      <c r="AF26" s="201">
        <v>6</v>
      </c>
      <c r="AG26" s="7">
        <v>8</v>
      </c>
      <c r="AH26" s="206">
        <f>SUM(AF26/AG26)*100</f>
        <v>75</v>
      </c>
      <c r="AI26" s="201">
        <v>2</v>
      </c>
      <c r="AJ26" s="7">
        <v>3</v>
      </c>
      <c r="AK26" s="206">
        <f>SUM(AI26/AJ26)*100</f>
        <v>66.666666666666657</v>
      </c>
      <c r="AL26" s="201" t="s">
        <v>30</v>
      </c>
      <c r="AM26" s="7" t="s">
        <v>30</v>
      </c>
      <c r="AN26" s="7" t="s">
        <v>30</v>
      </c>
      <c r="AO26" s="7" t="s">
        <v>30</v>
      </c>
      <c r="AP26" s="7" t="s">
        <v>30</v>
      </c>
      <c r="AQ26" s="7" t="s">
        <v>30</v>
      </c>
    </row>
    <row r="27" spans="1:43" ht="14.95" customHeight="1" thickBot="1" x14ac:dyDescent="0.3">
      <c r="A27" s="46" t="s">
        <v>1087</v>
      </c>
      <c r="B27" s="280">
        <v>0</v>
      </c>
      <c r="C27" s="465">
        <v>0</v>
      </c>
      <c r="D27" s="441">
        <v>5</v>
      </c>
      <c r="E27" s="70">
        <f t="shared" si="0"/>
        <v>5</v>
      </c>
      <c r="F27" s="88" t="s">
        <v>1087</v>
      </c>
      <c r="G27" s="278">
        <v>0</v>
      </c>
      <c r="H27" s="463">
        <v>0</v>
      </c>
      <c r="I27" s="442">
        <v>25</v>
      </c>
      <c r="J27" s="90">
        <f t="shared" si="1"/>
        <v>25</v>
      </c>
      <c r="K27" s="56" t="s">
        <v>4</v>
      </c>
      <c r="L27" s="14">
        <v>6</v>
      </c>
      <c r="M27" s="14">
        <v>6</v>
      </c>
      <c r="N27" s="200">
        <f t="shared" si="12"/>
        <v>100</v>
      </c>
      <c r="O27" s="93" t="s">
        <v>30</v>
      </c>
      <c r="P27" s="93" t="s">
        <v>30</v>
      </c>
      <c r="Q27" s="270" t="s">
        <v>30</v>
      </c>
      <c r="R27" s="7" t="s">
        <v>30</v>
      </c>
      <c r="S27" s="7" t="s">
        <v>30</v>
      </c>
      <c r="T27" s="206" t="s">
        <v>30</v>
      </c>
      <c r="U27" s="201" t="s">
        <v>30</v>
      </c>
      <c r="V27" s="7" t="s">
        <v>30</v>
      </c>
      <c r="W27" s="206" t="s">
        <v>30</v>
      </c>
      <c r="X27" s="107"/>
      <c r="AB27" s="276"/>
      <c r="AC27" s="201" t="s">
        <v>30</v>
      </c>
      <c r="AD27" s="7" t="s">
        <v>30</v>
      </c>
      <c r="AE27" s="7" t="s">
        <v>30</v>
      </c>
      <c r="AF27" s="201" t="s">
        <v>30</v>
      </c>
      <c r="AG27" s="7" t="s">
        <v>30</v>
      </c>
      <c r="AH27" s="7" t="s">
        <v>30</v>
      </c>
      <c r="AI27" s="201" t="s">
        <v>30</v>
      </c>
      <c r="AJ27" s="7" t="s">
        <v>30</v>
      </c>
      <c r="AK27" s="7" t="s">
        <v>30</v>
      </c>
      <c r="AL27" s="7" t="s">
        <v>30</v>
      </c>
      <c r="AM27" s="7" t="s">
        <v>30</v>
      </c>
      <c r="AN27" s="7" t="s">
        <v>30</v>
      </c>
      <c r="AO27" s="7" t="s">
        <v>30</v>
      </c>
      <c r="AP27" s="7" t="s">
        <v>30</v>
      </c>
      <c r="AQ27" s="7" t="s">
        <v>30</v>
      </c>
    </row>
    <row r="28" spans="1:43" ht="14.95" customHeight="1" thickBot="1" x14ac:dyDescent="0.3">
      <c r="A28" s="46" t="s">
        <v>341</v>
      </c>
      <c r="B28" s="280">
        <v>6</v>
      </c>
      <c r="C28" s="465">
        <v>0</v>
      </c>
      <c r="D28" s="441">
        <v>3</v>
      </c>
      <c r="E28" s="70">
        <f t="shared" si="0"/>
        <v>9</v>
      </c>
      <c r="F28" s="88" t="s">
        <v>341</v>
      </c>
      <c r="G28" s="278">
        <v>30</v>
      </c>
      <c r="H28" s="463">
        <v>0</v>
      </c>
      <c r="I28" s="442">
        <v>15</v>
      </c>
      <c r="J28" s="90">
        <f t="shared" si="1"/>
        <v>45</v>
      </c>
      <c r="K28" s="56" t="s">
        <v>1004</v>
      </c>
      <c r="L28" s="14">
        <v>15</v>
      </c>
      <c r="M28" s="14">
        <v>18</v>
      </c>
      <c r="N28" s="200">
        <f t="shared" si="12"/>
        <v>83.333333333333343</v>
      </c>
      <c r="O28" s="93">
        <v>5</v>
      </c>
      <c r="P28" s="93">
        <v>5</v>
      </c>
      <c r="Q28" s="270">
        <v>100</v>
      </c>
      <c r="R28" s="7"/>
      <c r="S28" s="7"/>
      <c r="T28" s="206"/>
      <c r="U28" s="201"/>
      <c r="V28" s="7"/>
      <c r="W28" s="206"/>
      <c r="X28" s="107"/>
      <c r="AB28" s="276"/>
      <c r="AC28" s="201" t="s">
        <v>30</v>
      </c>
      <c r="AD28" s="7" t="s">
        <v>30</v>
      </c>
      <c r="AE28" s="7" t="s">
        <v>30</v>
      </c>
      <c r="AF28" s="201" t="s">
        <v>30</v>
      </c>
      <c r="AG28" s="7" t="s">
        <v>30</v>
      </c>
      <c r="AH28" s="7" t="s">
        <v>30</v>
      </c>
      <c r="AI28" s="201" t="s">
        <v>30</v>
      </c>
      <c r="AJ28" s="7" t="s">
        <v>30</v>
      </c>
      <c r="AK28" s="7" t="s">
        <v>30</v>
      </c>
      <c r="AL28" s="201" t="s">
        <v>30</v>
      </c>
      <c r="AM28" s="7" t="s">
        <v>30</v>
      </c>
      <c r="AN28" s="7" t="s">
        <v>30</v>
      </c>
      <c r="AO28" s="7" t="s">
        <v>30</v>
      </c>
      <c r="AP28" s="7" t="s">
        <v>30</v>
      </c>
      <c r="AQ28" s="7" t="s">
        <v>30</v>
      </c>
    </row>
    <row r="29" spans="1:43" ht="14.95" customHeight="1" thickBot="1" x14ac:dyDescent="0.3">
      <c r="A29" s="46" t="s">
        <v>54</v>
      </c>
      <c r="B29" s="280">
        <v>0</v>
      </c>
      <c r="C29" s="465">
        <v>0</v>
      </c>
      <c r="D29" s="441">
        <v>4</v>
      </c>
      <c r="E29" s="70">
        <f t="shared" si="0"/>
        <v>4</v>
      </c>
      <c r="F29" s="88" t="s">
        <v>54</v>
      </c>
      <c r="G29" s="278">
        <v>0</v>
      </c>
      <c r="H29" s="463">
        <v>0</v>
      </c>
      <c r="I29" s="442">
        <v>20</v>
      </c>
      <c r="J29" s="90">
        <f t="shared" si="1"/>
        <v>20</v>
      </c>
      <c r="K29" s="56" t="s">
        <v>54</v>
      </c>
      <c r="L29" s="14" t="s">
        <v>30</v>
      </c>
      <c r="M29" s="14" t="s">
        <v>30</v>
      </c>
      <c r="N29" s="200" t="s">
        <v>30</v>
      </c>
      <c r="O29" s="93" t="s">
        <v>30</v>
      </c>
      <c r="P29" s="93" t="s">
        <v>30</v>
      </c>
      <c r="Q29" s="270" t="s">
        <v>30</v>
      </c>
      <c r="R29" s="7" t="s">
        <v>30</v>
      </c>
      <c r="S29" s="7" t="s">
        <v>30</v>
      </c>
      <c r="T29" s="206" t="s">
        <v>30</v>
      </c>
      <c r="U29" s="201" t="s">
        <v>30</v>
      </c>
      <c r="V29" s="7" t="s">
        <v>30</v>
      </c>
      <c r="W29" s="206" t="s">
        <v>30</v>
      </c>
      <c r="X29" s="107"/>
      <c r="AB29" s="276"/>
      <c r="AC29" s="6" t="s">
        <v>30</v>
      </c>
      <c r="AD29" s="7" t="s">
        <v>30</v>
      </c>
      <c r="AE29" s="7" t="s">
        <v>30</v>
      </c>
      <c r="AF29" s="6" t="s">
        <v>30</v>
      </c>
      <c r="AG29" s="7" t="s">
        <v>30</v>
      </c>
      <c r="AH29" s="7" t="s">
        <v>30</v>
      </c>
      <c r="AI29" s="7" t="s">
        <v>30</v>
      </c>
      <c r="AJ29" s="7" t="s">
        <v>30</v>
      </c>
      <c r="AK29" s="7" t="s">
        <v>30</v>
      </c>
      <c r="AL29" s="7" t="s">
        <v>30</v>
      </c>
      <c r="AM29" s="7" t="s">
        <v>30</v>
      </c>
      <c r="AN29" s="7" t="s">
        <v>30</v>
      </c>
      <c r="AO29" s="7" t="s">
        <v>30</v>
      </c>
      <c r="AP29" s="7" t="s">
        <v>30</v>
      </c>
      <c r="AQ29" s="7" t="s">
        <v>30</v>
      </c>
    </row>
    <row r="30" spans="1:43" ht="14.95" customHeight="1" thickBot="1" x14ac:dyDescent="0.3">
      <c r="A30" s="46" t="s">
        <v>653</v>
      </c>
      <c r="B30" s="280">
        <v>2</v>
      </c>
      <c r="C30" s="465">
        <v>1</v>
      </c>
      <c r="D30" s="441">
        <v>1</v>
      </c>
      <c r="E30" s="70">
        <f t="shared" si="0"/>
        <v>4</v>
      </c>
      <c r="F30" s="88" t="s">
        <v>653</v>
      </c>
      <c r="G30" s="278">
        <v>10</v>
      </c>
      <c r="H30" s="463">
        <v>5</v>
      </c>
      <c r="I30" s="442">
        <v>5</v>
      </c>
      <c r="J30" s="90">
        <f t="shared" si="1"/>
        <v>20</v>
      </c>
      <c r="K30" s="56" t="s">
        <v>170</v>
      </c>
      <c r="L30" s="14" t="s">
        <v>30</v>
      </c>
      <c r="M30" s="14" t="s">
        <v>30</v>
      </c>
      <c r="N30" s="200" t="s">
        <v>30</v>
      </c>
      <c r="O30" s="93" t="s">
        <v>30</v>
      </c>
      <c r="P30" s="93" t="s">
        <v>30</v>
      </c>
      <c r="Q30" s="93" t="s">
        <v>30</v>
      </c>
      <c r="R30" s="7" t="s">
        <v>30</v>
      </c>
      <c r="S30" s="7" t="s">
        <v>30</v>
      </c>
      <c r="T30" s="206" t="s">
        <v>30</v>
      </c>
      <c r="U30" s="201" t="s">
        <v>30</v>
      </c>
      <c r="V30" s="7" t="s">
        <v>30</v>
      </c>
      <c r="W30" s="206" t="s">
        <v>30</v>
      </c>
      <c r="X30" s="107"/>
      <c r="AB30" s="276"/>
      <c r="AC30" s="201" t="s">
        <v>30</v>
      </c>
      <c r="AD30" s="7" t="s">
        <v>30</v>
      </c>
      <c r="AE30" s="7" t="s">
        <v>30</v>
      </c>
      <c r="AF30" s="6">
        <v>1</v>
      </c>
      <c r="AG30" s="6">
        <v>3</v>
      </c>
      <c r="AH30" s="211">
        <f>SUM(AF30/AG30)*100</f>
        <v>33.333333333333329</v>
      </c>
      <c r="AI30" s="201" t="s">
        <v>30</v>
      </c>
      <c r="AJ30" s="7" t="s">
        <v>30</v>
      </c>
      <c r="AK30" s="7" t="s">
        <v>30</v>
      </c>
      <c r="AL30" s="7" t="s">
        <v>30</v>
      </c>
      <c r="AM30" s="7" t="s">
        <v>30</v>
      </c>
      <c r="AN30" s="7" t="s">
        <v>30</v>
      </c>
      <c r="AO30" s="201" t="s">
        <v>30</v>
      </c>
      <c r="AP30" s="7" t="s">
        <v>30</v>
      </c>
      <c r="AQ30" s="7" t="s">
        <v>30</v>
      </c>
    </row>
    <row r="31" spans="1:43" ht="14.95" customHeight="1" thickBot="1" x14ac:dyDescent="0.3">
      <c r="A31" s="46" t="s">
        <v>739</v>
      </c>
      <c r="B31" s="280">
        <v>0</v>
      </c>
      <c r="C31" s="465">
        <v>0</v>
      </c>
      <c r="D31" s="441">
        <v>0</v>
      </c>
      <c r="E31" s="70">
        <f t="shared" si="0"/>
        <v>0</v>
      </c>
      <c r="F31" s="88" t="s">
        <v>739</v>
      </c>
      <c r="G31" s="278">
        <v>0</v>
      </c>
      <c r="H31" s="463">
        <v>0</v>
      </c>
      <c r="I31" s="442">
        <v>0</v>
      </c>
      <c r="J31" s="90">
        <f t="shared" si="1"/>
        <v>0</v>
      </c>
      <c r="AC31" t="s">
        <v>44</v>
      </c>
    </row>
    <row r="32" spans="1:43" ht="14.95" customHeight="1" thickBot="1" x14ac:dyDescent="0.3">
      <c r="A32" s="46" t="s">
        <v>6</v>
      </c>
      <c r="B32" s="280">
        <v>4</v>
      </c>
      <c r="C32" s="465">
        <v>1</v>
      </c>
      <c r="D32" s="441">
        <v>0</v>
      </c>
      <c r="E32" s="70">
        <f t="shared" si="0"/>
        <v>5</v>
      </c>
      <c r="F32" s="88" t="s">
        <v>6</v>
      </c>
      <c r="G32" s="278">
        <v>28</v>
      </c>
      <c r="H32" s="463">
        <v>7</v>
      </c>
      <c r="I32" s="442">
        <v>0</v>
      </c>
      <c r="J32" s="90">
        <f t="shared" si="1"/>
        <v>35</v>
      </c>
      <c r="K32" s="547" t="s">
        <v>179</v>
      </c>
      <c r="L32" s="526" t="s">
        <v>29</v>
      </c>
      <c r="M32" s="527"/>
      <c r="N32" s="528"/>
      <c r="O32" s="520" t="s">
        <v>634</v>
      </c>
      <c r="P32" s="521"/>
      <c r="Q32" s="522"/>
      <c r="R32" s="520" t="s">
        <v>863</v>
      </c>
      <c r="S32" s="521"/>
      <c r="T32" s="522"/>
      <c r="U32" s="520" t="s">
        <v>621</v>
      </c>
      <c r="V32" s="521"/>
      <c r="W32" s="522"/>
      <c r="X32" s="325"/>
      <c r="Y32" s="214"/>
      <c r="Z32" s="214"/>
      <c r="AA32" s="109"/>
      <c r="AB32" s="327"/>
      <c r="AC32" s="520" t="s">
        <v>448</v>
      </c>
      <c r="AD32" s="521"/>
      <c r="AE32" s="522"/>
      <c r="AF32" s="520" t="s">
        <v>178</v>
      </c>
      <c r="AG32" s="521"/>
      <c r="AH32" s="522"/>
      <c r="AI32" s="520" t="s">
        <v>113</v>
      </c>
      <c r="AJ32" s="521"/>
      <c r="AK32" s="522"/>
      <c r="AL32" s="520" t="s">
        <v>85</v>
      </c>
      <c r="AM32" s="521"/>
      <c r="AN32" s="522"/>
    </row>
    <row r="33" spans="1:43" ht="14.95" customHeight="1" thickBot="1" x14ac:dyDescent="0.3">
      <c r="A33" s="46" t="s">
        <v>157</v>
      </c>
      <c r="B33" s="280">
        <v>0</v>
      </c>
      <c r="C33" s="465">
        <v>0</v>
      </c>
      <c r="D33" s="441">
        <v>0</v>
      </c>
      <c r="E33" s="70">
        <f t="shared" si="0"/>
        <v>0</v>
      </c>
      <c r="F33" s="88" t="s">
        <v>157</v>
      </c>
      <c r="G33" s="278">
        <v>0</v>
      </c>
      <c r="H33" s="463">
        <v>0</v>
      </c>
      <c r="I33" s="442">
        <v>0</v>
      </c>
      <c r="J33" s="90">
        <f t="shared" si="1"/>
        <v>0</v>
      </c>
      <c r="K33" s="548"/>
      <c r="L33" s="529"/>
      <c r="M33" s="530"/>
      <c r="N33" s="531"/>
      <c r="O33" s="523"/>
      <c r="P33" s="524"/>
      <c r="Q33" s="525"/>
      <c r="R33" s="523"/>
      <c r="S33" s="524"/>
      <c r="T33" s="525"/>
      <c r="U33" s="523"/>
      <c r="V33" s="524"/>
      <c r="W33" s="525"/>
      <c r="X33" s="325"/>
      <c r="Y33" s="214"/>
      <c r="Z33" s="214"/>
      <c r="AA33" s="109"/>
      <c r="AB33" s="327"/>
      <c r="AC33" s="523"/>
      <c r="AD33" s="524"/>
      <c r="AE33" s="525"/>
      <c r="AF33" s="523"/>
      <c r="AG33" s="524"/>
      <c r="AH33" s="525"/>
      <c r="AI33" s="523"/>
      <c r="AJ33" s="524"/>
      <c r="AK33" s="525"/>
      <c r="AL33" s="523"/>
      <c r="AM33" s="524"/>
      <c r="AN33" s="525"/>
    </row>
    <row r="34" spans="1:43" ht="14.95" customHeight="1" thickBot="1" x14ac:dyDescent="0.3">
      <c r="A34" s="46" t="s">
        <v>139</v>
      </c>
      <c r="B34" s="280">
        <v>2</v>
      </c>
      <c r="C34" s="465">
        <v>1</v>
      </c>
      <c r="D34" s="441">
        <v>0</v>
      </c>
      <c r="E34" s="70">
        <f t="shared" si="0"/>
        <v>3</v>
      </c>
      <c r="F34" s="88" t="s">
        <v>139</v>
      </c>
      <c r="G34" s="278">
        <v>10</v>
      </c>
      <c r="H34" s="463">
        <v>5</v>
      </c>
      <c r="I34" s="442">
        <v>0</v>
      </c>
      <c r="J34" s="90">
        <f t="shared" si="1"/>
        <v>15</v>
      </c>
      <c r="K34" s="400" t="s">
        <v>44</v>
      </c>
      <c r="L34" s="212" t="s">
        <v>107</v>
      </c>
      <c r="M34" s="3" t="s">
        <v>23</v>
      </c>
      <c r="N34" s="3" t="s">
        <v>24</v>
      </c>
      <c r="O34" s="201"/>
      <c r="P34" s="7"/>
      <c r="Q34" s="7"/>
      <c r="R34" s="201" t="s">
        <v>107</v>
      </c>
      <c r="S34" s="7" t="s">
        <v>23</v>
      </c>
      <c r="T34" s="7" t="s">
        <v>24</v>
      </c>
      <c r="U34" s="201" t="s">
        <v>107</v>
      </c>
      <c r="V34" s="7" t="s">
        <v>23</v>
      </c>
      <c r="W34" s="7" t="s">
        <v>24</v>
      </c>
      <c r="X34" s="108"/>
      <c r="Y34" s="109"/>
      <c r="Z34" s="109"/>
      <c r="AA34" s="109"/>
      <c r="AB34" s="327"/>
      <c r="AC34" s="6" t="s">
        <v>107</v>
      </c>
      <c r="AD34" s="7" t="s">
        <v>23</v>
      </c>
      <c r="AE34" s="7" t="s">
        <v>24</v>
      </c>
      <c r="AF34" s="201" t="s">
        <v>107</v>
      </c>
      <c r="AG34" s="7" t="s">
        <v>23</v>
      </c>
      <c r="AH34" s="7" t="s">
        <v>24</v>
      </c>
      <c r="AI34" s="201" t="s">
        <v>107</v>
      </c>
      <c r="AJ34" s="7" t="s">
        <v>23</v>
      </c>
      <c r="AK34" s="7" t="s">
        <v>24</v>
      </c>
      <c r="AL34" s="201" t="s">
        <v>107</v>
      </c>
      <c r="AM34" s="7" t="s">
        <v>23</v>
      </c>
      <c r="AN34" s="7" t="s">
        <v>24</v>
      </c>
    </row>
    <row r="35" spans="1:43" ht="14.95" customHeight="1" thickBot="1" x14ac:dyDescent="0.3">
      <c r="A35" s="46" t="s">
        <v>466</v>
      </c>
      <c r="B35" s="280">
        <v>9</v>
      </c>
      <c r="C35" s="465">
        <v>3</v>
      </c>
      <c r="D35" s="441">
        <v>0</v>
      </c>
      <c r="E35" s="70">
        <f t="shared" si="0"/>
        <v>12</v>
      </c>
      <c r="F35" s="88" t="s">
        <v>466</v>
      </c>
      <c r="G35" s="278">
        <v>45</v>
      </c>
      <c r="H35" s="463">
        <v>15</v>
      </c>
      <c r="I35" s="442">
        <v>0</v>
      </c>
      <c r="J35" s="90">
        <f t="shared" si="1"/>
        <v>60</v>
      </c>
      <c r="K35" s="115" t="s">
        <v>4</v>
      </c>
      <c r="L35" s="411">
        <v>14</v>
      </c>
      <c r="M35" s="70">
        <v>17</v>
      </c>
      <c r="N35" s="25">
        <f t="shared" ref="N35:N36" si="13">(L35/M35)*100</f>
        <v>82.35294117647058</v>
      </c>
      <c r="O35" s="98" t="s">
        <v>30</v>
      </c>
      <c r="P35" s="93" t="s">
        <v>30</v>
      </c>
      <c r="Q35" s="270" t="s">
        <v>30</v>
      </c>
      <c r="R35" s="201">
        <v>6</v>
      </c>
      <c r="S35" s="7">
        <v>11</v>
      </c>
      <c r="T35" s="206">
        <f>(R35/S35)*100</f>
        <v>54.54545454545454</v>
      </c>
      <c r="U35" s="201">
        <v>2</v>
      </c>
      <c r="V35" s="7">
        <v>4</v>
      </c>
      <c r="W35" s="206">
        <f>SUM(U35/V35)*100</f>
        <v>50</v>
      </c>
      <c r="X35" s="108"/>
      <c r="Y35" s="109"/>
      <c r="Z35" s="109"/>
      <c r="AA35" s="109"/>
      <c r="AB35" s="327"/>
      <c r="AC35" s="6">
        <v>4</v>
      </c>
      <c r="AD35" s="7">
        <v>6</v>
      </c>
      <c r="AE35" s="206">
        <f>SUM(AC35/AD35)*100</f>
        <v>66.666666666666657</v>
      </c>
      <c r="AF35" s="201">
        <v>7</v>
      </c>
      <c r="AG35" s="7">
        <v>13</v>
      </c>
      <c r="AH35" s="206">
        <f>SUM(AF35/AG35)*100</f>
        <v>53.846153846153847</v>
      </c>
      <c r="AI35" s="201" t="s">
        <v>30</v>
      </c>
      <c r="AJ35" s="7" t="s">
        <v>30</v>
      </c>
      <c r="AK35" s="7" t="s">
        <v>30</v>
      </c>
      <c r="AL35" s="201" t="s">
        <v>30</v>
      </c>
      <c r="AM35" s="7" t="s">
        <v>30</v>
      </c>
      <c r="AN35" s="7" t="s">
        <v>30</v>
      </c>
    </row>
    <row r="36" spans="1:43" ht="14.95" customHeight="1" thickBot="1" x14ac:dyDescent="0.3">
      <c r="A36" s="46" t="s">
        <v>1089</v>
      </c>
      <c r="B36" s="280">
        <v>0</v>
      </c>
      <c r="C36" s="465">
        <v>0</v>
      </c>
      <c r="D36" s="441">
        <v>1</v>
      </c>
      <c r="E36" s="70">
        <f t="shared" si="0"/>
        <v>1</v>
      </c>
      <c r="F36" s="88" t="s">
        <v>1089</v>
      </c>
      <c r="G36" s="278">
        <v>0</v>
      </c>
      <c r="H36" s="463">
        <v>0</v>
      </c>
      <c r="I36" s="442">
        <v>5</v>
      </c>
      <c r="J36" s="90">
        <f t="shared" si="1"/>
        <v>5</v>
      </c>
      <c r="K36" s="115" t="s">
        <v>468</v>
      </c>
      <c r="L36" s="411">
        <v>13</v>
      </c>
      <c r="M36" s="70">
        <v>15</v>
      </c>
      <c r="N36" s="25">
        <f t="shared" si="13"/>
        <v>86.666666666666671</v>
      </c>
      <c r="O36" s="98" t="s">
        <v>30</v>
      </c>
      <c r="P36" s="93" t="s">
        <v>30</v>
      </c>
      <c r="Q36" s="270" t="s">
        <v>30</v>
      </c>
      <c r="R36" s="201">
        <v>1</v>
      </c>
      <c r="S36" s="7">
        <v>1</v>
      </c>
      <c r="T36" s="206">
        <f>(R36/S36)*100</f>
        <v>100</v>
      </c>
      <c r="U36" s="98" t="s">
        <v>30</v>
      </c>
      <c r="V36" s="93" t="s">
        <v>30</v>
      </c>
      <c r="W36" s="270" t="s">
        <v>30</v>
      </c>
      <c r="X36" s="108"/>
      <c r="Y36" s="109"/>
      <c r="Z36" s="109"/>
      <c r="AA36" s="109"/>
      <c r="AB36" s="327"/>
      <c r="AC36" s="98" t="s">
        <v>30</v>
      </c>
      <c r="AD36" s="93" t="s">
        <v>30</v>
      </c>
      <c r="AE36" s="270" t="s">
        <v>30</v>
      </c>
      <c r="AF36" s="98" t="s">
        <v>30</v>
      </c>
      <c r="AG36" s="93" t="s">
        <v>30</v>
      </c>
      <c r="AH36" s="270" t="s">
        <v>30</v>
      </c>
      <c r="AI36" s="98" t="s">
        <v>30</v>
      </c>
      <c r="AJ36" s="93" t="s">
        <v>30</v>
      </c>
      <c r="AK36" s="270" t="s">
        <v>30</v>
      </c>
      <c r="AL36" s="6" t="s">
        <v>30</v>
      </c>
      <c r="AM36" s="7" t="s">
        <v>30</v>
      </c>
      <c r="AN36" s="7" t="s">
        <v>30</v>
      </c>
    </row>
    <row r="37" spans="1:43" ht="14.95" customHeight="1" thickBot="1" x14ac:dyDescent="0.3">
      <c r="A37" s="46" t="s">
        <v>482</v>
      </c>
      <c r="B37" s="280">
        <v>2</v>
      </c>
      <c r="C37" s="465">
        <v>3</v>
      </c>
      <c r="D37" s="441">
        <v>0</v>
      </c>
      <c r="E37" s="70">
        <f t="shared" si="0"/>
        <v>5</v>
      </c>
      <c r="F37" s="88" t="s">
        <v>482</v>
      </c>
      <c r="G37" s="278">
        <v>10</v>
      </c>
      <c r="H37" s="463">
        <v>15</v>
      </c>
      <c r="I37" s="442">
        <v>0</v>
      </c>
      <c r="J37" s="90">
        <f t="shared" si="1"/>
        <v>25</v>
      </c>
      <c r="K37" s="115" t="s">
        <v>410</v>
      </c>
      <c r="L37" s="411" t="s">
        <v>30</v>
      </c>
      <c r="M37" s="70" t="s">
        <v>30</v>
      </c>
      <c r="N37" s="25" t="s">
        <v>30</v>
      </c>
      <c r="O37" s="98" t="s">
        <v>30</v>
      </c>
      <c r="P37" s="93" t="s">
        <v>30</v>
      </c>
      <c r="Q37" s="270" t="s">
        <v>30</v>
      </c>
      <c r="R37" s="201" t="s">
        <v>30</v>
      </c>
      <c r="S37" s="7" t="s">
        <v>30</v>
      </c>
      <c r="T37" s="206" t="s">
        <v>30</v>
      </c>
      <c r="U37" s="201">
        <v>1</v>
      </c>
      <c r="V37" s="7">
        <v>1</v>
      </c>
      <c r="W37" s="206">
        <f>SUM(U37/V37)*100</f>
        <v>100</v>
      </c>
      <c r="X37" s="108"/>
      <c r="Y37" s="109"/>
      <c r="Z37" s="109"/>
      <c r="AA37" s="109"/>
      <c r="AB37" s="327"/>
      <c r="AC37" s="6" t="s">
        <v>30</v>
      </c>
      <c r="AD37" s="7" t="s">
        <v>30</v>
      </c>
      <c r="AE37" s="7" t="s">
        <v>30</v>
      </c>
      <c r="AF37" s="201" t="s">
        <v>30</v>
      </c>
      <c r="AG37" s="7" t="s">
        <v>30</v>
      </c>
      <c r="AH37" s="7" t="s">
        <v>30</v>
      </c>
      <c r="AI37" s="201" t="s">
        <v>30</v>
      </c>
      <c r="AJ37" s="7" t="s">
        <v>30</v>
      </c>
      <c r="AK37" s="7" t="s">
        <v>30</v>
      </c>
      <c r="AL37" s="201" t="s">
        <v>30</v>
      </c>
      <c r="AM37" s="7" t="s">
        <v>30</v>
      </c>
      <c r="AN37" s="7" t="s">
        <v>30</v>
      </c>
    </row>
    <row r="38" spans="1:43" ht="14.95" customHeight="1" thickBot="1" x14ac:dyDescent="0.3">
      <c r="A38" s="46" t="s">
        <v>177</v>
      </c>
      <c r="B38" s="280">
        <v>1</v>
      </c>
      <c r="C38" s="465">
        <v>0</v>
      </c>
      <c r="D38" s="441">
        <v>1</v>
      </c>
      <c r="E38" s="70">
        <f t="shared" si="0"/>
        <v>2</v>
      </c>
      <c r="F38" s="88" t="s">
        <v>177</v>
      </c>
      <c r="G38" s="278">
        <v>5</v>
      </c>
      <c r="H38" s="463">
        <v>0</v>
      </c>
      <c r="I38" s="442">
        <v>5</v>
      </c>
      <c r="J38" s="90">
        <f t="shared" si="1"/>
        <v>10</v>
      </c>
      <c r="K38" s="56" t="s">
        <v>1004</v>
      </c>
      <c r="L38" s="411" t="s">
        <v>30</v>
      </c>
      <c r="M38" s="70" t="s">
        <v>30</v>
      </c>
      <c r="N38" s="25" t="s">
        <v>30</v>
      </c>
      <c r="O38" s="98" t="s">
        <v>30</v>
      </c>
      <c r="P38" s="93" t="s">
        <v>30</v>
      </c>
      <c r="Q38" s="270" t="s">
        <v>30</v>
      </c>
      <c r="R38" s="201" t="s">
        <v>30</v>
      </c>
      <c r="S38" s="7" t="s">
        <v>30</v>
      </c>
      <c r="T38" s="206" t="s">
        <v>30</v>
      </c>
      <c r="U38" s="201" t="s">
        <v>30</v>
      </c>
      <c r="V38" s="7" t="s">
        <v>30</v>
      </c>
      <c r="W38" s="206" t="s">
        <v>30</v>
      </c>
      <c r="X38" s="108"/>
      <c r="Y38" s="109"/>
      <c r="Z38" s="109"/>
      <c r="AA38" s="109"/>
      <c r="AB38" s="327"/>
      <c r="AC38" s="6" t="s">
        <v>30</v>
      </c>
      <c r="AD38" s="7" t="s">
        <v>30</v>
      </c>
      <c r="AE38" s="7" t="s">
        <v>30</v>
      </c>
      <c r="AF38" s="201">
        <v>4</v>
      </c>
      <c r="AG38" s="7">
        <v>8</v>
      </c>
      <c r="AH38" s="7">
        <v>50</v>
      </c>
      <c r="AI38" s="201" t="s">
        <v>30</v>
      </c>
      <c r="AJ38" s="7" t="s">
        <v>30</v>
      </c>
      <c r="AK38" s="7" t="s">
        <v>30</v>
      </c>
      <c r="AL38" s="201" t="s">
        <v>30</v>
      </c>
      <c r="AM38" s="7" t="s">
        <v>30</v>
      </c>
      <c r="AN38" s="7" t="s">
        <v>30</v>
      </c>
    </row>
    <row r="39" spans="1:43" ht="14.95" customHeight="1" thickBot="1" x14ac:dyDescent="0.3">
      <c r="A39" s="46" t="s">
        <v>33</v>
      </c>
      <c r="B39" s="280">
        <v>0</v>
      </c>
      <c r="C39" s="465">
        <v>0</v>
      </c>
      <c r="D39" s="441">
        <v>0</v>
      </c>
      <c r="E39" s="70">
        <f t="shared" si="0"/>
        <v>0</v>
      </c>
      <c r="F39" s="88" t="s">
        <v>33</v>
      </c>
      <c r="G39" s="278">
        <v>0</v>
      </c>
      <c r="H39" s="463">
        <v>0</v>
      </c>
      <c r="I39" s="442">
        <v>0</v>
      </c>
      <c r="J39" s="90">
        <f t="shared" si="1"/>
        <v>0</v>
      </c>
      <c r="K39" s="115" t="s">
        <v>22</v>
      </c>
      <c r="L39" s="411">
        <v>1</v>
      </c>
      <c r="M39" s="70">
        <v>1</v>
      </c>
      <c r="N39" s="25">
        <f t="shared" ref="N39" si="14">(L39/M39)*100</f>
        <v>100</v>
      </c>
      <c r="O39" s="98" t="s">
        <v>30</v>
      </c>
      <c r="P39" s="93" t="s">
        <v>30</v>
      </c>
      <c r="Q39" s="270" t="s">
        <v>30</v>
      </c>
      <c r="R39" s="201">
        <v>3</v>
      </c>
      <c r="S39" s="7">
        <v>5</v>
      </c>
      <c r="T39" s="206">
        <f>(R39/S39)*100</f>
        <v>60</v>
      </c>
      <c r="U39" s="201">
        <v>2</v>
      </c>
      <c r="V39" s="7">
        <v>2</v>
      </c>
      <c r="W39" s="206">
        <f>SUM(U39/V39)*100</f>
        <v>100</v>
      </c>
      <c r="X39" s="108"/>
      <c r="Y39" s="109"/>
      <c r="Z39" s="109"/>
      <c r="AA39" s="109"/>
      <c r="AB39" s="327"/>
      <c r="AC39" s="6">
        <v>4</v>
      </c>
      <c r="AD39" s="7">
        <v>4</v>
      </c>
      <c r="AE39" s="206">
        <f>SUM(AC39/AD39)*100</f>
        <v>100</v>
      </c>
      <c r="AF39" s="201" t="s">
        <v>30</v>
      </c>
      <c r="AG39" s="7" t="s">
        <v>30</v>
      </c>
      <c r="AH39" s="7" t="s">
        <v>30</v>
      </c>
      <c r="AI39" s="201" t="s">
        <v>30</v>
      </c>
      <c r="AJ39" s="7" t="s">
        <v>30</v>
      </c>
      <c r="AK39" s="7" t="s">
        <v>30</v>
      </c>
      <c r="AL39" s="201">
        <v>13</v>
      </c>
      <c r="AM39" s="7">
        <v>19</v>
      </c>
      <c r="AN39" s="206">
        <f>SUM(AL39/AM39)*100</f>
        <v>68.421052631578945</v>
      </c>
    </row>
    <row r="40" spans="1:43" ht="14.95" customHeight="1" thickBot="1" x14ac:dyDescent="0.3">
      <c r="A40" s="46" t="s">
        <v>17</v>
      </c>
      <c r="B40" s="280">
        <v>0</v>
      </c>
      <c r="C40" s="465">
        <v>0</v>
      </c>
      <c r="D40" s="441">
        <v>0</v>
      </c>
      <c r="E40" s="70">
        <f t="shared" si="0"/>
        <v>0</v>
      </c>
      <c r="F40" s="88" t="s">
        <v>17</v>
      </c>
      <c r="G40" s="278">
        <v>0</v>
      </c>
      <c r="H40" s="463">
        <v>0</v>
      </c>
      <c r="I40" s="442">
        <v>0</v>
      </c>
      <c r="J40" s="90">
        <f t="shared" si="1"/>
        <v>0</v>
      </c>
      <c r="K40" s="518" t="s">
        <v>656</v>
      </c>
      <c r="L40" s="519"/>
      <c r="M40" s="519"/>
      <c r="N40" s="519"/>
      <c r="O40" s="519"/>
      <c r="P40" s="519"/>
      <c r="Q40" s="519"/>
      <c r="R40" s="519"/>
      <c r="S40" s="519"/>
      <c r="T40" s="519"/>
      <c r="U40" s="519"/>
      <c r="V40" s="519"/>
      <c r="W40" s="519"/>
      <c r="X40" s="519"/>
      <c r="Y40" s="519"/>
      <c r="Z40" s="519"/>
      <c r="AA40" s="519"/>
      <c r="AB40" s="519"/>
      <c r="AC40" s="519"/>
      <c r="AD40" s="519"/>
      <c r="AE40" s="519"/>
      <c r="AF40" s="519"/>
      <c r="AG40" s="519"/>
      <c r="AH40" s="519"/>
      <c r="AI40" s="519"/>
      <c r="AJ40" s="519"/>
      <c r="AK40" s="519"/>
      <c r="AL40" s="519"/>
      <c r="AM40" s="519"/>
      <c r="AN40" s="519"/>
      <c r="AO40" s="519"/>
      <c r="AP40" s="519"/>
      <c r="AQ40" s="519"/>
    </row>
    <row r="41" spans="1:43" ht="14.95" customHeight="1" thickBot="1" x14ac:dyDescent="0.3">
      <c r="A41" s="46" t="s">
        <v>132</v>
      </c>
      <c r="B41" s="280">
        <v>8</v>
      </c>
      <c r="C41" s="465">
        <v>3</v>
      </c>
      <c r="D41" s="441">
        <v>0</v>
      </c>
      <c r="E41" s="70">
        <f t="shared" si="0"/>
        <v>11</v>
      </c>
      <c r="F41" s="88" t="s">
        <v>132</v>
      </c>
      <c r="G41" s="278">
        <v>40</v>
      </c>
      <c r="H41" s="463">
        <v>15</v>
      </c>
      <c r="I41" s="442">
        <v>0</v>
      </c>
      <c r="J41" s="90">
        <f t="shared" si="1"/>
        <v>55</v>
      </c>
      <c r="K41" s="518" t="s">
        <v>1005</v>
      </c>
      <c r="L41" s="519"/>
      <c r="M41" s="519"/>
      <c r="N41" s="519"/>
      <c r="O41" s="519"/>
      <c r="P41" s="519"/>
      <c r="Q41" s="519"/>
      <c r="R41" s="519"/>
      <c r="S41" s="519"/>
      <c r="T41" s="519"/>
      <c r="U41" s="519"/>
      <c r="V41" s="519"/>
      <c r="W41" s="519"/>
    </row>
    <row r="42" spans="1:43" ht="14.95" customHeight="1" thickBot="1" x14ac:dyDescent="0.3">
      <c r="A42" s="46" t="s">
        <v>789</v>
      </c>
      <c r="B42" s="280">
        <v>5</v>
      </c>
      <c r="C42" s="465">
        <v>5</v>
      </c>
      <c r="D42" s="441">
        <v>0</v>
      </c>
      <c r="E42" s="70">
        <f t="shared" si="0"/>
        <v>10</v>
      </c>
      <c r="F42" s="88" t="s">
        <v>789</v>
      </c>
      <c r="G42" s="278">
        <v>25</v>
      </c>
      <c r="H42" s="463">
        <v>25</v>
      </c>
      <c r="I42" s="442">
        <v>0</v>
      </c>
      <c r="J42" s="90">
        <f t="shared" si="1"/>
        <v>50</v>
      </c>
      <c r="K42" s="107" t="s">
        <v>1021</v>
      </c>
      <c r="O42" s="84"/>
      <c r="P42" s="84"/>
      <c r="Q42" s="84"/>
      <c r="R42" s="84"/>
      <c r="S42" s="84"/>
      <c r="T42" s="84"/>
      <c r="U42" s="84"/>
      <c r="V42" s="84"/>
      <c r="W42" s="84"/>
    </row>
    <row r="43" spans="1:43" ht="14.95" customHeight="1" thickBot="1" x14ac:dyDescent="0.3">
      <c r="A43" s="46" t="s">
        <v>589</v>
      </c>
      <c r="B43" s="280">
        <v>0</v>
      </c>
      <c r="C43" s="465">
        <v>0</v>
      </c>
      <c r="D43" s="441">
        <v>0</v>
      </c>
      <c r="E43" s="70">
        <f t="shared" si="0"/>
        <v>0</v>
      </c>
      <c r="F43" s="88" t="s">
        <v>589</v>
      </c>
      <c r="G43" s="278">
        <v>0</v>
      </c>
      <c r="H43" s="463">
        <v>0</v>
      </c>
      <c r="I43" s="442">
        <v>0</v>
      </c>
      <c r="J43" s="90">
        <f t="shared" si="1"/>
        <v>0</v>
      </c>
      <c r="K43" s="107"/>
      <c r="O43" s="84"/>
      <c r="P43" s="84"/>
      <c r="Q43" s="84"/>
      <c r="R43" s="84"/>
      <c r="S43" s="84"/>
      <c r="T43" s="84"/>
      <c r="U43" s="84"/>
      <c r="V43" s="84"/>
      <c r="W43" s="84"/>
    </row>
    <row r="44" spans="1:43" ht="14.95" customHeight="1" thickBot="1" x14ac:dyDescent="0.3">
      <c r="A44" s="46" t="s">
        <v>119</v>
      </c>
      <c r="B44" s="280">
        <v>0</v>
      </c>
      <c r="C44" s="465">
        <v>0</v>
      </c>
      <c r="D44" s="441">
        <v>1</v>
      </c>
      <c r="E44" s="70">
        <f t="shared" si="0"/>
        <v>1</v>
      </c>
      <c r="F44" s="88" t="s">
        <v>119</v>
      </c>
      <c r="G44" s="278">
        <v>0</v>
      </c>
      <c r="H44" s="463">
        <v>0</v>
      </c>
      <c r="I44" s="442">
        <v>5</v>
      </c>
      <c r="J44" s="90">
        <f t="shared" si="1"/>
        <v>5</v>
      </c>
    </row>
    <row r="45" spans="1:43" ht="14.95" thickBot="1" x14ac:dyDescent="0.3">
      <c r="A45" s="46" t="s">
        <v>1009</v>
      </c>
      <c r="B45" s="280">
        <v>0</v>
      </c>
      <c r="C45" s="465">
        <v>0</v>
      </c>
      <c r="D45" s="441">
        <v>1</v>
      </c>
      <c r="E45" s="70">
        <f t="shared" si="0"/>
        <v>1</v>
      </c>
      <c r="F45" s="88" t="s">
        <v>1009</v>
      </c>
      <c r="G45" s="278">
        <v>0</v>
      </c>
      <c r="H45" s="463">
        <v>0</v>
      </c>
      <c r="I45" s="442">
        <v>5</v>
      </c>
      <c r="J45" s="90">
        <f t="shared" si="1"/>
        <v>5</v>
      </c>
    </row>
    <row r="46" spans="1:43" ht="14.95" thickBot="1" x14ac:dyDescent="0.3">
      <c r="A46" s="46" t="s">
        <v>111</v>
      </c>
      <c r="B46" s="280">
        <v>5</v>
      </c>
      <c r="C46" s="465">
        <v>1</v>
      </c>
      <c r="D46" s="441">
        <v>0</v>
      </c>
      <c r="E46" s="70">
        <f t="shared" si="0"/>
        <v>6</v>
      </c>
      <c r="F46" s="88" t="s">
        <v>111</v>
      </c>
      <c r="G46" s="278">
        <v>25</v>
      </c>
      <c r="H46" s="463">
        <v>5</v>
      </c>
      <c r="I46" s="442">
        <v>0</v>
      </c>
      <c r="J46" s="90">
        <f t="shared" si="1"/>
        <v>30</v>
      </c>
    </row>
    <row r="47" spans="1:43" ht="14.95" customHeight="1" thickBot="1" x14ac:dyDescent="0.3">
      <c r="A47" s="46" t="s">
        <v>8</v>
      </c>
      <c r="B47" s="280">
        <v>0</v>
      </c>
      <c r="C47" s="465">
        <v>0</v>
      </c>
      <c r="D47" s="441">
        <v>0</v>
      </c>
      <c r="E47" s="70">
        <f t="shared" si="0"/>
        <v>0</v>
      </c>
      <c r="F47" s="88" t="s">
        <v>8</v>
      </c>
      <c r="G47" s="278">
        <v>0</v>
      </c>
      <c r="H47" s="463">
        <v>0</v>
      </c>
      <c r="I47" s="442">
        <v>0</v>
      </c>
      <c r="J47" s="90">
        <f t="shared" si="1"/>
        <v>0</v>
      </c>
    </row>
    <row r="48" spans="1:43" ht="14.95" customHeight="1" thickBot="1" x14ac:dyDescent="0.3">
      <c r="A48" s="46" t="s">
        <v>22</v>
      </c>
      <c r="B48" s="280">
        <v>2</v>
      </c>
      <c r="C48" s="465">
        <v>0</v>
      </c>
      <c r="D48" s="441">
        <v>0</v>
      </c>
      <c r="E48" s="70">
        <f t="shared" si="0"/>
        <v>2</v>
      </c>
      <c r="F48" s="88" t="s">
        <v>22</v>
      </c>
      <c r="G48" s="278">
        <v>10</v>
      </c>
      <c r="H48" s="463">
        <v>14</v>
      </c>
      <c r="I48" s="442">
        <v>2</v>
      </c>
      <c r="J48" s="90">
        <f t="shared" si="1"/>
        <v>26</v>
      </c>
    </row>
    <row r="49" spans="1:10" ht="14.95" customHeight="1" thickBot="1" x14ac:dyDescent="0.3">
      <c r="A49" s="46" t="s">
        <v>564</v>
      </c>
      <c r="B49" s="280">
        <v>0</v>
      </c>
      <c r="C49" s="465">
        <v>2</v>
      </c>
      <c r="D49" s="441">
        <v>0</v>
      </c>
      <c r="E49" s="70">
        <f t="shared" si="0"/>
        <v>2</v>
      </c>
      <c r="F49" s="88" t="s">
        <v>564</v>
      </c>
      <c r="G49" s="278">
        <v>0</v>
      </c>
      <c r="H49" s="463">
        <v>10</v>
      </c>
      <c r="I49" s="442">
        <v>0</v>
      </c>
      <c r="J49" s="90">
        <f t="shared" si="1"/>
        <v>10</v>
      </c>
    </row>
    <row r="50" spans="1:10" ht="14.95" customHeight="1" thickBot="1" x14ac:dyDescent="0.3">
      <c r="A50" s="46" t="s">
        <v>41</v>
      </c>
      <c r="B50" s="280">
        <v>0</v>
      </c>
      <c r="C50" s="465">
        <v>0</v>
      </c>
      <c r="D50" s="441">
        <v>2</v>
      </c>
      <c r="E50" s="70">
        <f t="shared" si="0"/>
        <v>2</v>
      </c>
      <c r="F50" s="88" t="s">
        <v>41</v>
      </c>
      <c r="G50" s="278">
        <v>0</v>
      </c>
      <c r="H50" s="463">
        <v>0</v>
      </c>
      <c r="I50" s="442">
        <v>10</v>
      </c>
      <c r="J50" s="90">
        <f t="shared" si="1"/>
        <v>10</v>
      </c>
    </row>
    <row r="51" spans="1:10" ht="14.95" customHeight="1" thickBot="1" x14ac:dyDescent="0.3">
      <c r="A51" s="46" t="s">
        <v>140</v>
      </c>
      <c r="B51" s="280">
        <v>1</v>
      </c>
      <c r="C51" s="465">
        <v>0</v>
      </c>
      <c r="D51" s="441">
        <v>0</v>
      </c>
      <c r="E51" s="70">
        <f t="shared" si="0"/>
        <v>1</v>
      </c>
      <c r="F51" s="88" t="s">
        <v>140</v>
      </c>
      <c r="G51" s="278">
        <v>5</v>
      </c>
      <c r="H51" s="463">
        <v>0</v>
      </c>
      <c r="I51" s="442">
        <v>0</v>
      </c>
      <c r="J51" s="90">
        <f t="shared" si="1"/>
        <v>5</v>
      </c>
    </row>
    <row r="52" spans="1:10" ht="14.95" thickBot="1" x14ac:dyDescent="0.3">
      <c r="A52" s="46" t="s">
        <v>3</v>
      </c>
      <c r="B52" s="280">
        <f>SUM(B3:B51)</f>
        <v>88</v>
      </c>
      <c r="C52" s="465">
        <f>SUM(C3:C51)</f>
        <v>29</v>
      </c>
      <c r="D52" s="441">
        <f>SUM(D3:D51)</f>
        <v>29</v>
      </c>
      <c r="E52" s="70">
        <f t="shared" si="0"/>
        <v>146</v>
      </c>
      <c r="F52" s="88" t="s">
        <v>3</v>
      </c>
      <c r="G52" s="278">
        <f>SUM(G3:G51)</f>
        <v>665</v>
      </c>
      <c r="H52" s="463">
        <f>SUM(H3:H51)</f>
        <v>207</v>
      </c>
      <c r="I52" s="442">
        <f>SUM(I3:I51)</f>
        <v>205</v>
      </c>
      <c r="J52" s="90">
        <f t="shared" si="1"/>
        <v>1077</v>
      </c>
    </row>
    <row r="53" spans="1:10" x14ac:dyDescent="0.25">
      <c r="B53" s="167"/>
      <c r="C53" s="86"/>
      <c r="D53" s="86"/>
      <c r="E53" s="51"/>
      <c r="F53" s="38"/>
      <c r="G53" s="172"/>
      <c r="H53" s="38"/>
      <c r="I53" s="38"/>
      <c r="J53" s="38"/>
    </row>
    <row r="54" spans="1:10" ht="14.95" thickBot="1" x14ac:dyDescent="0.3">
      <c r="A54" t="s">
        <v>27</v>
      </c>
      <c r="B54" s="167"/>
      <c r="C54" s="86"/>
      <c r="D54" s="86"/>
      <c r="E54" s="51"/>
      <c r="F54" s="34"/>
      <c r="G54" s="169"/>
      <c r="H54" s="34"/>
      <c r="I54" s="34"/>
      <c r="J54" s="34"/>
    </row>
    <row r="55" spans="1:10" ht="14.95" thickBot="1" x14ac:dyDescent="0.3">
      <c r="A55" s="142" t="s">
        <v>0</v>
      </c>
      <c r="B55" s="279" t="s">
        <v>620</v>
      </c>
      <c r="C55" s="464" t="s">
        <v>64</v>
      </c>
      <c r="D55" s="439" t="s">
        <v>925</v>
      </c>
      <c r="E55" s="143" t="s">
        <v>1</v>
      </c>
      <c r="F55" s="144" t="s">
        <v>2</v>
      </c>
      <c r="G55" s="277" t="s">
        <v>620</v>
      </c>
      <c r="H55" s="462" t="s">
        <v>64</v>
      </c>
      <c r="I55" s="440" t="s">
        <v>925</v>
      </c>
      <c r="J55" s="130" t="s">
        <v>1</v>
      </c>
    </row>
    <row r="56" spans="1:10" ht="14.95" thickBot="1" x14ac:dyDescent="0.3">
      <c r="A56" s="46" t="s">
        <v>466</v>
      </c>
      <c r="B56" s="280">
        <v>9</v>
      </c>
      <c r="C56" s="465">
        <v>3</v>
      </c>
      <c r="D56" s="441">
        <v>0</v>
      </c>
      <c r="E56" s="70">
        <f t="shared" ref="E56:E87" si="15">SUM(B56:D56)</f>
        <v>12</v>
      </c>
      <c r="F56" s="88" t="s">
        <v>1002</v>
      </c>
      <c r="G56" s="278">
        <v>175</v>
      </c>
      <c r="H56" s="463">
        <v>32</v>
      </c>
      <c r="I56" s="442">
        <v>0</v>
      </c>
      <c r="J56" s="90">
        <f t="shared" ref="J56:J87" si="16">SUM(G56:I56)</f>
        <v>207</v>
      </c>
    </row>
    <row r="57" spans="1:10" ht="14.95" thickBot="1" x14ac:dyDescent="0.3">
      <c r="A57" s="46" t="s">
        <v>132</v>
      </c>
      <c r="B57" s="280">
        <v>8</v>
      </c>
      <c r="C57" s="465">
        <v>3</v>
      </c>
      <c r="D57" s="441">
        <v>0</v>
      </c>
      <c r="E57" s="70">
        <f t="shared" si="15"/>
        <v>11</v>
      </c>
      <c r="F57" s="88" t="s">
        <v>4</v>
      </c>
      <c r="G57" s="278">
        <v>36</v>
      </c>
      <c r="H57" s="463">
        <v>12</v>
      </c>
      <c r="I57" s="442">
        <v>29</v>
      </c>
      <c r="J57" s="90">
        <f t="shared" si="16"/>
        <v>77</v>
      </c>
    </row>
    <row r="58" spans="1:10" ht="14.95" thickBot="1" x14ac:dyDescent="0.3">
      <c r="A58" s="46" t="s">
        <v>789</v>
      </c>
      <c r="B58" s="280">
        <v>5</v>
      </c>
      <c r="C58" s="465">
        <v>5</v>
      </c>
      <c r="D58" s="441">
        <v>0</v>
      </c>
      <c r="E58" s="70">
        <f t="shared" si="15"/>
        <v>10</v>
      </c>
      <c r="F58" s="87" t="s">
        <v>466</v>
      </c>
      <c r="G58" s="278">
        <v>45</v>
      </c>
      <c r="H58" s="463">
        <v>15</v>
      </c>
      <c r="I58" s="442">
        <v>0</v>
      </c>
      <c r="J58" s="90">
        <f t="shared" si="16"/>
        <v>60</v>
      </c>
    </row>
    <row r="59" spans="1:10" ht="14.95" thickBot="1" x14ac:dyDescent="0.3">
      <c r="A59" s="46" t="s">
        <v>341</v>
      </c>
      <c r="B59" s="280">
        <v>6</v>
      </c>
      <c r="C59" s="465">
        <v>0</v>
      </c>
      <c r="D59" s="441">
        <v>3</v>
      </c>
      <c r="E59" s="70">
        <f t="shared" si="15"/>
        <v>9</v>
      </c>
      <c r="F59" s="87" t="s">
        <v>132</v>
      </c>
      <c r="G59" s="278">
        <v>40</v>
      </c>
      <c r="H59" s="463">
        <v>15</v>
      </c>
      <c r="I59" s="442">
        <v>0</v>
      </c>
      <c r="J59" s="90">
        <f t="shared" si="16"/>
        <v>55</v>
      </c>
    </row>
    <row r="60" spans="1:10" ht="14.95" thickBot="1" x14ac:dyDescent="0.3">
      <c r="A60" s="46" t="s">
        <v>520</v>
      </c>
      <c r="B60" s="280">
        <v>7</v>
      </c>
      <c r="C60" s="465">
        <v>1</v>
      </c>
      <c r="D60" s="441">
        <v>0</v>
      </c>
      <c r="E60" s="70">
        <f t="shared" si="15"/>
        <v>8</v>
      </c>
      <c r="F60" s="87" t="s">
        <v>789</v>
      </c>
      <c r="G60" s="278">
        <v>25</v>
      </c>
      <c r="H60" s="463">
        <v>25</v>
      </c>
      <c r="I60" s="442">
        <v>0</v>
      </c>
      <c r="J60" s="90">
        <f t="shared" si="16"/>
        <v>50</v>
      </c>
    </row>
    <row r="61" spans="1:10" ht="14.95" thickBot="1" x14ac:dyDescent="0.3">
      <c r="A61" s="46" t="s">
        <v>1000</v>
      </c>
      <c r="B61" s="280">
        <v>4</v>
      </c>
      <c r="C61" s="465">
        <v>1</v>
      </c>
      <c r="D61" s="441">
        <v>2</v>
      </c>
      <c r="E61" s="70">
        <f t="shared" si="15"/>
        <v>7</v>
      </c>
      <c r="F61" s="87" t="s">
        <v>341</v>
      </c>
      <c r="G61" s="278">
        <v>30</v>
      </c>
      <c r="H61" s="463">
        <v>0</v>
      </c>
      <c r="I61" s="442">
        <v>15</v>
      </c>
      <c r="J61" s="90">
        <f t="shared" si="16"/>
        <v>45</v>
      </c>
    </row>
    <row r="62" spans="1:10" ht="14.95" thickBot="1" x14ac:dyDescent="0.3">
      <c r="A62" s="46" t="s">
        <v>111</v>
      </c>
      <c r="B62" s="280">
        <v>5</v>
      </c>
      <c r="C62" s="465">
        <v>1</v>
      </c>
      <c r="D62" s="441">
        <v>0</v>
      </c>
      <c r="E62" s="70">
        <f t="shared" si="15"/>
        <v>6</v>
      </c>
      <c r="F62" s="88" t="s">
        <v>468</v>
      </c>
      <c r="G62" s="278">
        <v>6</v>
      </c>
      <c r="H62" s="463">
        <v>2</v>
      </c>
      <c r="I62" s="442">
        <v>34</v>
      </c>
      <c r="J62" s="90">
        <f t="shared" si="16"/>
        <v>42</v>
      </c>
    </row>
    <row r="63" spans="1:10" ht="14.95" thickBot="1" x14ac:dyDescent="0.3">
      <c r="A63" s="46" t="s">
        <v>156</v>
      </c>
      <c r="B63" s="280">
        <v>4</v>
      </c>
      <c r="C63" s="465">
        <v>0</v>
      </c>
      <c r="D63" s="441">
        <v>1</v>
      </c>
      <c r="E63" s="70">
        <f t="shared" si="15"/>
        <v>5</v>
      </c>
      <c r="F63" s="88" t="s">
        <v>520</v>
      </c>
      <c r="G63" s="278">
        <v>35</v>
      </c>
      <c r="H63" s="463">
        <v>5</v>
      </c>
      <c r="I63" s="442">
        <v>0</v>
      </c>
      <c r="J63" s="90">
        <f t="shared" si="16"/>
        <v>40</v>
      </c>
    </row>
    <row r="64" spans="1:10" ht="14.95" thickBot="1" x14ac:dyDescent="0.3">
      <c r="A64" s="46" t="s">
        <v>1087</v>
      </c>
      <c r="B64" s="280">
        <v>0</v>
      </c>
      <c r="C64" s="465">
        <v>0</v>
      </c>
      <c r="D64" s="441">
        <v>5</v>
      </c>
      <c r="E64" s="70">
        <f t="shared" si="15"/>
        <v>5</v>
      </c>
      <c r="F64" s="88" t="s">
        <v>1000</v>
      </c>
      <c r="G64" s="278">
        <v>20</v>
      </c>
      <c r="H64" s="463">
        <v>5</v>
      </c>
      <c r="I64" s="442">
        <v>10</v>
      </c>
      <c r="J64" s="90">
        <f t="shared" si="16"/>
        <v>35</v>
      </c>
    </row>
    <row r="65" spans="1:10" ht="14.95" thickBot="1" x14ac:dyDescent="0.3">
      <c r="A65" s="46" t="s">
        <v>6</v>
      </c>
      <c r="B65" s="280">
        <v>4</v>
      </c>
      <c r="C65" s="465">
        <v>1</v>
      </c>
      <c r="D65" s="441">
        <v>0</v>
      </c>
      <c r="E65" s="70">
        <f t="shared" si="15"/>
        <v>5</v>
      </c>
      <c r="F65" s="88" t="s">
        <v>6</v>
      </c>
      <c r="G65" s="278">
        <v>28</v>
      </c>
      <c r="H65" s="463">
        <v>7</v>
      </c>
      <c r="I65" s="442">
        <v>0</v>
      </c>
      <c r="J65" s="90">
        <f t="shared" si="16"/>
        <v>35</v>
      </c>
    </row>
    <row r="66" spans="1:10" ht="14.95" thickBot="1" x14ac:dyDescent="0.3">
      <c r="A66" s="46" t="s">
        <v>482</v>
      </c>
      <c r="B66" s="280">
        <v>2</v>
      </c>
      <c r="C66" s="465">
        <v>3</v>
      </c>
      <c r="D66" s="441">
        <v>0</v>
      </c>
      <c r="E66" s="70">
        <f t="shared" si="15"/>
        <v>5</v>
      </c>
      <c r="F66" s="88" t="s">
        <v>111</v>
      </c>
      <c r="G66" s="278">
        <v>25</v>
      </c>
      <c r="H66" s="463">
        <v>5</v>
      </c>
      <c r="I66" s="442">
        <v>0</v>
      </c>
      <c r="J66" s="90">
        <f t="shared" si="16"/>
        <v>30</v>
      </c>
    </row>
    <row r="67" spans="1:10" ht="14.95" thickBot="1" x14ac:dyDescent="0.3">
      <c r="A67" s="46" t="s">
        <v>77</v>
      </c>
      <c r="B67" s="280">
        <v>3</v>
      </c>
      <c r="C67" s="465">
        <v>0</v>
      </c>
      <c r="D67" s="441">
        <v>1</v>
      </c>
      <c r="E67" s="70">
        <f t="shared" si="15"/>
        <v>4</v>
      </c>
      <c r="F67" s="88" t="s">
        <v>22</v>
      </c>
      <c r="G67" s="278">
        <v>10</v>
      </c>
      <c r="H67" s="463">
        <v>14</v>
      </c>
      <c r="I67" s="442">
        <v>2</v>
      </c>
      <c r="J67" s="90">
        <f t="shared" si="16"/>
        <v>26</v>
      </c>
    </row>
    <row r="68" spans="1:10" ht="14.95" thickBot="1" x14ac:dyDescent="0.3">
      <c r="A68" s="46" t="s">
        <v>772</v>
      </c>
      <c r="B68" s="280">
        <v>4</v>
      </c>
      <c r="C68" s="465">
        <v>0</v>
      </c>
      <c r="D68" s="441">
        <v>0</v>
      </c>
      <c r="E68" s="70">
        <f t="shared" si="15"/>
        <v>4</v>
      </c>
      <c r="F68" s="88" t="s">
        <v>156</v>
      </c>
      <c r="G68" s="278">
        <v>20</v>
      </c>
      <c r="H68" s="463">
        <v>0</v>
      </c>
      <c r="I68" s="442">
        <v>5</v>
      </c>
      <c r="J68" s="90">
        <f t="shared" si="16"/>
        <v>25</v>
      </c>
    </row>
    <row r="69" spans="1:10" ht="14.95" thickBot="1" x14ac:dyDescent="0.3">
      <c r="A69" s="46" t="s">
        <v>410</v>
      </c>
      <c r="B69" s="280">
        <v>4</v>
      </c>
      <c r="C69" s="465">
        <v>0</v>
      </c>
      <c r="D69" s="441">
        <v>0</v>
      </c>
      <c r="E69" s="70">
        <f t="shared" si="15"/>
        <v>4</v>
      </c>
      <c r="F69" s="88" t="s">
        <v>1087</v>
      </c>
      <c r="G69" s="278">
        <v>0</v>
      </c>
      <c r="H69" s="463">
        <v>0</v>
      </c>
      <c r="I69" s="442">
        <v>25</v>
      </c>
      <c r="J69" s="90">
        <f t="shared" si="16"/>
        <v>25</v>
      </c>
    </row>
    <row r="70" spans="1:10" ht="14.95" thickBot="1" x14ac:dyDescent="0.3">
      <c r="A70" s="46" t="s">
        <v>109</v>
      </c>
      <c r="B70" s="280">
        <v>2</v>
      </c>
      <c r="C70" s="465">
        <v>1</v>
      </c>
      <c r="D70" s="441">
        <v>1</v>
      </c>
      <c r="E70" s="70">
        <f t="shared" si="15"/>
        <v>4</v>
      </c>
      <c r="F70" s="88" t="s">
        <v>482</v>
      </c>
      <c r="G70" s="278">
        <v>10</v>
      </c>
      <c r="H70" s="463">
        <v>15</v>
      </c>
      <c r="I70" s="442">
        <v>0</v>
      </c>
      <c r="J70" s="90">
        <f t="shared" si="16"/>
        <v>25</v>
      </c>
    </row>
    <row r="71" spans="1:10" ht="14.95" thickBot="1" x14ac:dyDescent="0.3">
      <c r="A71" s="46" t="s">
        <v>21</v>
      </c>
      <c r="B71" s="280">
        <v>3</v>
      </c>
      <c r="C71" s="465">
        <v>1</v>
      </c>
      <c r="D71" s="441">
        <v>0</v>
      </c>
      <c r="E71" s="70">
        <f t="shared" si="15"/>
        <v>4</v>
      </c>
      <c r="F71" s="88" t="s">
        <v>77</v>
      </c>
      <c r="G71" s="278">
        <v>15</v>
      </c>
      <c r="H71" s="463">
        <v>0</v>
      </c>
      <c r="I71" s="442">
        <v>5</v>
      </c>
      <c r="J71" s="90">
        <f t="shared" si="16"/>
        <v>20</v>
      </c>
    </row>
    <row r="72" spans="1:10" ht="14.95" thickBot="1" x14ac:dyDescent="0.3">
      <c r="A72" s="46" t="s">
        <v>54</v>
      </c>
      <c r="B72" s="280">
        <v>0</v>
      </c>
      <c r="C72" s="465">
        <v>0</v>
      </c>
      <c r="D72" s="441">
        <v>4</v>
      </c>
      <c r="E72" s="70">
        <f t="shared" si="15"/>
        <v>4</v>
      </c>
      <c r="F72" s="88" t="s">
        <v>772</v>
      </c>
      <c r="G72" s="278">
        <v>20</v>
      </c>
      <c r="H72" s="463">
        <v>0</v>
      </c>
      <c r="I72" s="442">
        <v>0</v>
      </c>
      <c r="J72" s="90">
        <f t="shared" si="16"/>
        <v>20</v>
      </c>
    </row>
    <row r="73" spans="1:10" ht="14.95" thickBot="1" x14ac:dyDescent="0.3">
      <c r="A73" s="46" t="s">
        <v>653</v>
      </c>
      <c r="B73" s="280">
        <v>2</v>
      </c>
      <c r="C73" s="465">
        <v>1</v>
      </c>
      <c r="D73" s="441">
        <v>1</v>
      </c>
      <c r="E73" s="70">
        <f t="shared" si="15"/>
        <v>4</v>
      </c>
      <c r="F73" s="88" t="s">
        <v>410</v>
      </c>
      <c r="G73" s="278">
        <v>20</v>
      </c>
      <c r="H73" s="463">
        <v>0</v>
      </c>
      <c r="I73" s="442">
        <v>0</v>
      </c>
      <c r="J73" s="90">
        <f t="shared" si="16"/>
        <v>20</v>
      </c>
    </row>
    <row r="74" spans="1:10" ht="14.95" thickBot="1" x14ac:dyDescent="0.3">
      <c r="A74" s="46" t="s">
        <v>604</v>
      </c>
      <c r="B74" s="280">
        <v>1</v>
      </c>
      <c r="C74" s="465">
        <v>2</v>
      </c>
      <c r="D74" s="441">
        <v>0</v>
      </c>
      <c r="E74" s="70">
        <f t="shared" si="15"/>
        <v>3</v>
      </c>
      <c r="F74" s="88" t="s">
        <v>109</v>
      </c>
      <c r="G74" s="278">
        <v>10</v>
      </c>
      <c r="H74" s="463">
        <v>5</v>
      </c>
      <c r="I74" s="442">
        <v>5</v>
      </c>
      <c r="J74" s="90">
        <f t="shared" si="16"/>
        <v>20</v>
      </c>
    </row>
    <row r="75" spans="1:10" ht="14.95" thickBot="1" x14ac:dyDescent="0.3">
      <c r="A75" s="46" t="s">
        <v>70</v>
      </c>
      <c r="B75" s="280">
        <v>2</v>
      </c>
      <c r="C75" s="465">
        <v>1</v>
      </c>
      <c r="D75" s="441">
        <v>0</v>
      </c>
      <c r="E75" s="70">
        <f t="shared" si="15"/>
        <v>3</v>
      </c>
      <c r="F75" s="88" t="s">
        <v>21</v>
      </c>
      <c r="G75" s="278">
        <v>15</v>
      </c>
      <c r="H75" s="463">
        <v>5</v>
      </c>
      <c r="I75" s="442">
        <v>0</v>
      </c>
      <c r="J75" s="90">
        <f t="shared" si="16"/>
        <v>20</v>
      </c>
    </row>
    <row r="76" spans="1:10" ht="14.95" thickBot="1" x14ac:dyDescent="0.3">
      <c r="A76" s="46" t="s">
        <v>139</v>
      </c>
      <c r="B76" s="280">
        <v>2</v>
      </c>
      <c r="C76" s="465">
        <v>1</v>
      </c>
      <c r="D76" s="441">
        <v>0</v>
      </c>
      <c r="E76" s="70">
        <f t="shared" si="15"/>
        <v>3</v>
      </c>
      <c r="F76" s="88" t="s">
        <v>54</v>
      </c>
      <c r="G76" s="278">
        <v>0</v>
      </c>
      <c r="H76" s="463">
        <v>0</v>
      </c>
      <c r="I76" s="442">
        <v>20</v>
      </c>
      <c r="J76" s="90">
        <f t="shared" si="16"/>
        <v>20</v>
      </c>
    </row>
    <row r="77" spans="1:10" ht="14.95" thickBot="1" x14ac:dyDescent="0.3">
      <c r="A77" s="46" t="s">
        <v>138</v>
      </c>
      <c r="B77" s="280">
        <v>2</v>
      </c>
      <c r="C77" s="465">
        <v>0</v>
      </c>
      <c r="D77" s="441">
        <v>0</v>
      </c>
      <c r="E77" s="70">
        <f t="shared" si="15"/>
        <v>2</v>
      </c>
      <c r="F77" s="88" t="s">
        <v>653</v>
      </c>
      <c r="G77" s="278">
        <v>10</v>
      </c>
      <c r="H77" s="463">
        <v>5</v>
      </c>
      <c r="I77" s="442">
        <v>5</v>
      </c>
      <c r="J77" s="90">
        <f t="shared" si="16"/>
        <v>20</v>
      </c>
    </row>
    <row r="78" spans="1:10" ht="14.95" thickBot="1" x14ac:dyDescent="0.3">
      <c r="A78" s="46" t="s">
        <v>1158</v>
      </c>
      <c r="B78" s="280">
        <v>2</v>
      </c>
      <c r="C78" s="465">
        <v>0</v>
      </c>
      <c r="D78" s="441">
        <v>0</v>
      </c>
      <c r="E78" s="70">
        <f t="shared" si="15"/>
        <v>2</v>
      </c>
      <c r="F78" s="88" t="s">
        <v>604</v>
      </c>
      <c r="G78" s="278">
        <v>5</v>
      </c>
      <c r="H78" s="463">
        <v>10</v>
      </c>
      <c r="I78" s="442">
        <v>0</v>
      </c>
      <c r="J78" s="90">
        <f t="shared" si="16"/>
        <v>15</v>
      </c>
    </row>
    <row r="79" spans="1:10" ht="14.95" thickBot="1" x14ac:dyDescent="0.3">
      <c r="A79" s="46" t="s">
        <v>1108</v>
      </c>
      <c r="B79" s="280">
        <v>0</v>
      </c>
      <c r="C79" s="465">
        <v>1</v>
      </c>
      <c r="D79" s="441">
        <v>1</v>
      </c>
      <c r="E79" s="70">
        <f t="shared" si="15"/>
        <v>2</v>
      </c>
      <c r="F79" s="88" t="s">
        <v>70</v>
      </c>
      <c r="G79" s="278">
        <v>10</v>
      </c>
      <c r="H79" s="463">
        <v>5</v>
      </c>
      <c r="I79" s="442">
        <v>0</v>
      </c>
      <c r="J79" s="90">
        <f t="shared" si="16"/>
        <v>15</v>
      </c>
    </row>
    <row r="80" spans="1:10" ht="14.95" thickBot="1" x14ac:dyDescent="0.3">
      <c r="A80" s="46" t="s">
        <v>1112</v>
      </c>
      <c r="B80" s="280">
        <v>1</v>
      </c>
      <c r="C80" s="465">
        <v>1</v>
      </c>
      <c r="D80" s="441">
        <v>0</v>
      </c>
      <c r="E80" s="70">
        <f t="shared" si="15"/>
        <v>2</v>
      </c>
      <c r="F80" s="88" t="s">
        <v>139</v>
      </c>
      <c r="G80" s="278">
        <v>10</v>
      </c>
      <c r="H80" s="463">
        <v>5</v>
      </c>
      <c r="I80" s="442">
        <v>0</v>
      </c>
      <c r="J80" s="90">
        <f t="shared" si="16"/>
        <v>15</v>
      </c>
    </row>
    <row r="81" spans="1:10" ht="14.95" thickBot="1" x14ac:dyDescent="0.3">
      <c r="A81" s="46" t="s">
        <v>177</v>
      </c>
      <c r="B81" s="280">
        <v>1</v>
      </c>
      <c r="C81" s="465">
        <v>0</v>
      </c>
      <c r="D81" s="441">
        <v>1</v>
      </c>
      <c r="E81" s="70">
        <f t="shared" si="15"/>
        <v>2</v>
      </c>
      <c r="F81" s="88" t="s">
        <v>138</v>
      </c>
      <c r="G81" s="278">
        <v>10</v>
      </c>
      <c r="H81" s="463">
        <v>0</v>
      </c>
      <c r="I81" s="442">
        <v>0</v>
      </c>
      <c r="J81" s="90">
        <f t="shared" si="16"/>
        <v>10</v>
      </c>
    </row>
    <row r="82" spans="1:10" ht="14.95" thickBot="1" x14ac:dyDescent="0.3">
      <c r="A82" s="46" t="s">
        <v>22</v>
      </c>
      <c r="B82" s="280">
        <v>2</v>
      </c>
      <c r="C82" s="465">
        <v>0</v>
      </c>
      <c r="D82" s="441">
        <v>0</v>
      </c>
      <c r="E82" s="70">
        <f t="shared" si="15"/>
        <v>2</v>
      </c>
      <c r="F82" s="88" t="s">
        <v>1158</v>
      </c>
      <c r="G82" s="278">
        <v>10</v>
      </c>
      <c r="H82" s="463">
        <v>0</v>
      </c>
      <c r="I82" s="442">
        <v>0</v>
      </c>
      <c r="J82" s="90">
        <f t="shared" si="16"/>
        <v>10</v>
      </c>
    </row>
    <row r="83" spans="1:10" ht="14.95" thickBot="1" x14ac:dyDescent="0.3">
      <c r="A83" s="46" t="s">
        <v>564</v>
      </c>
      <c r="B83" s="280">
        <v>0</v>
      </c>
      <c r="C83" s="465">
        <v>2</v>
      </c>
      <c r="D83" s="441">
        <v>0</v>
      </c>
      <c r="E83" s="70">
        <f t="shared" si="15"/>
        <v>2</v>
      </c>
      <c r="F83" s="88" t="s">
        <v>1108</v>
      </c>
      <c r="G83" s="278">
        <v>0</v>
      </c>
      <c r="H83" s="463">
        <v>5</v>
      </c>
      <c r="I83" s="442">
        <v>5</v>
      </c>
      <c r="J83" s="90">
        <f t="shared" si="16"/>
        <v>10</v>
      </c>
    </row>
    <row r="84" spans="1:10" ht="14.95" thickBot="1" x14ac:dyDescent="0.3">
      <c r="A84" s="46" t="s">
        <v>41</v>
      </c>
      <c r="B84" s="280">
        <v>0</v>
      </c>
      <c r="C84" s="465">
        <v>0</v>
      </c>
      <c r="D84" s="441">
        <v>2</v>
      </c>
      <c r="E84" s="70">
        <f t="shared" si="15"/>
        <v>2</v>
      </c>
      <c r="F84" s="88" t="s">
        <v>1112</v>
      </c>
      <c r="G84" s="278">
        <v>5</v>
      </c>
      <c r="H84" s="463">
        <v>5</v>
      </c>
      <c r="I84" s="442">
        <v>0</v>
      </c>
      <c r="J84" s="90">
        <f t="shared" si="16"/>
        <v>10</v>
      </c>
    </row>
    <row r="85" spans="1:10" ht="14.95" thickBot="1" x14ac:dyDescent="0.3">
      <c r="A85" s="46" t="s">
        <v>1212</v>
      </c>
      <c r="B85" s="280">
        <v>0</v>
      </c>
      <c r="C85" s="465">
        <v>0</v>
      </c>
      <c r="D85" s="441">
        <v>1</v>
      </c>
      <c r="E85" s="70">
        <f t="shared" si="15"/>
        <v>1</v>
      </c>
      <c r="F85" s="88" t="s">
        <v>177</v>
      </c>
      <c r="G85" s="278">
        <v>5</v>
      </c>
      <c r="H85" s="463">
        <v>0</v>
      </c>
      <c r="I85" s="442">
        <v>5</v>
      </c>
      <c r="J85" s="90">
        <f t="shared" si="16"/>
        <v>10</v>
      </c>
    </row>
    <row r="86" spans="1:10" ht="14.95" thickBot="1" x14ac:dyDescent="0.3">
      <c r="A86" s="46" t="s">
        <v>468</v>
      </c>
      <c r="B86" s="280">
        <v>0</v>
      </c>
      <c r="C86" s="465">
        <v>0</v>
      </c>
      <c r="D86" s="441">
        <v>1</v>
      </c>
      <c r="E86" s="70">
        <f t="shared" si="15"/>
        <v>1</v>
      </c>
      <c r="F86" s="88" t="s">
        <v>564</v>
      </c>
      <c r="G86" s="278">
        <v>0</v>
      </c>
      <c r="H86" s="463">
        <v>10</v>
      </c>
      <c r="I86" s="442">
        <v>0</v>
      </c>
      <c r="J86" s="90">
        <f t="shared" si="16"/>
        <v>10</v>
      </c>
    </row>
    <row r="87" spans="1:10" ht="14.95" thickBot="1" x14ac:dyDescent="0.3">
      <c r="A87" s="46" t="s">
        <v>1120</v>
      </c>
      <c r="B87" s="280">
        <v>0</v>
      </c>
      <c r="C87" s="465">
        <v>0</v>
      </c>
      <c r="D87" s="441">
        <v>1</v>
      </c>
      <c r="E87" s="70">
        <f t="shared" si="15"/>
        <v>1</v>
      </c>
      <c r="F87" s="88" t="s">
        <v>41</v>
      </c>
      <c r="G87" s="278">
        <v>0</v>
      </c>
      <c r="H87" s="463">
        <v>0</v>
      </c>
      <c r="I87" s="442">
        <v>10</v>
      </c>
      <c r="J87" s="90">
        <f t="shared" si="16"/>
        <v>10</v>
      </c>
    </row>
    <row r="88" spans="1:10" ht="14.95" thickBot="1" x14ac:dyDescent="0.3">
      <c r="A88" s="46" t="s">
        <v>1050</v>
      </c>
      <c r="B88" s="280">
        <v>0</v>
      </c>
      <c r="C88" s="465">
        <v>0</v>
      </c>
      <c r="D88" s="441">
        <v>1</v>
      </c>
      <c r="E88" s="70">
        <f t="shared" ref="E88:E104" si="17">SUM(B88:D88)</f>
        <v>1</v>
      </c>
      <c r="F88" s="88" t="s">
        <v>1212</v>
      </c>
      <c r="G88" s="278">
        <v>0</v>
      </c>
      <c r="H88" s="463">
        <v>0</v>
      </c>
      <c r="I88" s="442">
        <v>5</v>
      </c>
      <c r="J88" s="90">
        <f t="shared" ref="J88:J104" si="18">SUM(G88:I88)</f>
        <v>5</v>
      </c>
    </row>
    <row r="89" spans="1:10" ht="14.95" thickBot="1" x14ac:dyDescent="0.3">
      <c r="A89" s="46" t="s">
        <v>652</v>
      </c>
      <c r="B89" s="280">
        <v>1</v>
      </c>
      <c r="C89" s="465">
        <v>0</v>
      </c>
      <c r="D89" s="441">
        <v>0</v>
      </c>
      <c r="E89" s="70">
        <f t="shared" si="17"/>
        <v>1</v>
      </c>
      <c r="F89" s="88" t="s">
        <v>1120</v>
      </c>
      <c r="G89" s="278">
        <v>0</v>
      </c>
      <c r="H89" s="463">
        <v>0</v>
      </c>
      <c r="I89" s="442">
        <v>5</v>
      </c>
      <c r="J89" s="90">
        <f t="shared" si="18"/>
        <v>5</v>
      </c>
    </row>
    <row r="90" spans="1:10" ht="14.95" thickBot="1" x14ac:dyDescent="0.3">
      <c r="A90" s="46" t="s">
        <v>1171</v>
      </c>
      <c r="B90" s="280">
        <v>1</v>
      </c>
      <c r="C90" s="465">
        <v>0</v>
      </c>
      <c r="D90" s="441">
        <v>0</v>
      </c>
      <c r="E90" s="70">
        <f t="shared" si="17"/>
        <v>1</v>
      </c>
      <c r="F90" s="88" t="s">
        <v>1050</v>
      </c>
      <c r="G90" s="278">
        <v>0</v>
      </c>
      <c r="H90" s="463">
        <v>0</v>
      </c>
      <c r="I90" s="442">
        <v>5</v>
      </c>
      <c r="J90" s="90">
        <f t="shared" si="18"/>
        <v>5</v>
      </c>
    </row>
    <row r="91" spans="1:10" ht="14.95" thickBot="1" x14ac:dyDescent="0.3">
      <c r="A91" s="46" t="s">
        <v>1089</v>
      </c>
      <c r="B91" s="280">
        <v>0</v>
      </c>
      <c r="C91" s="465">
        <v>0</v>
      </c>
      <c r="D91" s="441">
        <v>1</v>
      </c>
      <c r="E91" s="70">
        <f t="shared" si="17"/>
        <v>1</v>
      </c>
      <c r="F91" s="88" t="s">
        <v>652</v>
      </c>
      <c r="G91" s="278">
        <v>5</v>
      </c>
      <c r="H91" s="463">
        <v>0</v>
      </c>
      <c r="I91" s="442">
        <v>0</v>
      </c>
      <c r="J91" s="90">
        <f t="shared" si="18"/>
        <v>5</v>
      </c>
    </row>
    <row r="92" spans="1:10" ht="14.95" thickBot="1" x14ac:dyDescent="0.3">
      <c r="A92" s="46" t="s">
        <v>119</v>
      </c>
      <c r="B92" s="280">
        <v>0</v>
      </c>
      <c r="C92" s="465">
        <v>0</v>
      </c>
      <c r="D92" s="441">
        <v>1</v>
      </c>
      <c r="E92" s="70">
        <f t="shared" si="17"/>
        <v>1</v>
      </c>
      <c r="F92" s="88" t="s">
        <v>1171</v>
      </c>
      <c r="G92" s="278">
        <v>5</v>
      </c>
      <c r="H92" s="463">
        <v>0</v>
      </c>
      <c r="I92" s="442">
        <v>0</v>
      </c>
      <c r="J92" s="90">
        <f t="shared" si="18"/>
        <v>5</v>
      </c>
    </row>
    <row r="93" spans="1:10" ht="14.95" thickBot="1" x14ac:dyDescent="0.3">
      <c r="A93" s="46" t="s">
        <v>1009</v>
      </c>
      <c r="B93" s="280">
        <v>0</v>
      </c>
      <c r="C93" s="465">
        <v>0</v>
      </c>
      <c r="D93" s="441">
        <v>1</v>
      </c>
      <c r="E93" s="70">
        <f t="shared" si="17"/>
        <v>1</v>
      </c>
      <c r="F93" s="88" t="s">
        <v>1089</v>
      </c>
      <c r="G93" s="278">
        <v>0</v>
      </c>
      <c r="H93" s="463">
        <v>0</v>
      </c>
      <c r="I93" s="442">
        <v>5</v>
      </c>
      <c r="J93" s="90">
        <f t="shared" si="18"/>
        <v>5</v>
      </c>
    </row>
    <row r="94" spans="1:10" ht="14.95" thickBot="1" x14ac:dyDescent="0.3">
      <c r="A94" s="46" t="s">
        <v>140</v>
      </c>
      <c r="B94" s="280">
        <v>1</v>
      </c>
      <c r="C94" s="465">
        <v>0</v>
      </c>
      <c r="D94" s="441">
        <v>0</v>
      </c>
      <c r="E94" s="70">
        <f t="shared" si="17"/>
        <v>1</v>
      </c>
      <c r="F94" s="88" t="s">
        <v>119</v>
      </c>
      <c r="G94" s="278">
        <v>0</v>
      </c>
      <c r="H94" s="463">
        <v>0</v>
      </c>
      <c r="I94" s="442">
        <v>5</v>
      </c>
      <c r="J94" s="90">
        <f t="shared" si="18"/>
        <v>5</v>
      </c>
    </row>
    <row r="95" spans="1:10" ht="14.95" thickBot="1" x14ac:dyDescent="0.3">
      <c r="A95" s="46" t="s">
        <v>650</v>
      </c>
      <c r="B95" s="280">
        <v>0</v>
      </c>
      <c r="C95" s="465">
        <v>0</v>
      </c>
      <c r="D95" s="441">
        <v>0</v>
      </c>
      <c r="E95" s="70">
        <f t="shared" si="17"/>
        <v>0</v>
      </c>
      <c r="F95" s="88" t="s">
        <v>1009</v>
      </c>
      <c r="G95" s="278">
        <v>0</v>
      </c>
      <c r="H95" s="463">
        <v>0</v>
      </c>
      <c r="I95" s="442">
        <v>5</v>
      </c>
      <c r="J95" s="90">
        <f t="shared" si="18"/>
        <v>5</v>
      </c>
    </row>
    <row r="96" spans="1:10" ht="14.95" thickBot="1" x14ac:dyDescent="0.3">
      <c r="A96" s="46" t="s">
        <v>4</v>
      </c>
      <c r="B96" s="280">
        <v>0</v>
      </c>
      <c r="C96" s="465">
        <v>0</v>
      </c>
      <c r="D96" s="441">
        <v>0</v>
      </c>
      <c r="E96" s="70">
        <f t="shared" si="17"/>
        <v>0</v>
      </c>
      <c r="F96" s="88" t="s">
        <v>140</v>
      </c>
      <c r="G96" s="278">
        <v>5</v>
      </c>
      <c r="H96" s="463">
        <v>0</v>
      </c>
      <c r="I96" s="442">
        <v>0</v>
      </c>
      <c r="J96" s="90">
        <f t="shared" si="18"/>
        <v>5</v>
      </c>
    </row>
    <row r="97" spans="1:10" ht="14.95" thickBot="1" x14ac:dyDescent="0.3">
      <c r="A97" s="46" t="s">
        <v>233</v>
      </c>
      <c r="B97" s="280">
        <v>0</v>
      </c>
      <c r="C97" s="465">
        <v>0</v>
      </c>
      <c r="D97" s="441">
        <v>0</v>
      </c>
      <c r="E97" s="70">
        <f t="shared" si="17"/>
        <v>0</v>
      </c>
      <c r="F97" s="88" t="s">
        <v>650</v>
      </c>
      <c r="G97" s="278">
        <v>0</v>
      </c>
      <c r="H97" s="463">
        <v>0</v>
      </c>
      <c r="I97" s="442">
        <v>0</v>
      </c>
      <c r="J97" s="90">
        <f t="shared" si="18"/>
        <v>0</v>
      </c>
    </row>
    <row r="98" spans="1:10" ht="14.95" thickBot="1" x14ac:dyDescent="0.3">
      <c r="A98" s="46" t="s">
        <v>1002</v>
      </c>
      <c r="B98" s="280">
        <v>0</v>
      </c>
      <c r="C98" s="465">
        <v>0</v>
      </c>
      <c r="D98" s="441">
        <v>0</v>
      </c>
      <c r="E98" s="70">
        <f t="shared" si="17"/>
        <v>0</v>
      </c>
      <c r="F98" s="88" t="s">
        <v>233</v>
      </c>
      <c r="G98" s="278">
        <v>0</v>
      </c>
      <c r="H98" s="463">
        <v>0</v>
      </c>
      <c r="I98" s="442">
        <v>0</v>
      </c>
      <c r="J98" s="90">
        <f t="shared" si="18"/>
        <v>0</v>
      </c>
    </row>
    <row r="99" spans="1:10" ht="14.95" thickBot="1" x14ac:dyDescent="0.3">
      <c r="A99" s="46" t="s">
        <v>739</v>
      </c>
      <c r="B99" s="280">
        <v>0</v>
      </c>
      <c r="C99" s="465">
        <v>0</v>
      </c>
      <c r="D99" s="441">
        <v>0</v>
      </c>
      <c r="E99" s="70">
        <f t="shared" si="17"/>
        <v>0</v>
      </c>
      <c r="F99" s="88" t="s">
        <v>739</v>
      </c>
      <c r="G99" s="278">
        <v>0</v>
      </c>
      <c r="H99" s="463">
        <v>0</v>
      </c>
      <c r="I99" s="442">
        <v>0</v>
      </c>
      <c r="J99" s="90">
        <f t="shared" si="18"/>
        <v>0</v>
      </c>
    </row>
    <row r="100" spans="1:10" ht="14.95" thickBot="1" x14ac:dyDescent="0.3">
      <c r="A100" s="46" t="s">
        <v>157</v>
      </c>
      <c r="B100" s="280">
        <v>0</v>
      </c>
      <c r="C100" s="465">
        <v>0</v>
      </c>
      <c r="D100" s="441">
        <v>0</v>
      </c>
      <c r="E100" s="70">
        <f t="shared" si="17"/>
        <v>0</v>
      </c>
      <c r="F100" s="88" t="s">
        <v>157</v>
      </c>
      <c r="G100" s="278">
        <v>0</v>
      </c>
      <c r="H100" s="463">
        <v>0</v>
      </c>
      <c r="I100" s="442">
        <v>0</v>
      </c>
      <c r="J100" s="90">
        <f t="shared" si="18"/>
        <v>0</v>
      </c>
    </row>
    <row r="101" spans="1:10" ht="14.95" thickBot="1" x14ac:dyDescent="0.3">
      <c r="A101" s="46" t="s">
        <v>33</v>
      </c>
      <c r="B101" s="280">
        <v>0</v>
      </c>
      <c r="C101" s="465">
        <v>0</v>
      </c>
      <c r="D101" s="441">
        <v>0</v>
      </c>
      <c r="E101" s="70">
        <f t="shared" si="17"/>
        <v>0</v>
      </c>
      <c r="F101" s="88" t="s">
        <v>33</v>
      </c>
      <c r="G101" s="278">
        <v>0</v>
      </c>
      <c r="H101" s="463">
        <v>0</v>
      </c>
      <c r="I101" s="442">
        <v>0</v>
      </c>
      <c r="J101" s="90">
        <f t="shared" si="18"/>
        <v>0</v>
      </c>
    </row>
    <row r="102" spans="1:10" ht="14.95" thickBot="1" x14ac:dyDescent="0.3">
      <c r="A102" s="46" t="s">
        <v>17</v>
      </c>
      <c r="B102" s="280">
        <v>0</v>
      </c>
      <c r="C102" s="465">
        <v>0</v>
      </c>
      <c r="D102" s="441">
        <v>0</v>
      </c>
      <c r="E102" s="70">
        <f t="shared" si="17"/>
        <v>0</v>
      </c>
      <c r="F102" s="88" t="s">
        <v>17</v>
      </c>
      <c r="G102" s="278">
        <v>0</v>
      </c>
      <c r="H102" s="463">
        <v>0</v>
      </c>
      <c r="I102" s="442">
        <v>0</v>
      </c>
      <c r="J102" s="90">
        <f t="shared" si="18"/>
        <v>0</v>
      </c>
    </row>
    <row r="103" spans="1:10" ht="14.95" thickBot="1" x14ac:dyDescent="0.3">
      <c r="A103" s="46" t="s">
        <v>589</v>
      </c>
      <c r="B103" s="280">
        <v>0</v>
      </c>
      <c r="C103" s="465">
        <v>0</v>
      </c>
      <c r="D103" s="441">
        <v>0</v>
      </c>
      <c r="E103" s="70">
        <f t="shared" si="17"/>
        <v>0</v>
      </c>
      <c r="F103" s="88" t="s">
        <v>589</v>
      </c>
      <c r="G103" s="278">
        <v>0</v>
      </c>
      <c r="H103" s="463">
        <v>0</v>
      </c>
      <c r="I103" s="442">
        <v>0</v>
      </c>
      <c r="J103" s="90">
        <f t="shared" si="18"/>
        <v>0</v>
      </c>
    </row>
    <row r="104" spans="1:10" ht="14.95" thickBot="1" x14ac:dyDescent="0.3">
      <c r="A104" s="46" t="s">
        <v>8</v>
      </c>
      <c r="B104" s="280">
        <v>0</v>
      </c>
      <c r="C104" s="465">
        <v>0</v>
      </c>
      <c r="D104" s="441">
        <v>0</v>
      </c>
      <c r="E104" s="70">
        <f t="shared" si="17"/>
        <v>0</v>
      </c>
      <c r="F104" s="88" t="s">
        <v>8</v>
      </c>
      <c r="G104" s="278">
        <v>0</v>
      </c>
      <c r="H104" s="463">
        <v>0</v>
      </c>
      <c r="I104" s="442">
        <v>0</v>
      </c>
      <c r="J104" s="90">
        <f t="shared" si="18"/>
        <v>0</v>
      </c>
    </row>
    <row r="105" spans="1:10" ht="14.95" thickBot="1" x14ac:dyDescent="0.3">
      <c r="A105" s="46" t="s">
        <v>3</v>
      </c>
      <c r="B105" s="280">
        <f>SUM(B56:B104)</f>
        <v>88</v>
      </c>
      <c r="C105" s="465">
        <f>SUM(C56:C104)</f>
        <v>29</v>
      </c>
      <c r="D105" s="441">
        <f>SUM(D56:D104)</f>
        <v>29</v>
      </c>
      <c r="E105" s="70">
        <f t="shared" ref="E105" si="19">SUM(B105:D105)</f>
        <v>146</v>
      </c>
      <c r="F105" s="88" t="s">
        <v>3</v>
      </c>
      <c r="G105" s="278">
        <f>SUM(G56:G104)</f>
        <v>665</v>
      </c>
      <c r="H105" s="463">
        <f>SUM(H56:H104)</f>
        <v>207</v>
      </c>
      <c r="I105" s="442">
        <f>SUM(I56:I104)</f>
        <v>205</v>
      </c>
      <c r="J105" s="90">
        <f t="shared" ref="J105" si="20">SUM(G105:I105)</f>
        <v>1077</v>
      </c>
    </row>
    <row r="106" spans="1:10" x14ac:dyDescent="0.25">
      <c r="A106" s="532" t="s">
        <v>81</v>
      </c>
      <c r="B106" s="519"/>
      <c r="C106" s="519"/>
      <c r="D106" s="519"/>
      <c r="E106" s="519"/>
      <c r="F106" s="519"/>
      <c r="G106" s="519"/>
      <c r="H106" s="519"/>
      <c r="I106" s="519"/>
      <c r="J106" s="519"/>
    </row>
  </sheetData>
  <sortState xmlns:xlrd2="http://schemas.microsoft.com/office/spreadsheetml/2017/richdata2" ref="F56:J104">
    <sortCondition descending="1" ref="J56:J104"/>
  </sortState>
  <mergeCells count="46">
    <mergeCell ref="AU1:AW2"/>
    <mergeCell ref="AO12:AQ13"/>
    <mergeCell ref="AL32:AN33"/>
    <mergeCell ref="AI1:AK2"/>
    <mergeCell ref="AR1:AT2"/>
    <mergeCell ref="AI12:AK13"/>
    <mergeCell ref="AI32:AK33"/>
    <mergeCell ref="AL22:AN23"/>
    <mergeCell ref="AO22:AQ23"/>
    <mergeCell ref="AF1:AH2"/>
    <mergeCell ref="AF12:AH13"/>
    <mergeCell ref="AO1:AQ2"/>
    <mergeCell ref="AL1:AN2"/>
    <mergeCell ref="AL12:AN13"/>
    <mergeCell ref="AC1:AE2"/>
    <mergeCell ref="U12:W13"/>
    <mergeCell ref="AC12:AE13"/>
    <mergeCell ref="W1:Y2"/>
    <mergeCell ref="A106:J106"/>
    <mergeCell ref="K41:W41"/>
    <mergeCell ref="L12:N13"/>
    <mergeCell ref="A1:J1"/>
    <mergeCell ref="K12:K13"/>
    <mergeCell ref="K1:K2"/>
    <mergeCell ref="L1:N2"/>
    <mergeCell ref="O1:Q2"/>
    <mergeCell ref="R12:T13"/>
    <mergeCell ref="T1:V2"/>
    <mergeCell ref="R1:S2"/>
    <mergeCell ref="O12:Q13"/>
    <mergeCell ref="AF32:AH33"/>
    <mergeCell ref="AC32:AE33"/>
    <mergeCell ref="AF22:AH23"/>
    <mergeCell ref="AI22:AK23"/>
    <mergeCell ref="K40:AQ40"/>
    <mergeCell ref="K22:K23"/>
    <mergeCell ref="L22:N23"/>
    <mergeCell ref="R32:T33"/>
    <mergeCell ref="O32:Q33"/>
    <mergeCell ref="U32:W33"/>
    <mergeCell ref="K32:K33"/>
    <mergeCell ref="L32:N33"/>
    <mergeCell ref="O22:Q23"/>
    <mergeCell ref="AC22:AE23"/>
    <mergeCell ref="R22:T23"/>
    <mergeCell ref="U22:W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94"/>
  <sheetViews>
    <sheetView workbookViewId="0">
      <selection activeCell="L31" sqref="L31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5.75" customWidth="1"/>
    <col min="12" max="17" width="5.375" customWidth="1"/>
    <col min="18" max="46" width="5.75" customWidth="1"/>
  </cols>
  <sheetData>
    <row r="1" spans="1:53" ht="14.95" customHeight="1" thickBot="1" x14ac:dyDescent="0.3">
      <c r="A1" s="571" t="s">
        <v>845</v>
      </c>
      <c r="B1" s="572"/>
      <c r="C1" s="572"/>
      <c r="D1" s="572"/>
      <c r="E1" s="572"/>
      <c r="F1" s="572"/>
      <c r="G1" s="572"/>
      <c r="H1" s="572"/>
      <c r="I1" s="572"/>
      <c r="J1" s="573"/>
      <c r="K1" s="540" t="s">
        <v>509</v>
      </c>
      <c r="L1" s="526" t="s">
        <v>29</v>
      </c>
      <c r="M1" s="527"/>
      <c r="N1" s="528"/>
      <c r="O1" s="526" t="s">
        <v>93</v>
      </c>
      <c r="P1" s="527"/>
      <c r="Q1" s="528"/>
      <c r="R1" s="526" t="s">
        <v>508</v>
      </c>
      <c r="S1" s="528"/>
      <c r="T1" s="520" t="s">
        <v>634</v>
      </c>
      <c r="U1" s="521"/>
      <c r="V1" s="522"/>
      <c r="W1" s="520" t="s">
        <v>863</v>
      </c>
      <c r="X1" s="521"/>
      <c r="Y1" s="522"/>
      <c r="Z1" s="325"/>
      <c r="AA1" s="214"/>
      <c r="AB1" s="214"/>
      <c r="AC1" s="520" t="s">
        <v>621</v>
      </c>
      <c r="AD1" s="521"/>
      <c r="AE1" s="522"/>
      <c r="AF1" s="520" t="s">
        <v>448</v>
      </c>
      <c r="AG1" s="521"/>
      <c r="AH1" s="522"/>
      <c r="AI1" s="520" t="s">
        <v>178</v>
      </c>
      <c r="AJ1" s="521"/>
      <c r="AK1" s="522"/>
      <c r="AL1" s="520" t="s">
        <v>122</v>
      </c>
      <c r="AM1" s="521"/>
      <c r="AN1" s="522"/>
      <c r="AO1" s="520" t="s">
        <v>113</v>
      </c>
      <c r="AP1" s="521"/>
      <c r="AQ1" s="522"/>
      <c r="AR1" s="520" t="s">
        <v>96</v>
      </c>
      <c r="AS1" s="521"/>
      <c r="AT1" s="522"/>
      <c r="AV1" s="4"/>
      <c r="AW1" s="4"/>
      <c r="AX1" s="4"/>
      <c r="BA1" s="4"/>
    </row>
    <row r="2" spans="1:53" ht="14.95" customHeight="1" thickBot="1" x14ac:dyDescent="0.3">
      <c r="A2" s="293" t="s">
        <v>0</v>
      </c>
      <c r="B2" s="289" t="s">
        <v>620</v>
      </c>
      <c r="C2" s="290" t="s">
        <v>63</v>
      </c>
      <c r="D2" s="404" t="s">
        <v>925</v>
      </c>
      <c r="E2" s="295" t="s">
        <v>1</v>
      </c>
      <c r="F2" s="296" t="s">
        <v>2</v>
      </c>
      <c r="G2" s="138" t="s">
        <v>620</v>
      </c>
      <c r="H2" s="195" t="s">
        <v>63</v>
      </c>
      <c r="I2" s="373" t="s">
        <v>925</v>
      </c>
      <c r="J2" s="299" t="s">
        <v>1</v>
      </c>
      <c r="K2" s="541"/>
      <c r="L2" s="529"/>
      <c r="M2" s="530"/>
      <c r="N2" s="531"/>
      <c r="O2" s="529"/>
      <c r="P2" s="530"/>
      <c r="Q2" s="531"/>
      <c r="R2" s="529"/>
      <c r="S2" s="531"/>
      <c r="T2" s="523"/>
      <c r="U2" s="524"/>
      <c r="V2" s="525"/>
      <c r="W2" s="523"/>
      <c r="X2" s="524"/>
      <c r="Y2" s="525"/>
      <c r="Z2" s="325"/>
      <c r="AA2" s="214"/>
      <c r="AB2" s="214"/>
      <c r="AC2" s="523"/>
      <c r="AD2" s="524"/>
      <c r="AE2" s="525"/>
      <c r="AF2" s="523"/>
      <c r="AG2" s="524"/>
      <c r="AH2" s="525"/>
      <c r="AI2" s="523"/>
      <c r="AJ2" s="524"/>
      <c r="AK2" s="525"/>
      <c r="AL2" s="523"/>
      <c r="AM2" s="524"/>
      <c r="AN2" s="525"/>
      <c r="AO2" s="523"/>
      <c r="AP2" s="524"/>
      <c r="AQ2" s="525"/>
      <c r="AR2" s="523"/>
      <c r="AS2" s="524"/>
      <c r="AT2" s="525"/>
    </row>
    <row r="3" spans="1:53" ht="14.95" customHeight="1" thickBot="1" x14ac:dyDescent="0.3">
      <c r="A3" s="294" t="s">
        <v>977</v>
      </c>
      <c r="B3" s="291">
        <v>1</v>
      </c>
      <c r="C3" s="292">
        <v>0</v>
      </c>
      <c r="D3" s="405">
        <v>0</v>
      </c>
      <c r="E3" s="297">
        <f>SUM(B3:D3)</f>
        <v>1</v>
      </c>
      <c r="F3" s="298" t="s">
        <v>977</v>
      </c>
      <c r="G3" s="92">
        <v>49</v>
      </c>
      <c r="H3" s="194">
        <v>9</v>
      </c>
      <c r="I3" s="374">
        <v>0</v>
      </c>
      <c r="J3" s="300">
        <f>SUM(G3:I3)</f>
        <v>58</v>
      </c>
      <c r="K3" s="393" t="s">
        <v>44</v>
      </c>
      <c r="L3" s="3" t="s">
        <v>107</v>
      </c>
      <c r="M3" s="3" t="s">
        <v>23</v>
      </c>
      <c r="N3" s="3" t="s">
        <v>24</v>
      </c>
      <c r="O3" s="3" t="s">
        <v>107</v>
      </c>
      <c r="P3" s="3" t="s">
        <v>23</v>
      </c>
      <c r="Q3" s="3" t="s">
        <v>24</v>
      </c>
      <c r="R3" s="3" t="s">
        <v>34</v>
      </c>
      <c r="S3" s="3" t="s">
        <v>135</v>
      </c>
      <c r="T3" s="7" t="s">
        <v>107</v>
      </c>
      <c r="U3" s="7" t="s">
        <v>23</v>
      </c>
      <c r="V3" s="7" t="s">
        <v>24</v>
      </c>
      <c r="W3" s="201" t="s">
        <v>107</v>
      </c>
      <c r="X3" s="7" t="s">
        <v>23</v>
      </c>
      <c r="Y3" s="7" t="s">
        <v>24</v>
      </c>
      <c r="Z3" s="108"/>
      <c r="AA3" s="109"/>
      <c r="AB3" s="109"/>
      <c r="AC3" s="201" t="s">
        <v>107</v>
      </c>
      <c r="AD3" s="7" t="s">
        <v>23</v>
      </c>
      <c r="AE3" s="7" t="s">
        <v>24</v>
      </c>
      <c r="AF3" s="201" t="s">
        <v>107</v>
      </c>
      <c r="AG3" s="7" t="s">
        <v>23</v>
      </c>
      <c r="AH3" s="7" t="s">
        <v>24</v>
      </c>
      <c r="AI3" s="201" t="s">
        <v>107</v>
      </c>
      <c r="AJ3" s="7" t="s">
        <v>23</v>
      </c>
      <c r="AK3" s="7" t="s">
        <v>24</v>
      </c>
      <c r="AL3" s="201" t="s">
        <v>107</v>
      </c>
      <c r="AM3" s="7" t="s">
        <v>23</v>
      </c>
      <c r="AN3" s="7" t="s">
        <v>24</v>
      </c>
      <c r="AO3" s="7" t="s">
        <v>107</v>
      </c>
      <c r="AP3" s="7" t="s">
        <v>23</v>
      </c>
      <c r="AQ3" s="7" t="s">
        <v>24</v>
      </c>
      <c r="AR3" s="7" t="s">
        <v>107</v>
      </c>
      <c r="AS3" s="7" t="s">
        <v>23</v>
      </c>
      <c r="AT3" s="7" t="s">
        <v>24</v>
      </c>
    </row>
    <row r="4" spans="1:53" ht="14.95" customHeight="1" thickBot="1" x14ac:dyDescent="0.3">
      <c r="A4" s="294" t="s">
        <v>1078</v>
      </c>
      <c r="B4" s="291">
        <v>0</v>
      </c>
      <c r="C4" s="292">
        <v>0</v>
      </c>
      <c r="D4" s="405">
        <v>2</v>
      </c>
      <c r="E4" s="297">
        <f>SUM(B4:D4)</f>
        <v>2</v>
      </c>
      <c r="F4" s="298" t="s">
        <v>1078</v>
      </c>
      <c r="G4" s="92">
        <v>0</v>
      </c>
      <c r="H4" s="194">
        <v>0</v>
      </c>
      <c r="I4" s="374">
        <v>10</v>
      </c>
      <c r="J4" s="300">
        <f>SUM(G4:I4)</f>
        <v>10</v>
      </c>
      <c r="K4" s="294" t="s">
        <v>48</v>
      </c>
      <c r="L4" s="297">
        <v>40</v>
      </c>
      <c r="M4" s="297">
        <v>55</v>
      </c>
      <c r="N4" s="301">
        <f t="shared" ref="N4" si="0">SUM(L4/M4)*100</f>
        <v>72.727272727272734</v>
      </c>
      <c r="O4" s="297">
        <v>1</v>
      </c>
      <c r="P4" s="297">
        <v>3</v>
      </c>
      <c r="Q4" s="301">
        <f t="shared" ref="Q4" si="1">SUM(O4/P4)*100</f>
        <v>33.333333333333329</v>
      </c>
      <c r="R4" s="297">
        <v>-1</v>
      </c>
      <c r="S4" s="297">
        <v>-1</v>
      </c>
      <c r="T4" s="7">
        <v>104</v>
      </c>
      <c r="U4" s="7">
        <v>127</v>
      </c>
      <c r="V4" s="206">
        <f t="shared" ref="V4" si="2">SUM(T4/U4)*100</f>
        <v>81.889763779527556</v>
      </c>
      <c r="W4" s="201">
        <v>65</v>
      </c>
      <c r="X4" s="7">
        <v>81</v>
      </c>
      <c r="Y4" s="206">
        <f t="shared" ref="Y4" si="3">SUM(W4/X4)*100</f>
        <v>80.246913580246911</v>
      </c>
      <c r="Z4" s="108"/>
      <c r="AA4" s="109"/>
      <c r="AB4" s="109"/>
      <c r="AC4" s="201">
        <v>62</v>
      </c>
      <c r="AD4" s="7">
        <v>78</v>
      </c>
      <c r="AE4" s="206">
        <f t="shared" ref="AE4" si="4">SUM(AC4/AD4)*100</f>
        <v>79.487179487179489</v>
      </c>
      <c r="AF4" s="201">
        <v>63</v>
      </c>
      <c r="AG4" s="7">
        <v>84</v>
      </c>
      <c r="AH4" s="206">
        <f t="shared" ref="AH4" si="5">SUM(AF4/AG4)*100</f>
        <v>75</v>
      </c>
      <c r="AI4" s="201" t="s">
        <v>30</v>
      </c>
      <c r="AJ4" s="7" t="s">
        <v>30</v>
      </c>
      <c r="AK4" s="7" t="s">
        <v>30</v>
      </c>
      <c r="AL4" s="201" t="s">
        <v>30</v>
      </c>
      <c r="AM4" s="7" t="s">
        <v>30</v>
      </c>
      <c r="AN4" s="7" t="s">
        <v>30</v>
      </c>
      <c r="AO4" s="7" t="s">
        <v>30</v>
      </c>
      <c r="AP4" s="7" t="s">
        <v>30</v>
      </c>
      <c r="AQ4" s="7" t="s">
        <v>30</v>
      </c>
      <c r="AR4" s="7" t="s">
        <v>30</v>
      </c>
      <c r="AS4" s="7" t="s">
        <v>30</v>
      </c>
      <c r="AT4" s="7" t="s">
        <v>30</v>
      </c>
    </row>
    <row r="5" spans="1:53" ht="14.95" customHeight="1" thickBot="1" x14ac:dyDescent="0.3">
      <c r="A5" s="294" t="s">
        <v>1103</v>
      </c>
      <c r="B5" s="291">
        <v>3</v>
      </c>
      <c r="C5" s="292">
        <v>0</v>
      </c>
      <c r="D5" s="405">
        <v>0</v>
      </c>
      <c r="E5" s="297">
        <f>SUM(B5:D5)</f>
        <v>3</v>
      </c>
      <c r="F5" s="298" t="s">
        <v>1103</v>
      </c>
      <c r="G5" s="92">
        <v>15</v>
      </c>
      <c r="H5" s="194">
        <v>0</v>
      </c>
      <c r="I5" s="374">
        <v>0</v>
      </c>
      <c r="J5" s="300">
        <f>SUM(G5:I5)</f>
        <v>15</v>
      </c>
      <c r="K5" s="294" t="s">
        <v>983</v>
      </c>
      <c r="L5" s="297">
        <v>21</v>
      </c>
      <c r="M5" s="297">
        <v>28</v>
      </c>
      <c r="N5" s="301">
        <f t="shared" ref="N5" si="6">SUM(L5/M5)*100</f>
        <v>75</v>
      </c>
      <c r="O5" s="297" t="s">
        <v>30</v>
      </c>
      <c r="P5" s="297" t="s">
        <v>30</v>
      </c>
      <c r="Q5" s="301" t="s">
        <v>30</v>
      </c>
      <c r="R5" s="297">
        <v>1</v>
      </c>
      <c r="S5" s="297">
        <v>1</v>
      </c>
      <c r="T5" s="7">
        <v>8</v>
      </c>
      <c r="U5" s="7">
        <v>13</v>
      </c>
      <c r="V5" s="206">
        <v>62</v>
      </c>
      <c r="W5" s="201">
        <v>13</v>
      </c>
      <c r="X5" s="7">
        <v>22</v>
      </c>
      <c r="Y5" s="206">
        <v>59.090909090909093</v>
      </c>
      <c r="Z5" s="108"/>
      <c r="AA5" s="109"/>
      <c r="AB5" s="109"/>
      <c r="AC5" s="201">
        <v>37</v>
      </c>
      <c r="AD5" s="7">
        <v>53</v>
      </c>
      <c r="AE5" s="206">
        <v>69.811320754716974</v>
      </c>
      <c r="AF5" s="201">
        <v>14</v>
      </c>
      <c r="AG5" s="7">
        <v>18</v>
      </c>
      <c r="AH5" s="206">
        <v>77.777777777777786</v>
      </c>
      <c r="AI5" s="201">
        <v>23</v>
      </c>
      <c r="AJ5" s="7">
        <v>31</v>
      </c>
      <c r="AK5" s="206">
        <v>74.193548387096769</v>
      </c>
      <c r="AL5" s="201" t="s">
        <v>30</v>
      </c>
      <c r="AM5" s="7" t="s">
        <v>30</v>
      </c>
      <c r="AN5" s="7" t="s">
        <v>30</v>
      </c>
      <c r="AO5" s="7" t="s">
        <v>30</v>
      </c>
      <c r="AP5" s="7" t="s">
        <v>30</v>
      </c>
      <c r="AQ5" s="7" t="s">
        <v>30</v>
      </c>
      <c r="AR5" s="7" t="s">
        <v>30</v>
      </c>
      <c r="AS5" s="7" t="s">
        <v>30</v>
      </c>
      <c r="AT5" s="7" t="s">
        <v>30</v>
      </c>
    </row>
    <row r="6" spans="1:53" ht="14.95" customHeight="1" thickBot="1" x14ac:dyDescent="0.3">
      <c r="A6" s="294" t="s">
        <v>1056</v>
      </c>
      <c r="B6" s="291">
        <v>0</v>
      </c>
      <c r="C6" s="292">
        <v>0</v>
      </c>
      <c r="D6" s="405">
        <v>0</v>
      </c>
      <c r="E6" s="297">
        <f>SUM(B6:D6)</f>
        <v>0</v>
      </c>
      <c r="F6" s="298" t="s">
        <v>1056</v>
      </c>
      <c r="G6" s="92">
        <v>0</v>
      </c>
      <c r="H6" s="194">
        <v>0</v>
      </c>
      <c r="I6" s="374">
        <v>12</v>
      </c>
      <c r="J6" s="300">
        <f>SUM(G6:I6)</f>
        <v>12</v>
      </c>
      <c r="K6" s="294" t="s">
        <v>1103</v>
      </c>
      <c r="L6" s="297" t="s">
        <v>30</v>
      </c>
      <c r="M6" s="297" t="s">
        <v>30</v>
      </c>
      <c r="N6" s="301" t="s">
        <v>30</v>
      </c>
      <c r="O6" s="297" t="s">
        <v>30</v>
      </c>
      <c r="P6" s="297" t="s">
        <v>30</v>
      </c>
      <c r="Q6" s="301" t="s">
        <v>30</v>
      </c>
      <c r="R6" s="297" t="s">
        <v>38</v>
      </c>
      <c r="S6" s="297">
        <v>-1</v>
      </c>
      <c r="T6" s="7" t="s">
        <v>30</v>
      </c>
      <c r="U6" s="7" t="s">
        <v>30</v>
      </c>
      <c r="V6" s="7" t="s">
        <v>30</v>
      </c>
      <c r="W6" s="201" t="s">
        <v>30</v>
      </c>
      <c r="X6" s="7" t="s">
        <v>30</v>
      </c>
      <c r="Y6" s="7" t="s">
        <v>30</v>
      </c>
      <c r="Z6" s="108"/>
      <c r="AA6" s="109"/>
      <c r="AB6" s="109"/>
      <c r="AC6" s="201" t="s">
        <v>30</v>
      </c>
      <c r="AD6" s="7" t="s">
        <v>30</v>
      </c>
      <c r="AE6" s="7" t="s">
        <v>30</v>
      </c>
      <c r="AF6" s="201" t="s">
        <v>30</v>
      </c>
      <c r="AG6" s="7" t="s">
        <v>30</v>
      </c>
      <c r="AH6" s="7" t="s">
        <v>30</v>
      </c>
      <c r="AI6" s="201" t="s">
        <v>30</v>
      </c>
      <c r="AJ6" s="7" t="s">
        <v>30</v>
      </c>
      <c r="AK6" s="7" t="s">
        <v>30</v>
      </c>
      <c r="AL6" s="201" t="s">
        <v>30</v>
      </c>
      <c r="AM6" s="7" t="s">
        <v>30</v>
      </c>
      <c r="AN6" s="7" t="s">
        <v>30</v>
      </c>
      <c r="AO6" s="7" t="s">
        <v>30</v>
      </c>
      <c r="AP6" s="7" t="s">
        <v>30</v>
      </c>
      <c r="AQ6" s="7" t="s">
        <v>30</v>
      </c>
      <c r="AR6" s="7" t="s">
        <v>30</v>
      </c>
      <c r="AS6" s="7" t="s">
        <v>30</v>
      </c>
      <c r="AT6" s="7" t="s">
        <v>30</v>
      </c>
    </row>
    <row r="7" spans="1:53" ht="15.8" thickBot="1" x14ac:dyDescent="0.3">
      <c r="A7" s="294" t="s">
        <v>13</v>
      </c>
      <c r="B7" s="291">
        <v>7</v>
      </c>
      <c r="C7" s="292">
        <v>2</v>
      </c>
      <c r="D7" s="405">
        <v>0</v>
      </c>
      <c r="E7" s="297">
        <f t="shared" ref="E7:E46" si="7">SUM(B7:D7)</f>
        <v>9</v>
      </c>
      <c r="F7" s="298" t="s">
        <v>13</v>
      </c>
      <c r="G7" s="92">
        <v>38</v>
      </c>
      <c r="H7" s="194">
        <v>10</v>
      </c>
      <c r="I7" s="374">
        <v>0</v>
      </c>
      <c r="J7" s="300">
        <f t="shared" ref="J7:J46" si="8">SUM(G7:I7)</f>
        <v>48</v>
      </c>
      <c r="K7" s="294" t="s">
        <v>1056</v>
      </c>
      <c r="L7" s="297" t="s">
        <v>30</v>
      </c>
      <c r="M7" s="297" t="s">
        <v>30</v>
      </c>
      <c r="N7" s="297" t="s">
        <v>30</v>
      </c>
      <c r="O7" s="297" t="s">
        <v>30</v>
      </c>
      <c r="P7" s="297" t="s">
        <v>30</v>
      </c>
      <c r="Q7" s="301" t="s">
        <v>30</v>
      </c>
      <c r="R7" s="297" t="s">
        <v>38</v>
      </c>
      <c r="S7" s="297">
        <v>1</v>
      </c>
      <c r="T7" s="7" t="s">
        <v>30</v>
      </c>
      <c r="U7" s="7" t="s">
        <v>30</v>
      </c>
      <c r="V7" s="7" t="s">
        <v>30</v>
      </c>
      <c r="W7" s="201" t="s">
        <v>30</v>
      </c>
      <c r="X7" s="7" t="s">
        <v>30</v>
      </c>
      <c r="Y7" s="7" t="s">
        <v>30</v>
      </c>
      <c r="Z7" s="108"/>
      <c r="AA7" s="109"/>
      <c r="AB7" s="109"/>
      <c r="AC7" s="201" t="s">
        <v>30</v>
      </c>
      <c r="AD7" s="7" t="s">
        <v>30</v>
      </c>
      <c r="AE7" s="7" t="s">
        <v>30</v>
      </c>
      <c r="AF7" s="201" t="s">
        <v>30</v>
      </c>
      <c r="AG7" s="7" t="s">
        <v>30</v>
      </c>
      <c r="AH7" s="7" t="s">
        <v>30</v>
      </c>
      <c r="AI7" s="201" t="s">
        <v>30</v>
      </c>
      <c r="AJ7" s="7" t="s">
        <v>30</v>
      </c>
      <c r="AK7" s="7" t="s">
        <v>30</v>
      </c>
      <c r="AL7" s="201" t="s">
        <v>30</v>
      </c>
      <c r="AM7" s="7" t="s">
        <v>30</v>
      </c>
      <c r="AN7" s="7" t="s">
        <v>30</v>
      </c>
      <c r="AO7" s="7" t="s">
        <v>30</v>
      </c>
      <c r="AP7" s="7" t="s">
        <v>30</v>
      </c>
      <c r="AQ7" s="7" t="s">
        <v>30</v>
      </c>
      <c r="AR7" s="7" t="s">
        <v>30</v>
      </c>
      <c r="AS7" s="7" t="s">
        <v>30</v>
      </c>
      <c r="AT7" s="7" t="s">
        <v>30</v>
      </c>
    </row>
    <row r="8" spans="1:53" ht="14.95" customHeight="1" thickBot="1" x14ac:dyDescent="0.3">
      <c r="A8" s="294" t="s">
        <v>126</v>
      </c>
      <c r="B8" s="291">
        <v>0</v>
      </c>
      <c r="C8" s="292">
        <v>0</v>
      </c>
      <c r="D8" s="405">
        <v>0</v>
      </c>
      <c r="E8" s="297">
        <f t="shared" si="7"/>
        <v>0</v>
      </c>
      <c r="F8" s="298" t="s">
        <v>126</v>
      </c>
      <c r="G8" s="92">
        <v>0</v>
      </c>
      <c r="H8" s="194">
        <v>0</v>
      </c>
      <c r="I8" s="374">
        <v>0</v>
      </c>
      <c r="J8" s="300">
        <f t="shared" si="8"/>
        <v>0</v>
      </c>
      <c r="K8" s="294" t="s">
        <v>72</v>
      </c>
      <c r="L8" s="297" t="s">
        <v>30</v>
      </c>
      <c r="M8" s="297" t="s">
        <v>30</v>
      </c>
      <c r="N8" s="297" t="s">
        <v>30</v>
      </c>
      <c r="O8" s="297" t="s">
        <v>30</v>
      </c>
      <c r="P8" s="297" t="s">
        <v>30</v>
      </c>
      <c r="Q8" s="301" t="s">
        <v>30</v>
      </c>
      <c r="R8" s="297">
        <v>-1</v>
      </c>
      <c r="S8" s="297">
        <v>1</v>
      </c>
      <c r="T8" s="7" t="s">
        <v>30</v>
      </c>
      <c r="U8" s="7" t="s">
        <v>30</v>
      </c>
      <c r="V8" s="7" t="s">
        <v>30</v>
      </c>
      <c r="W8" s="201" t="s">
        <v>30</v>
      </c>
      <c r="X8" s="7" t="s">
        <v>30</v>
      </c>
      <c r="Y8" s="7" t="s">
        <v>30</v>
      </c>
      <c r="Z8" s="108"/>
      <c r="AA8" s="109"/>
      <c r="AB8" s="109"/>
      <c r="AC8" s="201" t="s">
        <v>30</v>
      </c>
      <c r="AD8" s="7" t="s">
        <v>30</v>
      </c>
      <c r="AE8" s="7" t="s">
        <v>30</v>
      </c>
      <c r="AF8" s="201" t="s">
        <v>30</v>
      </c>
      <c r="AG8" s="7" t="s">
        <v>30</v>
      </c>
      <c r="AH8" s="7" t="s">
        <v>30</v>
      </c>
      <c r="AI8" s="201">
        <v>0</v>
      </c>
      <c r="AJ8" s="7">
        <v>1</v>
      </c>
      <c r="AK8" s="206">
        <f>SUM(AI8/AJ8)*100</f>
        <v>0</v>
      </c>
      <c r="AL8" s="201" t="s">
        <v>30</v>
      </c>
      <c r="AM8" s="7" t="s">
        <v>30</v>
      </c>
      <c r="AN8" s="7" t="s">
        <v>30</v>
      </c>
      <c r="AO8" s="7" t="s">
        <v>30</v>
      </c>
      <c r="AP8" s="7" t="s">
        <v>30</v>
      </c>
      <c r="AQ8" s="7" t="s">
        <v>30</v>
      </c>
      <c r="AR8" s="7" t="s">
        <v>30</v>
      </c>
      <c r="AS8" s="7" t="s">
        <v>30</v>
      </c>
      <c r="AT8" s="7" t="s">
        <v>30</v>
      </c>
    </row>
    <row r="9" spans="1:53" ht="14.95" customHeight="1" thickBot="1" x14ac:dyDescent="0.3">
      <c r="A9" s="294" t="s">
        <v>72</v>
      </c>
      <c r="B9" s="291">
        <v>0</v>
      </c>
      <c r="C9" s="292">
        <v>0</v>
      </c>
      <c r="D9" s="405">
        <v>1</v>
      </c>
      <c r="E9" s="297">
        <f t="shared" si="7"/>
        <v>1</v>
      </c>
      <c r="F9" s="298" t="s">
        <v>72</v>
      </c>
      <c r="G9" s="92">
        <v>0</v>
      </c>
      <c r="H9" s="194">
        <v>0</v>
      </c>
      <c r="I9" s="374">
        <v>11</v>
      </c>
      <c r="J9" s="300">
        <f t="shared" si="8"/>
        <v>11</v>
      </c>
      <c r="K9" s="294" t="s">
        <v>816</v>
      </c>
      <c r="L9" s="297">
        <v>14</v>
      </c>
      <c r="M9" s="297">
        <v>25</v>
      </c>
      <c r="N9" s="301">
        <f t="shared" ref="N9:N10" si="9">SUM(L9/M9)*100</f>
        <v>56.000000000000007</v>
      </c>
      <c r="O9" s="297" t="s">
        <v>30</v>
      </c>
      <c r="P9" s="297" t="s">
        <v>30</v>
      </c>
      <c r="Q9" s="301" t="s">
        <v>30</v>
      </c>
      <c r="R9" s="297">
        <v>-1</v>
      </c>
      <c r="S9" s="297">
        <v>-1</v>
      </c>
      <c r="T9" s="7">
        <v>1</v>
      </c>
      <c r="U9" s="7">
        <v>2</v>
      </c>
      <c r="V9" s="7">
        <f t="shared" ref="V9:V11" si="10">SUM(T9/U9)*100</f>
        <v>50</v>
      </c>
      <c r="W9" s="201" t="s">
        <v>30</v>
      </c>
      <c r="X9" s="7" t="s">
        <v>30</v>
      </c>
      <c r="Y9" s="7" t="s">
        <v>30</v>
      </c>
      <c r="Z9" s="108"/>
      <c r="AA9" s="109"/>
      <c r="AB9" s="109"/>
      <c r="AC9" s="201" t="s">
        <v>30</v>
      </c>
      <c r="AD9" s="7" t="s">
        <v>30</v>
      </c>
      <c r="AE9" s="7" t="s">
        <v>30</v>
      </c>
      <c r="AF9" s="201" t="s">
        <v>30</v>
      </c>
      <c r="AG9" s="7" t="s">
        <v>30</v>
      </c>
      <c r="AH9" s="7" t="s">
        <v>30</v>
      </c>
      <c r="AI9" s="201" t="s">
        <v>30</v>
      </c>
      <c r="AJ9" s="7" t="s">
        <v>30</v>
      </c>
      <c r="AK9" s="7" t="s">
        <v>30</v>
      </c>
      <c r="AL9" s="201" t="s">
        <v>30</v>
      </c>
      <c r="AM9" s="7" t="s">
        <v>30</v>
      </c>
      <c r="AN9" s="7" t="s">
        <v>30</v>
      </c>
      <c r="AO9" s="7" t="s">
        <v>30</v>
      </c>
      <c r="AP9" s="7" t="s">
        <v>30</v>
      </c>
      <c r="AQ9" s="7" t="s">
        <v>30</v>
      </c>
      <c r="AR9" s="7" t="s">
        <v>30</v>
      </c>
      <c r="AS9" s="7" t="s">
        <v>30</v>
      </c>
      <c r="AT9" s="7" t="s">
        <v>30</v>
      </c>
    </row>
    <row r="10" spans="1:53" ht="16.5" customHeight="1" thickBot="1" x14ac:dyDescent="0.3">
      <c r="A10" s="294" t="s">
        <v>1209</v>
      </c>
      <c r="B10" s="291">
        <v>0</v>
      </c>
      <c r="C10" s="292">
        <v>0</v>
      </c>
      <c r="D10" s="405">
        <v>2</v>
      </c>
      <c r="E10" s="297">
        <f t="shared" si="7"/>
        <v>2</v>
      </c>
      <c r="F10" s="298" t="s">
        <v>1209</v>
      </c>
      <c r="G10" s="92">
        <v>0</v>
      </c>
      <c r="H10" s="194">
        <v>0</v>
      </c>
      <c r="I10" s="374">
        <v>10</v>
      </c>
      <c r="J10" s="300">
        <f t="shared" si="8"/>
        <v>10</v>
      </c>
      <c r="K10" s="294" t="s">
        <v>774</v>
      </c>
      <c r="L10" s="297">
        <v>4</v>
      </c>
      <c r="M10" s="297">
        <v>6</v>
      </c>
      <c r="N10" s="301">
        <f t="shared" si="9"/>
        <v>66.666666666666657</v>
      </c>
      <c r="O10" s="297" t="s">
        <v>30</v>
      </c>
      <c r="P10" s="297" t="s">
        <v>30</v>
      </c>
      <c r="Q10" s="301" t="s">
        <v>30</v>
      </c>
      <c r="R10" s="297">
        <v>-1</v>
      </c>
      <c r="S10" s="297">
        <v>-1</v>
      </c>
      <c r="T10" s="7" t="s">
        <v>30</v>
      </c>
      <c r="U10" s="7" t="s">
        <v>30</v>
      </c>
      <c r="V10" s="7" t="s">
        <v>30</v>
      </c>
      <c r="W10" s="201" t="s">
        <v>30</v>
      </c>
      <c r="X10" s="7" t="s">
        <v>30</v>
      </c>
      <c r="Y10" s="7" t="s">
        <v>30</v>
      </c>
      <c r="Z10" s="108"/>
      <c r="AA10" s="109"/>
      <c r="AB10" s="109"/>
      <c r="AC10" s="201" t="s">
        <v>30</v>
      </c>
      <c r="AD10" s="7" t="s">
        <v>30</v>
      </c>
      <c r="AE10" s="7" t="s">
        <v>30</v>
      </c>
      <c r="AF10" s="201" t="s">
        <v>30</v>
      </c>
      <c r="AG10" s="7" t="s">
        <v>30</v>
      </c>
      <c r="AH10" s="7" t="s">
        <v>30</v>
      </c>
      <c r="AI10" s="201" t="s">
        <v>30</v>
      </c>
      <c r="AJ10" s="7" t="s">
        <v>30</v>
      </c>
      <c r="AK10" s="7" t="s">
        <v>30</v>
      </c>
      <c r="AL10" s="201" t="s">
        <v>30</v>
      </c>
      <c r="AM10" s="7" t="s">
        <v>30</v>
      </c>
      <c r="AN10" s="7" t="s">
        <v>30</v>
      </c>
      <c r="AO10" s="7" t="s">
        <v>30</v>
      </c>
      <c r="AP10" s="7" t="s">
        <v>30</v>
      </c>
      <c r="AQ10" s="7" t="s">
        <v>30</v>
      </c>
      <c r="AR10" s="7" t="s">
        <v>30</v>
      </c>
      <c r="AS10" s="7" t="s">
        <v>30</v>
      </c>
      <c r="AT10" s="7" t="s">
        <v>30</v>
      </c>
      <c r="AU10" s="49"/>
      <c r="AX10" s="100"/>
    </row>
    <row r="11" spans="1:53" ht="16.5" customHeight="1" thickBot="1" x14ac:dyDescent="0.3">
      <c r="A11" s="294" t="s">
        <v>74</v>
      </c>
      <c r="B11" s="291">
        <v>2</v>
      </c>
      <c r="C11" s="292">
        <v>0</v>
      </c>
      <c r="D11" s="405">
        <v>0</v>
      </c>
      <c r="E11" s="297">
        <f t="shared" si="7"/>
        <v>2</v>
      </c>
      <c r="F11" s="298" t="s">
        <v>74</v>
      </c>
      <c r="G11" s="92">
        <v>10</v>
      </c>
      <c r="H11" s="194">
        <v>0</v>
      </c>
      <c r="I11" s="374">
        <v>0</v>
      </c>
      <c r="J11" s="300">
        <f t="shared" si="8"/>
        <v>10</v>
      </c>
      <c r="K11" s="294" t="s">
        <v>110</v>
      </c>
      <c r="L11" s="297" t="s">
        <v>30</v>
      </c>
      <c r="M11" s="297" t="s">
        <v>30</v>
      </c>
      <c r="N11" s="301" t="s">
        <v>30</v>
      </c>
      <c r="O11" s="297" t="s">
        <v>30</v>
      </c>
      <c r="P11" s="297" t="s">
        <v>30</v>
      </c>
      <c r="Q11" s="301" t="s">
        <v>30</v>
      </c>
      <c r="R11" s="297">
        <v>-1</v>
      </c>
      <c r="S11" s="297">
        <v>-1</v>
      </c>
      <c r="T11" s="7">
        <v>1</v>
      </c>
      <c r="U11" s="7">
        <v>3</v>
      </c>
      <c r="V11" s="206">
        <f t="shared" si="10"/>
        <v>33.333333333333329</v>
      </c>
      <c r="W11" s="201" t="s">
        <v>30</v>
      </c>
      <c r="X11" s="7" t="s">
        <v>30</v>
      </c>
      <c r="Y11" s="7" t="s">
        <v>30</v>
      </c>
      <c r="Z11" s="108"/>
      <c r="AA11" s="109"/>
      <c r="AB11" s="109"/>
      <c r="AC11" s="201" t="s">
        <v>30</v>
      </c>
      <c r="AD11" s="7" t="s">
        <v>30</v>
      </c>
      <c r="AE11" s="7" t="s">
        <v>30</v>
      </c>
      <c r="AF11" s="201" t="s">
        <v>30</v>
      </c>
      <c r="AG11" s="7" t="s">
        <v>30</v>
      </c>
      <c r="AH11" s="7" t="s">
        <v>30</v>
      </c>
      <c r="AI11" s="201" t="s">
        <v>30</v>
      </c>
      <c r="AJ11" s="7" t="s">
        <v>30</v>
      </c>
      <c r="AK11" s="7" t="s">
        <v>30</v>
      </c>
      <c r="AL11" s="201" t="s">
        <v>30</v>
      </c>
      <c r="AM11" s="7" t="s">
        <v>30</v>
      </c>
      <c r="AN11" s="7" t="s">
        <v>30</v>
      </c>
      <c r="AO11" s="7" t="s">
        <v>30</v>
      </c>
      <c r="AP11" s="7" t="s">
        <v>30</v>
      </c>
      <c r="AQ11" s="7" t="s">
        <v>30</v>
      </c>
      <c r="AR11" s="7" t="s">
        <v>30</v>
      </c>
      <c r="AS11" s="7" t="s">
        <v>30</v>
      </c>
      <c r="AT11" s="7" t="s">
        <v>30</v>
      </c>
      <c r="AU11" s="192"/>
    </row>
    <row r="12" spans="1:53" ht="16.5" thickBot="1" x14ac:dyDescent="0.3">
      <c r="A12" s="294" t="s">
        <v>440</v>
      </c>
      <c r="B12" s="291">
        <v>0</v>
      </c>
      <c r="C12" s="292">
        <v>0</v>
      </c>
      <c r="D12" s="405">
        <v>1</v>
      </c>
      <c r="E12" s="297">
        <f t="shared" si="7"/>
        <v>1</v>
      </c>
      <c r="F12" s="298" t="s">
        <v>440</v>
      </c>
      <c r="G12" s="92">
        <v>0</v>
      </c>
      <c r="H12" s="194">
        <v>0</v>
      </c>
      <c r="I12" s="374">
        <v>5</v>
      </c>
      <c r="J12" s="300">
        <f t="shared" si="8"/>
        <v>5</v>
      </c>
      <c r="K12" s="57"/>
      <c r="L12" s="58"/>
      <c r="M12" s="58"/>
      <c r="N12" s="58"/>
      <c r="O12" s="64"/>
      <c r="P12" s="57"/>
      <c r="Q12" s="65"/>
      <c r="R12" s="58"/>
      <c r="S12" s="58"/>
      <c r="T12" s="58"/>
      <c r="U12" s="58"/>
      <c r="V12" s="58"/>
      <c r="W12" s="58"/>
      <c r="X12" s="58"/>
      <c r="Y12" s="58"/>
      <c r="AC12" s="100"/>
      <c r="AF12" s="100"/>
      <c r="AG12" s="100"/>
      <c r="AH12" s="100"/>
      <c r="AI12" s="100"/>
      <c r="AO12" s="100"/>
      <c r="AU12" s="192"/>
    </row>
    <row r="13" spans="1:53" ht="17" thickBot="1" x14ac:dyDescent="0.3">
      <c r="A13" s="294" t="s">
        <v>234</v>
      </c>
      <c r="B13" s="291">
        <v>8</v>
      </c>
      <c r="C13" s="292">
        <v>7</v>
      </c>
      <c r="D13" s="405">
        <v>0</v>
      </c>
      <c r="E13" s="297">
        <f t="shared" si="7"/>
        <v>15</v>
      </c>
      <c r="F13" s="298" t="s">
        <v>234</v>
      </c>
      <c r="G13" s="92">
        <v>40</v>
      </c>
      <c r="H13" s="194">
        <v>35</v>
      </c>
      <c r="I13" s="374">
        <v>0</v>
      </c>
      <c r="J13" s="300">
        <f t="shared" si="8"/>
        <v>75</v>
      </c>
      <c r="K13" s="574" t="s">
        <v>510</v>
      </c>
      <c r="L13" s="576" t="s">
        <v>29</v>
      </c>
      <c r="M13" s="577"/>
      <c r="N13" s="578"/>
      <c r="O13" s="520" t="s">
        <v>634</v>
      </c>
      <c r="P13" s="521"/>
      <c r="Q13" s="522"/>
      <c r="R13" s="520" t="s">
        <v>863</v>
      </c>
      <c r="S13" s="521"/>
      <c r="T13" s="522"/>
      <c r="U13" s="520" t="s">
        <v>621</v>
      </c>
      <c r="V13" s="521"/>
      <c r="W13" s="522"/>
      <c r="X13" s="325"/>
      <c r="Y13" s="214"/>
      <c r="Z13" s="214"/>
      <c r="AA13" s="214"/>
      <c r="AB13" s="214"/>
      <c r="AC13" s="520" t="s">
        <v>448</v>
      </c>
      <c r="AD13" s="521"/>
      <c r="AE13" s="522"/>
      <c r="AF13" s="520" t="s">
        <v>178</v>
      </c>
      <c r="AG13" s="521"/>
      <c r="AH13" s="522"/>
      <c r="AI13" s="520" t="s">
        <v>122</v>
      </c>
      <c r="AJ13" s="521"/>
      <c r="AK13" s="522"/>
      <c r="AL13" s="520" t="s">
        <v>136</v>
      </c>
      <c r="AM13" s="521"/>
      <c r="AN13" s="522"/>
      <c r="AO13" s="520" t="s">
        <v>96</v>
      </c>
      <c r="AP13" s="521"/>
      <c r="AQ13" s="522"/>
      <c r="AR13" s="520" t="s">
        <v>85</v>
      </c>
      <c r="AS13" s="521"/>
      <c r="AT13" s="522"/>
      <c r="AU13" s="192"/>
    </row>
    <row r="14" spans="1:53" ht="17" thickBot="1" x14ac:dyDescent="0.3">
      <c r="A14" s="294" t="s">
        <v>816</v>
      </c>
      <c r="B14" s="291">
        <v>0</v>
      </c>
      <c r="C14" s="292">
        <v>0</v>
      </c>
      <c r="D14" s="405">
        <v>0</v>
      </c>
      <c r="E14" s="297">
        <f t="shared" si="7"/>
        <v>0</v>
      </c>
      <c r="F14" s="298" t="s">
        <v>816</v>
      </c>
      <c r="G14" s="92">
        <v>29</v>
      </c>
      <c r="H14" s="194">
        <v>0</v>
      </c>
      <c r="I14" s="374">
        <v>2</v>
      </c>
      <c r="J14" s="300">
        <f t="shared" si="8"/>
        <v>31</v>
      </c>
      <c r="K14" s="575"/>
      <c r="L14" s="579"/>
      <c r="M14" s="580"/>
      <c r="N14" s="581"/>
      <c r="O14" s="523"/>
      <c r="P14" s="524"/>
      <c r="Q14" s="525"/>
      <c r="R14" s="523"/>
      <c r="S14" s="524"/>
      <c r="T14" s="525"/>
      <c r="U14" s="523"/>
      <c r="V14" s="524"/>
      <c r="W14" s="525"/>
      <c r="X14" s="325"/>
      <c r="Y14" s="214"/>
      <c r="Z14" s="214"/>
      <c r="AA14" s="214"/>
      <c r="AB14" s="214"/>
      <c r="AC14" s="523"/>
      <c r="AD14" s="524"/>
      <c r="AE14" s="525"/>
      <c r="AF14" s="523"/>
      <c r="AG14" s="524"/>
      <c r="AH14" s="525"/>
      <c r="AI14" s="523"/>
      <c r="AJ14" s="524"/>
      <c r="AK14" s="525"/>
      <c r="AL14" s="523"/>
      <c r="AM14" s="524"/>
      <c r="AN14" s="525"/>
      <c r="AO14" s="523"/>
      <c r="AP14" s="524"/>
      <c r="AQ14" s="525"/>
      <c r="AR14" s="523"/>
      <c r="AS14" s="524"/>
      <c r="AT14" s="525"/>
      <c r="AU14" s="192"/>
    </row>
    <row r="15" spans="1:53" ht="15.8" thickBot="1" x14ac:dyDescent="0.3">
      <c r="A15" s="294" t="s">
        <v>658</v>
      </c>
      <c r="B15" s="291">
        <v>0</v>
      </c>
      <c r="C15" s="292">
        <v>0</v>
      </c>
      <c r="D15" s="405">
        <v>0</v>
      </c>
      <c r="E15" s="297">
        <f t="shared" si="7"/>
        <v>0</v>
      </c>
      <c r="F15" s="298" t="s">
        <v>658</v>
      </c>
      <c r="G15" s="92">
        <v>0</v>
      </c>
      <c r="H15" s="194">
        <v>0</v>
      </c>
      <c r="I15" s="374">
        <v>0</v>
      </c>
      <c r="J15" s="300">
        <f t="shared" si="8"/>
        <v>0</v>
      </c>
      <c r="K15" s="395" t="s">
        <v>44</v>
      </c>
      <c r="L15" s="1" t="s">
        <v>107</v>
      </c>
      <c r="M15" s="1" t="s">
        <v>23</v>
      </c>
      <c r="N15" s="1" t="s">
        <v>24</v>
      </c>
      <c r="O15" s="7" t="s">
        <v>107</v>
      </c>
      <c r="P15" s="7" t="s">
        <v>23</v>
      </c>
      <c r="Q15" s="7" t="s">
        <v>24</v>
      </c>
      <c r="R15" s="7" t="s">
        <v>107</v>
      </c>
      <c r="S15" s="7" t="s">
        <v>23</v>
      </c>
      <c r="T15" s="7" t="s">
        <v>24</v>
      </c>
      <c r="U15" s="201" t="s">
        <v>107</v>
      </c>
      <c r="V15" s="7" t="s">
        <v>23</v>
      </c>
      <c r="W15" s="7" t="s">
        <v>24</v>
      </c>
      <c r="X15" s="108"/>
      <c r="Y15" s="109"/>
      <c r="Z15" s="109"/>
      <c r="AC15" s="201" t="s">
        <v>107</v>
      </c>
      <c r="AD15" s="7" t="s">
        <v>23</v>
      </c>
      <c r="AE15" s="7" t="s">
        <v>24</v>
      </c>
      <c r="AF15" s="201" t="s">
        <v>107</v>
      </c>
      <c r="AG15" s="7" t="s">
        <v>23</v>
      </c>
      <c r="AH15" s="7" t="s">
        <v>24</v>
      </c>
      <c r="AI15" s="201" t="s">
        <v>107</v>
      </c>
      <c r="AJ15" s="7" t="s">
        <v>23</v>
      </c>
      <c r="AK15" s="7" t="s">
        <v>24</v>
      </c>
      <c r="AL15" s="201" t="s">
        <v>107</v>
      </c>
      <c r="AM15" s="7" t="s">
        <v>23</v>
      </c>
      <c r="AN15" s="7" t="s">
        <v>24</v>
      </c>
      <c r="AO15" s="201" t="s">
        <v>107</v>
      </c>
      <c r="AP15" s="7" t="s">
        <v>23</v>
      </c>
      <c r="AQ15" s="7" t="s">
        <v>24</v>
      </c>
      <c r="AR15" s="7" t="s">
        <v>107</v>
      </c>
      <c r="AS15" s="7" t="s">
        <v>23</v>
      </c>
      <c r="AT15" s="7" t="s">
        <v>24</v>
      </c>
    </row>
    <row r="16" spans="1:53" ht="16.5" customHeight="1" thickBot="1" x14ac:dyDescent="0.3">
      <c r="A16" s="294" t="s">
        <v>774</v>
      </c>
      <c r="B16" s="291">
        <v>8</v>
      </c>
      <c r="C16" s="292">
        <v>2</v>
      </c>
      <c r="D16" s="405">
        <v>0</v>
      </c>
      <c r="E16" s="297">
        <f t="shared" si="7"/>
        <v>10</v>
      </c>
      <c r="F16" s="298" t="s">
        <v>774</v>
      </c>
      <c r="G16" s="92">
        <v>48</v>
      </c>
      <c r="H16" s="194">
        <v>10</v>
      </c>
      <c r="I16" s="374">
        <v>0</v>
      </c>
      <c r="J16" s="300">
        <f t="shared" si="8"/>
        <v>58</v>
      </c>
      <c r="K16" s="294" t="s">
        <v>983</v>
      </c>
      <c r="L16" s="297">
        <v>4</v>
      </c>
      <c r="M16" s="297">
        <v>5</v>
      </c>
      <c r="N16" s="301">
        <f t="shared" ref="N16" si="11">SUM(L16/M16)*100</f>
        <v>80</v>
      </c>
      <c r="O16" s="7" t="s">
        <v>30</v>
      </c>
      <c r="P16" s="7" t="s">
        <v>30</v>
      </c>
      <c r="Q16" s="206" t="s">
        <v>30</v>
      </c>
      <c r="R16" s="7">
        <v>9</v>
      </c>
      <c r="S16" s="7">
        <v>11</v>
      </c>
      <c r="T16" s="206">
        <v>81.818181818181827</v>
      </c>
      <c r="U16" s="7" t="s">
        <v>30</v>
      </c>
      <c r="V16" s="7" t="s">
        <v>30</v>
      </c>
      <c r="W16" s="206" t="s">
        <v>30</v>
      </c>
      <c r="X16" s="108"/>
      <c r="Y16" s="109"/>
      <c r="Z16" s="109"/>
      <c r="AC16" s="6">
        <v>8</v>
      </c>
      <c r="AD16" s="7">
        <v>8</v>
      </c>
      <c r="AE16" s="206">
        <v>100</v>
      </c>
      <c r="AF16" s="7" t="s">
        <v>30</v>
      </c>
      <c r="AG16" s="7" t="s">
        <v>30</v>
      </c>
      <c r="AH16" s="206" t="s">
        <v>30</v>
      </c>
      <c r="AI16" s="7" t="s">
        <v>30</v>
      </c>
      <c r="AJ16" s="7" t="s">
        <v>30</v>
      </c>
      <c r="AK16" s="206" t="s">
        <v>30</v>
      </c>
      <c r="AL16" s="7" t="s">
        <v>30</v>
      </c>
      <c r="AM16" s="7" t="s">
        <v>30</v>
      </c>
      <c r="AN16" s="206" t="s">
        <v>30</v>
      </c>
      <c r="AO16" s="7" t="s">
        <v>30</v>
      </c>
      <c r="AP16" s="7" t="s">
        <v>30</v>
      </c>
      <c r="AQ16" s="206" t="s">
        <v>30</v>
      </c>
      <c r="AR16" s="7" t="s">
        <v>30</v>
      </c>
      <c r="AS16" s="7" t="s">
        <v>30</v>
      </c>
      <c r="AT16" s="206" t="s">
        <v>30</v>
      </c>
    </row>
    <row r="17" spans="1:46" ht="15.8" thickBot="1" x14ac:dyDescent="0.3">
      <c r="A17" s="294" t="s">
        <v>4</v>
      </c>
      <c r="B17" s="291">
        <v>1</v>
      </c>
      <c r="C17" s="292">
        <v>0</v>
      </c>
      <c r="D17" s="405">
        <v>0</v>
      </c>
      <c r="E17" s="297">
        <f t="shared" si="7"/>
        <v>1</v>
      </c>
      <c r="F17" s="298" t="s">
        <v>4</v>
      </c>
      <c r="G17" s="92">
        <v>5</v>
      </c>
      <c r="H17" s="194">
        <v>0</v>
      </c>
      <c r="I17" s="374">
        <v>0</v>
      </c>
      <c r="J17" s="300">
        <f t="shared" si="8"/>
        <v>5</v>
      </c>
      <c r="K17" s="294" t="s">
        <v>48</v>
      </c>
      <c r="L17" s="297">
        <v>23</v>
      </c>
      <c r="M17" s="297">
        <v>28</v>
      </c>
      <c r="N17" s="301">
        <f t="shared" ref="N17" si="12">SUM(L17/M17)*100</f>
        <v>82.142857142857139</v>
      </c>
      <c r="O17" s="7">
        <v>2</v>
      </c>
      <c r="P17" s="7">
        <v>5</v>
      </c>
      <c r="Q17" s="206">
        <f t="shared" ref="Q17" si="13">SUM(O17/P17)*100</f>
        <v>40</v>
      </c>
      <c r="R17" s="7">
        <v>11</v>
      </c>
      <c r="S17" s="7">
        <v>12</v>
      </c>
      <c r="T17" s="206">
        <f t="shared" ref="T17" si="14">SUM(R17/S17)*100</f>
        <v>91.666666666666657</v>
      </c>
      <c r="U17" s="201" t="s">
        <v>30</v>
      </c>
      <c r="V17" s="7" t="s">
        <v>30</v>
      </c>
      <c r="W17" s="7" t="s">
        <v>30</v>
      </c>
      <c r="X17" s="108"/>
      <c r="Y17" s="109"/>
      <c r="Z17" s="109"/>
      <c r="AC17" s="201">
        <v>13</v>
      </c>
      <c r="AD17" s="7">
        <v>16</v>
      </c>
      <c r="AE17" s="206">
        <f t="shared" ref="AE17" si="15">SUM(AC17/AD17)*100</f>
        <v>81.25</v>
      </c>
      <c r="AF17" s="201" t="s">
        <v>30</v>
      </c>
      <c r="AG17" s="7" t="s">
        <v>30</v>
      </c>
      <c r="AH17" s="7" t="s">
        <v>30</v>
      </c>
      <c r="AI17" s="201" t="s">
        <v>30</v>
      </c>
      <c r="AJ17" s="7" t="s">
        <v>30</v>
      </c>
      <c r="AK17" s="7" t="s">
        <v>30</v>
      </c>
      <c r="AL17" s="201" t="s">
        <v>30</v>
      </c>
      <c r="AM17" s="7" t="s">
        <v>30</v>
      </c>
      <c r="AN17" s="7" t="s">
        <v>30</v>
      </c>
      <c r="AO17" s="201" t="s">
        <v>30</v>
      </c>
      <c r="AP17" s="7" t="s">
        <v>30</v>
      </c>
      <c r="AQ17" s="7" t="s">
        <v>30</v>
      </c>
      <c r="AR17" s="201" t="s">
        <v>30</v>
      </c>
      <c r="AS17" s="7" t="s">
        <v>30</v>
      </c>
      <c r="AT17" s="7" t="s">
        <v>30</v>
      </c>
    </row>
    <row r="18" spans="1:46" ht="15.8" thickBot="1" x14ac:dyDescent="0.3">
      <c r="A18" s="294" t="s">
        <v>1181</v>
      </c>
      <c r="B18" s="291">
        <v>1</v>
      </c>
      <c r="C18" s="292">
        <v>0</v>
      </c>
      <c r="D18" s="405">
        <v>1</v>
      </c>
      <c r="E18" s="297">
        <f t="shared" si="7"/>
        <v>2</v>
      </c>
      <c r="F18" s="298" t="s">
        <v>1181</v>
      </c>
      <c r="G18" s="92">
        <v>5</v>
      </c>
      <c r="H18" s="194">
        <v>0</v>
      </c>
      <c r="I18" s="374">
        <v>5</v>
      </c>
      <c r="J18" s="300">
        <f t="shared" si="8"/>
        <v>10</v>
      </c>
      <c r="AR18" s="192"/>
    </row>
    <row r="19" spans="1:46" ht="17" thickBot="1" x14ac:dyDescent="0.3">
      <c r="A19" s="294" t="s">
        <v>593</v>
      </c>
      <c r="B19" s="291">
        <v>0</v>
      </c>
      <c r="C19" s="292">
        <v>0</v>
      </c>
      <c r="D19" s="405">
        <v>0</v>
      </c>
      <c r="E19" s="297">
        <f t="shared" si="7"/>
        <v>0</v>
      </c>
      <c r="F19" s="298" t="s">
        <v>593</v>
      </c>
      <c r="G19" s="92">
        <v>0</v>
      </c>
      <c r="H19" s="194">
        <v>0</v>
      </c>
      <c r="I19" s="374">
        <v>0</v>
      </c>
      <c r="J19" s="300">
        <f t="shared" si="8"/>
        <v>0</v>
      </c>
      <c r="K19" s="569" t="s">
        <v>511</v>
      </c>
      <c r="L19" s="520" t="s">
        <v>29</v>
      </c>
      <c r="M19" s="521"/>
      <c r="N19" s="522"/>
      <c r="O19" s="520" t="s">
        <v>634</v>
      </c>
      <c r="P19" s="521"/>
      <c r="Q19" s="522"/>
      <c r="R19" s="520" t="s">
        <v>863</v>
      </c>
      <c r="S19" s="521"/>
      <c r="T19" s="522"/>
      <c r="U19" s="520" t="s">
        <v>622</v>
      </c>
      <c r="V19" s="521"/>
      <c r="W19" s="522"/>
      <c r="X19" s="325"/>
      <c r="Y19" s="214"/>
      <c r="Z19" s="214"/>
      <c r="AA19" s="214"/>
      <c r="AB19" s="214"/>
      <c r="AC19" s="520" t="s">
        <v>448</v>
      </c>
      <c r="AD19" s="521"/>
      <c r="AE19" s="522"/>
      <c r="AF19" s="520" t="s">
        <v>178</v>
      </c>
      <c r="AG19" s="521"/>
      <c r="AH19" s="522"/>
      <c r="AI19" s="520" t="s">
        <v>122</v>
      </c>
      <c r="AJ19" s="521"/>
      <c r="AK19" s="522"/>
      <c r="AL19" s="520" t="s">
        <v>136</v>
      </c>
      <c r="AM19" s="521"/>
      <c r="AN19" s="522"/>
      <c r="AO19" s="520" t="s">
        <v>96</v>
      </c>
      <c r="AP19" s="521"/>
      <c r="AQ19" s="522"/>
      <c r="AR19" s="520" t="s">
        <v>96</v>
      </c>
      <c r="AS19" s="521"/>
      <c r="AT19" s="522"/>
    </row>
    <row r="20" spans="1:46" ht="17" thickBot="1" x14ac:dyDescent="0.3">
      <c r="A20" s="294" t="s">
        <v>628</v>
      </c>
      <c r="B20" s="291">
        <v>6</v>
      </c>
      <c r="C20" s="292">
        <v>1</v>
      </c>
      <c r="D20" s="405">
        <v>0</v>
      </c>
      <c r="E20" s="297">
        <f t="shared" si="7"/>
        <v>7</v>
      </c>
      <c r="F20" s="298" t="s">
        <v>628</v>
      </c>
      <c r="G20" s="92">
        <v>30</v>
      </c>
      <c r="H20" s="194">
        <v>5</v>
      </c>
      <c r="I20" s="374">
        <v>0</v>
      </c>
      <c r="J20" s="300">
        <f t="shared" si="8"/>
        <v>35</v>
      </c>
      <c r="K20" s="570"/>
      <c r="L20" s="523"/>
      <c r="M20" s="524"/>
      <c r="N20" s="525"/>
      <c r="O20" s="523"/>
      <c r="P20" s="524"/>
      <c r="Q20" s="525"/>
      <c r="R20" s="523"/>
      <c r="S20" s="524"/>
      <c r="T20" s="525"/>
      <c r="U20" s="523"/>
      <c r="V20" s="524"/>
      <c r="W20" s="525"/>
      <c r="X20" s="325"/>
      <c r="Y20" s="214"/>
      <c r="Z20" s="214"/>
      <c r="AA20" s="214"/>
      <c r="AB20" s="214"/>
      <c r="AC20" s="523"/>
      <c r="AD20" s="524"/>
      <c r="AE20" s="525"/>
      <c r="AF20" s="523"/>
      <c r="AG20" s="524"/>
      <c r="AH20" s="525"/>
      <c r="AI20" s="523"/>
      <c r="AJ20" s="524"/>
      <c r="AK20" s="525"/>
      <c r="AL20" s="523"/>
      <c r="AM20" s="524"/>
      <c r="AN20" s="525"/>
      <c r="AO20" s="523"/>
      <c r="AP20" s="524"/>
      <c r="AQ20" s="525"/>
      <c r="AR20" s="523"/>
      <c r="AS20" s="524"/>
      <c r="AT20" s="525"/>
    </row>
    <row r="21" spans="1:46" ht="15.8" customHeight="1" thickBot="1" x14ac:dyDescent="0.3">
      <c r="A21" s="294" t="s">
        <v>1132</v>
      </c>
      <c r="B21" s="291">
        <v>1</v>
      </c>
      <c r="C21" s="292">
        <v>1</v>
      </c>
      <c r="D21" s="405">
        <v>1</v>
      </c>
      <c r="E21" s="297">
        <f t="shared" si="7"/>
        <v>3</v>
      </c>
      <c r="F21" s="298" t="s">
        <v>1132</v>
      </c>
      <c r="G21" s="92">
        <v>5</v>
      </c>
      <c r="H21" s="194">
        <v>5</v>
      </c>
      <c r="I21" s="374">
        <v>5</v>
      </c>
      <c r="J21" s="300">
        <f t="shared" si="8"/>
        <v>15</v>
      </c>
      <c r="K21" s="466" t="s">
        <v>44</v>
      </c>
      <c r="L21" s="7" t="s">
        <v>107</v>
      </c>
      <c r="M21" s="7" t="s">
        <v>23</v>
      </c>
      <c r="N21" s="7" t="s">
        <v>24</v>
      </c>
      <c r="O21" s="7" t="s">
        <v>107</v>
      </c>
      <c r="P21" s="7" t="s">
        <v>23</v>
      </c>
      <c r="Q21" s="7" t="s">
        <v>24</v>
      </c>
      <c r="R21" s="7" t="s">
        <v>107</v>
      </c>
      <c r="S21" s="7" t="s">
        <v>23</v>
      </c>
      <c r="T21" s="7" t="s">
        <v>24</v>
      </c>
      <c r="U21" s="201" t="s">
        <v>107</v>
      </c>
      <c r="V21" s="7" t="s">
        <v>23</v>
      </c>
      <c r="W21" s="7" t="s">
        <v>24</v>
      </c>
      <c r="X21" s="108"/>
      <c r="Y21" s="109"/>
      <c r="Z21" s="109"/>
      <c r="AC21" s="201" t="s">
        <v>107</v>
      </c>
      <c r="AD21" s="7" t="s">
        <v>23</v>
      </c>
      <c r="AE21" s="7" t="s">
        <v>24</v>
      </c>
      <c r="AF21" s="201" t="s">
        <v>107</v>
      </c>
      <c r="AG21" s="7" t="s">
        <v>23</v>
      </c>
      <c r="AH21" s="7" t="s">
        <v>24</v>
      </c>
      <c r="AI21" s="201" t="s">
        <v>107</v>
      </c>
      <c r="AJ21" s="7" t="s">
        <v>23</v>
      </c>
      <c r="AK21" s="7" t="s">
        <v>24</v>
      </c>
      <c r="AL21" s="201" t="s">
        <v>107</v>
      </c>
      <c r="AM21" s="7" t="s">
        <v>23</v>
      </c>
      <c r="AN21" s="7" t="s">
        <v>24</v>
      </c>
      <c r="AO21" s="201" t="s">
        <v>107</v>
      </c>
      <c r="AP21" s="7" t="s">
        <v>23</v>
      </c>
      <c r="AQ21" s="7" t="s">
        <v>24</v>
      </c>
      <c r="AR21" s="7" t="s">
        <v>107</v>
      </c>
      <c r="AS21" s="7" t="s">
        <v>23</v>
      </c>
      <c r="AT21" s="7" t="s">
        <v>24</v>
      </c>
    </row>
    <row r="22" spans="1:46" ht="15.8" customHeight="1" thickBot="1" x14ac:dyDescent="0.3">
      <c r="A22" s="294" t="s">
        <v>979</v>
      </c>
      <c r="B22" s="291">
        <v>5</v>
      </c>
      <c r="C22" s="292">
        <v>2</v>
      </c>
      <c r="D22" s="405">
        <v>0</v>
      </c>
      <c r="E22" s="297">
        <f t="shared" si="7"/>
        <v>7</v>
      </c>
      <c r="F22" s="298" t="s">
        <v>979</v>
      </c>
      <c r="G22" s="92">
        <v>25</v>
      </c>
      <c r="H22" s="194">
        <v>10</v>
      </c>
      <c r="I22" s="374">
        <v>0</v>
      </c>
      <c r="J22" s="300">
        <f t="shared" si="8"/>
        <v>35</v>
      </c>
      <c r="K22" s="294" t="s">
        <v>983</v>
      </c>
      <c r="L22" s="7" t="s">
        <v>30</v>
      </c>
      <c r="M22" s="7" t="s">
        <v>30</v>
      </c>
      <c r="N22" s="206" t="s">
        <v>30</v>
      </c>
      <c r="O22" s="7">
        <v>5</v>
      </c>
      <c r="P22" s="7">
        <v>11</v>
      </c>
      <c r="Q22" s="7">
        <v>46</v>
      </c>
      <c r="R22" s="201" t="s">
        <v>30</v>
      </c>
      <c r="S22" s="7" t="s">
        <v>30</v>
      </c>
      <c r="T22" s="7" t="s">
        <v>30</v>
      </c>
      <c r="U22" s="201">
        <v>12</v>
      </c>
      <c r="V22" s="7">
        <v>16</v>
      </c>
      <c r="W22" s="7">
        <v>75</v>
      </c>
      <c r="X22" s="108"/>
      <c r="Y22" s="109"/>
      <c r="Z22" s="109"/>
      <c r="AC22" s="201" t="s">
        <v>30</v>
      </c>
      <c r="AD22" s="7" t="s">
        <v>30</v>
      </c>
      <c r="AE22" s="7" t="s">
        <v>30</v>
      </c>
      <c r="AF22" s="201">
        <v>9</v>
      </c>
      <c r="AG22" s="7">
        <v>14</v>
      </c>
      <c r="AH22" s="7">
        <v>64</v>
      </c>
      <c r="AI22" s="201" t="s">
        <v>30</v>
      </c>
      <c r="AJ22" s="7" t="s">
        <v>30</v>
      </c>
      <c r="AK22" s="7" t="s">
        <v>30</v>
      </c>
      <c r="AL22" s="201" t="s">
        <v>30</v>
      </c>
      <c r="AM22" s="7" t="s">
        <v>30</v>
      </c>
      <c r="AN22" s="7" t="s">
        <v>30</v>
      </c>
      <c r="AO22" s="201" t="s">
        <v>30</v>
      </c>
      <c r="AP22" s="7" t="s">
        <v>30</v>
      </c>
      <c r="AQ22" s="7" t="s">
        <v>30</v>
      </c>
      <c r="AR22" s="201" t="s">
        <v>30</v>
      </c>
      <c r="AS22" s="7" t="s">
        <v>30</v>
      </c>
      <c r="AT22" s="7" t="s">
        <v>30</v>
      </c>
    </row>
    <row r="23" spans="1:46" ht="15.8" customHeight="1" thickBot="1" x14ac:dyDescent="0.3">
      <c r="A23" s="294" t="s">
        <v>1054</v>
      </c>
      <c r="B23" s="291">
        <v>0</v>
      </c>
      <c r="C23" s="292">
        <v>0</v>
      </c>
      <c r="D23" s="405">
        <v>2</v>
      </c>
      <c r="E23" s="297">
        <f t="shared" si="7"/>
        <v>2</v>
      </c>
      <c r="F23" s="298" t="s">
        <v>1054</v>
      </c>
      <c r="G23" s="92">
        <v>0</v>
      </c>
      <c r="H23" s="194">
        <v>0</v>
      </c>
      <c r="I23" s="374">
        <v>10</v>
      </c>
      <c r="J23" s="300">
        <f t="shared" si="8"/>
        <v>10</v>
      </c>
      <c r="K23" s="294" t="s">
        <v>48</v>
      </c>
      <c r="L23" s="7" t="s">
        <v>30</v>
      </c>
      <c r="M23" s="7" t="s">
        <v>30</v>
      </c>
      <c r="N23" s="206" t="s">
        <v>30</v>
      </c>
      <c r="O23" s="7" t="s">
        <v>30</v>
      </c>
      <c r="P23" s="7" t="s">
        <v>30</v>
      </c>
      <c r="Q23" s="206" t="s">
        <v>30</v>
      </c>
      <c r="R23" s="201" t="s">
        <v>30</v>
      </c>
      <c r="S23" s="7" t="s">
        <v>30</v>
      </c>
      <c r="T23" s="7" t="s">
        <v>30</v>
      </c>
      <c r="U23" s="201">
        <v>23</v>
      </c>
      <c r="V23" s="7">
        <v>28</v>
      </c>
      <c r="W23" s="206">
        <f t="shared" ref="W23" si="16">SUM(U23/V23)*100</f>
        <v>82.142857142857139</v>
      </c>
      <c r="X23" s="108"/>
      <c r="Y23" s="109"/>
      <c r="Z23" s="109"/>
      <c r="AC23" s="201" t="s">
        <v>30</v>
      </c>
      <c r="AD23" s="7" t="s">
        <v>30</v>
      </c>
      <c r="AE23" s="7" t="s">
        <v>30</v>
      </c>
      <c r="AF23" s="201" t="s">
        <v>30</v>
      </c>
      <c r="AG23" s="7" t="s">
        <v>30</v>
      </c>
      <c r="AH23" s="7" t="s">
        <v>30</v>
      </c>
      <c r="AI23" s="201" t="s">
        <v>30</v>
      </c>
      <c r="AJ23" s="7" t="s">
        <v>30</v>
      </c>
      <c r="AK23" s="7" t="s">
        <v>30</v>
      </c>
      <c r="AL23" s="201" t="s">
        <v>30</v>
      </c>
      <c r="AM23" s="7" t="s">
        <v>30</v>
      </c>
      <c r="AN23" s="7" t="s">
        <v>30</v>
      </c>
      <c r="AO23" s="201" t="s">
        <v>30</v>
      </c>
      <c r="AP23" s="7" t="s">
        <v>30</v>
      </c>
      <c r="AQ23" s="7" t="s">
        <v>30</v>
      </c>
      <c r="AR23" s="201" t="s">
        <v>30</v>
      </c>
      <c r="AS23" s="7" t="s">
        <v>30</v>
      </c>
      <c r="AT23" s="7" t="s">
        <v>30</v>
      </c>
    </row>
    <row r="24" spans="1:46" ht="15.8" thickBot="1" x14ac:dyDescent="0.3">
      <c r="A24" s="294" t="s">
        <v>807</v>
      </c>
      <c r="B24" s="291">
        <v>0</v>
      </c>
      <c r="C24" s="292">
        <v>0</v>
      </c>
      <c r="D24" s="405">
        <v>0</v>
      </c>
      <c r="E24" s="297">
        <f t="shared" si="7"/>
        <v>0</v>
      </c>
      <c r="F24" s="298" t="s">
        <v>807</v>
      </c>
      <c r="G24" s="92">
        <v>0</v>
      </c>
      <c r="H24" s="194">
        <v>0</v>
      </c>
      <c r="I24" s="374">
        <v>0</v>
      </c>
      <c r="J24" s="300">
        <f t="shared" si="8"/>
        <v>0</v>
      </c>
    </row>
    <row r="25" spans="1:46" ht="17" thickBot="1" x14ac:dyDescent="0.3">
      <c r="A25" s="294" t="s">
        <v>660</v>
      </c>
      <c r="B25" s="291">
        <v>0</v>
      </c>
      <c r="C25" s="292">
        <v>0</v>
      </c>
      <c r="D25" s="405">
        <v>0</v>
      </c>
      <c r="E25" s="297">
        <f t="shared" si="7"/>
        <v>0</v>
      </c>
      <c r="F25" s="298" t="s">
        <v>660</v>
      </c>
      <c r="G25" s="92">
        <v>0</v>
      </c>
      <c r="H25" s="194">
        <v>0</v>
      </c>
      <c r="I25" s="374">
        <v>0</v>
      </c>
      <c r="J25" s="300">
        <f t="shared" si="8"/>
        <v>0</v>
      </c>
      <c r="K25" s="547" t="s">
        <v>179</v>
      </c>
      <c r="L25" s="555" t="s">
        <v>29</v>
      </c>
      <c r="M25" s="556"/>
      <c r="N25" s="557"/>
      <c r="O25" s="520" t="s">
        <v>634</v>
      </c>
      <c r="P25" s="521"/>
      <c r="Q25" s="522"/>
      <c r="R25" s="520" t="s">
        <v>863</v>
      </c>
      <c r="S25" s="521"/>
      <c r="T25" s="522"/>
      <c r="U25" s="520" t="s">
        <v>621</v>
      </c>
      <c r="V25" s="521"/>
      <c r="W25" s="522"/>
      <c r="X25" s="325"/>
      <c r="Y25" s="214"/>
      <c r="Z25" s="214"/>
      <c r="AA25" s="214" t="s">
        <v>44</v>
      </c>
      <c r="AB25" s="109"/>
      <c r="AC25" s="520" t="s">
        <v>448</v>
      </c>
      <c r="AD25" s="521"/>
      <c r="AE25" s="522"/>
      <c r="AF25" s="520" t="s">
        <v>178</v>
      </c>
      <c r="AG25" s="521"/>
      <c r="AH25" s="522"/>
      <c r="AI25" s="520" t="s">
        <v>113</v>
      </c>
      <c r="AJ25" s="521"/>
      <c r="AK25" s="522"/>
      <c r="AL25" s="520" t="s">
        <v>85</v>
      </c>
      <c r="AM25" s="521"/>
      <c r="AN25" s="522"/>
      <c r="AO25" s="567"/>
      <c r="AP25" s="567"/>
      <c r="AQ25" s="567"/>
      <c r="AR25" s="37"/>
    </row>
    <row r="26" spans="1:46" ht="17" thickBot="1" x14ac:dyDescent="0.3">
      <c r="A26" s="294" t="s">
        <v>163</v>
      </c>
      <c r="B26" s="291">
        <v>2</v>
      </c>
      <c r="C26" s="292">
        <v>0</v>
      </c>
      <c r="D26" s="405">
        <v>0</v>
      </c>
      <c r="E26" s="297">
        <f t="shared" si="7"/>
        <v>2</v>
      </c>
      <c r="F26" s="298" t="s">
        <v>163</v>
      </c>
      <c r="G26" s="92">
        <v>10</v>
      </c>
      <c r="H26" s="194">
        <v>0</v>
      </c>
      <c r="I26" s="374">
        <v>0</v>
      </c>
      <c r="J26" s="300">
        <f t="shared" si="8"/>
        <v>10</v>
      </c>
      <c r="K26" s="548"/>
      <c r="L26" s="558"/>
      <c r="M26" s="559"/>
      <c r="N26" s="560"/>
      <c r="O26" s="523"/>
      <c r="P26" s="524"/>
      <c r="Q26" s="525"/>
      <c r="R26" s="523"/>
      <c r="S26" s="524"/>
      <c r="T26" s="525"/>
      <c r="U26" s="523"/>
      <c r="V26" s="524"/>
      <c r="W26" s="525"/>
      <c r="X26" s="325"/>
      <c r="Y26" s="214"/>
      <c r="Z26" s="214"/>
      <c r="AA26" s="109"/>
      <c r="AB26" s="109"/>
      <c r="AC26" s="523"/>
      <c r="AD26" s="524"/>
      <c r="AE26" s="525"/>
      <c r="AF26" s="523"/>
      <c r="AG26" s="524"/>
      <c r="AH26" s="525"/>
      <c r="AI26" s="523"/>
      <c r="AJ26" s="524"/>
      <c r="AK26" s="525"/>
      <c r="AL26" s="523"/>
      <c r="AM26" s="524"/>
      <c r="AN26" s="525"/>
      <c r="AO26" s="567"/>
      <c r="AP26" s="567"/>
      <c r="AQ26" s="567"/>
      <c r="AR26" s="37"/>
    </row>
    <row r="27" spans="1:46" ht="15.8" thickBot="1" x14ac:dyDescent="0.3">
      <c r="A27" s="294" t="s">
        <v>558</v>
      </c>
      <c r="B27" s="291">
        <v>2</v>
      </c>
      <c r="C27" s="292">
        <v>0</v>
      </c>
      <c r="D27" s="405">
        <v>0</v>
      </c>
      <c r="E27" s="297">
        <f t="shared" si="7"/>
        <v>2</v>
      </c>
      <c r="F27" s="298" t="s">
        <v>558</v>
      </c>
      <c r="G27" s="92">
        <v>10</v>
      </c>
      <c r="H27" s="194">
        <v>0</v>
      </c>
      <c r="I27" s="374">
        <v>0</v>
      </c>
      <c r="J27" s="300">
        <f t="shared" si="8"/>
        <v>10</v>
      </c>
      <c r="K27" s="400" t="s">
        <v>44</v>
      </c>
      <c r="L27" s="229" t="s">
        <v>107</v>
      </c>
      <c r="M27" s="229" t="s">
        <v>23</v>
      </c>
      <c r="N27" s="229" t="s">
        <v>24</v>
      </c>
      <c r="O27" s="7" t="s">
        <v>107</v>
      </c>
      <c r="P27" s="7" t="s">
        <v>23</v>
      </c>
      <c r="Q27" s="7" t="s">
        <v>24</v>
      </c>
      <c r="R27" s="7" t="s">
        <v>107</v>
      </c>
      <c r="S27" s="7" t="s">
        <v>23</v>
      </c>
      <c r="T27" s="7" t="s">
        <v>24</v>
      </c>
      <c r="U27" s="201" t="s">
        <v>107</v>
      </c>
      <c r="V27" s="7" t="s">
        <v>23</v>
      </c>
      <c r="W27" s="7" t="s">
        <v>24</v>
      </c>
      <c r="X27" s="108"/>
      <c r="Y27" s="109"/>
      <c r="Z27" s="109"/>
      <c r="AA27" s="109"/>
      <c r="AB27" s="109"/>
      <c r="AC27" s="201" t="s">
        <v>107</v>
      </c>
      <c r="AD27" s="7" t="s">
        <v>23</v>
      </c>
      <c r="AE27" s="7" t="s">
        <v>24</v>
      </c>
      <c r="AF27" s="201" t="s">
        <v>107</v>
      </c>
      <c r="AG27" s="7" t="s">
        <v>23</v>
      </c>
      <c r="AH27" s="7" t="s">
        <v>24</v>
      </c>
      <c r="AI27" s="201" t="s">
        <v>107</v>
      </c>
      <c r="AJ27" s="7" t="s">
        <v>23</v>
      </c>
      <c r="AK27" s="7" t="s">
        <v>24</v>
      </c>
      <c r="AL27" s="6" t="s">
        <v>107</v>
      </c>
      <c r="AM27" s="7" t="s">
        <v>23</v>
      </c>
      <c r="AN27" s="7" t="s">
        <v>24</v>
      </c>
      <c r="AO27" s="49"/>
      <c r="AP27" s="49"/>
      <c r="AQ27" s="49"/>
      <c r="AR27" s="37"/>
    </row>
    <row r="28" spans="1:46" ht="15.8" thickBot="1" x14ac:dyDescent="0.3">
      <c r="A28" s="294" t="s">
        <v>545</v>
      </c>
      <c r="B28" s="291">
        <v>0</v>
      </c>
      <c r="C28" s="292">
        <v>0</v>
      </c>
      <c r="D28" s="405">
        <v>0</v>
      </c>
      <c r="E28" s="297">
        <f t="shared" si="7"/>
        <v>0</v>
      </c>
      <c r="F28" s="298" t="s">
        <v>545</v>
      </c>
      <c r="G28" s="92">
        <v>0</v>
      </c>
      <c r="H28" s="194">
        <v>0</v>
      </c>
      <c r="I28" s="374">
        <v>0</v>
      </c>
      <c r="J28" s="300">
        <f t="shared" si="8"/>
        <v>0</v>
      </c>
      <c r="K28" s="294" t="s">
        <v>1103</v>
      </c>
      <c r="L28" s="297">
        <v>0</v>
      </c>
      <c r="M28" s="297">
        <v>1</v>
      </c>
      <c r="N28" s="301">
        <f t="shared" ref="N28" si="17">SUM(L28/M28)*100</f>
        <v>0</v>
      </c>
      <c r="O28" s="7" t="s">
        <v>30</v>
      </c>
      <c r="P28" s="7" t="s">
        <v>30</v>
      </c>
      <c r="Q28" s="206" t="s">
        <v>30</v>
      </c>
      <c r="R28" s="7" t="s">
        <v>30</v>
      </c>
      <c r="S28" s="7" t="s">
        <v>30</v>
      </c>
      <c r="T28" s="206" t="s">
        <v>30</v>
      </c>
      <c r="U28" s="7" t="s">
        <v>30</v>
      </c>
      <c r="V28" s="7" t="s">
        <v>30</v>
      </c>
      <c r="W28" s="206" t="s">
        <v>30</v>
      </c>
      <c r="X28" s="108"/>
      <c r="Y28" s="109"/>
      <c r="Z28" s="109"/>
      <c r="AA28" s="109"/>
      <c r="AB28" s="109"/>
      <c r="AC28" s="201" t="s">
        <v>30</v>
      </c>
      <c r="AD28" s="7" t="s">
        <v>30</v>
      </c>
      <c r="AE28" s="7" t="s">
        <v>30</v>
      </c>
      <c r="AF28" s="201" t="s">
        <v>30</v>
      </c>
      <c r="AG28" s="7" t="s">
        <v>30</v>
      </c>
      <c r="AH28" s="7" t="s">
        <v>30</v>
      </c>
      <c r="AI28" s="201" t="s">
        <v>30</v>
      </c>
      <c r="AJ28" s="7" t="s">
        <v>30</v>
      </c>
      <c r="AK28" s="7" t="s">
        <v>30</v>
      </c>
      <c r="AL28" s="201" t="s">
        <v>30</v>
      </c>
      <c r="AM28" s="7" t="s">
        <v>30</v>
      </c>
      <c r="AN28" s="7" t="s">
        <v>30</v>
      </c>
      <c r="AO28" s="49"/>
      <c r="AP28" s="49"/>
      <c r="AQ28" s="49"/>
      <c r="AR28" s="37"/>
    </row>
    <row r="29" spans="1:46" ht="15.8" thickBot="1" x14ac:dyDescent="0.3">
      <c r="A29" s="294" t="s">
        <v>661</v>
      </c>
      <c r="B29" s="291">
        <v>0</v>
      </c>
      <c r="C29" s="292">
        <v>0</v>
      </c>
      <c r="D29" s="405">
        <v>0</v>
      </c>
      <c r="E29" s="297">
        <f t="shared" si="7"/>
        <v>0</v>
      </c>
      <c r="F29" s="298" t="s">
        <v>661</v>
      </c>
      <c r="G29" s="92">
        <v>0</v>
      </c>
      <c r="H29" s="194">
        <v>0</v>
      </c>
      <c r="I29" s="374">
        <v>0</v>
      </c>
      <c r="J29" s="300">
        <f t="shared" si="8"/>
        <v>0</v>
      </c>
      <c r="K29" s="294" t="s">
        <v>1056</v>
      </c>
      <c r="L29" s="297">
        <v>6</v>
      </c>
      <c r="M29" s="297">
        <v>7</v>
      </c>
      <c r="N29" s="301">
        <f t="shared" ref="N29:N31" si="18">SUM(L29/M29)*100</f>
        <v>85.714285714285708</v>
      </c>
      <c r="O29" s="7" t="s">
        <v>30</v>
      </c>
      <c r="P29" s="7" t="s">
        <v>30</v>
      </c>
      <c r="Q29" s="206" t="s">
        <v>30</v>
      </c>
      <c r="R29" s="7" t="s">
        <v>30</v>
      </c>
      <c r="S29" s="7" t="s">
        <v>30</v>
      </c>
      <c r="T29" s="206" t="s">
        <v>30</v>
      </c>
      <c r="U29" s="7" t="s">
        <v>30</v>
      </c>
      <c r="V29" s="7" t="s">
        <v>30</v>
      </c>
      <c r="W29" s="206" t="s">
        <v>30</v>
      </c>
      <c r="X29" s="108"/>
      <c r="Y29" s="109"/>
      <c r="Z29" s="109"/>
      <c r="AA29" s="109"/>
      <c r="AB29" s="109"/>
      <c r="AC29" s="201" t="s">
        <v>30</v>
      </c>
      <c r="AD29" s="7" t="s">
        <v>30</v>
      </c>
      <c r="AE29" s="7" t="s">
        <v>30</v>
      </c>
      <c r="AF29" s="201" t="s">
        <v>30</v>
      </c>
      <c r="AG29" s="7" t="s">
        <v>30</v>
      </c>
      <c r="AH29" s="7" t="s">
        <v>30</v>
      </c>
      <c r="AI29" s="201" t="s">
        <v>30</v>
      </c>
      <c r="AJ29" s="7" t="s">
        <v>30</v>
      </c>
      <c r="AK29" s="7" t="s">
        <v>30</v>
      </c>
      <c r="AL29" s="201" t="s">
        <v>30</v>
      </c>
      <c r="AM29" s="7" t="s">
        <v>30</v>
      </c>
      <c r="AN29" s="7" t="s">
        <v>30</v>
      </c>
      <c r="AO29" s="49"/>
      <c r="AP29" s="49"/>
      <c r="AQ29" s="49"/>
      <c r="AR29" s="37"/>
    </row>
    <row r="30" spans="1:46" ht="14.95" thickBot="1" x14ac:dyDescent="0.3">
      <c r="A30" s="294" t="s">
        <v>763</v>
      </c>
      <c r="B30" s="291">
        <v>10</v>
      </c>
      <c r="C30" s="292">
        <v>5</v>
      </c>
      <c r="D30" s="405">
        <v>0</v>
      </c>
      <c r="E30" s="297">
        <f t="shared" si="7"/>
        <v>15</v>
      </c>
      <c r="F30" s="298" t="s">
        <v>763</v>
      </c>
      <c r="G30" s="92">
        <v>50</v>
      </c>
      <c r="H30" s="194">
        <v>25</v>
      </c>
      <c r="I30" s="374">
        <v>0</v>
      </c>
      <c r="J30" s="300">
        <f t="shared" si="8"/>
        <v>75</v>
      </c>
      <c r="K30" s="294" t="s">
        <v>72</v>
      </c>
      <c r="L30" s="297">
        <v>3</v>
      </c>
      <c r="M30" s="297">
        <v>5</v>
      </c>
      <c r="N30" s="301">
        <f t="shared" si="18"/>
        <v>60</v>
      </c>
      <c r="O30" s="7" t="s">
        <v>30</v>
      </c>
      <c r="P30" s="7" t="s">
        <v>30</v>
      </c>
      <c r="Q30" s="206" t="s">
        <v>30</v>
      </c>
      <c r="R30" s="7" t="s">
        <v>30</v>
      </c>
      <c r="S30" s="7" t="s">
        <v>30</v>
      </c>
      <c r="T30" s="206" t="s">
        <v>30</v>
      </c>
      <c r="U30" s="7" t="s">
        <v>30</v>
      </c>
      <c r="V30" s="7" t="s">
        <v>30</v>
      </c>
      <c r="W30" s="206" t="s">
        <v>30</v>
      </c>
      <c r="X30" s="108"/>
      <c r="Y30" s="109"/>
      <c r="Z30" s="109"/>
      <c r="AA30" s="109"/>
      <c r="AB30" s="109"/>
      <c r="AC30" s="201" t="s">
        <v>30</v>
      </c>
      <c r="AD30" s="7" t="s">
        <v>30</v>
      </c>
      <c r="AE30" s="7" t="s">
        <v>30</v>
      </c>
      <c r="AF30" s="201" t="s">
        <v>30</v>
      </c>
      <c r="AG30" s="7" t="s">
        <v>30</v>
      </c>
      <c r="AH30" s="7" t="s">
        <v>30</v>
      </c>
      <c r="AI30" s="201" t="s">
        <v>30</v>
      </c>
      <c r="AJ30" s="7" t="s">
        <v>30</v>
      </c>
      <c r="AK30" s="7" t="s">
        <v>30</v>
      </c>
      <c r="AL30" s="201" t="s">
        <v>30</v>
      </c>
      <c r="AM30" s="7" t="s">
        <v>30</v>
      </c>
      <c r="AN30" s="7" t="s">
        <v>30</v>
      </c>
      <c r="AO30" s="49"/>
      <c r="AP30" s="49"/>
      <c r="AQ30" s="49"/>
      <c r="AR30" s="37"/>
    </row>
    <row r="31" spans="1:46" ht="14.95" thickBot="1" x14ac:dyDescent="0.3">
      <c r="A31" s="294" t="s">
        <v>110</v>
      </c>
      <c r="B31" s="291">
        <v>7</v>
      </c>
      <c r="C31" s="292">
        <v>3</v>
      </c>
      <c r="D31" s="405">
        <v>0</v>
      </c>
      <c r="E31" s="297">
        <f t="shared" si="7"/>
        <v>10</v>
      </c>
      <c r="F31" s="298" t="s">
        <v>110</v>
      </c>
      <c r="G31" s="92">
        <v>35</v>
      </c>
      <c r="H31" s="194">
        <v>15</v>
      </c>
      <c r="I31" s="374">
        <v>0</v>
      </c>
      <c r="J31" s="300">
        <f t="shared" si="8"/>
        <v>50</v>
      </c>
      <c r="K31" s="294" t="s">
        <v>816</v>
      </c>
      <c r="L31" s="297">
        <v>1</v>
      </c>
      <c r="M31" s="297">
        <v>2</v>
      </c>
      <c r="N31" s="301">
        <f t="shared" si="18"/>
        <v>50</v>
      </c>
      <c r="O31" s="7" t="s">
        <v>30</v>
      </c>
      <c r="P31" s="7" t="s">
        <v>30</v>
      </c>
      <c r="Q31" s="206" t="s">
        <v>30</v>
      </c>
      <c r="R31" s="7" t="s">
        <v>30</v>
      </c>
      <c r="S31" s="7" t="s">
        <v>30</v>
      </c>
      <c r="T31" s="206" t="s">
        <v>30</v>
      </c>
      <c r="U31" s="7" t="s">
        <v>30</v>
      </c>
      <c r="V31" s="7" t="s">
        <v>30</v>
      </c>
      <c r="W31" s="206" t="s">
        <v>30</v>
      </c>
      <c r="X31" s="108"/>
      <c r="Y31" s="109"/>
      <c r="Z31" s="109"/>
      <c r="AA31" s="109"/>
      <c r="AB31" s="109"/>
      <c r="AC31" s="201" t="s">
        <v>30</v>
      </c>
      <c r="AD31" s="7" t="s">
        <v>30</v>
      </c>
      <c r="AE31" s="7" t="s">
        <v>30</v>
      </c>
      <c r="AF31" s="201" t="s">
        <v>30</v>
      </c>
      <c r="AG31" s="7" t="s">
        <v>30</v>
      </c>
      <c r="AH31" s="7" t="s">
        <v>30</v>
      </c>
      <c r="AI31" s="201" t="s">
        <v>30</v>
      </c>
      <c r="AJ31" s="7" t="s">
        <v>30</v>
      </c>
      <c r="AK31" s="7" t="s">
        <v>30</v>
      </c>
      <c r="AL31" s="201" t="s">
        <v>30</v>
      </c>
      <c r="AM31" s="7" t="s">
        <v>30</v>
      </c>
      <c r="AN31" s="7" t="s">
        <v>30</v>
      </c>
      <c r="AO31" s="49"/>
      <c r="AP31" s="49"/>
      <c r="AQ31" s="49"/>
      <c r="AR31" s="37"/>
    </row>
    <row r="32" spans="1:46" ht="14.95" thickBot="1" x14ac:dyDescent="0.3">
      <c r="A32" s="294" t="s">
        <v>11</v>
      </c>
      <c r="B32" s="291">
        <v>0</v>
      </c>
      <c r="C32" s="292">
        <v>0</v>
      </c>
      <c r="D32" s="405">
        <v>0</v>
      </c>
      <c r="E32" s="297">
        <f t="shared" si="7"/>
        <v>0</v>
      </c>
      <c r="F32" s="298" t="s">
        <v>11</v>
      </c>
      <c r="G32" s="92">
        <v>0</v>
      </c>
      <c r="H32" s="194">
        <v>0</v>
      </c>
      <c r="I32" s="374">
        <v>0</v>
      </c>
      <c r="J32" s="300">
        <f t="shared" si="8"/>
        <v>0</v>
      </c>
      <c r="K32" s="294" t="s">
        <v>48</v>
      </c>
      <c r="L32" s="297" t="s">
        <v>30</v>
      </c>
      <c r="M32" s="297" t="s">
        <v>30</v>
      </c>
      <c r="N32" s="301" t="s">
        <v>30</v>
      </c>
      <c r="O32" s="7" t="s">
        <v>30</v>
      </c>
      <c r="P32" s="7" t="s">
        <v>30</v>
      </c>
      <c r="Q32" s="206" t="s">
        <v>30</v>
      </c>
      <c r="R32" s="7">
        <v>20</v>
      </c>
      <c r="S32" s="7">
        <v>25</v>
      </c>
      <c r="T32" s="206">
        <f>(R32/S32)*100</f>
        <v>80</v>
      </c>
      <c r="U32" s="201">
        <v>3</v>
      </c>
      <c r="V32" s="7">
        <v>4</v>
      </c>
      <c r="W32" s="206">
        <f t="shared" ref="W32" si="19">SUM(U32/V32)*100</f>
        <v>75</v>
      </c>
      <c r="X32" s="108"/>
      <c r="Y32" s="109"/>
      <c r="Z32" s="109"/>
      <c r="AA32" s="109"/>
      <c r="AB32" s="109"/>
      <c r="AC32" s="201" t="s">
        <v>30</v>
      </c>
      <c r="AD32" s="7" t="s">
        <v>30</v>
      </c>
      <c r="AE32" s="7" t="s">
        <v>30</v>
      </c>
      <c r="AF32" s="201" t="s">
        <v>30</v>
      </c>
      <c r="AG32" s="7" t="s">
        <v>30</v>
      </c>
      <c r="AH32" s="7" t="s">
        <v>30</v>
      </c>
      <c r="AI32" s="201" t="s">
        <v>30</v>
      </c>
      <c r="AJ32" s="7" t="s">
        <v>30</v>
      </c>
      <c r="AK32" s="7" t="s">
        <v>30</v>
      </c>
      <c r="AL32" s="201" t="s">
        <v>30</v>
      </c>
      <c r="AM32" s="7" t="s">
        <v>30</v>
      </c>
      <c r="AN32" s="7" t="s">
        <v>30</v>
      </c>
      <c r="AO32" s="150"/>
      <c r="AP32" s="150"/>
      <c r="AQ32" s="150"/>
      <c r="AR32" s="37"/>
    </row>
    <row r="33" spans="1:23" ht="14.95" thickBot="1" x14ac:dyDescent="0.3">
      <c r="A33" s="294" t="s">
        <v>54</v>
      </c>
      <c r="B33" s="291">
        <v>1</v>
      </c>
      <c r="C33" s="292">
        <v>0</v>
      </c>
      <c r="D33" s="405">
        <v>0</v>
      </c>
      <c r="E33" s="297">
        <f t="shared" si="7"/>
        <v>1</v>
      </c>
      <c r="F33" s="298" t="s">
        <v>54</v>
      </c>
      <c r="G33" s="92">
        <v>5</v>
      </c>
      <c r="H33" s="194">
        <v>0</v>
      </c>
      <c r="I33" s="374">
        <v>0</v>
      </c>
      <c r="J33" s="300">
        <f t="shared" si="8"/>
        <v>5</v>
      </c>
      <c r="K33" s="568" t="s">
        <v>984</v>
      </c>
      <c r="L33" s="519"/>
      <c r="M33" s="519"/>
      <c r="N33" s="519"/>
      <c r="O33" s="519"/>
      <c r="P33" s="519"/>
      <c r="Q33" s="519"/>
      <c r="R33" s="519"/>
      <c r="S33" s="519"/>
      <c r="T33" s="519"/>
      <c r="U33" s="519"/>
      <c r="V33" s="519"/>
      <c r="W33" s="519"/>
    </row>
    <row r="34" spans="1:23" ht="14.95" thickBot="1" x14ac:dyDescent="0.3">
      <c r="A34" s="294" t="s">
        <v>432</v>
      </c>
      <c r="B34" s="291">
        <v>15</v>
      </c>
      <c r="C34" s="292">
        <v>0</v>
      </c>
      <c r="D34" s="405">
        <v>0</v>
      </c>
      <c r="E34" s="297">
        <f t="shared" si="7"/>
        <v>15</v>
      </c>
      <c r="F34" s="298" t="s">
        <v>432</v>
      </c>
      <c r="G34" s="92">
        <v>75</v>
      </c>
      <c r="H34" s="194">
        <v>0</v>
      </c>
      <c r="I34" s="374">
        <v>0</v>
      </c>
      <c r="J34" s="300">
        <f t="shared" si="8"/>
        <v>75</v>
      </c>
      <c r="K34" s="568"/>
      <c r="L34" s="519"/>
      <c r="M34" s="519"/>
      <c r="N34" s="519"/>
      <c r="O34" s="519"/>
      <c r="P34" s="519"/>
      <c r="Q34" s="519"/>
      <c r="R34" s="519"/>
      <c r="S34" s="519"/>
      <c r="T34" s="519"/>
      <c r="U34" s="519"/>
      <c r="V34" s="519"/>
      <c r="W34" s="519"/>
    </row>
    <row r="35" spans="1:23" ht="14.95" thickBot="1" x14ac:dyDescent="0.3">
      <c r="A35" s="294" t="s">
        <v>552</v>
      </c>
      <c r="B35" s="291">
        <v>8</v>
      </c>
      <c r="C35" s="292">
        <v>1</v>
      </c>
      <c r="D35" s="405">
        <v>0</v>
      </c>
      <c r="E35" s="297">
        <f t="shared" si="7"/>
        <v>9</v>
      </c>
      <c r="F35" s="298" t="s">
        <v>552</v>
      </c>
      <c r="G35" s="92">
        <v>40</v>
      </c>
      <c r="H35" s="194">
        <v>5</v>
      </c>
      <c r="I35" s="374">
        <v>0</v>
      </c>
      <c r="J35" s="300">
        <f t="shared" si="8"/>
        <v>45</v>
      </c>
      <c r="K35" s="108"/>
      <c r="L35" s="109"/>
      <c r="M35" s="109"/>
      <c r="N35" s="109"/>
      <c r="O35" s="109"/>
      <c r="P35" s="109"/>
      <c r="Q35" s="109"/>
    </row>
    <row r="36" spans="1:23" ht="14.95" thickBot="1" x14ac:dyDescent="0.3">
      <c r="A36" s="294" t="s">
        <v>6</v>
      </c>
      <c r="B36" s="291">
        <v>0</v>
      </c>
      <c r="C36" s="292">
        <v>0</v>
      </c>
      <c r="D36" s="405">
        <v>0</v>
      </c>
      <c r="E36" s="297">
        <f t="shared" si="7"/>
        <v>0</v>
      </c>
      <c r="F36" s="298" t="s">
        <v>6</v>
      </c>
      <c r="G36" s="92">
        <v>0</v>
      </c>
      <c r="H36" s="194">
        <v>0</v>
      </c>
      <c r="I36" s="374">
        <v>0</v>
      </c>
      <c r="J36" s="300">
        <f t="shared" si="8"/>
        <v>0</v>
      </c>
      <c r="K36" s="108"/>
      <c r="L36" s="109"/>
      <c r="M36" s="109"/>
      <c r="N36" s="109"/>
      <c r="O36" s="109"/>
      <c r="P36" s="109"/>
      <c r="Q36" s="109"/>
    </row>
    <row r="37" spans="1:23" ht="14.95" thickBot="1" x14ac:dyDescent="0.3">
      <c r="A37" s="294" t="s">
        <v>981</v>
      </c>
      <c r="B37" s="291">
        <v>0</v>
      </c>
      <c r="C37" s="292">
        <v>0</v>
      </c>
      <c r="D37" s="405">
        <v>0</v>
      </c>
      <c r="E37" s="297">
        <f t="shared" si="7"/>
        <v>0</v>
      </c>
      <c r="F37" s="298" t="s">
        <v>981</v>
      </c>
      <c r="G37" s="92">
        <v>0</v>
      </c>
      <c r="H37" s="194">
        <v>0</v>
      </c>
      <c r="I37" s="374">
        <v>0</v>
      </c>
      <c r="J37" s="300">
        <f t="shared" si="8"/>
        <v>0</v>
      </c>
      <c r="K37" s="108"/>
      <c r="L37" s="109"/>
      <c r="M37" s="109"/>
      <c r="N37" s="109"/>
      <c r="O37" s="109"/>
      <c r="P37" s="109"/>
      <c r="Q37" s="109"/>
    </row>
    <row r="38" spans="1:23" ht="14.95" thickBot="1" x14ac:dyDescent="0.3">
      <c r="A38" s="294" t="s">
        <v>48</v>
      </c>
      <c r="B38" s="291">
        <v>2</v>
      </c>
      <c r="C38" s="292">
        <v>2</v>
      </c>
      <c r="D38" s="405">
        <v>0</v>
      </c>
      <c r="E38" s="297">
        <f t="shared" si="7"/>
        <v>4</v>
      </c>
      <c r="F38" s="298" t="s">
        <v>48</v>
      </c>
      <c r="G38" s="92">
        <v>100</v>
      </c>
      <c r="H38" s="194">
        <v>60</v>
      </c>
      <c r="I38" s="374">
        <v>0</v>
      </c>
      <c r="J38" s="300">
        <f t="shared" si="8"/>
        <v>160</v>
      </c>
      <c r="K38" s="108"/>
      <c r="L38" s="109"/>
      <c r="M38" s="109"/>
      <c r="N38" s="109"/>
      <c r="O38" s="109"/>
      <c r="P38" s="109"/>
      <c r="Q38" s="109"/>
    </row>
    <row r="39" spans="1:23" ht="14.95" thickBot="1" x14ac:dyDescent="0.3">
      <c r="A39" s="294" t="s">
        <v>461</v>
      </c>
      <c r="B39" s="291">
        <v>1</v>
      </c>
      <c r="C39" s="292">
        <v>0</v>
      </c>
      <c r="D39" s="405">
        <v>1</v>
      </c>
      <c r="E39" s="297">
        <f t="shared" si="7"/>
        <v>2</v>
      </c>
      <c r="F39" s="298" t="s">
        <v>461</v>
      </c>
      <c r="G39" s="92">
        <v>5</v>
      </c>
      <c r="H39" s="194">
        <v>0</v>
      </c>
      <c r="I39" s="374">
        <v>5</v>
      </c>
      <c r="J39" s="300">
        <f t="shared" si="8"/>
        <v>10</v>
      </c>
    </row>
    <row r="40" spans="1:23" ht="14.95" thickBot="1" x14ac:dyDescent="0.3">
      <c r="A40" s="294" t="s">
        <v>94</v>
      </c>
      <c r="B40" s="291">
        <v>0</v>
      </c>
      <c r="C40" s="292">
        <v>0</v>
      </c>
      <c r="D40" s="405">
        <v>0</v>
      </c>
      <c r="E40" s="297">
        <f t="shared" si="7"/>
        <v>0</v>
      </c>
      <c r="F40" s="298" t="s">
        <v>94</v>
      </c>
      <c r="G40" s="92">
        <v>0</v>
      </c>
      <c r="H40" s="194">
        <v>0</v>
      </c>
      <c r="I40" s="374">
        <v>0</v>
      </c>
      <c r="J40" s="300">
        <f t="shared" si="8"/>
        <v>0</v>
      </c>
    </row>
    <row r="41" spans="1:23" ht="14.95" thickBot="1" x14ac:dyDescent="0.3">
      <c r="A41" s="294" t="s">
        <v>1125</v>
      </c>
      <c r="B41" s="291">
        <v>0</v>
      </c>
      <c r="C41" s="292">
        <v>1</v>
      </c>
      <c r="D41" s="405">
        <v>1</v>
      </c>
      <c r="E41" s="297">
        <f t="shared" si="7"/>
        <v>2</v>
      </c>
      <c r="F41" s="298" t="s">
        <v>1125</v>
      </c>
      <c r="G41" s="92">
        <v>0</v>
      </c>
      <c r="H41" s="194">
        <v>5</v>
      </c>
      <c r="I41" s="374">
        <v>5</v>
      </c>
      <c r="J41" s="300">
        <f t="shared" si="8"/>
        <v>10</v>
      </c>
    </row>
    <row r="42" spans="1:23" ht="14.95" thickBot="1" x14ac:dyDescent="0.3">
      <c r="A42" s="294" t="s">
        <v>1043</v>
      </c>
      <c r="B42" s="291">
        <v>3</v>
      </c>
      <c r="C42" s="292">
        <v>0</v>
      </c>
      <c r="D42" s="405">
        <v>0</v>
      </c>
      <c r="E42" s="297">
        <f t="shared" si="7"/>
        <v>3</v>
      </c>
      <c r="F42" s="298" t="s">
        <v>1043</v>
      </c>
      <c r="G42" s="92">
        <v>15</v>
      </c>
      <c r="H42" s="194">
        <v>0</v>
      </c>
      <c r="I42" s="374">
        <v>0</v>
      </c>
      <c r="J42" s="300">
        <f t="shared" si="8"/>
        <v>15</v>
      </c>
    </row>
    <row r="43" spans="1:23" ht="14.95" thickBot="1" x14ac:dyDescent="0.3">
      <c r="A43" s="294" t="s">
        <v>41</v>
      </c>
      <c r="B43" s="291">
        <v>3</v>
      </c>
      <c r="C43" s="292">
        <v>0</v>
      </c>
      <c r="D43" s="405">
        <v>0</v>
      </c>
      <c r="E43" s="297">
        <f t="shared" si="7"/>
        <v>3</v>
      </c>
      <c r="F43" s="298" t="s">
        <v>41</v>
      </c>
      <c r="G43" s="92">
        <v>15</v>
      </c>
      <c r="H43" s="194">
        <v>0</v>
      </c>
      <c r="I43" s="374">
        <v>0</v>
      </c>
      <c r="J43" s="300">
        <f t="shared" si="8"/>
        <v>15</v>
      </c>
    </row>
    <row r="44" spans="1:23" ht="14.95" thickBot="1" x14ac:dyDescent="0.3">
      <c r="A44" s="294" t="s">
        <v>1079</v>
      </c>
      <c r="B44" s="291">
        <v>0</v>
      </c>
      <c r="C44" s="292">
        <v>0</v>
      </c>
      <c r="D44" s="405">
        <v>1</v>
      </c>
      <c r="E44" s="297">
        <f t="shared" si="7"/>
        <v>1</v>
      </c>
      <c r="F44" s="298" t="s">
        <v>1079</v>
      </c>
      <c r="G44" s="92">
        <v>0</v>
      </c>
      <c r="H44" s="194">
        <v>0</v>
      </c>
      <c r="I44" s="374">
        <v>5</v>
      </c>
      <c r="J44" s="300">
        <f t="shared" si="8"/>
        <v>5</v>
      </c>
    </row>
    <row r="45" spans="1:23" ht="14.95" thickBot="1" x14ac:dyDescent="0.3">
      <c r="A45" s="294" t="s">
        <v>162</v>
      </c>
      <c r="B45" s="291">
        <v>1</v>
      </c>
      <c r="C45" s="292">
        <v>0</v>
      </c>
      <c r="D45" s="405">
        <v>2</v>
      </c>
      <c r="E45" s="297">
        <f t="shared" si="7"/>
        <v>3</v>
      </c>
      <c r="F45" s="298" t="s">
        <v>162</v>
      </c>
      <c r="G45" s="92">
        <v>5</v>
      </c>
      <c r="H45" s="194">
        <v>0</v>
      </c>
      <c r="I45" s="374">
        <v>10</v>
      </c>
      <c r="J45" s="300">
        <f t="shared" si="8"/>
        <v>15</v>
      </c>
    </row>
    <row r="46" spans="1:23" ht="14.95" thickBot="1" x14ac:dyDescent="0.3">
      <c r="A46" s="294" t="s">
        <v>3</v>
      </c>
      <c r="B46" s="291">
        <f>SUM(B3:B45)</f>
        <v>98</v>
      </c>
      <c r="C46" s="292">
        <f>SUM(C3:C45)</f>
        <v>27</v>
      </c>
      <c r="D46" s="405">
        <f>SUM(D3:D45)</f>
        <v>15</v>
      </c>
      <c r="E46" s="297">
        <f t="shared" si="7"/>
        <v>140</v>
      </c>
      <c r="F46" s="296" t="s">
        <v>3</v>
      </c>
      <c r="G46" s="138">
        <f>SUM(G3:G45)</f>
        <v>664</v>
      </c>
      <c r="H46" s="195">
        <f>SUM(H3:H45)</f>
        <v>194</v>
      </c>
      <c r="I46" s="374">
        <f>SUM(I3:I45)</f>
        <v>95</v>
      </c>
      <c r="J46" s="300">
        <f t="shared" si="8"/>
        <v>953</v>
      </c>
    </row>
    <row r="47" spans="1:23" ht="16.3" x14ac:dyDescent="0.25">
      <c r="B47" s="167"/>
      <c r="C47" s="79"/>
      <c r="D47" s="79"/>
      <c r="F47" s="13"/>
      <c r="G47" s="180"/>
      <c r="H47" s="82"/>
      <c r="I47" s="82"/>
      <c r="J47" s="13"/>
    </row>
    <row r="48" spans="1:23" ht="17" thickBot="1" x14ac:dyDescent="0.3">
      <c r="A48" t="s">
        <v>26</v>
      </c>
      <c r="B48" s="167"/>
      <c r="C48" s="79"/>
      <c r="D48" s="79"/>
      <c r="F48" s="13"/>
      <c r="G48" s="180"/>
      <c r="H48" s="82"/>
      <c r="I48" s="82"/>
    </row>
    <row r="49" spans="1:10" ht="14.95" thickBot="1" x14ac:dyDescent="0.3">
      <c r="A49" s="293" t="s">
        <v>0</v>
      </c>
      <c r="B49" s="289" t="s">
        <v>620</v>
      </c>
      <c r="C49" s="290" t="s">
        <v>63</v>
      </c>
      <c r="D49" s="404" t="s">
        <v>925</v>
      </c>
      <c r="E49" s="295" t="s">
        <v>1</v>
      </c>
      <c r="F49" s="296" t="s">
        <v>2</v>
      </c>
      <c r="G49" s="138" t="s">
        <v>620</v>
      </c>
      <c r="H49" s="195" t="s">
        <v>63</v>
      </c>
      <c r="I49" s="373" t="s">
        <v>925</v>
      </c>
      <c r="J49" s="299" t="s">
        <v>1</v>
      </c>
    </row>
    <row r="50" spans="1:10" ht="14.95" customHeight="1" thickBot="1" x14ac:dyDescent="0.3">
      <c r="A50" s="294" t="s">
        <v>234</v>
      </c>
      <c r="B50" s="291">
        <v>8</v>
      </c>
      <c r="C50" s="292">
        <v>7</v>
      </c>
      <c r="D50" s="405">
        <v>0</v>
      </c>
      <c r="E50" s="297">
        <f t="shared" ref="E50:E92" si="20">SUM(B50:D50)</f>
        <v>15</v>
      </c>
      <c r="F50" s="298" t="s">
        <v>48</v>
      </c>
      <c r="G50" s="92">
        <v>100</v>
      </c>
      <c r="H50" s="194">
        <v>60</v>
      </c>
      <c r="I50" s="374">
        <v>0</v>
      </c>
      <c r="J50" s="300">
        <f t="shared" ref="J50:J92" si="21">SUM(G50:I50)</f>
        <v>160</v>
      </c>
    </row>
    <row r="51" spans="1:10" ht="14.95" thickBot="1" x14ac:dyDescent="0.3">
      <c r="A51" s="294" t="s">
        <v>763</v>
      </c>
      <c r="B51" s="291">
        <v>10</v>
      </c>
      <c r="C51" s="292">
        <v>5</v>
      </c>
      <c r="D51" s="405">
        <v>0</v>
      </c>
      <c r="E51" s="297">
        <f t="shared" si="20"/>
        <v>15</v>
      </c>
      <c r="F51" s="298" t="s">
        <v>234</v>
      </c>
      <c r="G51" s="92">
        <v>40</v>
      </c>
      <c r="H51" s="194">
        <v>35</v>
      </c>
      <c r="I51" s="374">
        <v>0</v>
      </c>
      <c r="J51" s="300">
        <f t="shared" si="21"/>
        <v>75</v>
      </c>
    </row>
    <row r="52" spans="1:10" ht="14.95" thickBot="1" x14ac:dyDescent="0.3">
      <c r="A52" s="294" t="s">
        <v>432</v>
      </c>
      <c r="B52" s="291">
        <v>15</v>
      </c>
      <c r="C52" s="292">
        <v>0</v>
      </c>
      <c r="D52" s="405">
        <v>0</v>
      </c>
      <c r="E52" s="297">
        <f t="shared" si="20"/>
        <v>15</v>
      </c>
      <c r="F52" s="298" t="s">
        <v>763</v>
      </c>
      <c r="G52" s="92">
        <v>50</v>
      </c>
      <c r="H52" s="194">
        <v>25</v>
      </c>
      <c r="I52" s="374">
        <v>0</v>
      </c>
      <c r="J52" s="300">
        <f t="shared" si="21"/>
        <v>75</v>
      </c>
    </row>
    <row r="53" spans="1:10" ht="14.95" thickBot="1" x14ac:dyDescent="0.3">
      <c r="A53" s="294" t="s">
        <v>774</v>
      </c>
      <c r="B53" s="291">
        <v>8</v>
      </c>
      <c r="C53" s="292">
        <v>2</v>
      </c>
      <c r="D53" s="405">
        <v>0</v>
      </c>
      <c r="E53" s="297">
        <f t="shared" si="20"/>
        <v>10</v>
      </c>
      <c r="F53" s="298" t="s">
        <v>432</v>
      </c>
      <c r="G53" s="92">
        <v>75</v>
      </c>
      <c r="H53" s="194">
        <v>0</v>
      </c>
      <c r="I53" s="374">
        <v>0</v>
      </c>
      <c r="J53" s="300">
        <f t="shared" si="21"/>
        <v>75</v>
      </c>
    </row>
    <row r="54" spans="1:10" ht="14.95" thickBot="1" x14ac:dyDescent="0.3">
      <c r="A54" s="294" t="s">
        <v>110</v>
      </c>
      <c r="B54" s="291">
        <v>7</v>
      </c>
      <c r="C54" s="292">
        <v>3</v>
      </c>
      <c r="D54" s="405">
        <v>0</v>
      </c>
      <c r="E54" s="297">
        <f t="shared" si="20"/>
        <v>10</v>
      </c>
      <c r="F54" s="298" t="s">
        <v>977</v>
      </c>
      <c r="G54" s="92">
        <v>49</v>
      </c>
      <c r="H54" s="194">
        <v>9</v>
      </c>
      <c r="I54" s="374">
        <v>0</v>
      </c>
      <c r="J54" s="300">
        <f t="shared" si="21"/>
        <v>58</v>
      </c>
    </row>
    <row r="55" spans="1:10" ht="14.95" thickBot="1" x14ac:dyDescent="0.3">
      <c r="A55" s="294" t="s">
        <v>13</v>
      </c>
      <c r="B55" s="291">
        <v>7</v>
      </c>
      <c r="C55" s="292">
        <v>2</v>
      </c>
      <c r="D55" s="405">
        <v>0</v>
      </c>
      <c r="E55" s="297">
        <f t="shared" si="20"/>
        <v>9</v>
      </c>
      <c r="F55" s="298" t="s">
        <v>774</v>
      </c>
      <c r="G55" s="92">
        <v>48</v>
      </c>
      <c r="H55" s="194">
        <v>10</v>
      </c>
      <c r="I55" s="374">
        <v>0</v>
      </c>
      <c r="J55" s="300">
        <f t="shared" si="21"/>
        <v>58</v>
      </c>
    </row>
    <row r="56" spans="1:10" ht="14.95" thickBot="1" x14ac:dyDescent="0.3">
      <c r="A56" s="294" t="s">
        <v>552</v>
      </c>
      <c r="B56" s="291">
        <v>8</v>
      </c>
      <c r="C56" s="292">
        <v>1</v>
      </c>
      <c r="D56" s="405">
        <v>0</v>
      </c>
      <c r="E56" s="297">
        <f t="shared" si="20"/>
        <v>9</v>
      </c>
      <c r="F56" s="298" t="s">
        <v>110</v>
      </c>
      <c r="G56" s="92">
        <v>35</v>
      </c>
      <c r="H56" s="194">
        <v>15</v>
      </c>
      <c r="I56" s="374">
        <v>0</v>
      </c>
      <c r="J56" s="300">
        <f t="shared" si="21"/>
        <v>50</v>
      </c>
    </row>
    <row r="57" spans="1:10" ht="14.95" thickBot="1" x14ac:dyDescent="0.3">
      <c r="A57" s="294" t="s">
        <v>628</v>
      </c>
      <c r="B57" s="291">
        <v>6</v>
      </c>
      <c r="C57" s="292">
        <v>1</v>
      </c>
      <c r="D57" s="405">
        <v>0</v>
      </c>
      <c r="E57" s="297">
        <f t="shared" si="20"/>
        <v>7</v>
      </c>
      <c r="F57" s="298" t="s">
        <v>13</v>
      </c>
      <c r="G57" s="92">
        <v>38</v>
      </c>
      <c r="H57" s="194">
        <v>10</v>
      </c>
      <c r="I57" s="374">
        <v>0</v>
      </c>
      <c r="J57" s="300">
        <f t="shared" si="21"/>
        <v>48</v>
      </c>
    </row>
    <row r="58" spans="1:10" ht="14.95" thickBot="1" x14ac:dyDescent="0.3">
      <c r="A58" s="294" t="s">
        <v>979</v>
      </c>
      <c r="B58" s="291">
        <v>5</v>
      </c>
      <c r="C58" s="292">
        <v>2</v>
      </c>
      <c r="D58" s="405">
        <v>0</v>
      </c>
      <c r="E58" s="297">
        <f t="shared" si="20"/>
        <v>7</v>
      </c>
      <c r="F58" s="298" t="s">
        <v>552</v>
      </c>
      <c r="G58" s="92">
        <v>40</v>
      </c>
      <c r="H58" s="194">
        <v>5</v>
      </c>
      <c r="I58" s="374">
        <v>0</v>
      </c>
      <c r="J58" s="300">
        <f t="shared" si="21"/>
        <v>45</v>
      </c>
    </row>
    <row r="59" spans="1:10" ht="14.95" thickBot="1" x14ac:dyDescent="0.3">
      <c r="A59" s="294" t="s">
        <v>48</v>
      </c>
      <c r="B59" s="291">
        <v>2</v>
      </c>
      <c r="C59" s="292">
        <v>2</v>
      </c>
      <c r="D59" s="405">
        <v>0</v>
      </c>
      <c r="E59" s="297">
        <f t="shared" si="20"/>
        <v>4</v>
      </c>
      <c r="F59" s="298" t="s">
        <v>628</v>
      </c>
      <c r="G59" s="92">
        <v>30</v>
      </c>
      <c r="H59" s="194">
        <v>5</v>
      </c>
      <c r="I59" s="374">
        <v>0</v>
      </c>
      <c r="J59" s="300">
        <f t="shared" si="21"/>
        <v>35</v>
      </c>
    </row>
    <row r="60" spans="1:10" ht="14.95" thickBot="1" x14ac:dyDescent="0.3">
      <c r="A60" s="294" t="s">
        <v>1103</v>
      </c>
      <c r="B60" s="291">
        <v>3</v>
      </c>
      <c r="C60" s="292">
        <v>0</v>
      </c>
      <c r="D60" s="405">
        <v>0</v>
      </c>
      <c r="E60" s="297">
        <f t="shared" si="20"/>
        <v>3</v>
      </c>
      <c r="F60" s="298" t="s">
        <v>979</v>
      </c>
      <c r="G60" s="92">
        <v>25</v>
      </c>
      <c r="H60" s="194">
        <v>10</v>
      </c>
      <c r="I60" s="374">
        <v>0</v>
      </c>
      <c r="J60" s="300">
        <f t="shared" si="21"/>
        <v>35</v>
      </c>
    </row>
    <row r="61" spans="1:10" ht="14.95" thickBot="1" x14ac:dyDescent="0.3">
      <c r="A61" s="294" t="s">
        <v>1132</v>
      </c>
      <c r="B61" s="291">
        <v>1</v>
      </c>
      <c r="C61" s="292">
        <v>1</v>
      </c>
      <c r="D61" s="405">
        <v>1</v>
      </c>
      <c r="E61" s="297">
        <f t="shared" si="20"/>
        <v>3</v>
      </c>
      <c r="F61" s="298" t="s">
        <v>816</v>
      </c>
      <c r="G61" s="92">
        <v>29</v>
      </c>
      <c r="H61" s="194">
        <v>0</v>
      </c>
      <c r="I61" s="374">
        <v>2</v>
      </c>
      <c r="J61" s="300">
        <f t="shared" si="21"/>
        <v>31</v>
      </c>
    </row>
    <row r="62" spans="1:10" ht="14.95" thickBot="1" x14ac:dyDescent="0.3">
      <c r="A62" s="294" t="s">
        <v>1043</v>
      </c>
      <c r="B62" s="291">
        <v>3</v>
      </c>
      <c r="C62" s="292">
        <v>0</v>
      </c>
      <c r="D62" s="405">
        <v>0</v>
      </c>
      <c r="E62" s="297">
        <f t="shared" si="20"/>
        <v>3</v>
      </c>
      <c r="F62" s="298" t="s">
        <v>1103</v>
      </c>
      <c r="G62" s="92">
        <v>15</v>
      </c>
      <c r="H62" s="194">
        <v>0</v>
      </c>
      <c r="I62" s="374">
        <v>0</v>
      </c>
      <c r="J62" s="300">
        <f t="shared" si="21"/>
        <v>15</v>
      </c>
    </row>
    <row r="63" spans="1:10" ht="14.95" thickBot="1" x14ac:dyDescent="0.3">
      <c r="A63" s="294" t="s">
        <v>41</v>
      </c>
      <c r="B63" s="291">
        <v>3</v>
      </c>
      <c r="C63" s="292">
        <v>0</v>
      </c>
      <c r="D63" s="405">
        <v>0</v>
      </c>
      <c r="E63" s="297">
        <f t="shared" si="20"/>
        <v>3</v>
      </c>
      <c r="F63" s="298" t="s">
        <v>1132</v>
      </c>
      <c r="G63" s="92">
        <v>5</v>
      </c>
      <c r="H63" s="194">
        <v>5</v>
      </c>
      <c r="I63" s="374">
        <v>5</v>
      </c>
      <c r="J63" s="300">
        <f t="shared" si="21"/>
        <v>15</v>
      </c>
    </row>
    <row r="64" spans="1:10" ht="14.95" thickBot="1" x14ac:dyDescent="0.3">
      <c r="A64" s="294" t="s">
        <v>162</v>
      </c>
      <c r="B64" s="291">
        <v>1</v>
      </c>
      <c r="C64" s="292">
        <v>0</v>
      </c>
      <c r="D64" s="405">
        <v>2</v>
      </c>
      <c r="E64" s="297">
        <f t="shared" si="20"/>
        <v>3</v>
      </c>
      <c r="F64" s="298" t="s">
        <v>1043</v>
      </c>
      <c r="G64" s="92">
        <v>15</v>
      </c>
      <c r="H64" s="194">
        <v>0</v>
      </c>
      <c r="I64" s="374">
        <v>0</v>
      </c>
      <c r="J64" s="300">
        <f t="shared" si="21"/>
        <v>15</v>
      </c>
    </row>
    <row r="65" spans="1:10" ht="14.95" thickBot="1" x14ac:dyDescent="0.3">
      <c r="A65" s="294" t="s">
        <v>1078</v>
      </c>
      <c r="B65" s="291">
        <v>0</v>
      </c>
      <c r="C65" s="292">
        <v>0</v>
      </c>
      <c r="D65" s="405">
        <v>2</v>
      </c>
      <c r="E65" s="297">
        <f t="shared" si="20"/>
        <v>2</v>
      </c>
      <c r="F65" s="298" t="s">
        <v>41</v>
      </c>
      <c r="G65" s="92">
        <v>15</v>
      </c>
      <c r="H65" s="194">
        <v>0</v>
      </c>
      <c r="I65" s="374">
        <v>0</v>
      </c>
      <c r="J65" s="300">
        <f t="shared" si="21"/>
        <v>15</v>
      </c>
    </row>
    <row r="66" spans="1:10" ht="14.95" thickBot="1" x14ac:dyDescent="0.3">
      <c r="A66" s="294" t="s">
        <v>1209</v>
      </c>
      <c r="B66" s="291">
        <v>0</v>
      </c>
      <c r="C66" s="292">
        <v>0</v>
      </c>
      <c r="D66" s="405">
        <v>2</v>
      </c>
      <c r="E66" s="297">
        <f t="shared" si="20"/>
        <v>2</v>
      </c>
      <c r="F66" s="298" t="s">
        <v>162</v>
      </c>
      <c r="G66" s="92">
        <v>5</v>
      </c>
      <c r="H66" s="194">
        <v>0</v>
      </c>
      <c r="I66" s="374">
        <v>10</v>
      </c>
      <c r="J66" s="300">
        <f t="shared" si="21"/>
        <v>15</v>
      </c>
    </row>
    <row r="67" spans="1:10" ht="14.95" thickBot="1" x14ac:dyDescent="0.3">
      <c r="A67" s="294" t="s">
        <v>74</v>
      </c>
      <c r="B67" s="291">
        <v>2</v>
      </c>
      <c r="C67" s="292">
        <v>0</v>
      </c>
      <c r="D67" s="405">
        <v>0</v>
      </c>
      <c r="E67" s="297">
        <f t="shared" si="20"/>
        <v>2</v>
      </c>
      <c r="F67" s="298" t="s">
        <v>1056</v>
      </c>
      <c r="G67" s="92">
        <v>0</v>
      </c>
      <c r="H67" s="194">
        <v>0</v>
      </c>
      <c r="I67" s="374">
        <v>12</v>
      </c>
      <c r="J67" s="300">
        <f t="shared" si="21"/>
        <v>12</v>
      </c>
    </row>
    <row r="68" spans="1:10" ht="14.95" thickBot="1" x14ac:dyDescent="0.3">
      <c r="A68" s="294" t="s">
        <v>1181</v>
      </c>
      <c r="B68" s="291">
        <v>1</v>
      </c>
      <c r="C68" s="292">
        <v>0</v>
      </c>
      <c r="D68" s="405">
        <v>1</v>
      </c>
      <c r="E68" s="297">
        <f t="shared" si="20"/>
        <v>2</v>
      </c>
      <c r="F68" s="298" t="s">
        <v>72</v>
      </c>
      <c r="G68" s="92">
        <v>0</v>
      </c>
      <c r="H68" s="194">
        <v>0</v>
      </c>
      <c r="I68" s="374">
        <v>11</v>
      </c>
      <c r="J68" s="300">
        <f t="shared" si="21"/>
        <v>11</v>
      </c>
    </row>
    <row r="69" spans="1:10" ht="14.95" thickBot="1" x14ac:dyDescent="0.3">
      <c r="A69" s="294" t="s">
        <v>1054</v>
      </c>
      <c r="B69" s="291">
        <v>0</v>
      </c>
      <c r="C69" s="292">
        <v>0</v>
      </c>
      <c r="D69" s="405">
        <v>2</v>
      </c>
      <c r="E69" s="297">
        <f t="shared" si="20"/>
        <v>2</v>
      </c>
      <c r="F69" s="298" t="s">
        <v>1078</v>
      </c>
      <c r="G69" s="92">
        <v>0</v>
      </c>
      <c r="H69" s="194">
        <v>0</v>
      </c>
      <c r="I69" s="374">
        <v>10</v>
      </c>
      <c r="J69" s="300">
        <f t="shared" si="21"/>
        <v>10</v>
      </c>
    </row>
    <row r="70" spans="1:10" ht="14.95" thickBot="1" x14ac:dyDescent="0.3">
      <c r="A70" s="294" t="s">
        <v>163</v>
      </c>
      <c r="B70" s="291">
        <v>2</v>
      </c>
      <c r="C70" s="292">
        <v>0</v>
      </c>
      <c r="D70" s="405">
        <v>0</v>
      </c>
      <c r="E70" s="297">
        <f t="shared" si="20"/>
        <v>2</v>
      </c>
      <c r="F70" s="298" t="s">
        <v>1209</v>
      </c>
      <c r="G70" s="92">
        <v>0</v>
      </c>
      <c r="H70" s="194">
        <v>0</v>
      </c>
      <c r="I70" s="374">
        <v>10</v>
      </c>
      <c r="J70" s="300">
        <f t="shared" si="21"/>
        <v>10</v>
      </c>
    </row>
    <row r="71" spans="1:10" ht="14.95" thickBot="1" x14ac:dyDescent="0.3">
      <c r="A71" s="294" t="s">
        <v>558</v>
      </c>
      <c r="B71" s="291">
        <v>2</v>
      </c>
      <c r="C71" s="292">
        <v>0</v>
      </c>
      <c r="D71" s="405">
        <v>0</v>
      </c>
      <c r="E71" s="297">
        <f t="shared" si="20"/>
        <v>2</v>
      </c>
      <c r="F71" s="298" t="s">
        <v>74</v>
      </c>
      <c r="G71" s="92">
        <v>10</v>
      </c>
      <c r="H71" s="194">
        <v>0</v>
      </c>
      <c r="I71" s="374">
        <v>0</v>
      </c>
      <c r="J71" s="300">
        <f t="shared" si="21"/>
        <v>10</v>
      </c>
    </row>
    <row r="72" spans="1:10" ht="14.95" thickBot="1" x14ac:dyDescent="0.3">
      <c r="A72" s="294" t="s">
        <v>461</v>
      </c>
      <c r="B72" s="291">
        <v>1</v>
      </c>
      <c r="C72" s="292">
        <v>0</v>
      </c>
      <c r="D72" s="405">
        <v>1</v>
      </c>
      <c r="E72" s="297">
        <f t="shared" si="20"/>
        <v>2</v>
      </c>
      <c r="F72" s="298" t="s">
        <v>1181</v>
      </c>
      <c r="G72" s="92">
        <v>5</v>
      </c>
      <c r="H72" s="194">
        <v>0</v>
      </c>
      <c r="I72" s="374">
        <v>5</v>
      </c>
      <c r="J72" s="300">
        <f t="shared" si="21"/>
        <v>10</v>
      </c>
    </row>
    <row r="73" spans="1:10" ht="14.95" thickBot="1" x14ac:dyDescent="0.3">
      <c r="A73" s="294" t="s">
        <v>1125</v>
      </c>
      <c r="B73" s="291">
        <v>0</v>
      </c>
      <c r="C73" s="292">
        <v>1</v>
      </c>
      <c r="D73" s="405">
        <v>1</v>
      </c>
      <c r="E73" s="297">
        <f t="shared" si="20"/>
        <v>2</v>
      </c>
      <c r="F73" s="298" t="s">
        <v>1054</v>
      </c>
      <c r="G73" s="92">
        <v>0</v>
      </c>
      <c r="H73" s="194">
        <v>0</v>
      </c>
      <c r="I73" s="374">
        <v>10</v>
      </c>
      <c r="J73" s="300">
        <f t="shared" si="21"/>
        <v>10</v>
      </c>
    </row>
    <row r="74" spans="1:10" ht="14.95" thickBot="1" x14ac:dyDescent="0.3">
      <c r="A74" s="294" t="s">
        <v>977</v>
      </c>
      <c r="B74" s="291">
        <v>1</v>
      </c>
      <c r="C74" s="292">
        <v>0</v>
      </c>
      <c r="D74" s="405">
        <v>0</v>
      </c>
      <c r="E74" s="297">
        <f t="shared" si="20"/>
        <v>1</v>
      </c>
      <c r="F74" s="298" t="s">
        <v>163</v>
      </c>
      <c r="G74" s="92">
        <v>10</v>
      </c>
      <c r="H74" s="194">
        <v>0</v>
      </c>
      <c r="I74" s="374">
        <v>0</v>
      </c>
      <c r="J74" s="300">
        <f t="shared" si="21"/>
        <v>10</v>
      </c>
    </row>
    <row r="75" spans="1:10" ht="14.95" thickBot="1" x14ac:dyDescent="0.3">
      <c r="A75" s="294" t="s">
        <v>72</v>
      </c>
      <c r="B75" s="291">
        <v>0</v>
      </c>
      <c r="C75" s="292">
        <v>0</v>
      </c>
      <c r="D75" s="405">
        <v>1</v>
      </c>
      <c r="E75" s="297">
        <f t="shared" si="20"/>
        <v>1</v>
      </c>
      <c r="F75" s="298" t="s">
        <v>558</v>
      </c>
      <c r="G75" s="92">
        <v>10</v>
      </c>
      <c r="H75" s="194">
        <v>0</v>
      </c>
      <c r="I75" s="374">
        <v>0</v>
      </c>
      <c r="J75" s="300">
        <f t="shared" si="21"/>
        <v>10</v>
      </c>
    </row>
    <row r="76" spans="1:10" ht="14.95" thickBot="1" x14ac:dyDescent="0.3">
      <c r="A76" s="294" t="s">
        <v>440</v>
      </c>
      <c r="B76" s="291">
        <v>0</v>
      </c>
      <c r="C76" s="292">
        <v>0</v>
      </c>
      <c r="D76" s="405">
        <v>1</v>
      </c>
      <c r="E76" s="297">
        <f t="shared" si="20"/>
        <v>1</v>
      </c>
      <c r="F76" s="298" t="s">
        <v>461</v>
      </c>
      <c r="G76" s="92">
        <v>5</v>
      </c>
      <c r="H76" s="194">
        <v>0</v>
      </c>
      <c r="I76" s="374">
        <v>5</v>
      </c>
      <c r="J76" s="300">
        <f t="shared" si="21"/>
        <v>10</v>
      </c>
    </row>
    <row r="77" spans="1:10" ht="14.95" thickBot="1" x14ac:dyDescent="0.3">
      <c r="A77" s="294" t="s">
        <v>4</v>
      </c>
      <c r="B77" s="291">
        <v>1</v>
      </c>
      <c r="C77" s="292">
        <v>0</v>
      </c>
      <c r="D77" s="405">
        <v>0</v>
      </c>
      <c r="E77" s="297">
        <f t="shared" si="20"/>
        <v>1</v>
      </c>
      <c r="F77" s="298" t="s">
        <v>1125</v>
      </c>
      <c r="G77" s="92">
        <v>0</v>
      </c>
      <c r="H77" s="194">
        <v>5</v>
      </c>
      <c r="I77" s="374">
        <v>5</v>
      </c>
      <c r="J77" s="300">
        <f t="shared" si="21"/>
        <v>10</v>
      </c>
    </row>
    <row r="78" spans="1:10" ht="14.95" customHeight="1" thickBot="1" x14ac:dyDescent="0.3">
      <c r="A78" s="294" t="s">
        <v>54</v>
      </c>
      <c r="B78" s="291">
        <v>1</v>
      </c>
      <c r="C78" s="292">
        <v>0</v>
      </c>
      <c r="D78" s="405">
        <v>0</v>
      </c>
      <c r="E78" s="297">
        <f t="shared" si="20"/>
        <v>1</v>
      </c>
      <c r="F78" s="298" t="s">
        <v>440</v>
      </c>
      <c r="G78" s="92">
        <v>0</v>
      </c>
      <c r="H78" s="194">
        <v>0</v>
      </c>
      <c r="I78" s="374">
        <v>5</v>
      </c>
      <c r="J78" s="300">
        <f t="shared" si="21"/>
        <v>5</v>
      </c>
    </row>
    <row r="79" spans="1:10" ht="14.95" thickBot="1" x14ac:dyDescent="0.3">
      <c r="A79" s="294" t="s">
        <v>1079</v>
      </c>
      <c r="B79" s="291">
        <v>0</v>
      </c>
      <c r="C79" s="292">
        <v>0</v>
      </c>
      <c r="D79" s="405">
        <v>1</v>
      </c>
      <c r="E79" s="297">
        <f t="shared" si="20"/>
        <v>1</v>
      </c>
      <c r="F79" s="298" t="s">
        <v>4</v>
      </c>
      <c r="G79" s="92">
        <v>5</v>
      </c>
      <c r="H79" s="194">
        <v>0</v>
      </c>
      <c r="I79" s="374">
        <v>0</v>
      </c>
      <c r="J79" s="300">
        <f t="shared" si="21"/>
        <v>5</v>
      </c>
    </row>
    <row r="80" spans="1:10" ht="14.95" thickBot="1" x14ac:dyDescent="0.3">
      <c r="A80" s="294" t="s">
        <v>1056</v>
      </c>
      <c r="B80" s="291">
        <v>0</v>
      </c>
      <c r="C80" s="292">
        <v>0</v>
      </c>
      <c r="D80" s="405">
        <v>0</v>
      </c>
      <c r="E80" s="297">
        <f t="shared" si="20"/>
        <v>0</v>
      </c>
      <c r="F80" s="298" t="s">
        <v>54</v>
      </c>
      <c r="G80" s="92">
        <v>5</v>
      </c>
      <c r="H80" s="194">
        <v>0</v>
      </c>
      <c r="I80" s="374">
        <v>0</v>
      </c>
      <c r="J80" s="300">
        <f t="shared" si="21"/>
        <v>5</v>
      </c>
    </row>
    <row r="81" spans="1:10" ht="14.95" thickBot="1" x14ac:dyDescent="0.3">
      <c r="A81" s="294" t="s">
        <v>126</v>
      </c>
      <c r="B81" s="291">
        <v>0</v>
      </c>
      <c r="C81" s="292">
        <v>0</v>
      </c>
      <c r="D81" s="405">
        <v>0</v>
      </c>
      <c r="E81" s="297">
        <f t="shared" si="20"/>
        <v>0</v>
      </c>
      <c r="F81" s="298" t="s">
        <v>1079</v>
      </c>
      <c r="G81" s="92">
        <v>0</v>
      </c>
      <c r="H81" s="194">
        <v>0</v>
      </c>
      <c r="I81" s="374">
        <v>5</v>
      </c>
      <c r="J81" s="300">
        <f t="shared" si="21"/>
        <v>5</v>
      </c>
    </row>
    <row r="82" spans="1:10" ht="14.95" thickBot="1" x14ac:dyDescent="0.3">
      <c r="A82" s="294" t="s">
        <v>816</v>
      </c>
      <c r="B82" s="291">
        <v>0</v>
      </c>
      <c r="C82" s="292">
        <v>0</v>
      </c>
      <c r="D82" s="405">
        <v>0</v>
      </c>
      <c r="E82" s="297">
        <f t="shared" si="20"/>
        <v>0</v>
      </c>
      <c r="F82" s="298" t="s">
        <v>126</v>
      </c>
      <c r="G82" s="92">
        <v>0</v>
      </c>
      <c r="H82" s="194">
        <v>0</v>
      </c>
      <c r="I82" s="374">
        <v>0</v>
      </c>
      <c r="J82" s="300">
        <f t="shared" si="21"/>
        <v>0</v>
      </c>
    </row>
    <row r="83" spans="1:10" ht="14.95" customHeight="1" thickBot="1" x14ac:dyDescent="0.3">
      <c r="A83" s="294" t="s">
        <v>658</v>
      </c>
      <c r="B83" s="291">
        <v>0</v>
      </c>
      <c r="C83" s="292">
        <v>0</v>
      </c>
      <c r="D83" s="405">
        <v>0</v>
      </c>
      <c r="E83" s="297">
        <f t="shared" si="20"/>
        <v>0</v>
      </c>
      <c r="F83" s="298" t="s">
        <v>658</v>
      </c>
      <c r="G83" s="92">
        <v>0</v>
      </c>
      <c r="H83" s="194">
        <v>0</v>
      </c>
      <c r="I83" s="374">
        <v>0</v>
      </c>
      <c r="J83" s="300">
        <f t="shared" si="21"/>
        <v>0</v>
      </c>
    </row>
    <row r="84" spans="1:10" ht="14.95" thickBot="1" x14ac:dyDescent="0.3">
      <c r="A84" s="294" t="s">
        <v>593</v>
      </c>
      <c r="B84" s="291">
        <v>0</v>
      </c>
      <c r="C84" s="292">
        <v>0</v>
      </c>
      <c r="D84" s="405">
        <v>0</v>
      </c>
      <c r="E84" s="297">
        <f t="shared" si="20"/>
        <v>0</v>
      </c>
      <c r="F84" s="298" t="s">
        <v>593</v>
      </c>
      <c r="G84" s="92">
        <v>0</v>
      </c>
      <c r="H84" s="194">
        <v>0</v>
      </c>
      <c r="I84" s="374">
        <v>0</v>
      </c>
      <c r="J84" s="300">
        <f t="shared" si="21"/>
        <v>0</v>
      </c>
    </row>
    <row r="85" spans="1:10" ht="14.95" customHeight="1" thickBot="1" x14ac:dyDescent="0.3">
      <c r="A85" s="294" t="s">
        <v>807</v>
      </c>
      <c r="B85" s="291">
        <v>0</v>
      </c>
      <c r="C85" s="292">
        <v>0</v>
      </c>
      <c r="D85" s="405">
        <v>0</v>
      </c>
      <c r="E85" s="297">
        <f t="shared" si="20"/>
        <v>0</v>
      </c>
      <c r="F85" s="298" t="s">
        <v>807</v>
      </c>
      <c r="G85" s="92">
        <v>0</v>
      </c>
      <c r="H85" s="194">
        <v>0</v>
      </c>
      <c r="I85" s="374">
        <v>0</v>
      </c>
      <c r="J85" s="300">
        <f t="shared" si="21"/>
        <v>0</v>
      </c>
    </row>
    <row r="86" spans="1:10" ht="14.95" thickBot="1" x14ac:dyDescent="0.3">
      <c r="A86" s="294" t="s">
        <v>660</v>
      </c>
      <c r="B86" s="291">
        <v>0</v>
      </c>
      <c r="C86" s="292">
        <v>0</v>
      </c>
      <c r="D86" s="405">
        <v>0</v>
      </c>
      <c r="E86" s="297">
        <f t="shared" si="20"/>
        <v>0</v>
      </c>
      <c r="F86" s="298" t="s">
        <v>660</v>
      </c>
      <c r="G86" s="92">
        <v>0</v>
      </c>
      <c r="H86" s="194">
        <v>0</v>
      </c>
      <c r="I86" s="374">
        <v>0</v>
      </c>
      <c r="J86" s="300">
        <f t="shared" si="21"/>
        <v>0</v>
      </c>
    </row>
    <row r="87" spans="1:10" ht="14.95" customHeight="1" thickBot="1" x14ac:dyDescent="0.3">
      <c r="A87" s="294" t="s">
        <v>545</v>
      </c>
      <c r="B87" s="291">
        <v>0</v>
      </c>
      <c r="C87" s="292">
        <v>0</v>
      </c>
      <c r="D87" s="405">
        <v>0</v>
      </c>
      <c r="E87" s="297">
        <f t="shared" si="20"/>
        <v>0</v>
      </c>
      <c r="F87" s="298" t="s">
        <v>545</v>
      </c>
      <c r="G87" s="92">
        <v>0</v>
      </c>
      <c r="H87" s="194">
        <v>0</v>
      </c>
      <c r="I87" s="374">
        <v>0</v>
      </c>
      <c r="J87" s="300">
        <f t="shared" si="21"/>
        <v>0</v>
      </c>
    </row>
    <row r="88" spans="1:10" ht="14.95" thickBot="1" x14ac:dyDescent="0.3">
      <c r="A88" s="294" t="s">
        <v>661</v>
      </c>
      <c r="B88" s="291">
        <v>0</v>
      </c>
      <c r="C88" s="292">
        <v>0</v>
      </c>
      <c r="D88" s="405">
        <v>0</v>
      </c>
      <c r="E88" s="297">
        <f t="shared" si="20"/>
        <v>0</v>
      </c>
      <c r="F88" s="298" t="s">
        <v>661</v>
      </c>
      <c r="G88" s="92">
        <v>0</v>
      </c>
      <c r="H88" s="194">
        <v>0</v>
      </c>
      <c r="I88" s="374">
        <v>0</v>
      </c>
      <c r="J88" s="300">
        <f t="shared" si="21"/>
        <v>0</v>
      </c>
    </row>
    <row r="89" spans="1:10" ht="14.95" customHeight="1" thickBot="1" x14ac:dyDescent="0.3">
      <c r="A89" s="294" t="s">
        <v>11</v>
      </c>
      <c r="B89" s="291">
        <v>0</v>
      </c>
      <c r="C89" s="292">
        <v>0</v>
      </c>
      <c r="D89" s="405">
        <v>0</v>
      </c>
      <c r="E89" s="297">
        <f t="shared" si="20"/>
        <v>0</v>
      </c>
      <c r="F89" s="298" t="s">
        <v>11</v>
      </c>
      <c r="G89" s="92">
        <v>0</v>
      </c>
      <c r="H89" s="194">
        <v>0</v>
      </c>
      <c r="I89" s="374">
        <v>0</v>
      </c>
      <c r="J89" s="300">
        <f t="shared" si="21"/>
        <v>0</v>
      </c>
    </row>
    <row r="90" spans="1:10" ht="14.95" thickBot="1" x14ac:dyDescent="0.3">
      <c r="A90" s="294" t="s">
        <v>6</v>
      </c>
      <c r="B90" s="291">
        <v>0</v>
      </c>
      <c r="C90" s="292">
        <v>0</v>
      </c>
      <c r="D90" s="405">
        <v>0</v>
      </c>
      <c r="E90" s="297">
        <f t="shared" si="20"/>
        <v>0</v>
      </c>
      <c r="F90" s="298" t="s">
        <v>6</v>
      </c>
      <c r="G90" s="92">
        <v>0</v>
      </c>
      <c r="H90" s="194">
        <v>0</v>
      </c>
      <c r="I90" s="374">
        <v>0</v>
      </c>
      <c r="J90" s="300">
        <f t="shared" si="21"/>
        <v>0</v>
      </c>
    </row>
    <row r="91" spans="1:10" ht="14.95" customHeight="1" thickBot="1" x14ac:dyDescent="0.3">
      <c r="A91" s="294" t="s">
        <v>981</v>
      </c>
      <c r="B91" s="291">
        <v>0</v>
      </c>
      <c r="C91" s="292">
        <v>0</v>
      </c>
      <c r="D91" s="405">
        <v>0</v>
      </c>
      <c r="E91" s="297">
        <f t="shared" si="20"/>
        <v>0</v>
      </c>
      <c r="F91" s="298" t="s">
        <v>981</v>
      </c>
      <c r="G91" s="92">
        <v>0</v>
      </c>
      <c r="H91" s="194">
        <v>0</v>
      </c>
      <c r="I91" s="374">
        <v>0</v>
      </c>
      <c r="J91" s="300">
        <f t="shared" si="21"/>
        <v>0</v>
      </c>
    </row>
    <row r="92" spans="1:10" ht="14.95" thickBot="1" x14ac:dyDescent="0.3">
      <c r="A92" s="294" t="s">
        <v>94</v>
      </c>
      <c r="B92" s="291">
        <v>0</v>
      </c>
      <c r="C92" s="292">
        <v>0</v>
      </c>
      <c r="D92" s="405">
        <v>0</v>
      </c>
      <c r="E92" s="297">
        <f t="shared" si="20"/>
        <v>0</v>
      </c>
      <c r="F92" s="298" t="s">
        <v>94</v>
      </c>
      <c r="G92" s="92">
        <v>0</v>
      </c>
      <c r="H92" s="194">
        <v>0</v>
      </c>
      <c r="I92" s="374">
        <v>0</v>
      </c>
      <c r="J92" s="300">
        <f t="shared" si="21"/>
        <v>0</v>
      </c>
    </row>
    <row r="93" spans="1:10" ht="14.95" customHeight="1" thickBot="1" x14ac:dyDescent="0.3">
      <c r="A93" s="294" t="s">
        <v>3</v>
      </c>
      <c r="B93" s="291">
        <f>SUM(B50:B92)</f>
        <v>98</v>
      </c>
      <c r="C93" s="292">
        <f>SUM(C50:C92)</f>
        <v>27</v>
      </c>
      <c r="D93" s="405">
        <f>SUM(D50:D92)</f>
        <v>15</v>
      </c>
      <c r="E93" s="297">
        <f t="shared" ref="E93" si="22">SUM(B93:D93)</f>
        <v>140</v>
      </c>
      <c r="F93" s="296" t="s">
        <v>3</v>
      </c>
      <c r="G93" s="138">
        <f>SUM(G50:G92)</f>
        <v>664</v>
      </c>
      <c r="H93" s="195">
        <f>SUM(H50:H92)</f>
        <v>194</v>
      </c>
      <c r="I93" s="374">
        <f>SUM(I50:I92)</f>
        <v>95</v>
      </c>
      <c r="J93" s="300">
        <f t="shared" ref="J93" si="23">SUM(G93:I93)</f>
        <v>953</v>
      </c>
    </row>
    <row r="94" spans="1:10" x14ac:dyDescent="0.25">
      <c r="A94" s="532" t="s">
        <v>81</v>
      </c>
      <c r="B94" s="519"/>
      <c r="C94" s="519"/>
      <c r="D94" s="519"/>
      <c r="E94" s="519"/>
      <c r="F94" s="519"/>
      <c r="G94" s="519"/>
      <c r="H94" s="519"/>
      <c r="I94" s="519"/>
      <c r="J94" s="519"/>
    </row>
  </sheetData>
  <sortState xmlns:xlrd2="http://schemas.microsoft.com/office/spreadsheetml/2017/richdata2" ref="F50:J92">
    <sortCondition descending="1" ref="J50:J92"/>
  </sortState>
  <mergeCells count="48">
    <mergeCell ref="A94:J94"/>
    <mergeCell ref="AR1:AT2"/>
    <mergeCell ref="R1:S2"/>
    <mergeCell ref="K13:K14"/>
    <mergeCell ref="AL13:AN14"/>
    <mergeCell ref="K1:K2"/>
    <mergeCell ref="L1:N2"/>
    <mergeCell ref="O1:Q2"/>
    <mergeCell ref="AO1:AQ2"/>
    <mergeCell ref="L13:N14"/>
    <mergeCell ref="AL1:AN2"/>
    <mergeCell ref="AO13:AQ14"/>
    <mergeCell ref="AR13:AT14"/>
    <mergeCell ref="U13:W14"/>
    <mergeCell ref="AI13:AK14"/>
    <mergeCell ref="AI1:AK2"/>
    <mergeCell ref="AF1:AH2"/>
    <mergeCell ref="AC1:AE2"/>
    <mergeCell ref="AC13:AE14"/>
    <mergeCell ref="AC19:AE20"/>
    <mergeCell ref="AF13:AH14"/>
    <mergeCell ref="K19:K20"/>
    <mergeCell ref="L19:N20"/>
    <mergeCell ref="R19:T20"/>
    <mergeCell ref="R13:T14"/>
    <mergeCell ref="A1:J1"/>
    <mergeCell ref="W1:Y2"/>
    <mergeCell ref="U25:W26"/>
    <mergeCell ref="R25:T26"/>
    <mergeCell ref="O25:Q26"/>
    <mergeCell ref="T1:V2"/>
    <mergeCell ref="O13:Q14"/>
    <mergeCell ref="O19:Q20"/>
    <mergeCell ref="AO19:AQ20"/>
    <mergeCell ref="AR19:AT20"/>
    <mergeCell ref="U19:W20"/>
    <mergeCell ref="AF19:AH20"/>
    <mergeCell ref="AI19:AK20"/>
    <mergeCell ref="AL19:AN20"/>
    <mergeCell ref="AO25:AQ26"/>
    <mergeCell ref="AL25:AN26"/>
    <mergeCell ref="K33:W33"/>
    <mergeCell ref="AI25:AK26"/>
    <mergeCell ref="K34:W34"/>
    <mergeCell ref="AF25:AH26"/>
    <mergeCell ref="AC25:AE26"/>
    <mergeCell ref="K25:K26"/>
    <mergeCell ref="L25:N2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106"/>
  <sheetViews>
    <sheetView topLeftCell="I5" workbookViewId="0">
      <selection activeCell="O24" sqref="O24:Q24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5.75" customWidth="1"/>
    <col min="12" max="49" width="5.75" customWidth="1"/>
  </cols>
  <sheetData>
    <row r="1" spans="1:56" ht="16" customHeight="1" thickBot="1" x14ac:dyDescent="0.3">
      <c r="A1" s="585" t="s">
        <v>846</v>
      </c>
      <c r="B1" s="586"/>
      <c r="C1" s="586"/>
      <c r="D1" s="586"/>
      <c r="E1" s="586"/>
      <c r="F1" s="586"/>
      <c r="G1" s="586"/>
      <c r="H1" s="586"/>
      <c r="I1" s="586"/>
      <c r="J1" s="587"/>
      <c r="K1" s="540" t="s">
        <v>509</v>
      </c>
      <c r="L1" s="526" t="s">
        <v>29</v>
      </c>
      <c r="M1" s="527"/>
      <c r="N1" s="528"/>
      <c r="O1" s="526" t="s">
        <v>93</v>
      </c>
      <c r="P1" s="527"/>
      <c r="Q1" s="528"/>
      <c r="R1" s="526" t="s">
        <v>508</v>
      </c>
      <c r="S1" s="528"/>
      <c r="T1" s="520" t="s">
        <v>634</v>
      </c>
      <c r="U1" s="521"/>
      <c r="V1" s="522"/>
      <c r="W1" s="520" t="s">
        <v>863</v>
      </c>
      <c r="X1" s="521"/>
      <c r="Y1" s="522"/>
      <c r="Z1" s="325"/>
      <c r="AA1" s="214"/>
      <c r="AB1" s="326"/>
      <c r="AC1" s="520" t="s">
        <v>621</v>
      </c>
      <c r="AD1" s="521"/>
      <c r="AE1" s="522"/>
      <c r="AF1" s="520" t="s">
        <v>448</v>
      </c>
      <c r="AG1" s="521"/>
      <c r="AH1" s="522"/>
      <c r="AI1" s="520" t="s">
        <v>178</v>
      </c>
      <c r="AJ1" s="521"/>
      <c r="AK1" s="522"/>
      <c r="AL1" s="520" t="s">
        <v>122</v>
      </c>
      <c r="AM1" s="521"/>
      <c r="AN1" s="522"/>
      <c r="AO1" s="520" t="s">
        <v>113</v>
      </c>
      <c r="AP1" s="521"/>
      <c r="AQ1" s="522"/>
      <c r="AR1" s="520" t="s">
        <v>96</v>
      </c>
      <c r="AS1" s="521"/>
      <c r="AT1" s="522"/>
      <c r="AU1" s="520" t="s">
        <v>106</v>
      </c>
      <c r="AV1" s="521"/>
      <c r="AW1" s="522"/>
      <c r="AY1" s="4"/>
      <c r="AZ1" s="4"/>
      <c r="BA1" s="4"/>
      <c r="BD1" s="4"/>
    </row>
    <row r="2" spans="1:56" ht="14.95" customHeight="1" thickBot="1" x14ac:dyDescent="0.3">
      <c r="A2" s="234" t="s">
        <v>0</v>
      </c>
      <c r="B2" s="181" t="s">
        <v>620</v>
      </c>
      <c r="C2" s="383" t="s">
        <v>63</v>
      </c>
      <c r="D2" s="387" t="s">
        <v>925</v>
      </c>
      <c r="E2" s="236" t="s">
        <v>1</v>
      </c>
      <c r="F2" s="237" t="s">
        <v>2</v>
      </c>
      <c r="G2" s="183" t="s">
        <v>620</v>
      </c>
      <c r="H2" s="385" t="s">
        <v>63</v>
      </c>
      <c r="I2" s="389" t="s">
        <v>925</v>
      </c>
      <c r="J2" s="241" t="s">
        <v>1</v>
      </c>
      <c r="K2" s="541"/>
      <c r="L2" s="529"/>
      <c r="M2" s="530"/>
      <c r="N2" s="531"/>
      <c r="O2" s="529"/>
      <c r="P2" s="530"/>
      <c r="Q2" s="531"/>
      <c r="R2" s="529"/>
      <c r="S2" s="531"/>
      <c r="T2" s="523"/>
      <c r="U2" s="524"/>
      <c r="V2" s="525"/>
      <c r="W2" s="523"/>
      <c r="X2" s="524"/>
      <c r="Y2" s="525"/>
      <c r="Z2" s="325"/>
      <c r="AA2" s="214"/>
      <c r="AB2" s="326"/>
      <c r="AC2" s="523"/>
      <c r="AD2" s="524"/>
      <c r="AE2" s="525"/>
      <c r="AF2" s="523"/>
      <c r="AG2" s="524"/>
      <c r="AH2" s="525"/>
      <c r="AI2" s="523"/>
      <c r="AJ2" s="524"/>
      <c r="AK2" s="525"/>
      <c r="AL2" s="523"/>
      <c r="AM2" s="524"/>
      <c r="AN2" s="525"/>
      <c r="AO2" s="523"/>
      <c r="AP2" s="524"/>
      <c r="AQ2" s="525"/>
      <c r="AR2" s="523"/>
      <c r="AS2" s="524"/>
      <c r="AT2" s="525"/>
      <c r="AU2" s="523"/>
      <c r="AV2" s="524"/>
      <c r="AW2" s="525"/>
    </row>
    <row r="3" spans="1:56" ht="14.95" customHeight="1" thickBot="1" x14ac:dyDescent="0.3">
      <c r="A3" s="235" t="s">
        <v>1169</v>
      </c>
      <c r="B3" s="182">
        <v>6</v>
      </c>
      <c r="C3" s="384">
        <v>1</v>
      </c>
      <c r="D3" s="388">
        <v>0</v>
      </c>
      <c r="E3" s="238">
        <f>SUM(B3:D3)</f>
        <v>7</v>
      </c>
      <c r="F3" s="239" t="s">
        <v>1169</v>
      </c>
      <c r="G3" s="184">
        <v>30</v>
      </c>
      <c r="H3" s="386">
        <v>5</v>
      </c>
      <c r="I3" s="390">
        <v>0</v>
      </c>
      <c r="J3" s="242">
        <f>SUM(G3:I3)</f>
        <v>35</v>
      </c>
      <c r="K3" s="393" t="s">
        <v>44</v>
      </c>
      <c r="L3" s="3" t="s">
        <v>107</v>
      </c>
      <c r="M3" s="3" t="s">
        <v>23</v>
      </c>
      <c r="N3" s="3" t="s">
        <v>24</v>
      </c>
      <c r="O3" s="217" t="s">
        <v>107</v>
      </c>
      <c r="P3" s="3" t="s">
        <v>23</v>
      </c>
      <c r="Q3" s="3" t="s">
        <v>24</v>
      </c>
      <c r="R3" s="3" t="s">
        <v>34</v>
      </c>
      <c r="S3" s="3" t="s">
        <v>135</v>
      </c>
      <c r="T3" s="7" t="s">
        <v>107</v>
      </c>
      <c r="U3" s="7" t="s">
        <v>23</v>
      </c>
      <c r="V3" s="7" t="s">
        <v>24</v>
      </c>
      <c r="W3" s="201" t="s">
        <v>107</v>
      </c>
      <c r="X3" s="7" t="s">
        <v>23</v>
      </c>
      <c r="Y3" s="7" t="s">
        <v>24</v>
      </c>
      <c r="Z3" s="108"/>
      <c r="AA3" s="109"/>
      <c r="AB3" s="327"/>
      <c r="AC3" s="201" t="s">
        <v>107</v>
      </c>
      <c r="AD3" s="7" t="s">
        <v>23</v>
      </c>
      <c r="AE3" s="7" t="s">
        <v>24</v>
      </c>
      <c r="AF3" s="201" t="s">
        <v>107</v>
      </c>
      <c r="AG3" s="7" t="s">
        <v>23</v>
      </c>
      <c r="AH3" s="7" t="s">
        <v>24</v>
      </c>
      <c r="AI3" s="201" t="s">
        <v>107</v>
      </c>
      <c r="AJ3" s="7" t="s">
        <v>23</v>
      </c>
      <c r="AK3" s="7" t="s">
        <v>24</v>
      </c>
      <c r="AL3" s="201" t="s">
        <v>107</v>
      </c>
      <c r="AM3" s="7" t="s">
        <v>23</v>
      </c>
      <c r="AN3" s="7" t="s">
        <v>24</v>
      </c>
      <c r="AO3" s="7" t="s">
        <v>107</v>
      </c>
      <c r="AP3" s="7" t="s">
        <v>23</v>
      </c>
      <c r="AQ3" s="7" t="s">
        <v>24</v>
      </c>
      <c r="AR3" s="7" t="s">
        <v>107</v>
      </c>
      <c r="AS3" s="7" t="s">
        <v>23</v>
      </c>
      <c r="AT3" s="7" t="s">
        <v>24</v>
      </c>
      <c r="AU3" s="7" t="s">
        <v>107</v>
      </c>
      <c r="AV3" s="7" t="s">
        <v>23</v>
      </c>
      <c r="AW3" s="7" t="s">
        <v>24</v>
      </c>
    </row>
    <row r="4" spans="1:56" ht="14.95" customHeight="1" thickBot="1" x14ac:dyDescent="0.3">
      <c r="A4" s="235" t="s">
        <v>746</v>
      </c>
      <c r="B4" s="182">
        <v>0</v>
      </c>
      <c r="C4" s="384">
        <v>0</v>
      </c>
      <c r="D4" s="388">
        <v>0</v>
      </c>
      <c r="E4" s="238">
        <f t="shared" ref="E4:E52" si="0">SUM(B4:D4)</f>
        <v>0</v>
      </c>
      <c r="F4" s="239" t="s">
        <v>746</v>
      </c>
      <c r="G4" s="184">
        <v>0</v>
      </c>
      <c r="H4" s="386">
        <v>0</v>
      </c>
      <c r="I4" s="390">
        <v>0</v>
      </c>
      <c r="J4" s="242">
        <f t="shared" ref="J4:J52" si="1">SUM(G4:I4)</f>
        <v>0</v>
      </c>
      <c r="K4" s="302" t="s">
        <v>954</v>
      </c>
      <c r="L4" s="238">
        <v>36</v>
      </c>
      <c r="M4" s="238">
        <v>46</v>
      </c>
      <c r="N4" s="243">
        <f>SUM(L4/M4)*100</f>
        <v>78.260869565217391</v>
      </c>
      <c r="O4" s="238">
        <v>1</v>
      </c>
      <c r="P4" s="238">
        <v>3</v>
      </c>
      <c r="Q4" s="243">
        <f>SUM(O4/P4)*100</f>
        <v>33.333333333333329</v>
      </c>
      <c r="R4" s="238">
        <v>-2</v>
      </c>
      <c r="S4" s="238">
        <v>-2</v>
      </c>
      <c r="T4" s="7" t="s">
        <v>30</v>
      </c>
      <c r="U4" s="7" t="s">
        <v>30</v>
      </c>
      <c r="V4" s="206" t="s">
        <v>30</v>
      </c>
      <c r="W4" s="201">
        <v>3</v>
      </c>
      <c r="X4" s="7">
        <v>5</v>
      </c>
      <c r="Y4" s="7">
        <v>60</v>
      </c>
      <c r="Z4" s="108"/>
      <c r="AA4" s="109"/>
      <c r="AB4" s="327"/>
      <c r="AC4" s="201">
        <v>40</v>
      </c>
      <c r="AD4" s="7">
        <v>56</v>
      </c>
      <c r="AE4" s="7">
        <v>71</v>
      </c>
      <c r="AF4" s="201">
        <v>35</v>
      </c>
      <c r="AG4" s="7">
        <v>45</v>
      </c>
      <c r="AH4" s="7">
        <v>78</v>
      </c>
      <c r="AI4" s="201">
        <v>62</v>
      </c>
      <c r="AJ4" s="7">
        <v>72</v>
      </c>
      <c r="AK4" s="7">
        <v>86</v>
      </c>
      <c r="AL4" s="201">
        <v>39</v>
      </c>
      <c r="AM4" s="7">
        <v>49</v>
      </c>
      <c r="AN4" s="7">
        <v>80</v>
      </c>
      <c r="AO4" s="201">
        <v>55</v>
      </c>
      <c r="AP4" s="7">
        <v>80</v>
      </c>
      <c r="AQ4" s="7">
        <v>69</v>
      </c>
      <c r="AR4" s="201">
        <v>40</v>
      </c>
      <c r="AS4" s="7">
        <v>70</v>
      </c>
      <c r="AT4" s="7">
        <v>57</v>
      </c>
      <c r="AU4" s="201">
        <v>87</v>
      </c>
      <c r="AV4" s="7">
        <v>117</v>
      </c>
      <c r="AW4" s="7">
        <v>74</v>
      </c>
    </row>
    <row r="5" spans="1:56" ht="14.95" customHeight="1" thickBot="1" x14ac:dyDescent="0.3">
      <c r="A5" s="235" t="s">
        <v>932</v>
      </c>
      <c r="B5" s="182">
        <v>3</v>
      </c>
      <c r="C5" s="384">
        <v>0</v>
      </c>
      <c r="D5" s="388">
        <v>0</v>
      </c>
      <c r="E5" s="238">
        <f t="shared" si="0"/>
        <v>3</v>
      </c>
      <c r="F5" s="239" t="s">
        <v>932</v>
      </c>
      <c r="G5" s="184">
        <v>102</v>
      </c>
      <c r="H5" s="386">
        <v>6</v>
      </c>
      <c r="I5" s="390">
        <v>0</v>
      </c>
      <c r="J5" s="242">
        <f t="shared" si="1"/>
        <v>108</v>
      </c>
      <c r="K5" s="235" t="s">
        <v>533</v>
      </c>
      <c r="L5" s="238">
        <v>81</v>
      </c>
      <c r="M5" s="238">
        <v>109</v>
      </c>
      <c r="N5" s="243">
        <f>SUM(L5/M5)*100</f>
        <v>74.311926605504581</v>
      </c>
      <c r="O5" s="238">
        <v>0</v>
      </c>
      <c r="P5" s="238">
        <v>1</v>
      </c>
      <c r="Q5" s="243">
        <f>SUM(O5/P5)*100</f>
        <v>0</v>
      </c>
      <c r="R5" s="238">
        <v>-1</v>
      </c>
      <c r="S5" s="238">
        <v>-1</v>
      </c>
      <c r="T5" s="7">
        <v>27</v>
      </c>
      <c r="U5" s="7">
        <v>32</v>
      </c>
      <c r="V5" s="206">
        <f>SUM(T5/U5)*100</f>
        <v>84.375</v>
      </c>
      <c r="W5" s="201">
        <v>35</v>
      </c>
      <c r="X5" s="7">
        <v>40</v>
      </c>
      <c r="Y5" s="206">
        <f>SUM(W5/X5)*100</f>
        <v>87.5</v>
      </c>
      <c r="Z5" s="108"/>
      <c r="AA5" s="109"/>
      <c r="AB5" s="327"/>
      <c r="AC5" s="201">
        <v>77</v>
      </c>
      <c r="AD5" s="7">
        <v>91</v>
      </c>
      <c r="AE5" s="206">
        <f>SUM(AC5/AD5)*100</f>
        <v>84.615384615384613</v>
      </c>
      <c r="AF5" s="201">
        <v>61</v>
      </c>
      <c r="AG5" s="7">
        <v>77</v>
      </c>
      <c r="AH5" s="206">
        <f>SUM(AF5/AG5)*100</f>
        <v>79.220779220779221</v>
      </c>
      <c r="AI5" s="201">
        <v>51</v>
      </c>
      <c r="AJ5" s="7">
        <v>70</v>
      </c>
      <c r="AK5" s="206">
        <f>SUM(AI5/AJ5)*100</f>
        <v>72.857142857142847</v>
      </c>
      <c r="AL5" s="201">
        <v>37</v>
      </c>
      <c r="AM5" s="7">
        <v>50</v>
      </c>
      <c r="AN5" s="206">
        <f>SUM(AL5/AM5)*100</f>
        <v>74</v>
      </c>
      <c r="AO5" s="7">
        <v>85</v>
      </c>
      <c r="AP5" s="7">
        <v>102</v>
      </c>
      <c r="AQ5" s="206">
        <f>SUM(AO5/AP5)*100</f>
        <v>83.333333333333343</v>
      </c>
      <c r="AR5" s="7">
        <v>87</v>
      </c>
      <c r="AS5" s="7">
        <v>122</v>
      </c>
      <c r="AT5" s="206">
        <f>SUM(AR5/AS5)*100</f>
        <v>71.311475409836063</v>
      </c>
      <c r="AU5" s="7" t="s">
        <v>30</v>
      </c>
      <c r="AV5" s="7" t="s">
        <v>30</v>
      </c>
      <c r="AW5" s="7" t="s">
        <v>30</v>
      </c>
    </row>
    <row r="6" spans="1:56" ht="14.95" customHeight="1" thickBot="1" x14ac:dyDescent="0.3">
      <c r="A6" s="235" t="s">
        <v>785</v>
      </c>
      <c r="B6" s="182">
        <v>1</v>
      </c>
      <c r="C6" s="384">
        <v>0</v>
      </c>
      <c r="D6" s="388">
        <v>0</v>
      </c>
      <c r="E6" s="238">
        <f t="shared" si="0"/>
        <v>1</v>
      </c>
      <c r="F6" s="239" t="s">
        <v>785</v>
      </c>
      <c r="G6" s="184">
        <v>5</v>
      </c>
      <c r="H6" s="386">
        <v>0</v>
      </c>
      <c r="I6" s="390">
        <v>0</v>
      </c>
      <c r="J6" s="242">
        <f t="shared" si="1"/>
        <v>5</v>
      </c>
      <c r="K6" s="235" t="s">
        <v>936</v>
      </c>
      <c r="L6" s="238">
        <v>1</v>
      </c>
      <c r="M6" s="238">
        <v>4</v>
      </c>
      <c r="N6" s="243">
        <f>SUM(L6/M6)*100</f>
        <v>25</v>
      </c>
      <c r="O6" s="238" t="s">
        <v>30</v>
      </c>
      <c r="P6" s="238" t="s">
        <v>30</v>
      </c>
      <c r="Q6" s="243" t="s">
        <v>30</v>
      </c>
      <c r="R6" s="238">
        <v>1</v>
      </c>
      <c r="S6" s="238">
        <v>3</v>
      </c>
      <c r="T6" s="7" t="s">
        <v>30</v>
      </c>
      <c r="U6" s="7" t="s">
        <v>30</v>
      </c>
      <c r="V6" s="206" t="s">
        <v>30</v>
      </c>
      <c r="W6" s="201" t="s">
        <v>30</v>
      </c>
      <c r="X6" s="7" t="s">
        <v>30</v>
      </c>
      <c r="Y6" s="206" t="s">
        <v>30</v>
      </c>
      <c r="Z6" s="108"/>
      <c r="AA6" s="109"/>
      <c r="AB6" s="327"/>
      <c r="AC6" s="201" t="s">
        <v>30</v>
      </c>
      <c r="AD6" s="7" t="s">
        <v>30</v>
      </c>
      <c r="AE6" s="206" t="s">
        <v>30</v>
      </c>
      <c r="AF6" s="201" t="s">
        <v>30</v>
      </c>
      <c r="AG6" s="7" t="s">
        <v>30</v>
      </c>
      <c r="AH6" s="7" t="s">
        <v>30</v>
      </c>
      <c r="AI6" s="201" t="s">
        <v>30</v>
      </c>
      <c r="AJ6" s="7" t="s">
        <v>30</v>
      </c>
      <c r="AK6" s="7" t="s">
        <v>30</v>
      </c>
      <c r="AL6" s="201" t="s">
        <v>30</v>
      </c>
      <c r="AM6" s="7" t="s">
        <v>30</v>
      </c>
      <c r="AN6" s="7" t="s">
        <v>30</v>
      </c>
      <c r="AO6" s="7" t="s">
        <v>30</v>
      </c>
      <c r="AP6" s="7" t="s">
        <v>30</v>
      </c>
      <c r="AQ6" s="7" t="s">
        <v>30</v>
      </c>
      <c r="AR6" s="7" t="s">
        <v>30</v>
      </c>
      <c r="AS6" s="7" t="s">
        <v>30</v>
      </c>
      <c r="AT6" s="7" t="s">
        <v>30</v>
      </c>
      <c r="AU6" s="7" t="s">
        <v>30</v>
      </c>
      <c r="AV6" s="7" t="s">
        <v>30</v>
      </c>
      <c r="AW6" s="7" t="s">
        <v>30</v>
      </c>
    </row>
    <row r="7" spans="1:56" ht="14.95" customHeight="1" thickBot="1" x14ac:dyDescent="0.3">
      <c r="A7" s="235" t="s">
        <v>722</v>
      </c>
      <c r="B7" s="182">
        <v>0</v>
      </c>
      <c r="C7" s="384">
        <v>1</v>
      </c>
      <c r="D7" s="388">
        <v>3</v>
      </c>
      <c r="E7" s="238">
        <f t="shared" si="0"/>
        <v>4</v>
      </c>
      <c r="F7" s="239" t="s">
        <v>722</v>
      </c>
      <c r="G7" s="184">
        <v>0</v>
      </c>
      <c r="H7" s="386">
        <v>5</v>
      </c>
      <c r="I7" s="390">
        <v>15</v>
      </c>
      <c r="J7" s="242">
        <f t="shared" si="1"/>
        <v>20</v>
      </c>
      <c r="K7" s="235" t="s">
        <v>748</v>
      </c>
      <c r="L7" s="238">
        <v>1</v>
      </c>
      <c r="M7" s="238">
        <v>1</v>
      </c>
      <c r="N7" s="243">
        <f>SUM(L7/M7)*100</f>
        <v>100</v>
      </c>
      <c r="O7" s="238" t="s">
        <v>30</v>
      </c>
      <c r="P7" s="238" t="s">
        <v>30</v>
      </c>
      <c r="Q7" s="243" t="s">
        <v>30</v>
      </c>
      <c r="R7" s="238">
        <v>1</v>
      </c>
      <c r="S7" s="238">
        <v>1</v>
      </c>
      <c r="T7" s="7" t="s">
        <v>30</v>
      </c>
      <c r="U7" s="7" t="s">
        <v>30</v>
      </c>
      <c r="V7" s="206" t="s">
        <v>30</v>
      </c>
      <c r="W7" s="201" t="s">
        <v>30</v>
      </c>
      <c r="X7" s="7" t="s">
        <v>30</v>
      </c>
      <c r="Y7" s="206" t="s">
        <v>30</v>
      </c>
      <c r="Z7" s="108"/>
      <c r="AA7" s="109"/>
      <c r="AB7" s="327"/>
      <c r="AC7" s="201" t="s">
        <v>30</v>
      </c>
      <c r="AD7" s="7" t="s">
        <v>30</v>
      </c>
      <c r="AE7" s="206" t="s">
        <v>30</v>
      </c>
      <c r="AF7" s="201" t="s">
        <v>30</v>
      </c>
      <c r="AG7" s="7" t="s">
        <v>30</v>
      </c>
      <c r="AH7" s="7" t="s">
        <v>30</v>
      </c>
      <c r="AI7" s="201" t="s">
        <v>30</v>
      </c>
      <c r="AJ7" s="7" t="s">
        <v>30</v>
      </c>
      <c r="AK7" s="7" t="s">
        <v>30</v>
      </c>
      <c r="AL7" s="201" t="s">
        <v>30</v>
      </c>
      <c r="AM7" s="7" t="s">
        <v>30</v>
      </c>
      <c r="AN7" s="7" t="s">
        <v>30</v>
      </c>
      <c r="AO7" s="7" t="s">
        <v>30</v>
      </c>
      <c r="AP7" s="7" t="s">
        <v>30</v>
      </c>
      <c r="AQ7" s="7" t="s">
        <v>30</v>
      </c>
      <c r="AR7" s="7" t="s">
        <v>30</v>
      </c>
      <c r="AS7" s="7" t="s">
        <v>30</v>
      </c>
      <c r="AT7" s="7" t="s">
        <v>30</v>
      </c>
      <c r="AU7" s="7" t="s">
        <v>30</v>
      </c>
      <c r="AV7" s="7" t="s">
        <v>30</v>
      </c>
      <c r="AW7" s="7" t="s">
        <v>30</v>
      </c>
      <c r="AX7" t="s">
        <v>44</v>
      </c>
    </row>
    <row r="8" spans="1:56" ht="14.95" customHeight="1" thickBot="1" x14ac:dyDescent="0.3">
      <c r="A8" s="235" t="s">
        <v>76</v>
      </c>
      <c r="B8" s="182">
        <v>0</v>
      </c>
      <c r="C8" s="384">
        <v>0</v>
      </c>
      <c r="D8" s="388">
        <v>0</v>
      </c>
      <c r="E8" s="238">
        <f t="shared" si="0"/>
        <v>0</v>
      </c>
      <c r="F8" s="239" t="s">
        <v>76</v>
      </c>
      <c r="G8" s="184">
        <v>0</v>
      </c>
      <c r="H8" s="386">
        <v>0</v>
      </c>
      <c r="I8" s="390">
        <v>0</v>
      </c>
      <c r="J8" s="242">
        <f t="shared" si="1"/>
        <v>0</v>
      </c>
      <c r="K8" s="235" t="s">
        <v>940</v>
      </c>
      <c r="L8" s="238" t="s">
        <v>30</v>
      </c>
      <c r="M8" s="238" t="s">
        <v>30</v>
      </c>
      <c r="N8" s="243" t="s">
        <v>30</v>
      </c>
      <c r="O8" s="238" t="s">
        <v>30</v>
      </c>
      <c r="P8" s="238" t="s">
        <v>30</v>
      </c>
      <c r="Q8" s="243" t="s">
        <v>30</v>
      </c>
      <c r="R8" s="238" t="s">
        <v>38</v>
      </c>
      <c r="S8" s="238">
        <v>6</v>
      </c>
      <c r="T8" s="7" t="s">
        <v>30</v>
      </c>
      <c r="U8" s="7" t="s">
        <v>30</v>
      </c>
      <c r="V8" s="206" t="s">
        <v>30</v>
      </c>
      <c r="W8" s="201" t="s">
        <v>30</v>
      </c>
      <c r="X8" s="7" t="s">
        <v>30</v>
      </c>
      <c r="Y8" s="206" t="s">
        <v>30</v>
      </c>
      <c r="Z8" s="108"/>
      <c r="AA8" s="109"/>
      <c r="AB8" s="327"/>
      <c r="AC8" s="201" t="s">
        <v>30</v>
      </c>
      <c r="AD8" s="7" t="s">
        <v>30</v>
      </c>
      <c r="AE8" s="7" t="s">
        <v>30</v>
      </c>
      <c r="AF8" s="201" t="s">
        <v>30</v>
      </c>
      <c r="AG8" s="7" t="s">
        <v>30</v>
      </c>
      <c r="AH8" s="7" t="s">
        <v>30</v>
      </c>
      <c r="AI8" s="201" t="s">
        <v>30</v>
      </c>
      <c r="AJ8" s="7" t="s">
        <v>30</v>
      </c>
      <c r="AK8" s="7" t="s">
        <v>30</v>
      </c>
      <c r="AL8" s="201" t="s">
        <v>30</v>
      </c>
      <c r="AM8" s="7" t="s">
        <v>30</v>
      </c>
      <c r="AN8" s="7" t="s">
        <v>30</v>
      </c>
      <c r="AO8" s="7" t="s">
        <v>30</v>
      </c>
      <c r="AP8" s="7" t="s">
        <v>30</v>
      </c>
      <c r="AQ8" s="7" t="s">
        <v>30</v>
      </c>
      <c r="AR8" s="7" t="s">
        <v>30</v>
      </c>
      <c r="AS8" s="7" t="s">
        <v>30</v>
      </c>
      <c r="AT8" s="7" t="s">
        <v>30</v>
      </c>
      <c r="AU8" s="7" t="s">
        <v>30</v>
      </c>
      <c r="AV8" s="7" t="s">
        <v>30</v>
      </c>
      <c r="AW8" s="7" t="s">
        <v>30</v>
      </c>
    </row>
    <row r="9" spans="1:56" ht="14.95" customHeight="1" thickBot="1" x14ac:dyDescent="0.3">
      <c r="A9" s="235" t="s">
        <v>66</v>
      </c>
      <c r="B9" s="182">
        <v>1</v>
      </c>
      <c r="C9" s="384">
        <v>0</v>
      </c>
      <c r="D9" s="388">
        <v>0</v>
      </c>
      <c r="E9" s="238">
        <f t="shared" si="0"/>
        <v>1</v>
      </c>
      <c r="F9" s="239" t="s">
        <v>66</v>
      </c>
      <c r="G9" s="184">
        <v>5</v>
      </c>
      <c r="H9" s="386">
        <v>0</v>
      </c>
      <c r="I9" s="390">
        <v>0</v>
      </c>
      <c r="J9" s="242">
        <f t="shared" si="1"/>
        <v>5</v>
      </c>
      <c r="K9" s="235" t="s">
        <v>1187</v>
      </c>
      <c r="L9" s="238" t="s">
        <v>30</v>
      </c>
      <c r="M9" s="238" t="s">
        <v>30</v>
      </c>
      <c r="N9" s="243" t="s">
        <v>30</v>
      </c>
      <c r="O9" s="238" t="s">
        <v>30</v>
      </c>
      <c r="P9" s="238" t="s">
        <v>30</v>
      </c>
      <c r="Q9" s="243" t="s">
        <v>30</v>
      </c>
      <c r="R9" s="238">
        <v>2</v>
      </c>
      <c r="S9" s="238">
        <v>2</v>
      </c>
      <c r="T9" s="7" t="s">
        <v>30</v>
      </c>
      <c r="U9" s="7" t="s">
        <v>30</v>
      </c>
      <c r="V9" s="206" t="s">
        <v>30</v>
      </c>
      <c r="W9" s="201" t="s">
        <v>30</v>
      </c>
      <c r="X9" s="7" t="s">
        <v>30</v>
      </c>
      <c r="Y9" s="206" t="s">
        <v>30</v>
      </c>
      <c r="Z9" s="108"/>
      <c r="AA9" s="109"/>
      <c r="AB9" s="327"/>
      <c r="AC9" s="201">
        <v>1</v>
      </c>
      <c r="AD9" s="7">
        <v>1</v>
      </c>
      <c r="AE9" s="7">
        <f>SUM(AC9/AD9)*100</f>
        <v>100</v>
      </c>
      <c r="AF9" s="201" t="s">
        <v>30</v>
      </c>
      <c r="AG9" s="7" t="s">
        <v>30</v>
      </c>
      <c r="AH9" s="7" t="s">
        <v>30</v>
      </c>
      <c r="AI9" s="201" t="s">
        <v>30</v>
      </c>
      <c r="AJ9" s="7" t="s">
        <v>30</v>
      </c>
      <c r="AK9" s="7" t="s">
        <v>30</v>
      </c>
      <c r="AL9" s="6">
        <v>1</v>
      </c>
      <c r="AM9" s="6">
        <v>1</v>
      </c>
      <c r="AN9" s="7">
        <v>100</v>
      </c>
      <c r="AO9" s="7">
        <v>22</v>
      </c>
      <c r="AP9" s="7">
        <v>40</v>
      </c>
      <c r="AQ9" s="7">
        <v>55.000000000000007</v>
      </c>
      <c r="AR9" s="7" t="s">
        <v>30</v>
      </c>
      <c r="AS9" s="7" t="s">
        <v>30</v>
      </c>
      <c r="AT9" s="7" t="s">
        <v>30</v>
      </c>
      <c r="AU9" s="7" t="s">
        <v>30</v>
      </c>
      <c r="AV9" s="7" t="s">
        <v>30</v>
      </c>
      <c r="AW9" s="7" t="s">
        <v>30</v>
      </c>
    </row>
    <row r="10" spans="1:56" ht="14.95" customHeight="1" thickBot="1" x14ac:dyDescent="0.3">
      <c r="A10" s="235" t="s">
        <v>934</v>
      </c>
      <c r="B10" s="182">
        <v>7</v>
      </c>
      <c r="C10" s="384">
        <v>2</v>
      </c>
      <c r="D10" s="388">
        <v>0</v>
      </c>
      <c r="E10" s="238">
        <f t="shared" si="0"/>
        <v>9</v>
      </c>
      <c r="F10" s="239" t="s">
        <v>934</v>
      </c>
      <c r="G10" s="184">
        <v>35</v>
      </c>
      <c r="H10" s="386">
        <v>10</v>
      </c>
      <c r="I10" s="390">
        <v>0</v>
      </c>
      <c r="J10" s="242">
        <f t="shared" si="1"/>
        <v>45</v>
      </c>
      <c r="K10" s="235" t="s">
        <v>534</v>
      </c>
      <c r="L10" s="238">
        <v>0</v>
      </c>
      <c r="M10" s="238">
        <v>1</v>
      </c>
      <c r="N10" s="243">
        <f t="shared" ref="N10" si="2">SUM(L10/M10)*100</f>
        <v>0</v>
      </c>
      <c r="O10" s="238" t="s">
        <v>30</v>
      </c>
      <c r="P10" s="238" t="s">
        <v>30</v>
      </c>
      <c r="Q10" s="243" t="s">
        <v>30</v>
      </c>
      <c r="R10" s="238">
        <v>-1</v>
      </c>
      <c r="S10" s="238">
        <v>-1</v>
      </c>
      <c r="T10" s="7" t="s">
        <v>30</v>
      </c>
      <c r="U10" s="7" t="s">
        <v>30</v>
      </c>
      <c r="V10" s="206" t="s">
        <v>30</v>
      </c>
      <c r="W10" s="201">
        <v>1</v>
      </c>
      <c r="X10" s="7">
        <v>1</v>
      </c>
      <c r="Y10" s="206">
        <f>(W10/X10)*100</f>
        <v>100</v>
      </c>
      <c r="Z10" s="108"/>
      <c r="AA10" s="109"/>
      <c r="AB10" s="327"/>
      <c r="AC10" s="201" t="s">
        <v>30</v>
      </c>
      <c r="AD10" s="7" t="s">
        <v>30</v>
      </c>
      <c r="AE10" s="7" t="s">
        <v>30</v>
      </c>
      <c r="AF10" s="201" t="s">
        <v>30</v>
      </c>
      <c r="AG10" s="7" t="s">
        <v>30</v>
      </c>
      <c r="AH10" s="7" t="s">
        <v>30</v>
      </c>
      <c r="AI10" s="201" t="s">
        <v>30</v>
      </c>
      <c r="AJ10" s="7" t="s">
        <v>30</v>
      </c>
      <c r="AK10" s="7" t="s">
        <v>30</v>
      </c>
      <c r="AL10" s="201" t="s">
        <v>30</v>
      </c>
      <c r="AM10" s="7" t="s">
        <v>30</v>
      </c>
      <c r="AN10" s="7" t="s">
        <v>30</v>
      </c>
      <c r="AO10" s="7" t="s">
        <v>30</v>
      </c>
      <c r="AP10" s="7" t="s">
        <v>30</v>
      </c>
      <c r="AQ10" s="7" t="s">
        <v>30</v>
      </c>
      <c r="AR10" s="7" t="s">
        <v>30</v>
      </c>
      <c r="AS10" s="7" t="s">
        <v>30</v>
      </c>
      <c r="AT10" s="7" t="s">
        <v>30</v>
      </c>
      <c r="AU10" s="7" t="s">
        <v>30</v>
      </c>
      <c r="AV10" s="7" t="s">
        <v>30</v>
      </c>
      <c r="AW10" s="7" t="s">
        <v>30</v>
      </c>
    </row>
    <row r="11" spans="1:56" ht="14.95" customHeight="1" thickBot="1" x14ac:dyDescent="0.3">
      <c r="A11" s="235" t="s">
        <v>816</v>
      </c>
      <c r="B11" s="182">
        <v>0</v>
      </c>
      <c r="C11" s="384">
        <v>0</v>
      </c>
      <c r="D11" s="388">
        <v>1</v>
      </c>
      <c r="E11" s="238">
        <f t="shared" si="0"/>
        <v>1</v>
      </c>
      <c r="F11" s="239" t="s">
        <v>816</v>
      </c>
      <c r="G11" s="184">
        <v>0</v>
      </c>
      <c r="H11" s="386">
        <v>0</v>
      </c>
      <c r="I11" s="390">
        <v>5</v>
      </c>
      <c r="J11" s="242">
        <f t="shared" si="1"/>
        <v>5</v>
      </c>
      <c r="K11" s="235" t="s">
        <v>20</v>
      </c>
      <c r="L11" s="238" t="s">
        <v>30</v>
      </c>
      <c r="M11" s="238" t="s">
        <v>30</v>
      </c>
      <c r="N11" s="243" t="s">
        <v>30</v>
      </c>
      <c r="O11" s="238" t="s">
        <v>30</v>
      </c>
      <c r="P11" s="238" t="s">
        <v>30</v>
      </c>
      <c r="Q11" s="243" t="s">
        <v>30</v>
      </c>
      <c r="R11" s="238">
        <v>-1</v>
      </c>
      <c r="S11" s="238">
        <v>-1</v>
      </c>
      <c r="T11" s="7" t="s">
        <v>30</v>
      </c>
      <c r="U11" s="7" t="s">
        <v>30</v>
      </c>
      <c r="V11" s="206" t="s">
        <v>30</v>
      </c>
      <c r="W11" s="201" t="s">
        <v>30</v>
      </c>
      <c r="X11" s="7" t="s">
        <v>30</v>
      </c>
      <c r="Y11" s="206" t="s">
        <v>30</v>
      </c>
      <c r="Z11" s="108"/>
      <c r="AA11" s="109"/>
      <c r="AB11" s="327"/>
      <c r="AC11" s="201" t="s">
        <v>30</v>
      </c>
      <c r="AD11" s="7" t="s">
        <v>30</v>
      </c>
      <c r="AE11" s="7" t="s">
        <v>30</v>
      </c>
      <c r="AF11" s="201" t="s">
        <v>30</v>
      </c>
      <c r="AG11" s="7" t="s">
        <v>30</v>
      </c>
      <c r="AH11" s="7" t="s">
        <v>30</v>
      </c>
      <c r="AI11" s="201" t="s">
        <v>30</v>
      </c>
      <c r="AJ11" s="7" t="s">
        <v>30</v>
      </c>
      <c r="AK11" s="7" t="s">
        <v>30</v>
      </c>
      <c r="AL11" s="201" t="s">
        <v>30</v>
      </c>
      <c r="AM11" s="7" t="s">
        <v>30</v>
      </c>
      <c r="AN11" s="7" t="s">
        <v>30</v>
      </c>
      <c r="AO11" s="7" t="s">
        <v>30</v>
      </c>
      <c r="AP11" s="7" t="s">
        <v>30</v>
      </c>
      <c r="AQ11" s="7" t="s">
        <v>30</v>
      </c>
      <c r="AR11" s="7" t="s">
        <v>30</v>
      </c>
      <c r="AS11" s="7" t="s">
        <v>30</v>
      </c>
      <c r="AT11" s="7" t="s">
        <v>30</v>
      </c>
      <c r="AU11" s="7">
        <v>0</v>
      </c>
      <c r="AV11" s="7">
        <v>1</v>
      </c>
      <c r="AW11" s="7">
        <v>0</v>
      </c>
    </row>
    <row r="12" spans="1:56" ht="14.95" customHeight="1" thickBot="1" x14ac:dyDescent="0.3">
      <c r="A12" s="235" t="s">
        <v>532</v>
      </c>
      <c r="B12" s="182">
        <v>2</v>
      </c>
      <c r="C12" s="384">
        <v>0</v>
      </c>
      <c r="D12" s="388">
        <v>0</v>
      </c>
      <c r="E12" s="238">
        <f t="shared" si="0"/>
        <v>2</v>
      </c>
      <c r="F12" s="240" t="s">
        <v>532</v>
      </c>
      <c r="G12" s="184">
        <v>220</v>
      </c>
      <c r="H12" s="386">
        <v>24</v>
      </c>
      <c r="I12" s="390">
        <v>0</v>
      </c>
      <c r="J12" s="242">
        <f t="shared" si="1"/>
        <v>244</v>
      </c>
      <c r="K12" s="26"/>
      <c r="AC12" s="214"/>
      <c r="AD12" s="214"/>
    </row>
    <row r="13" spans="1:56" ht="14.95" customHeight="1" thickBot="1" x14ac:dyDescent="0.3">
      <c r="A13" s="235" t="s">
        <v>117</v>
      </c>
      <c r="B13" s="182">
        <v>1</v>
      </c>
      <c r="C13" s="384">
        <v>1</v>
      </c>
      <c r="D13" s="388">
        <v>0</v>
      </c>
      <c r="E13" s="238">
        <f t="shared" si="0"/>
        <v>2</v>
      </c>
      <c r="F13" s="240" t="s">
        <v>117</v>
      </c>
      <c r="G13" s="184">
        <v>5</v>
      </c>
      <c r="H13" s="386">
        <v>5</v>
      </c>
      <c r="I13" s="390">
        <v>0</v>
      </c>
      <c r="J13" s="242">
        <f t="shared" si="1"/>
        <v>10</v>
      </c>
      <c r="K13" s="538" t="s">
        <v>510</v>
      </c>
      <c r="L13" s="526" t="s">
        <v>29</v>
      </c>
      <c r="M13" s="527"/>
      <c r="N13" s="528"/>
      <c r="O13" s="520" t="s">
        <v>634</v>
      </c>
      <c r="P13" s="521"/>
      <c r="Q13" s="522"/>
      <c r="R13" s="520" t="s">
        <v>863</v>
      </c>
      <c r="S13" s="521"/>
      <c r="T13" s="522"/>
      <c r="U13" s="520" t="s">
        <v>621</v>
      </c>
      <c r="V13" s="521"/>
      <c r="W13" s="522"/>
      <c r="X13" s="325"/>
      <c r="Y13" s="214"/>
      <c r="Z13" s="214"/>
      <c r="AB13" s="276"/>
      <c r="AC13" s="520" t="s">
        <v>448</v>
      </c>
      <c r="AD13" s="521"/>
      <c r="AE13" s="522"/>
      <c r="AF13" s="520" t="s">
        <v>178</v>
      </c>
      <c r="AG13" s="521"/>
      <c r="AH13" s="522"/>
      <c r="AI13" s="520" t="s">
        <v>122</v>
      </c>
      <c r="AJ13" s="521"/>
      <c r="AK13" s="522"/>
      <c r="AL13" s="520" t="s">
        <v>113</v>
      </c>
      <c r="AM13" s="521"/>
      <c r="AN13" s="522"/>
      <c r="AO13" s="520" t="s">
        <v>449</v>
      </c>
      <c r="AP13" s="521"/>
      <c r="AQ13" s="522"/>
      <c r="AR13" s="73"/>
    </row>
    <row r="14" spans="1:56" ht="14.95" customHeight="1" thickBot="1" x14ac:dyDescent="0.3">
      <c r="A14" s="235" t="s">
        <v>628</v>
      </c>
      <c r="B14" s="182">
        <v>0</v>
      </c>
      <c r="C14" s="384">
        <v>0</v>
      </c>
      <c r="D14" s="388">
        <v>1</v>
      </c>
      <c r="E14" s="238">
        <f t="shared" si="0"/>
        <v>1</v>
      </c>
      <c r="F14" s="240" t="s">
        <v>628</v>
      </c>
      <c r="G14" s="184">
        <v>0</v>
      </c>
      <c r="H14" s="386">
        <v>0</v>
      </c>
      <c r="I14" s="390">
        <v>5</v>
      </c>
      <c r="J14" s="242">
        <f t="shared" si="1"/>
        <v>5</v>
      </c>
      <c r="K14" s="539"/>
      <c r="L14" s="529"/>
      <c r="M14" s="530"/>
      <c r="N14" s="531"/>
      <c r="O14" s="523"/>
      <c r="P14" s="524"/>
      <c r="Q14" s="525"/>
      <c r="R14" s="523"/>
      <c r="S14" s="524"/>
      <c r="T14" s="525"/>
      <c r="U14" s="523"/>
      <c r="V14" s="524"/>
      <c r="W14" s="525"/>
      <c r="X14" s="325"/>
      <c r="Y14" s="214"/>
      <c r="Z14" s="214"/>
      <c r="AB14" s="276"/>
      <c r="AC14" s="523"/>
      <c r="AD14" s="524"/>
      <c r="AE14" s="525"/>
      <c r="AF14" s="523"/>
      <c r="AG14" s="524"/>
      <c r="AH14" s="525"/>
      <c r="AI14" s="523"/>
      <c r="AJ14" s="524"/>
      <c r="AK14" s="525"/>
      <c r="AL14" s="523"/>
      <c r="AM14" s="524"/>
      <c r="AN14" s="525"/>
      <c r="AO14" s="523"/>
      <c r="AP14" s="524"/>
      <c r="AQ14" s="525"/>
      <c r="AR14" s="73"/>
    </row>
    <row r="15" spans="1:56" ht="14.95" customHeight="1" thickBot="1" x14ac:dyDescent="0.3">
      <c r="A15" s="235" t="s">
        <v>936</v>
      </c>
      <c r="B15" s="182">
        <v>1</v>
      </c>
      <c r="C15" s="384">
        <v>1</v>
      </c>
      <c r="D15" s="388">
        <v>2</v>
      </c>
      <c r="E15" s="238">
        <f t="shared" si="0"/>
        <v>4</v>
      </c>
      <c r="F15" s="240" t="s">
        <v>936</v>
      </c>
      <c r="G15" s="184">
        <v>8</v>
      </c>
      <c r="H15" s="386">
        <v>12</v>
      </c>
      <c r="I15" s="390">
        <v>43</v>
      </c>
      <c r="J15" s="242">
        <f t="shared" si="1"/>
        <v>63</v>
      </c>
      <c r="K15" s="395" t="s">
        <v>44</v>
      </c>
      <c r="L15" s="3" t="s">
        <v>107</v>
      </c>
      <c r="M15" s="3" t="s">
        <v>23</v>
      </c>
      <c r="N15" s="3" t="s">
        <v>24</v>
      </c>
      <c r="O15" s="7" t="s">
        <v>107</v>
      </c>
      <c r="P15" s="7" t="s">
        <v>23</v>
      </c>
      <c r="Q15" s="7" t="s">
        <v>24</v>
      </c>
      <c r="R15" s="7" t="s">
        <v>107</v>
      </c>
      <c r="S15" s="7" t="s">
        <v>23</v>
      </c>
      <c r="T15" s="7" t="s">
        <v>24</v>
      </c>
      <c r="U15" s="201" t="s">
        <v>107</v>
      </c>
      <c r="V15" s="7" t="s">
        <v>23</v>
      </c>
      <c r="W15" s="7" t="s">
        <v>24</v>
      </c>
      <c r="X15" s="107"/>
      <c r="AB15" s="276"/>
      <c r="AC15" s="201" t="s">
        <v>107</v>
      </c>
      <c r="AD15" s="7" t="s">
        <v>23</v>
      </c>
      <c r="AE15" s="7" t="s">
        <v>24</v>
      </c>
      <c r="AF15" s="201" t="s">
        <v>107</v>
      </c>
      <c r="AG15" s="7" t="s">
        <v>23</v>
      </c>
      <c r="AH15" s="7" t="s">
        <v>24</v>
      </c>
      <c r="AI15" s="201" t="s">
        <v>107</v>
      </c>
      <c r="AJ15" s="7" t="s">
        <v>23</v>
      </c>
      <c r="AK15" s="7" t="s">
        <v>24</v>
      </c>
      <c r="AL15" s="201" t="s">
        <v>107</v>
      </c>
      <c r="AM15" s="7" t="s">
        <v>23</v>
      </c>
      <c r="AN15" s="7" t="s">
        <v>24</v>
      </c>
      <c r="AO15" s="6" t="s">
        <v>107</v>
      </c>
      <c r="AP15" s="7" t="s">
        <v>23</v>
      </c>
      <c r="AQ15" s="7" t="s">
        <v>24</v>
      </c>
      <c r="AR15" s="73"/>
    </row>
    <row r="16" spans="1:56" ht="14.95" customHeight="1" thickBot="1" x14ac:dyDescent="0.3">
      <c r="A16" s="235" t="s">
        <v>579</v>
      </c>
      <c r="B16" s="182">
        <v>0</v>
      </c>
      <c r="C16" s="384">
        <v>0</v>
      </c>
      <c r="D16" s="388">
        <v>0</v>
      </c>
      <c r="E16" s="238">
        <f t="shared" si="0"/>
        <v>0</v>
      </c>
      <c r="F16" s="240" t="s">
        <v>579</v>
      </c>
      <c r="G16" s="184">
        <v>0</v>
      </c>
      <c r="H16" s="386">
        <v>0</v>
      </c>
      <c r="I16" s="390">
        <v>0</v>
      </c>
      <c r="J16" s="242">
        <f t="shared" si="1"/>
        <v>0</v>
      </c>
      <c r="K16" s="302" t="s">
        <v>954</v>
      </c>
      <c r="L16" s="238">
        <v>3</v>
      </c>
      <c r="M16" s="238">
        <v>9</v>
      </c>
      <c r="N16" s="243">
        <f>SUM(L16/M16)*100</f>
        <v>33.333333333333329</v>
      </c>
      <c r="O16" s="7" t="s">
        <v>30</v>
      </c>
      <c r="P16" s="7" t="s">
        <v>30</v>
      </c>
      <c r="Q16" s="7" t="s">
        <v>30</v>
      </c>
      <c r="R16" s="201">
        <v>14</v>
      </c>
      <c r="S16" s="7">
        <v>18</v>
      </c>
      <c r="T16" s="7">
        <v>78</v>
      </c>
      <c r="U16" s="201">
        <v>9</v>
      </c>
      <c r="V16" s="7">
        <v>12</v>
      </c>
      <c r="W16" s="7">
        <v>75</v>
      </c>
      <c r="X16" s="107"/>
      <c r="AB16" s="276"/>
      <c r="AC16" s="201">
        <v>8</v>
      </c>
      <c r="AD16" s="7">
        <v>8</v>
      </c>
      <c r="AE16" s="7">
        <v>100</v>
      </c>
      <c r="AF16" s="201">
        <v>5</v>
      </c>
      <c r="AG16" s="7">
        <v>8</v>
      </c>
      <c r="AH16" s="7">
        <v>63</v>
      </c>
      <c r="AI16" s="201">
        <v>15</v>
      </c>
      <c r="AJ16" s="7">
        <v>19</v>
      </c>
      <c r="AK16" s="7">
        <v>79</v>
      </c>
      <c r="AL16" s="201">
        <v>6</v>
      </c>
      <c r="AM16" s="7">
        <v>9</v>
      </c>
      <c r="AN16" s="7">
        <v>67</v>
      </c>
      <c r="AO16" s="201" t="s">
        <v>30</v>
      </c>
      <c r="AP16" s="7" t="s">
        <v>30</v>
      </c>
      <c r="AQ16" s="7" t="s">
        <v>30</v>
      </c>
      <c r="AR16" s="73"/>
    </row>
    <row r="17" spans="1:55" ht="14.95" customHeight="1" thickBot="1" x14ac:dyDescent="0.3">
      <c r="A17" s="235" t="s">
        <v>664</v>
      </c>
      <c r="B17" s="182">
        <v>0</v>
      </c>
      <c r="C17" s="384">
        <v>1</v>
      </c>
      <c r="D17" s="388">
        <v>0</v>
      </c>
      <c r="E17" s="238">
        <f t="shared" si="0"/>
        <v>1</v>
      </c>
      <c r="F17" s="240" t="s">
        <v>664</v>
      </c>
      <c r="G17" s="184">
        <v>0</v>
      </c>
      <c r="H17" s="386">
        <v>5</v>
      </c>
      <c r="I17" s="390">
        <v>0</v>
      </c>
      <c r="J17" s="242">
        <f t="shared" si="1"/>
        <v>5</v>
      </c>
      <c r="K17" s="235" t="s">
        <v>533</v>
      </c>
      <c r="L17" s="238">
        <v>10</v>
      </c>
      <c r="M17" s="238">
        <v>15</v>
      </c>
      <c r="N17" s="243">
        <f>SUM(L17/M17)*100</f>
        <v>66.666666666666657</v>
      </c>
      <c r="O17" s="7" t="s">
        <v>30</v>
      </c>
      <c r="P17" s="7" t="s">
        <v>30</v>
      </c>
      <c r="Q17" s="206" t="s">
        <v>30</v>
      </c>
      <c r="R17" s="7">
        <v>16</v>
      </c>
      <c r="S17" s="7">
        <v>19</v>
      </c>
      <c r="T17" s="206">
        <f>SUM(R17/S17)*100</f>
        <v>84.210526315789465</v>
      </c>
      <c r="U17" s="201">
        <v>17</v>
      </c>
      <c r="V17" s="7">
        <v>21</v>
      </c>
      <c r="W17" s="206">
        <f>SUM(U17/V17)*100</f>
        <v>80.952380952380949</v>
      </c>
      <c r="X17" s="107"/>
      <c r="AB17" s="276"/>
      <c r="AC17" s="201">
        <v>21</v>
      </c>
      <c r="AD17" s="7">
        <v>24</v>
      </c>
      <c r="AE17" s="206">
        <f>SUM(AC17/AD17)*100</f>
        <v>87.5</v>
      </c>
      <c r="AF17" s="201">
        <v>20</v>
      </c>
      <c r="AG17" s="7">
        <v>25</v>
      </c>
      <c r="AH17" s="206">
        <f>SUM(AF17/AG17)*100</f>
        <v>80</v>
      </c>
      <c r="AI17" s="6">
        <v>15</v>
      </c>
      <c r="AJ17" s="6">
        <v>21</v>
      </c>
      <c r="AK17" s="211">
        <f>SUM(AI17/AJ17)*100</f>
        <v>71.428571428571431</v>
      </c>
      <c r="AL17" s="6">
        <v>27</v>
      </c>
      <c r="AM17" s="6">
        <v>34</v>
      </c>
      <c r="AN17" s="211">
        <f>SUM(AL17/AM17)*100</f>
        <v>79.411764705882348</v>
      </c>
      <c r="AO17" s="6">
        <v>27</v>
      </c>
      <c r="AP17" s="205">
        <v>40</v>
      </c>
      <c r="AQ17" s="204">
        <f>SUM(AO17/AP17)*100</f>
        <v>67.5</v>
      </c>
      <c r="AR17" s="73"/>
    </row>
    <row r="18" spans="1:55" ht="14.95" customHeight="1" thickBot="1" x14ac:dyDescent="0.3">
      <c r="A18" s="235" t="s">
        <v>938</v>
      </c>
      <c r="B18" s="182">
        <v>0</v>
      </c>
      <c r="C18" s="384">
        <v>0</v>
      </c>
      <c r="D18" s="388">
        <v>0</v>
      </c>
      <c r="E18" s="238">
        <f t="shared" si="0"/>
        <v>0</v>
      </c>
      <c r="F18" s="240" t="s">
        <v>938</v>
      </c>
      <c r="G18" s="184">
        <v>0</v>
      </c>
      <c r="H18" s="386">
        <v>0</v>
      </c>
      <c r="I18" s="390">
        <v>0</v>
      </c>
      <c r="J18" s="242">
        <f t="shared" si="1"/>
        <v>0</v>
      </c>
      <c r="K18" s="234" t="s">
        <v>936</v>
      </c>
      <c r="L18" s="475">
        <v>3</v>
      </c>
      <c r="M18" s="475">
        <v>3</v>
      </c>
      <c r="N18" s="476">
        <f>SUM(L18/M18)*100</f>
        <v>100</v>
      </c>
      <c r="O18" s="7" t="s">
        <v>30</v>
      </c>
      <c r="P18" s="7" t="s">
        <v>30</v>
      </c>
      <c r="Q18" s="206" t="s">
        <v>30</v>
      </c>
      <c r="R18" s="7" t="s">
        <v>30</v>
      </c>
      <c r="S18" s="7" t="s">
        <v>30</v>
      </c>
      <c r="T18" s="206" t="s">
        <v>30</v>
      </c>
      <c r="U18" s="7" t="s">
        <v>30</v>
      </c>
      <c r="V18" s="7" t="s">
        <v>30</v>
      </c>
      <c r="W18" s="206" t="s">
        <v>30</v>
      </c>
      <c r="AC18" s="6" t="s">
        <v>30</v>
      </c>
      <c r="AD18" s="7" t="s">
        <v>30</v>
      </c>
      <c r="AE18" s="206" t="s">
        <v>30</v>
      </c>
      <c r="AF18" s="7" t="s">
        <v>30</v>
      </c>
      <c r="AG18" s="7" t="s">
        <v>30</v>
      </c>
      <c r="AH18" s="206" t="s">
        <v>30</v>
      </c>
      <c r="AI18" s="7" t="s">
        <v>30</v>
      </c>
      <c r="AJ18" s="7" t="s">
        <v>30</v>
      </c>
      <c r="AK18" s="206" t="s">
        <v>30</v>
      </c>
      <c r="AL18" s="7" t="s">
        <v>30</v>
      </c>
      <c r="AM18" s="7" t="s">
        <v>30</v>
      </c>
      <c r="AN18" s="206" t="s">
        <v>30</v>
      </c>
      <c r="AO18" s="7" t="s">
        <v>30</v>
      </c>
      <c r="AP18" s="7" t="s">
        <v>30</v>
      </c>
      <c r="AQ18" s="206" t="s">
        <v>30</v>
      </c>
      <c r="AR18" s="73"/>
    </row>
    <row r="19" spans="1:55" ht="14.95" customHeight="1" thickBot="1" x14ac:dyDescent="0.3">
      <c r="A19" s="235" t="s">
        <v>748</v>
      </c>
      <c r="B19" s="182">
        <v>1</v>
      </c>
      <c r="C19" s="384">
        <v>0</v>
      </c>
      <c r="D19" s="388">
        <v>0</v>
      </c>
      <c r="E19" s="238">
        <f t="shared" si="0"/>
        <v>1</v>
      </c>
      <c r="F19" s="240" t="s">
        <v>748</v>
      </c>
      <c r="G19" s="184">
        <v>7</v>
      </c>
      <c r="H19" s="386">
        <v>0</v>
      </c>
      <c r="I19" s="390">
        <v>0</v>
      </c>
      <c r="J19" s="242">
        <f t="shared" si="1"/>
        <v>7</v>
      </c>
      <c r="O19" s="73"/>
      <c r="P19" s="73"/>
      <c r="Q19" s="73"/>
      <c r="R19" s="73"/>
      <c r="S19" s="73"/>
      <c r="T19" s="73"/>
      <c r="U19" s="73"/>
      <c r="V19" s="73"/>
      <c r="W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</row>
    <row r="20" spans="1:55" ht="14.95" customHeight="1" thickBot="1" x14ac:dyDescent="0.3">
      <c r="A20" s="235" t="s">
        <v>940</v>
      </c>
      <c r="B20" s="182">
        <v>0</v>
      </c>
      <c r="C20" s="384">
        <v>0</v>
      </c>
      <c r="D20" s="388">
        <v>0</v>
      </c>
      <c r="E20" s="238">
        <f t="shared" si="0"/>
        <v>0</v>
      </c>
      <c r="F20" s="240" t="s">
        <v>940</v>
      </c>
      <c r="G20" s="184">
        <v>0</v>
      </c>
      <c r="H20" s="386">
        <v>0</v>
      </c>
      <c r="I20" s="390">
        <v>29</v>
      </c>
      <c r="J20" s="242">
        <f t="shared" si="1"/>
        <v>29</v>
      </c>
      <c r="K20" s="542" t="s">
        <v>511</v>
      </c>
      <c r="L20" s="520" t="s">
        <v>29</v>
      </c>
      <c r="M20" s="521"/>
      <c r="N20" s="522"/>
      <c r="O20" s="520" t="s">
        <v>634</v>
      </c>
      <c r="P20" s="521"/>
      <c r="Q20" s="522"/>
      <c r="R20" s="520" t="s">
        <v>863</v>
      </c>
      <c r="S20" s="521"/>
      <c r="T20" s="522"/>
      <c r="U20" s="520" t="s">
        <v>621</v>
      </c>
      <c r="V20" s="521"/>
      <c r="W20" s="522"/>
      <c r="X20" s="325"/>
      <c r="Y20" s="214"/>
      <c r="Z20" s="214"/>
      <c r="AB20" s="276"/>
      <c r="AC20" s="520" t="s">
        <v>448</v>
      </c>
      <c r="AD20" s="521"/>
      <c r="AE20" s="522"/>
      <c r="AF20" s="520" t="s">
        <v>178</v>
      </c>
      <c r="AG20" s="521"/>
      <c r="AH20" s="522"/>
      <c r="AI20" s="520" t="s">
        <v>122</v>
      </c>
      <c r="AJ20" s="521"/>
      <c r="AK20" s="522"/>
      <c r="AL20" s="520" t="s">
        <v>113</v>
      </c>
      <c r="AM20" s="521"/>
      <c r="AN20" s="522"/>
      <c r="AO20" s="520" t="s">
        <v>85</v>
      </c>
      <c r="AP20" s="521"/>
      <c r="AQ20" s="522"/>
      <c r="AR20" s="73"/>
    </row>
    <row r="21" spans="1:55" ht="14.95" customHeight="1" thickBot="1" x14ac:dyDescent="0.3">
      <c r="A21" s="235" t="s">
        <v>536</v>
      </c>
      <c r="B21" s="182">
        <v>0</v>
      </c>
      <c r="C21" s="384">
        <v>0</v>
      </c>
      <c r="D21" s="388">
        <v>0</v>
      </c>
      <c r="E21" s="238">
        <f t="shared" si="0"/>
        <v>0</v>
      </c>
      <c r="F21" s="240" t="s">
        <v>536</v>
      </c>
      <c r="G21" s="184">
        <v>0</v>
      </c>
      <c r="H21" s="386">
        <v>0</v>
      </c>
      <c r="I21" s="390">
        <v>0</v>
      </c>
      <c r="J21" s="242">
        <f t="shared" si="1"/>
        <v>0</v>
      </c>
      <c r="K21" s="543"/>
      <c r="L21" s="523"/>
      <c r="M21" s="524"/>
      <c r="N21" s="525"/>
      <c r="O21" s="523"/>
      <c r="P21" s="524"/>
      <c r="Q21" s="525"/>
      <c r="R21" s="523"/>
      <c r="S21" s="524"/>
      <c r="T21" s="525"/>
      <c r="U21" s="523"/>
      <c r="V21" s="524"/>
      <c r="W21" s="525"/>
      <c r="X21" s="325"/>
      <c r="Y21" s="214"/>
      <c r="Z21" s="214"/>
      <c r="AB21" s="276"/>
      <c r="AC21" s="523"/>
      <c r="AD21" s="524"/>
      <c r="AE21" s="525"/>
      <c r="AF21" s="523"/>
      <c r="AG21" s="524"/>
      <c r="AH21" s="525"/>
      <c r="AI21" s="523"/>
      <c r="AJ21" s="524"/>
      <c r="AK21" s="525"/>
      <c r="AL21" s="523"/>
      <c r="AM21" s="524"/>
      <c r="AN21" s="525"/>
      <c r="AO21" s="523"/>
      <c r="AP21" s="524"/>
      <c r="AQ21" s="525"/>
      <c r="AR21" s="73"/>
    </row>
    <row r="22" spans="1:55" ht="14.95" customHeight="1" thickBot="1" x14ac:dyDescent="0.3">
      <c r="A22" s="235" t="s">
        <v>587</v>
      </c>
      <c r="B22" s="182">
        <v>6</v>
      </c>
      <c r="C22" s="384">
        <v>1</v>
      </c>
      <c r="D22" s="388">
        <v>0</v>
      </c>
      <c r="E22" s="238">
        <f t="shared" si="0"/>
        <v>7</v>
      </c>
      <c r="F22" s="240" t="s">
        <v>587</v>
      </c>
      <c r="G22" s="184">
        <v>30</v>
      </c>
      <c r="H22" s="386">
        <v>5</v>
      </c>
      <c r="I22" s="390">
        <v>0</v>
      </c>
      <c r="J22" s="242">
        <f t="shared" si="1"/>
        <v>35</v>
      </c>
      <c r="K22" s="466" t="s">
        <v>44</v>
      </c>
      <c r="L22" s="7" t="s">
        <v>107</v>
      </c>
      <c r="M22" s="7" t="s">
        <v>23</v>
      </c>
      <c r="N22" s="7" t="s">
        <v>24</v>
      </c>
      <c r="O22" s="7" t="s">
        <v>107</v>
      </c>
      <c r="P22" s="7" t="s">
        <v>23</v>
      </c>
      <c r="Q22" s="7" t="s">
        <v>24</v>
      </c>
      <c r="R22" s="7" t="s">
        <v>107</v>
      </c>
      <c r="S22" s="7" t="s">
        <v>23</v>
      </c>
      <c r="T22" s="7" t="s">
        <v>24</v>
      </c>
      <c r="U22" s="201" t="s">
        <v>107</v>
      </c>
      <c r="V22" s="7" t="s">
        <v>23</v>
      </c>
      <c r="W22" s="7" t="s">
        <v>24</v>
      </c>
      <c r="X22" s="107"/>
      <c r="AB22" s="276"/>
      <c r="AC22" s="201" t="s">
        <v>107</v>
      </c>
      <c r="AD22" s="7" t="s">
        <v>23</v>
      </c>
      <c r="AE22" s="7" t="s">
        <v>24</v>
      </c>
      <c r="AF22" s="201" t="s">
        <v>107</v>
      </c>
      <c r="AG22" s="7" t="s">
        <v>23</v>
      </c>
      <c r="AH22" s="7" t="s">
        <v>24</v>
      </c>
      <c r="AI22" s="201" t="s">
        <v>107</v>
      </c>
      <c r="AJ22" s="7" t="s">
        <v>23</v>
      </c>
      <c r="AK22" s="7" t="s">
        <v>24</v>
      </c>
      <c r="AL22" s="201" t="s">
        <v>107</v>
      </c>
      <c r="AM22" s="7" t="s">
        <v>23</v>
      </c>
      <c r="AN22" s="7" t="s">
        <v>24</v>
      </c>
      <c r="AO22" s="6" t="s">
        <v>107</v>
      </c>
      <c r="AP22" s="7" t="s">
        <v>23</v>
      </c>
      <c r="AQ22" s="7" t="s">
        <v>24</v>
      </c>
      <c r="AR22" s="73"/>
    </row>
    <row r="23" spans="1:55" ht="14.95" customHeight="1" thickBot="1" x14ac:dyDescent="0.3">
      <c r="A23" s="235" t="s">
        <v>777</v>
      </c>
      <c r="B23" s="182">
        <v>1</v>
      </c>
      <c r="C23" s="384">
        <v>0</v>
      </c>
      <c r="D23" s="388">
        <v>0</v>
      </c>
      <c r="E23" s="238">
        <f t="shared" si="0"/>
        <v>1</v>
      </c>
      <c r="F23" s="240" t="s">
        <v>777</v>
      </c>
      <c r="G23" s="184">
        <v>5</v>
      </c>
      <c r="H23" s="386">
        <v>0</v>
      </c>
      <c r="I23" s="390">
        <v>0</v>
      </c>
      <c r="J23" s="242">
        <f t="shared" si="1"/>
        <v>5</v>
      </c>
      <c r="K23" s="302" t="s">
        <v>954</v>
      </c>
      <c r="L23" s="201" t="s">
        <v>30</v>
      </c>
      <c r="M23" s="7" t="s">
        <v>30</v>
      </c>
      <c r="N23" s="7" t="s">
        <v>30</v>
      </c>
      <c r="O23" s="201" t="s">
        <v>30</v>
      </c>
      <c r="P23" s="7" t="s">
        <v>30</v>
      </c>
      <c r="Q23" s="7" t="s">
        <v>30</v>
      </c>
      <c r="R23" s="201" t="s">
        <v>30</v>
      </c>
      <c r="S23" s="7" t="s">
        <v>30</v>
      </c>
      <c r="T23" s="7" t="s">
        <v>30</v>
      </c>
      <c r="U23" s="201" t="s">
        <v>30</v>
      </c>
      <c r="V23" s="7" t="s">
        <v>30</v>
      </c>
      <c r="W23" s="7" t="s">
        <v>30</v>
      </c>
      <c r="X23" s="107"/>
      <c r="AB23" s="276"/>
      <c r="AC23" s="201" t="s">
        <v>30</v>
      </c>
      <c r="AD23" s="7" t="s">
        <v>30</v>
      </c>
      <c r="AE23" s="7" t="s">
        <v>30</v>
      </c>
      <c r="AF23" s="201" t="s">
        <v>30</v>
      </c>
      <c r="AG23" s="7" t="s">
        <v>30</v>
      </c>
      <c r="AH23" s="7" t="s">
        <v>30</v>
      </c>
      <c r="AI23" s="201" t="s">
        <v>30</v>
      </c>
      <c r="AJ23" s="7" t="s">
        <v>30</v>
      </c>
      <c r="AK23" s="7" t="s">
        <v>30</v>
      </c>
      <c r="AL23" s="201" t="s">
        <v>30</v>
      </c>
      <c r="AM23" s="7" t="s">
        <v>30</v>
      </c>
      <c r="AN23" s="7" t="s">
        <v>30</v>
      </c>
      <c r="AO23" s="201">
        <v>10</v>
      </c>
      <c r="AP23" s="7">
        <v>15</v>
      </c>
      <c r="AQ23" s="7">
        <v>67</v>
      </c>
      <c r="AR23" s="73"/>
    </row>
    <row r="24" spans="1:55" ht="14.95" customHeight="1" thickBot="1" x14ac:dyDescent="0.3">
      <c r="A24" s="235" t="s">
        <v>768</v>
      </c>
      <c r="B24" s="182">
        <v>7</v>
      </c>
      <c r="C24" s="384">
        <v>1</v>
      </c>
      <c r="D24" s="388">
        <v>0</v>
      </c>
      <c r="E24" s="238">
        <f t="shared" si="0"/>
        <v>8</v>
      </c>
      <c r="F24" s="240" t="s">
        <v>768</v>
      </c>
      <c r="G24" s="184">
        <v>35</v>
      </c>
      <c r="H24" s="386">
        <v>5</v>
      </c>
      <c r="I24" s="390">
        <v>0</v>
      </c>
      <c r="J24" s="242">
        <f t="shared" si="1"/>
        <v>40</v>
      </c>
      <c r="K24" s="235" t="s">
        <v>533</v>
      </c>
      <c r="L24" s="7" t="s">
        <v>30</v>
      </c>
      <c r="M24" s="7" t="s">
        <v>30</v>
      </c>
      <c r="N24" s="206" t="s">
        <v>30</v>
      </c>
      <c r="O24" s="7">
        <v>15</v>
      </c>
      <c r="P24" s="7">
        <v>19</v>
      </c>
      <c r="Q24" s="206">
        <f>SUM(O24/P24)*100</f>
        <v>78.94736842105263</v>
      </c>
      <c r="R24" s="7">
        <v>16</v>
      </c>
      <c r="S24" s="7">
        <v>19</v>
      </c>
      <c r="T24" s="206">
        <f>SUM(R24/S24)*100</f>
        <v>84.210526315789465</v>
      </c>
      <c r="U24" s="201" t="s">
        <v>30</v>
      </c>
      <c r="V24" s="7" t="s">
        <v>30</v>
      </c>
      <c r="W24" s="7" t="s">
        <v>30</v>
      </c>
      <c r="X24" s="107"/>
      <c r="AB24" s="276"/>
      <c r="AC24" s="201" t="s">
        <v>30</v>
      </c>
      <c r="AD24" s="7" t="s">
        <v>30</v>
      </c>
      <c r="AE24" s="7" t="s">
        <v>30</v>
      </c>
      <c r="AF24" s="201" t="s">
        <v>30</v>
      </c>
      <c r="AG24" s="7" t="s">
        <v>30</v>
      </c>
      <c r="AH24" s="7" t="s">
        <v>30</v>
      </c>
      <c r="AI24" s="201" t="s">
        <v>30</v>
      </c>
      <c r="AJ24" s="7" t="s">
        <v>30</v>
      </c>
      <c r="AK24" s="7" t="s">
        <v>30</v>
      </c>
      <c r="AL24" s="201" t="s">
        <v>30</v>
      </c>
      <c r="AM24" s="7" t="s">
        <v>30</v>
      </c>
      <c r="AN24" s="7" t="s">
        <v>30</v>
      </c>
      <c r="AO24" s="201" t="s">
        <v>30</v>
      </c>
      <c r="AP24" s="7" t="s">
        <v>30</v>
      </c>
      <c r="AQ24" s="7" t="s">
        <v>30</v>
      </c>
      <c r="AR24" s="73"/>
    </row>
    <row r="25" spans="1:55" ht="14.95" customHeight="1" thickBot="1" x14ac:dyDescent="0.3">
      <c r="A25" s="235" t="s">
        <v>805</v>
      </c>
      <c r="B25" s="182">
        <v>2</v>
      </c>
      <c r="C25" s="384">
        <v>0</v>
      </c>
      <c r="D25" s="388">
        <v>0</v>
      </c>
      <c r="E25" s="238">
        <f t="shared" si="0"/>
        <v>2</v>
      </c>
      <c r="F25" s="240" t="s">
        <v>805</v>
      </c>
      <c r="G25" s="184">
        <v>10</v>
      </c>
      <c r="H25" s="386">
        <v>0</v>
      </c>
      <c r="I25" s="390">
        <v>0</v>
      </c>
      <c r="J25" s="242">
        <f t="shared" si="1"/>
        <v>10</v>
      </c>
      <c r="K25" s="235" t="s">
        <v>1187</v>
      </c>
      <c r="L25" s="7" t="s">
        <v>30</v>
      </c>
      <c r="M25" s="206" t="s">
        <v>30</v>
      </c>
      <c r="N25" s="6" t="s">
        <v>30</v>
      </c>
      <c r="O25" s="7" t="s">
        <v>30</v>
      </c>
      <c r="P25" s="206" t="s">
        <v>30</v>
      </c>
      <c r="Q25" s="6" t="s">
        <v>30</v>
      </c>
      <c r="R25" s="7" t="s">
        <v>30</v>
      </c>
      <c r="S25" s="206" t="s">
        <v>30</v>
      </c>
      <c r="T25" s="6" t="s">
        <v>30</v>
      </c>
      <c r="U25" s="7" t="s">
        <v>30</v>
      </c>
      <c r="V25" s="206" t="s">
        <v>30</v>
      </c>
      <c r="W25" s="6" t="s">
        <v>30</v>
      </c>
      <c r="X25" s="101" t="s">
        <v>30</v>
      </c>
      <c r="Y25" s="275" t="s">
        <v>30</v>
      </c>
      <c r="Z25" s="109"/>
      <c r="AA25" s="109"/>
      <c r="AB25" s="327"/>
      <c r="AC25" s="201">
        <v>1</v>
      </c>
      <c r="AD25" s="7">
        <v>1</v>
      </c>
      <c r="AE25" s="7">
        <f>SUM(AC25/AD25)*100</f>
        <v>100</v>
      </c>
      <c r="AF25" s="201" t="s">
        <v>30</v>
      </c>
      <c r="AG25" s="7" t="s">
        <v>30</v>
      </c>
      <c r="AH25" s="7" t="s">
        <v>30</v>
      </c>
      <c r="AI25" s="201">
        <v>0</v>
      </c>
      <c r="AJ25" s="7">
        <v>1</v>
      </c>
      <c r="AK25" s="7">
        <v>0</v>
      </c>
      <c r="AL25" s="6">
        <v>1</v>
      </c>
      <c r="AM25" s="6">
        <v>1</v>
      </c>
      <c r="AN25" s="7">
        <v>100</v>
      </c>
      <c r="AO25" s="7">
        <v>22</v>
      </c>
      <c r="AP25" s="7">
        <v>40</v>
      </c>
      <c r="AQ25" s="7">
        <v>55.000000000000007</v>
      </c>
      <c r="AR25" s="73"/>
    </row>
    <row r="26" spans="1:55" ht="14.95" customHeight="1" thickBot="1" x14ac:dyDescent="0.3">
      <c r="A26" s="235" t="s">
        <v>750</v>
      </c>
      <c r="B26" s="182">
        <v>1</v>
      </c>
      <c r="C26" s="384">
        <v>2</v>
      </c>
      <c r="D26" s="388">
        <v>2</v>
      </c>
      <c r="E26" s="238">
        <f t="shared" si="0"/>
        <v>5</v>
      </c>
      <c r="F26" s="240" t="s">
        <v>750</v>
      </c>
      <c r="G26" s="184">
        <v>5</v>
      </c>
      <c r="H26" s="386">
        <v>10</v>
      </c>
      <c r="I26" s="390">
        <v>10</v>
      </c>
      <c r="J26" s="242">
        <f t="shared" si="1"/>
        <v>25</v>
      </c>
      <c r="O26" s="73"/>
      <c r="P26" s="73"/>
      <c r="Q26" s="73"/>
      <c r="R26" s="73"/>
      <c r="S26" s="73"/>
      <c r="T26" s="73"/>
      <c r="U26" s="73"/>
      <c r="V26" s="73"/>
      <c r="W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</row>
    <row r="27" spans="1:55" ht="14.95" customHeight="1" thickBot="1" x14ac:dyDescent="0.3">
      <c r="A27" s="235" t="s">
        <v>605</v>
      </c>
      <c r="B27" s="182">
        <v>10</v>
      </c>
      <c r="C27" s="384">
        <v>0</v>
      </c>
      <c r="D27" s="388">
        <v>0</v>
      </c>
      <c r="E27" s="238">
        <f t="shared" si="0"/>
        <v>10</v>
      </c>
      <c r="F27" s="240" t="s">
        <v>605</v>
      </c>
      <c r="G27" s="184">
        <v>50</v>
      </c>
      <c r="H27" s="386">
        <v>0</v>
      </c>
      <c r="I27" s="390">
        <v>0</v>
      </c>
      <c r="J27" s="242">
        <f t="shared" si="1"/>
        <v>50</v>
      </c>
      <c r="K27" s="547" t="s">
        <v>179</v>
      </c>
      <c r="L27" s="555" t="s">
        <v>29</v>
      </c>
      <c r="M27" s="556"/>
      <c r="N27" s="557"/>
      <c r="O27" s="520" t="s">
        <v>634</v>
      </c>
      <c r="P27" s="521"/>
      <c r="Q27" s="522"/>
      <c r="R27" s="520" t="s">
        <v>863</v>
      </c>
      <c r="S27" s="521"/>
      <c r="T27" s="522"/>
      <c r="U27" s="520" t="s">
        <v>621</v>
      </c>
      <c r="V27" s="521"/>
      <c r="W27" s="522"/>
      <c r="X27" s="325"/>
      <c r="Y27" s="109"/>
      <c r="Z27" s="109"/>
      <c r="AA27" s="109"/>
      <c r="AB27" s="327"/>
      <c r="AC27" s="520" t="s">
        <v>448</v>
      </c>
      <c r="AD27" s="521"/>
      <c r="AE27" s="522"/>
      <c r="AF27" s="520" t="s">
        <v>178</v>
      </c>
      <c r="AG27" s="521"/>
      <c r="AH27" s="522"/>
      <c r="AI27" s="520" t="s">
        <v>122</v>
      </c>
      <c r="AJ27" s="521"/>
      <c r="AK27" s="522"/>
      <c r="AL27" s="520" t="s">
        <v>113</v>
      </c>
      <c r="AM27" s="521"/>
      <c r="AN27" s="522"/>
      <c r="AO27" s="520" t="s">
        <v>85</v>
      </c>
      <c r="AP27" s="521"/>
      <c r="AQ27" s="522"/>
      <c r="AR27" s="73"/>
      <c r="AS27" s="73"/>
      <c r="AT27" s="73"/>
      <c r="AU27" s="73"/>
    </row>
    <row r="28" spans="1:55" ht="14.95" customHeight="1" thickBot="1" x14ac:dyDescent="0.3">
      <c r="A28" s="235" t="s">
        <v>405</v>
      </c>
      <c r="B28" s="182">
        <v>0</v>
      </c>
      <c r="C28" s="384">
        <v>0</v>
      </c>
      <c r="D28" s="388">
        <v>0</v>
      </c>
      <c r="E28" s="238">
        <f t="shared" si="0"/>
        <v>0</v>
      </c>
      <c r="F28" s="240" t="s">
        <v>405</v>
      </c>
      <c r="G28" s="184">
        <v>0</v>
      </c>
      <c r="H28" s="386">
        <v>0</v>
      </c>
      <c r="I28" s="390">
        <v>0</v>
      </c>
      <c r="J28" s="242">
        <f t="shared" si="1"/>
        <v>0</v>
      </c>
      <c r="K28" s="548"/>
      <c r="L28" s="558"/>
      <c r="M28" s="559"/>
      <c r="N28" s="560"/>
      <c r="O28" s="523"/>
      <c r="P28" s="524"/>
      <c r="Q28" s="525"/>
      <c r="R28" s="523"/>
      <c r="S28" s="524"/>
      <c r="T28" s="525"/>
      <c r="U28" s="523"/>
      <c r="V28" s="524"/>
      <c r="W28" s="525"/>
      <c r="X28" s="108"/>
      <c r="Y28" s="109"/>
      <c r="Z28" s="109"/>
      <c r="AA28" s="109"/>
      <c r="AB28" s="327"/>
      <c r="AC28" s="523"/>
      <c r="AD28" s="524"/>
      <c r="AE28" s="525"/>
      <c r="AF28" s="523"/>
      <c r="AG28" s="524"/>
      <c r="AH28" s="525"/>
      <c r="AI28" s="523"/>
      <c r="AJ28" s="524"/>
      <c r="AK28" s="525"/>
      <c r="AL28" s="523"/>
      <c r="AM28" s="524"/>
      <c r="AN28" s="525"/>
      <c r="AO28" s="523"/>
      <c r="AP28" s="524"/>
      <c r="AQ28" s="525"/>
      <c r="AR28" s="73"/>
      <c r="AS28" s="73"/>
      <c r="AT28" s="73"/>
      <c r="AU28" s="73"/>
    </row>
    <row r="29" spans="1:55" ht="14.95" customHeight="1" thickBot="1" x14ac:dyDescent="0.3">
      <c r="A29" s="235" t="s">
        <v>711</v>
      </c>
      <c r="B29" s="182">
        <v>5</v>
      </c>
      <c r="C29" s="384">
        <v>0</v>
      </c>
      <c r="D29" s="388">
        <v>3</v>
      </c>
      <c r="E29" s="238">
        <f t="shared" si="0"/>
        <v>8</v>
      </c>
      <c r="F29" s="240" t="s">
        <v>711</v>
      </c>
      <c r="G29" s="184">
        <v>25</v>
      </c>
      <c r="H29" s="386">
        <v>0</v>
      </c>
      <c r="I29" s="390">
        <v>15</v>
      </c>
      <c r="J29" s="242">
        <f t="shared" si="1"/>
        <v>40</v>
      </c>
      <c r="K29" s="400" t="s">
        <v>44</v>
      </c>
      <c r="L29" s="229" t="s">
        <v>107</v>
      </c>
      <c r="M29" s="229" t="s">
        <v>23</v>
      </c>
      <c r="N29" s="229" t="s">
        <v>24</v>
      </c>
      <c r="O29" s="7" t="s">
        <v>107</v>
      </c>
      <c r="P29" s="7" t="s">
        <v>23</v>
      </c>
      <c r="Q29" s="7" t="s">
        <v>24</v>
      </c>
      <c r="R29" s="7" t="s">
        <v>107</v>
      </c>
      <c r="S29" s="7" t="s">
        <v>23</v>
      </c>
      <c r="T29" s="7" t="s">
        <v>24</v>
      </c>
      <c r="U29" s="201" t="s">
        <v>107</v>
      </c>
      <c r="V29" s="7" t="s">
        <v>23</v>
      </c>
      <c r="W29" s="7" t="s">
        <v>24</v>
      </c>
      <c r="X29" s="108"/>
      <c r="Y29" s="109"/>
      <c r="Z29" s="109"/>
      <c r="AA29" s="109"/>
      <c r="AB29" s="327"/>
      <c r="AC29" s="201" t="s">
        <v>107</v>
      </c>
      <c r="AD29" s="7" t="s">
        <v>23</v>
      </c>
      <c r="AE29" s="7" t="s">
        <v>24</v>
      </c>
      <c r="AF29" s="201" t="s">
        <v>107</v>
      </c>
      <c r="AG29" s="7" t="s">
        <v>23</v>
      </c>
      <c r="AH29" s="7" t="s">
        <v>24</v>
      </c>
      <c r="AI29" s="201" t="s">
        <v>107</v>
      </c>
      <c r="AJ29" s="7" t="s">
        <v>23</v>
      </c>
      <c r="AK29" s="7" t="s">
        <v>24</v>
      </c>
      <c r="AL29" s="201" t="s">
        <v>107</v>
      </c>
      <c r="AM29" s="7" t="s">
        <v>23</v>
      </c>
      <c r="AN29" s="7" t="s">
        <v>24</v>
      </c>
      <c r="AO29" s="201" t="s">
        <v>107</v>
      </c>
      <c r="AP29" s="7" t="s">
        <v>23</v>
      </c>
      <c r="AQ29" s="7" t="s">
        <v>24</v>
      </c>
      <c r="AR29" s="73"/>
      <c r="AS29" s="73"/>
      <c r="AT29" s="73"/>
      <c r="AU29" s="73"/>
    </row>
    <row r="30" spans="1:55" ht="14.95" customHeight="1" thickBot="1" x14ac:dyDescent="0.3">
      <c r="A30" s="235" t="s">
        <v>581</v>
      </c>
      <c r="B30" s="182">
        <v>7</v>
      </c>
      <c r="C30" s="384">
        <v>2</v>
      </c>
      <c r="D30" s="388">
        <v>0</v>
      </c>
      <c r="E30" s="238">
        <f t="shared" si="0"/>
        <v>9</v>
      </c>
      <c r="F30" s="240" t="s">
        <v>581</v>
      </c>
      <c r="G30" s="184">
        <v>35</v>
      </c>
      <c r="H30" s="386">
        <v>10</v>
      </c>
      <c r="I30" s="390">
        <v>0</v>
      </c>
      <c r="J30" s="242">
        <f t="shared" si="1"/>
        <v>45</v>
      </c>
      <c r="K30" s="302" t="s">
        <v>954</v>
      </c>
      <c r="L30" s="238" t="s">
        <v>30</v>
      </c>
      <c r="M30" s="238" t="s">
        <v>30</v>
      </c>
      <c r="N30" s="238" t="s">
        <v>30</v>
      </c>
      <c r="O30" s="7" t="s">
        <v>30</v>
      </c>
      <c r="P30" s="7" t="s">
        <v>30</v>
      </c>
      <c r="Q30" s="7" t="s">
        <v>30</v>
      </c>
      <c r="R30" s="7">
        <v>2</v>
      </c>
      <c r="S30" s="7">
        <v>4</v>
      </c>
      <c r="T30" s="7">
        <v>50</v>
      </c>
      <c r="U30" s="201">
        <v>2</v>
      </c>
      <c r="V30" s="7">
        <v>2</v>
      </c>
      <c r="W30" s="7">
        <v>100</v>
      </c>
      <c r="X30" s="108"/>
      <c r="Y30" s="109"/>
      <c r="Z30" s="109"/>
      <c r="AA30" s="109"/>
      <c r="AB30" s="327"/>
      <c r="AC30" s="201">
        <v>17</v>
      </c>
      <c r="AD30" s="7">
        <v>18</v>
      </c>
      <c r="AE30" s="7">
        <v>94</v>
      </c>
      <c r="AF30" s="7" t="s">
        <v>30</v>
      </c>
      <c r="AG30" s="7" t="s">
        <v>30</v>
      </c>
      <c r="AH30" s="7" t="s">
        <v>30</v>
      </c>
      <c r="AI30" s="7" t="s">
        <v>30</v>
      </c>
      <c r="AJ30" s="7" t="s">
        <v>30</v>
      </c>
      <c r="AK30" s="7" t="s">
        <v>30</v>
      </c>
      <c r="AL30" s="7" t="s">
        <v>30</v>
      </c>
      <c r="AM30" s="7" t="s">
        <v>30</v>
      </c>
      <c r="AN30" s="7" t="s">
        <v>30</v>
      </c>
      <c r="AO30" s="7" t="s">
        <v>30</v>
      </c>
      <c r="AP30" s="7" t="s">
        <v>30</v>
      </c>
      <c r="AQ30" s="7" t="s">
        <v>30</v>
      </c>
      <c r="AR30" s="73"/>
      <c r="AS30" s="73"/>
      <c r="AT30" s="73"/>
      <c r="AU30" s="73"/>
    </row>
    <row r="31" spans="1:55" ht="14.95" customHeight="1" thickBot="1" x14ac:dyDescent="0.3">
      <c r="A31" s="235" t="s">
        <v>6</v>
      </c>
      <c r="B31" s="182">
        <v>3</v>
      </c>
      <c r="C31" s="384">
        <v>1</v>
      </c>
      <c r="D31" s="388">
        <v>0</v>
      </c>
      <c r="E31" s="238">
        <f t="shared" si="0"/>
        <v>4</v>
      </c>
      <c r="F31" s="240" t="s">
        <v>6</v>
      </c>
      <c r="G31" s="184">
        <v>21</v>
      </c>
      <c r="H31" s="386">
        <v>7</v>
      </c>
      <c r="I31" s="390">
        <v>0</v>
      </c>
      <c r="J31" s="242">
        <f t="shared" si="1"/>
        <v>28</v>
      </c>
      <c r="K31" s="235" t="s">
        <v>533</v>
      </c>
      <c r="L31" s="238" t="s">
        <v>30</v>
      </c>
      <c r="M31" s="238" t="s">
        <v>30</v>
      </c>
      <c r="N31" s="238" t="s">
        <v>30</v>
      </c>
      <c r="O31" s="7" t="s">
        <v>30</v>
      </c>
      <c r="P31" s="7" t="s">
        <v>30</v>
      </c>
      <c r="Q31" s="7" t="s">
        <v>30</v>
      </c>
      <c r="R31" s="7" t="s">
        <v>30</v>
      </c>
      <c r="S31" s="7" t="s">
        <v>30</v>
      </c>
      <c r="T31" s="7" t="s">
        <v>30</v>
      </c>
      <c r="U31" s="201" t="s">
        <v>30</v>
      </c>
      <c r="V31" s="7" t="s">
        <v>30</v>
      </c>
      <c r="W31" s="7" t="s">
        <v>30</v>
      </c>
      <c r="X31" s="108"/>
      <c r="Y31" s="109"/>
      <c r="Z31" s="109"/>
      <c r="AA31" s="109"/>
      <c r="AB31" s="327"/>
      <c r="AC31" s="201" t="s">
        <v>30</v>
      </c>
      <c r="AD31" s="7" t="s">
        <v>30</v>
      </c>
      <c r="AE31" s="7" t="s">
        <v>30</v>
      </c>
      <c r="AF31" s="201" t="s">
        <v>30</v>
      </c>
      <c r="AG31" s="7" t="s">
        <v>30</v>
      </c>
      <c r="AH31" s="7" t="s">
        <v>30</v>
      </c>
      <c r="AI31" s="201" t="s">
        <v>30</v>
      </c>
      <c r="AJ31" s="7" t="s">
        <v>30</v>
      </c>
      <c r="AK31" s="7" t="s">
        <v>30</v>
      </c>
      <c r="AL31" s="201" t="s">
        <v>30</v>
      </c>
      <c r="AM31" s="7" t="s">
        <v>30</v>
      </c>
      <c r="AN31" s="7" t="s">
        <v>30</v>
      </c>
      <c r="AO31" s="7" t="s">
        <v>30</v>
      </c>
      <c r="AP31" s="7" t="s">
        <v>30</v>
      </c>
      <c r="AQ31" s="7" t="s">
        <v>30</v>
      </c>
      <c r="AR31" s="73"/>
      <c r="AS31" s="73"/>
      <c r="AT31" s="73"/>
      <c r="AU31" s="73"/>
      <c r="AX31" s="561"/>
      <c r="AY31" s="561"/>
      <c r="AZ31" s="561"/>
      <c r="BA31" s="561"/>
      <c r="BB31" s="561"/>
      <c r="BC31" s="561"/>
    </row>
    <row r="32" spans="1:55" ht="14.95" customHeight="1" thickBot="1" x14ac:dyDescent="0.3">
      <c r="A32" s="235" t="s">
        <v>169</v>
      </c>
      <c r="B32" s="182">
        <v>2</v>
      </c>
      <c r="C32" s="384">
        <v>0</v>
      </c>
      <c r="D32" s="388">
        <v>0</v>
      </c>
      <c r="E32" s="238">
        <f t="shared" si="0"/>
        <v>2</v>
      </c>
      <c r="F32" s="240" t="s">
        <v>169</v>
      </c>
      <c r="G32" s="184">
        <v>10</v>
      </c>
      <c r="H32" s="386">
        <v>0</v>
      </c>
      <c r="I32" s="390">
        <v>0</v>
      </c>
      <c r="J32" s="242">
        <f t="shared" si="1"/>
        <v>10</v>
      </c>
      <c r="K32" s="302" t="s">
        <v>936</v>
      </c>
      <c r="L32" s="238">
        <v>13</v>
      </c>
      <c r="M32" s="238">
        <v>16</v>
      </c>
      <c r="N32" s="243">
        <f t="shared" ref="N32:N33" si="3">SUM(L32/M32)*100</f>
        <v>81.25</v>
      </c>
      <c r="O32" s="7" t="s">
        <v>30</v>
      </c>
      <c r="P32" s="7" t="s">
        <v>30</v>
      </c>
      <c r="Q32" s="7" t="s">
        <v>30</v>
      </c>
      <c r="R32" s="201" t="s">
        <v>30</v>
      </c>
      <c r="S32" s="7" t="s">
        <v>30</v>
      </c>
      <c r="T32" s="7" t="s">
        <v>30</v>
      </c>
      <c r="U32" s="201" t="s">
        <v>30</v>
      </c>
      <c r="V32" s="7" t="s">
        <v>30</v>
      </c>
      <c r="W32" s="7" t="s">
        <v>30</v>
      </c>
      <c r="X32" s="108"/>
      <c r="Y32" s="109"/>
      <c r="Z32" s="109"/>
      <c r="AA32" s="109"/>
      <c r="AB32" s="327"/>
      <c r="AC32" s="7" t="s">
        <v>30</v>
      </c>
      <c r="AD32" s="7" t="s">
        <v>30</v>
      </c>
      <c r="AE32" s="7" t="s">
        <v>30</v>
      </c>
      <c r="AF32" s="7" t="s">
        <v>30</v>
      </c>
      <c r="AG32" s="7" t="s">
        <v>30</v>
      </c>
      <c r="AH32" s="7" t="s">
        <v>30</v>
      </c>
      <c r="AI32" s="7" t="s">
        <v>30</v>
      </c>
      <c r="AJ32" s="7" t="s">
        <v>30</v>
      </c>
      <c r="AK32" s="7" t="s">
        <v>30</v>
      </c>
      <c r="AL32" s="7" t="s">
        <v>30</v>
      </c>
      <c r="AM32" s="7" t="s">
        <v>30</v>
      </c>
      <c r="AN32" s="7" t="s">
        <v>30</v>
      </c>
      <c r="AO32" s="7" t="s">
        <v>30</v>
      </c>
      <c r="AP32" s="7" t="s">
        <v>30</v>
      </c>
      <c r="AQ32" s="7" t="s">
        <v>30</v>
      </c>
      <c r="AR32" s="73"/>
      <c r="AS32" s="73"/>
      <c r="AT32" s="73"/>
      <c r="AU32" s="73"/>
      <c r="AX32" s="561"/>
      <c r="AY32" s="561"/>
      <c r="AZ32" s="561"/>
      <c r="BA32" s="561"/>
      <c r="BB32" s="561"/>
      <c r="BC32" s="561"/>
    </row>
    <row r="33" spans="1:55" ht="14.95" customHeight="1" thickBot="1" x14ac:dyDescent="0.3">
      <c r="A33" s="235" t="s">
        <v>942</v>
      </c>
      <c r="B33" s="182">
        <v>0</v>
      </c>
      <c r="C33" s="384">
        <v>0</v>
      </c>
      <c r="D33" s="388">
        <v>0</v>
      </c>
      <c r="E33" s="238">
        <f t="shared" si="0"/>
        <v>0</v>
      </c>
      <c r="F33" s="240" t="s">
        <v>942</v>
      </c>
      <c r="G33" s="184">
        <v>0</v>
      </c>
      <c r="H33" s="386">
        <v>0</v>
      </c>
      <c r="I33" s="390">
        <v>0</v>
      </c>
      <c r="J33" s="242">
        <f t="shared" si="1"/>
        <v>0</v>
      </c>
      <c r="K33" s="235" t="s">
        <v>940</v>
      </c>
      <c r="L33" s="238">
        <v>13</v>
      </c>
      <c r="M33" s="238">
        <v>15</v>
      </c>
      <c r="N33" s="243">
        <f t="shared" si="3"/>
        <v>86.666666666666671</v>
      </c>
      <c r="O33" s="7" t="s">
        <v>30</v>
      </c>
      <c r="P33" s="7" t="s">
        <v>30</v>
      </c>
      <c r="Q33" s="7" t="s">
        <v>30</v>
      </c>
      <c r="R33" s="7" t="s">
        <v>30</v>
      </c>
      <c r="S33" s="7" t="s">
        <v>30</v>
      </c>
      <c r="T33" s="7" t="s">
        <v>30</v>
      </c>
      <c r="U33" s="201" t="s">
        <v>30</v>
      </c>
      <c r="V33" s="7" t="s">
        <v>30</v>
      </c>
      <c r="W33" s="7" t="s">
        <v>30</v>
      </c>
      <c r="X33" s="108"/>
      <c r="Y33" s="109"/>
      <c r="Z33" s="109"/>
      <c r="AA33" s="109"/>
      <c r="AB33" s="327"/>
      <c r="AC33" s="201" t="s">
        <v>30</v>
      </c>
      <c r="AD33" s="7" t="s">
        <v>30</v>
      </c>
      <c r="AE33" s="7" t="s">
        <v>30</v>
      </c>
      <c r="AF33" s="201" t="s">
        <v>30</v>
      </c>
      <c r="AG33" s="7" t="s">
        <v>30</v>
      </c>
      <c r="AH33" s="7" t="s">
        <v>30</v>
      </c>
      <c r="AI33" s="201" t="s">
        <v>30</v>
      </c>
      <c r="AJ33" s="7" t="s">
        <v>30</v>
      </c>
      <c r="AK33" s="7" t="s">
        <v>30</v>
      </c>
      <c r="AL33" s="201" t="s">
        <v>30</v>
      </c>
      <c r="AM33" s="7" t="s">
        <v>30</v>
      </c>
      <c r="AN33" s="7" t="s">
        <v>30</v>
      </c>
      <c r="AO33" s="7" t="s">
        <v>30</v>
      </c>
      <c r="AP33" s="7" t="s">
        <v>30</v>
      </c>
      <c r="AQ33" s="7" t="s">
        <v>30</v>
      </c>
      <c r="AR33" s="73"/>
      <c r="AS33" s="73"/>
      <c r="AT33" s="73"/>
      <c r="AU33" s="73"/>
      <c r="AX33" s="101"/>
      <c r="AY33" s="101"/>
      <c r="AZ33" s="101"/>
      <c r="BA33" s="101"/>
      <c r="BB33" s="101"/>
      <c r="BC33" s="101"/>
    </row>
    <row r="34" spans="1:55" ht="14.95" customHeight="1" thickBot="1" x14ac:dyDescent="0.3">
      <c r="A34" s="235" t="s">
        <v>943</v>
      </c>
      <c r="B34" s="182">
        <v>1</v>
      </c>
      <c r="C34" s="384">
        <v>3</v>
      </c>
      <c r="D34" s="388">
        <v>6</v>
      </c>
      <c r="E34" s="238">
        <f t="shared" si="0"/>
        <v>10</v>
      </c>
      <c r="F34" s="240" t="s">
        <v>943</v>
      </c>
      <c r="G34" s="184">
        <v>5</v>
      </c>
      <c r="H34" s="386">
        <v>15</v>
      </c>
      <c r="I34" s="390">
        <v>30</v>
      </c>
      <c r="J34" s="242">
        <f t="shared" si="1"/>
        <v>50</v>
      </c>
      <c r="K34" s="235" t="s">
        <v>789</v>
      </c>
      <c r="L34" s="238">
        <v>2</v>
      </c>
      <c r="M34" s="238">
        <v>2</v>
      </c>
      <c r="N34" s="243">
        <f t="shared" ref="N34" si="4">SUM(L34/M34)*100</f>
        <v>100</v>
      </c>
      <c r="O34" s="7" t="s">
        <v>30</v>
      </c>
      <c r="P34" s="7" t="s">
        <v>30</v>
      </c>
      <c r="Q34" s="7" t="s">
        <v>30</v>
      </c>
      <c r="R34" s="7" t="s">
        <v>30</v>
      </c>
      <c r="S34" s="7" t="s">
        <v>30</v>
      </c>
      <c r="T34" s="7" t="s">
        <v>30</v>
      </c>
      <c r="U34" s="201" t="s">
        <v>30</v>
      </c>
      <c r="V34" s="7" t="s">
        <v>30</v>
      </c>
      <c r="W34" s="7" t="s">
        <v>30</v>
      </c>
      <c r="X34" s="108"/>
      <c r="Y34" s="109"/>
      <c r="Z34" s="109"/>
      <c r="AA34" s="109"/>
      <c r="AB34" s="327"/>
      <c r="AC34" s="201" t="s">
        <v>30</v>
      </c>
      <c r="AD34" s="7" t="s">
        <v>30</v>
      </c>
      <c r="AE34" s="7" t="s">
        <v>30</v>
      </c>
      <c r="AF34" s="201" t="s">
        <v>30</v>
      </c>
      <c r="AG34" s="7" t="s">
        <v>30</v>
      </c>
      <c r="AH34" s="7" t="s">
        <v>30</v>
      </c>
      <c r="AI34" s="201" t="s">
        <v>30</v>
      </c>
      <c r="AJ34" s="7" t="s">
        <v>30</v>
      </c>
      <c r="AK34" s="7" t="s">
        <v>30</v>
      </c>
      <c r="AL34" s="201" t="s">
        <v>30</v>
      </c>
      <c r="AM34" s="7" t="s">
        <v>30</v>
      </c>
      <c r="AN34" s="7" t="s">
        <v>30</v>
      </c>
      <c r="AO34" s="7" t="s">
        <v>30</v>
      </c>
      <c r="AP34" s="7" t="s">
        <v>30</v>
      </c>
      <c r="AQ34" s="7" t="s">
        <v>30</v>
      </c>
      <c r="AR34" s="73"/>
      <c r="AS34" s="73"/>
      <c r="AT34" s="73"/>
      <c r="AU34" s="73"/>
      <c r="AX34" s="101"/>
      <c r="AY34" s="101"/>
      <c r="AZ34" s="101"/>
      <c r="BA34" s="101"/>
      <c r="BB34" s="101"/>
      <c r="BC34" s="101"/>
    </row>
    <row r="35" spans="1:55" ht="14.95" customHeight="1" thickBot="1" x14ac:dyDescent="0.3">
      <c r="A35" s="235" t="s">
        <v>609</v>
      </c>
      <c r="B35" s="182">
        <v>4</v>
      </c>
      <c r="C35" s="384">
        <v>1</v>
      </c>
      <c r="D35" s="388">
        <v>0</v>
      </c>
      <c r="E35" s="238">
        <f t="shared" si="0"/>
        <v>5</v>
      </c>
      <c r="F35" s="240" t="s">
        <v>609</v>
      </c>
      <c r="G35" s="184">
        <v>20</v>
      </c>
      <c r="H35" s="386">
        <v>5</v>
      </c>
      <c r="I35" s="390">
        <v>0</v>
      </c>
      <c r="J35" s="242">
        <f t="shared" si="1"/>
        <v>25</v>
      </c>
      <c r="K35" s="146" t="s">
        <v>668</v>
      </c>
      <c r="AX35" s="101"/>
      <c r="AY35" s="101"/>
      <c r="AZ35" s="275"/>
      <c r="BA35" s="101"/>
      <c r="BB35" s="101"/>
      <c r="BC35" s="275"/>
    </row>
    <row r="36" spans="1:55" ht="14.95" customHeight="1" thickBot="1" x14ac:dyDescent="0.3">
      <c r="A36" s="235" t="s">
        <v>171</v>
      </c>
      <c r="B36" s="182">
        <v>0</v>
      </c>
      <c r="C36" s="384">
        <v>0</v>
      </c>
      <c r="D36" s="388">
        <v>0</v>
      </c>
      <c r="E36" s="238">
        <f t="shared" si="0"/>
        <v>0</v>
      </c>
      <c r="F36" s="240" t="s">
        <v>171</v>
      </c>
      <c r="G36" s="184">
        <v>0</v>
      </c>
      <c r="H36" s="386">
        <v>0</v>
      </c>
      <c r="I36" s="390">
        <v>0</v>
      </c>
      <c r="J36" s="242">
        <f t="shared" si="1"/>
        <v>0</v>
      </c>
      <c r="K36" s="518" t="s">
        <v>955</v>
      </c>
      <c r="L36" s="584"/>
      <c r="M36" s="584"/>
      <c r="N36" s="584"/>
      <c r="O36" s="584"/>
      <c r="P36" s="584"/>
      <c r="Q36" s="584"/>
      <c r="R36" s="584"/>
      <c r="S36" s="584"/>
      <c r="T36" s="584"/>
      <c r="U36" s="584"/>
      <c r="V36" s="584"/>
      <c r="W36" s="584"/>
      <c r="X36" s="584"/>
      <c r="Y36" s="584"/>
      <c r="Z36" s="584"/>
      <c r="AA36" s="584"/>
      <c r="AB36" s="584"/>
      <c r="AC36" s="584"/>
      <c r="AD36" s="584"/>
      <c r="AE36" s="584"/>
      <c r="AF36" s="584"/>
      <c r="AG36" s="584"/>
      <c r="AH36" s="584"/>
      <c r="AI36" s="584"/>
      <c r="AJ36" s="584"/>
      <c r="AK36" s="584"/>
      <c r="AL36" s="584"/>
      <c r="AM36" s="584"/>
      <c r="AN36" s="584"/>
      <c r="AO36" s="584"/>
      <c r="AP36" s="584"/>
      <c r="AQ36" s="584"/>
      <c r="AX36" s="101"/>
      <c r="AY36" s="101"/>
      <c r="AZ36" s="275"/>
      <c r="BA36" s="101"/>
      <c r="BB36" s="101"/>
      <c r="BC36" s="101"/>
    </row>
    <row r="37" spans="1:55" ht="14.95" customHeight="1" thickBot="1" x14ac:dyDescent="0.3">
      <c r="A37" s="235" t="s">
        <v>48</v>
      </c>
      <c r="B37" s="182">
        <v>0</v>
      </c>
      <c r="C37" s="384">
        <v>0</v>
      </c>
      <c r="D37" s="388">
        <v>0</v>
      </c>
      <c r="E37" s="238">
        <f t="shared" si="0"/>
        <v>0</v>
      </c>
      <c r="F37" s="240" t="s">
        <v>48</v>
      </c>
      <c r="G37" s="184">
        <v>0</v>
      </c>
      <c r="H37" s="386">
        <v>0</v>
      </c>
      <c r="I37" s="390">
        <v>0</v>
      </c>
      <c r="J37" s="242">
        <f t="shared" si="1"/>
        <v>0</v>
      </c>
      <c r="K37" s="518" t="s">
        <v>1188</v>
      </c>
      <c r="L37" s="519"/>
      <c r="M37" s="519"/>
      <c r="N37" s="519"/>
      <c r="O37" s="519"/>
      <c r="P37" s="519"/>
      <c r="Q37" s="519"/>
      <c r="R37" s="519"/>
      <c r="S37" s="519"/>
      <c r="T37" s="519"/>
      <c r="U37" s="519"/>
      <c r="V37" s="519"/>
      <c r="W37" s="519"/>
      <c r="X37" s="519"/>
      <c r="Y37" s="519"/>
      <c r="Z37" s="519"/>
      <c r="AA37" s="519"/>
      <c r="AB37" s="519"/>
    </row>
    <row r="38" spans="1:55" ht="14.95" customHeight="1" thickBot="1" x14ac:dyDescent="0.3">
      <c r="A38" s="235" t="s">
        <v>946</v>
      </c>
      <c r="B38" s="182">
        <v>1</v>
      </c>
      <c r="C38" s="384">
        <v>0</v>
      </c>
      <c r="D38" s="388">
        <v>0</v>
      </c>
      <c r="E38" s="238">
        <f t="shared" si="0"/>
        <v>1</v>
      </c>
      <c r="F38" s="240" t="s">
        <v>946</v>
      </c>
      <c r="G38" s="184">
        <v>5</v>
      </c>
      <c r="H38" s="386">
        <v>0</v>
      </c>
      <c r="I38" s="390">
        <v>0</v>
      </c>
      <c r="J38" s="242">
        <f t="shared" si="1"/>
        <v>5</v>
      </c>
      <c r="K38" s="518" t="s">
        <v>1157</v>
      </c>
      <c r="L38" s="519"/>
      <c r="M38" s="519"/>
      <c r="N38" s="519"/>
      <c r="O38" s="519"/>
      <c r="P38" s="519"/>
      <c r="Q38" s="519"/>
      <c r="R38" s="519"/>
      <c r="S38" s="519"/>
      <c r="T38" s="519"/>
      <c r="U38" s="519"/>
      <c r="V38" s="519"/>
      <c r="W38" s="519"/>
    </row>
    <row r="39" spans="1:55" ht="14.95" customHeight="1" thickBot="1" x14ac:dyDescent="0.3">
      <c r="A39" s="235" t="s">
        <v>789</v>
      </c>
      <c r="B39" s="182">
        <v>0</v>
      </c>
      <c r="C39" s="384">
        <v>0</v>
      </c>
      <c r="D39" s="388">
        <v>1</v>
      </c>
      <c r="E39" s="238">
        <f t="shared" si="0"/>
        <v>1</v>
      </c>
      <c r="F39" s="240" t="s">
        <v>789</v>
      </c>
      <c r="G39" s="184">
        <v>0</v>
      </c>
      <c r="H39" s="386">
        <v>0</v>
      </c>
      <c r="I39" s="390">
        <v>9</v>
      </c>
      <c r="J39" s="242">
        <f t="shared" si="1"/>
        <v>9</v>
      </c>
    </row>
    <row r="40" spans="1:55" ht="14.95" customHeight="1" thickBot="1" x14ac:dyDescent="0.3">
      <c r="A40" s="235" t="s">
        <v>534</v>
      </c>
      <c r="B40" s="182">
        <v>6</v>
      </c>
      <c r="C40" s="384">
        <v>2</v>
      </c>
      <c r="D40" s="388">
        <v>0</v>
      </c>
      <c r="E40" s="238">
        <f t="shared" si="0"/>
        <v>8</v>
      </c>
      <c r="F40" s="240" t="s">
        <v>534</v>
      </c>
      <c r="G40" s="184">
        <v>30</v>
      </c>
      <c r="H40" s="386">
        <v>10</v>
      </c>
      <c r="I40" s="390">
        <v>0</v>
      </c>
      <c r="J40" s="242">
        <f t="shared" si="1"/>
        <v>40</v>
      </c>
    </row>
    <row r="41" spans="1:55" ht="14.95" customHeight="1" thickBot="1" x14ac:dyDescent="0.3">
      <c r="A41" s="235" t="s">
        <v>666</v>
      </c>
      <c r="B41" s="182">
        <v>0</v>
      </c>
      <c r="C41" s="384">
        <v>0</v>
      </c>
      <c r="D41" s="388">
        <v>0</v>
      </c>
      <c r="E41" s="238">
        <f t="shared" si="0"/>
        <v>0</v>
      </c>
      <c r="F41" s="240" t="s">
        <v>666</v>
      </c>
      <c r="G41" s="184">
        <v>0</v>
      </c>
      <c r="H41" s="386">
        <v>0</v>
      </c>
      <c r="I41" s="390">
        <v>0</v>
      </c>
      <c r="J41" s="242">
        <f t="shared" si="1"/>
        <v>0</v>
      </c>
    </row>
    <row r="42" spans="1:55" ht="14.95" customHeight="1" thickBot="1" x14ac:dyDescent="0.3">
      <c r="A42" s="235" t="s">
        <v>1185</v>
      </c>
      <c r="B42" s="182">
        <v>0</v>
      </c>
      <c r="C42" s="384">
        <v>0</v>
      </c>
      <c r="D42" s="388">
        <v>2</v>
      </c>
      <c r="E42" s="238">
        <f t="shared" si="0"/>
        <v>2</v>
      </c>
      <c r="F42" s="240" t="s">
        <v>1185</v>
      </c>
      <c r="G42" s="184">
        <v>0</v>
      </c>
      <c r="H42" s="386">
        <v>0</v>
      </c>
      <c r="I42" s="390">
        <v>10</v>
      </c>
      <c r="J42" s="242">
        <f t="shared" si="1"/>
        <v>10</v>
      </c>
    </row>
    <row r="43" spans="1:55" ht="14.95" customHeight="1" thickBot="1" x14ac:dyDescent="0.3">
      <c r="A43" s="235" t="s">
        <v>776</v>
      </c>
      <c r="B43" s="182">
        <v>3</v>
      </c>
      <c r="C43" s="384">
        <v>1</v>
      </c>
      <c r="D43" s="388">
        <v>1</v>
      </c>
      <c r="E43" s="238">
        <f t="shared" si="0"/>
        <v>5</v>
      </c>
      <c r="F43" s="240" t="s">
        <v>776</v>
      </c>
      <c r="G43" s="184">
        <v>15</v>
      </c>
      <c r="H43" s="386">
        <v>5</v>
      </c>
      <c r="I43" s="390">
        <v>5</v>
      </c>
      <c r="J43" s="242">
        <f t="shared" si="1"/>
        <v>25</v>
      </c>
    </row>
    <row r="44" spans="1:55" ht="14.95" customHeight="1" thickBot="1" x14ac:dyDescent="0.3">
      <c r="A44" s="235" t="s">
        <v>950</v>
      </c>
      <c r="B44" s="182">
        <v>0</v>
      </c>
      <c r="C44" s="384">
        <v>0</v>
      </c>
      <c r="D44" s="388">
        <v>0</v>
      </c>
      <c r="E44" s="238">
        <f t="shared" si="0"/>
        <v>0</v>
      </c>
      <c r="F44" s="240" t="s">
        <v>950</v>
      </c>
      <c r="G44" s="184">
        <v>0</v>
      </c>
      <c r="H44" s="386">
        <v>0</v>
      </c>
      <c r="I44" s="390">
        <v>0</v>
      </c>
      <c r="J44" s="242">
        <f t="shared" si="1"/>
        <v>0</v>
      </c>
    </row>
    <row r="45" spans="1:55" ht="14.95" customHeight="1" thickBot="1" x14ac:dyDescent="0.3">
      <c r="A45" s="235" t="s">
        <v>381</v>
      </c>
      <c r="B45" s="182">
        <v>1</v>
      </c>
      <c r="C45" s="384">
        <v>0</v>
      </c>
      <c r="D45" s="388">
        <v>0</v>
      </c>
      <c r="E45" s="238">
        <f t="shared" si="0"/>
        <v>1</v>
      </c>
      <c r="F45" s="240" t="s">
        <v>381</v>
      </c>
      <c r="G45" s="184">
        <v>5</v>
      </c>
      <c r="H45" s="386">
        <v>0</v>
      </c>
      <c r="I45" s="390">
        <v>0</v>
      </c>
      <c r="J45" s="242">
        <f t="shared" si="1"/>
        <v>5</v>
      </c>
    </row>
    <row r="46" spans="1:55" ht="14.95" thickBot="1" x14ac:dyDescent="0.3">
      <c r="A46" s="235" t="s">
        <v>724</v>
      </c>
      <c r="B46" s="182">
        <v>0</v>
      </c>
      <c r="C46" s="384">
        <v>0</v>
      </c>
      <c r="D46" s="388">
        <v>0</v>
      </c>
      <c r="E46" s="238">
        <f t="shared" si="0"/>
        <v>0</v>
      </c>
      <c r="F46" s="240" t="s">
        <v>724</v>
      </c>
      <c r="G46" s="184">
        <v>0</v>
      </c>
      <c r="H46" s="386">
        <v>0</v>
      </c>
      <c r="I46" s="390">
        <v>0</v>
      </c>
      <c r="J46" s="242">
        <f t="shared" si="1"/>
        <v>0</v>
      </c>
    </row>
    <row r="47" spans="1:55" ht="14.95" thickBot="1" x14ac:dyDescent="0.3">
      <c r="A47" s="235" t="s">
        <v>406</v>
      </c>
      <c r="B47" s="182">
        <v>1</v>
      </c>
      <c r="C47" s="384">
        <v>0</v>
      </c>
      <c r="D47" s="388">
        <v>0</v>
      </c>
      <c r="E47" s="238">
        <f t="shared" si="0"/>
        <v>1</v>
      </c>
      <c r="F47" s="240" t="s">
        <v>406</v>
      </c>
      <c r="G47" s="184">
        <v>5</v>
      </c>
      <c r="H47" s="386">
        <v>0</v>
      </c>
      <c r="I47" s="390">
        <v>0</v>
      </c>
      <c r="J47" s="242">
        <f t="shared" si="1"/>
        <v>5</v>
      </c>
    </row>
    <row r="48" spans="1:55" ht="14.95" thickBot="1" x14ac:dyDescent="0.3">
      <c r="A48" s="235" t="s">
        <v>952</v>
      </c>
      <c r="B48" s="182">
        <v>0</v>
      </c>
      <c r="C48" s="384">
        <v>0</v>
      </c>
      <c r="D48" s="388">
        <v>0</v>
      </c>
      <c r="E48" s="238">
        <f t="shared" si="0"/>
        <v>0</v>
      </c>
      <c r="F48" s="240" t="s">
        <v>952</v>
      </c>
      <c r="G48" s="184">
        <v>0</v>
      </c>
      <c r="H48" s="386">
        <v>0</v>
      </c>
      <c r="I48" s="390">
        <v>0</v>
      </c>
      <c r="J48" s="242">
        <f t="shared" si="1"/>
        <v>0</v>
      </c>
    </row>
    <row r="49" spans="1:10" ht="14.95" thickBot="1" x14ac:dyDescent="0.3">
      <c r="A49" s="235" t="s">
        <v>707</v>
      </c>
      <c r="B49" s="182">
        <v>5</v>
      </c>
      <c r="C49" s="384">
        <v>0</v>
      </c>
      <c r="D49" s="388">
        <v>0</v>
      </c>
      <c r="E49" s="238">
        <f t="shared" si="0"/>
        <v>5</v>
      </c>
      <c r="F49" s="240" t="s">
        <v>707</v>
      </c>
      <c r="G49" s="184">
        <v>25</v>
      </c>
      <c r="H49" s="386">
        <v>0</v>
      </c>
      <c r="I49" s="390">
        <v>0</v>
      </c>
      <c r="J49" s="242">
        <f t="shared" si="1"/>
        <v>25</v>
      </c>
    </row>
    <row r="50" spans="1:10" ht="14.95" thickBot="1" x14ac:dyDescent="0.3">
      <c r="A50" s="235" t="s">
        <v>725</v>
      </c>
      <c r="B50" s="182">
        <v>2</v>
      </c>
      <c r="C50" s="384">
        <v>0</v>
      </c>
      <c r="D50" s="388">
        <v>0</v>
      </c>
      <c r="E50" s="238">
        <f t="shared" si="0"/>
        <v>2</v>
      </c>
      <c r="F50" s="240" t="s">
        <v>725</v>
      </c>
      <c r="G50" s="184">
        <v>10</v>
      </c>
      <c r="H50" s="386">
        <v>0</v>
      </c>
      <c r="I50" s="390">
        <v>0</v>
      </c>
      <c r="J50" s="242">
        <f t="shared" si="1"/>
        <v>10</v>
      </c>
    </row>
    <row r="51" spans="1:10" ht="14.95" thickBot="1" x14ac:dyDescent="0.3">
      <c r="A51" s="235" t="s">
        <v>1225</v>
      </c>
      <c r="B51" s="182">
        <v>1</v>
      </c>
      <c r="C51" s="384">
        <v>0</v>
      </c>
      <c r="D51" s="388">
        <v>0</v>
      </c>
      <c r="E51" s="238">
        <f t="shared" si="0"/>
        <v>1</v>
      </c>
      <c r="F51" s="240" t="s">
        <v>1225</v>
      </c>
      <c r="G51" s="184">
        <v>5</v>
      </c>
      <c r="H51" s="386">
        <v>0</v>
      </c>
      <c r="I51" s="390">
        <v>0</v>
      </c>
      <c r="J51" s="242">
        <f t="shared" si="1"/>
        <v>5</v>
      </c>
    </row>
    <row r="52" spans="1:10" ht="14.95" thickBot="1" x14ac:dyDescent="0.3">
      <c r="A52" s="235" t="s">
        <v>3</v>
      </c>
      <c r="B52" s="182">
        <f>SUM(B3:B51)</f>
        <v>92</v>
      </c>
      <c r="C52" s="384">
        <f>SUM(C3:C51)</f>
        <v>21</v>
      </c>
      <c r="D52" s="388">
        <f>SUM(D3:D51)</f>
        <v>22</v>
      </c>
      <c r="E52" s="238">
        <f t="shared" si="0"/>
        <v>135</v>
      </c>
      <c r="F52" s="240" t="s">
        <v>3</v>
      </c>
      <c r="G52" s="184">
        <f>SUM(G3:G51)</f>
        <v>768</v>
      </c>
      <c r="H52" s="386">
        <f>SUM(H3:H51)</f>
        <v>144</v>
      </c>
      <c r="I52" s="390">
        <f>SUM(I3:I51)</f>
        <v>176</v>
      </c>
      <c r="J52" s="242">
        <f t="shared" si="1"/>
        <v>1088</v>
      </c>
    </row>
    <row r="53" spans="1:10" x14ac:dyDescent="0.25">
      <c r="B53" s="167"/>
      <c r="F53" s="39"/>
      <c r="G53" s="170"/>
      <c r="H53" s="39"/>
      <c r="I53" s="39"/>
      <c r="J53" s="39"/>
    </row>
    <row r="54" spans="1:10" ht="14.95" thickBot="1" x14ac:dyDescent="0.3">
      <c r="A54" t="s">
        <v>26</v>
      </c>
      <c r="B54" s="167"/>
      <c r="F54" s="36"/>
      <c r="G54" s="169"/>
      <c r="H54" s="36"/>
      <c r="I54" s="36"/>
      <c r="J54" s="36"/>
    </row>
    <row r="55" spans="1:10" ht="14.95" thickBot="1" x14ac:dyDescent="0.3">
      <c r="A55" s="234" t="s">
        <v>0</v>
      </c>
      <c r="B55" s="181" t="s">
        <v>620</v>
      </c>
      <c r="C55" s="383" t="s">
        <v>63</v>
      </c>
      <c r="D55" s="387" t="s">
        <v>925</v>
      </c>
      <c r="E55" s="236" t="s">
        <v>1</v>
      </c>
      <c r="F55" s="237" t="s">
        <v>2</v>
      </c>
      <c r="G55" s="183" t="s">
        <v>620</v>
      </c>
      <c r="H55" s="385" t="s">
        <v>63</v>
      </c>
      <c r="I55" s="389" t="s">
        <v>925</v>
      </c>
      <c r="J55" s="241" t="s">
        <v>1</v>
      </c>
    </row>
    <row r="56" spans="1:10" ht="14.95" thickBot="1" x14ac:dyDescent="0.3">
      <c r="A56" s="235" t="s">
        <v>605</v>
      </c>
      <c r="B56" s="182">
        <v>10</v>
      </c>
      <c r="C56" s="384">
        <v>0</v>
      </c>
      <c r="D56" s="388">
        <v>0</v>
      </c>
      <c r="E56" s="238">
        <f t="shared" ref="E56:E87" si="5">SUM(B56:D56)</f>
        <v>10</v>
      </c>
      <c r="F56" s="239" t="s">
        <v>532</v>
      </c>
      <c r="G56" s="184">
        <v>220</v>
      </c>
      <c r="H56" s="386">
        <v>24</v>
      </c>
      <c r="I56" s="390">
        <v>0</v>
      </c>
      <c r="J56" s="242">
        <f t="shared" ref="J56:J87" si="6">SUM(G56:I56)</f>
        <v>244</v>
      </c>
    </row>
    <row r="57" spans="1:10" ht="14.95" thickBot="1" x14ac:dyDescent="0.3">
      <c r="A57" s="235" t="s">
        <v>943</v>
      </c>
      <c r="B57" s="182">
        <v>1</v>
      </c>
      <c r="C57" s="384">
        <v>3</v>
      </c>
      <c r="D57" s="388">
        <v>6</v>
      </c>
      <c r="E57" s="238">
        <f t="shared" si="5"/>
        <v>10</v>
      </c>
      <c r="F57" s="239" t="s">
        <v>932</v>
      </c>
      <c r="G57" s="184">
        <v>102</v>
      </c>
      <c r="H57" s="386">
        <v>6</v>
      </c>
      <c r="I57" s="390">
        <v>0</v>
      </c>
      <c r="J57" s="242">
        <f t="shared" si="6"/>
        <v>108</v>
      </c>
    </row>
    <row r="58" spans="1:10" ht="14.95" thickBot="1" x14ac:dyDescent="0.3">
      <c r="A58" s="235" t="s">
        <v>934</v>
      </c>
      <c r="B58" s="182">
        <v>7</v>
      </c>
      <c r="C58" s="384">
        <v>2</v>
      </c>
      <c r="D58" s="388">
        <v>0</v>
      </c>
      <c r="E58" s="238">
        <f t="shared" si="5"/>
        <v>9</v>
      </c>
      <c r="F58" s="239" t="s">
        <v>936</v>
      </c>
      <c r="G58" s="184">
        <v>8</v>
      </c>
      <c r="H58" s="386">
        <v>12</v>
      </c>
      <c r="I58" s="390">
        <v>43</v>
      </c>
      <c r="J58" s="242">
        <f t="shared" si="6"/>
        <v>63</v>
      </c>
    </row>
    <row r="59" spans="1:10" ht="14.95" thickBot="1" x14ac:dyDescent="0.3">
      <c r="A59" s="235" t="s">
        <v>581</v>
      </c>
      <c r="B59" s="182">
        <v>7</v>
      </c>
      <c r="C59" s="384">
        <v>2</v>
      </c>
      <c r="D59" s="388">
        <v>0</v>
      </c>
      <c r="E59" s="238">
        <f t="shared" si="5"/>
        <v>9</v>
      </c>
      <c r="F59" s="239" t="s">
        <v>605</v>
      </c>
      <c r="G59" s="184">
        <v>50</v>
      </c>
      <c r="H59" s="386">
        <v>0</v>
      </c>
      <c r="I59" s="390">
        <v>0</v>
      </c>
      <c r="J59" s="242">
        <f t="shared" si="6"/>
        <v>50</v>
      </c>
    </row>
    <row r="60" spans="1:10" ht="14.95" thickBot="1" x14ac:dyDescent="0.3">
      <c r="A60" s="235" t="s">
        <v>768</v>
      </c>
      <c r="B60" s="182">
        <v>7</v>
      </c>
      <c r="C60" s="384">
        <v>1</v>
      </c>
      <c r="D60" s="388">
        <v>0</v>
      </c>
      <c r="E60" s="238">
        <f t="shared" si="5"/>
        <v>8</v>
      </c>
      <c r="F60" s="239" t="s">
        <v>943</v>
      </c>
      <c r="G60" s="184">
        <v>5</v>
      </c>
      <c r="H60" s="386">
        <v>15</v>
      </c>
      <c r="I60" s="390">
        <v>30</v>
      </c>
      <c r="J60" s="242">
        <f t="shared" si="6"/>
        <v>50</v>
      </c>
    </row>
    <row r="61" spans="1:10" ht="14.95" thickBot="1" x14ac:dyDescent="0.3">
      <c r="A61" s="235" t="s">
        <v>711</v>
      </c>
      <c r="B61" s="182">
        <v>5</v>
      </c>
      <c r="C61" s="384">
        <v>0</v>
      </c>
      <c r="D61" s="388">
        <v>3</v>
      </c>
      <c r="E61" s="238">
        <f t="shared" si="5"/>
        <v>8</v>
      </c>
      <c r="F61" s="239" t="s">
        <v>934</v>
      </c>
      <c r="G61" s="184">
        <v>35</v>
      </c>
      <c r="H61" s="386">
        <v>10</v>
      </c>
      <c r="I61" s="390">
        <v>0</v>
      </c>
      <c r="J61" s="242">
        <f t="shared" si="6"/>
        <v>45</v>
      </c>
    </row>
    <row r="62" spans="1:10" ht="14.95" thickBot="1" x14ac:dyDescent="0.3">
      <c r="A62" s="235" t="s">
        <v>534</v>
      </c>
      <c r="B62" s="182">
        <v>6</v>
      </c>
      <c r="C62" s="384">
        <v>2</v>
      </c>
      <c r="D62" s="388">
        <v>0</v>
      </c>
      <c r="E62" s="238">
        <f t="shared" si="5"/>
        <v>8</v>
      </c>
      <c r="F62" s="239" t="s">
        <v>581</v>
      </c>
      <c r="G62" s="184">
        <v>35</v>
      </c>
      <c r="H62" s="386">
        <v>10</v>
      </c>
      <c r="I62" s="390">
        <v>0</v>
      </c>
      <c r="J62" s="242">
        <f t="shared" si="6"/>
        <v>45</v>
      </c>
    </row>
    <row r="63" spans="1:10" ht="14.95" thickBot="1" x14ac:dyDescent="0.3">
      <c r="A63" s="235" t="s">
        <v>1169</v>
      </c>
      <c r="B63" s="182">
        <v>6</v>
      </c>
      <c r="C63" s="384">
        <v>1</v>
      </c>
      <c r="D63" s="388">
        <v>0</v>
      </c>
      <c r="E63" s="238">
        <f t="shared" si="5"/>
        <v>7</v>
      </c>
      <c r="F63" s="239" t="s">
        <v>768</v>
      </c>
      <c r="G63" s="184">
        <v>35</v>
      </c>
      <c r="H63" s="386">
        <v>5</v>
      </c>
      <c r="I63" s="390">
        <v>0</v>
      </c>
      <c r="J63" s="242">
        <f t="shared" si="6"/>
        <v>40</v>
      </c>
    </row>
    <row r="64" spans="1:10" ht="14.95" thickBot="1" x14ac:dyDescent="0.3">
      <c r="A64" s="235" t="s">
        <v>587</v>
      </c>
      <c r="B64" s="182">
        <v>6</v>
      </c>
      <c r="C64" s="384">
        <v>1</v>
      </c>
      <c r="D64" s="388">
        <v>0</v>
      </c>
      <c r="E64" s="238">
        <f t="shared" si="5"/>
        <v>7</v>
      </c>
      <c r="F64" s="239" t="s">
        <v>711</v>
      </c>
      <c r="G64" s="184">
        <v>25</v>
      </c>
      <c r="H64" s="386">
        <v>0</v>
      </c>
      <c r="I64" s="390">
        <v>15</v>
      </c>
      <c r="J64" s="242">
        <f t="shared" si="6"/>
        <v>40</v>
      </c>
    </row>
    <row r="65" spans="1:10" ht="14.95" thickBot="1" x14ac:dyDescent="0.3">
      <c r="A65" s="235" t="s">
        <v>750</v>
      </c>
      <c r="B65" s="182">
        <v>1</v>
      </c>
      <c r="C65" s="384">
        <v>2</v>
      </c>
      <c r="D65" s="388">
        <v>2</v>
      </c>
      <c r="E65" s="238">
        <f t="shared" si="5"/>
        <v>5</v>
      </c>
      <c r="F65" s="240" t="s">
        <v>534</v>
      </c>
      <c r="G65" s="184">
        <v>30</v>
      </c>
      <c r="H65" s="386">
        <v>10</v>
      </c>
      <c r="I65" s="390">
        <v>0</v>
      </c>
      <c r="J65" s="242">
        <f t="shared" si="6"/>
        <v>40</v>
      </c>
    </row>
    <row r="66" spans="1:10" ht="14.95" thickBot="1" x14ac:dyDescent="0.3">
      <c r="A66" s="235" t="s">
        <v>609</v>
      </c>
      <c r="B66" s="182">
        <v>4</v>
      </c>
      <c r="C66" s="384">
        <v>1</v>
      </c>
      <c r="D66" s="388">
        <v>0</v>
      </c>
      <c r="E66" s="238">
        <f t="shared" si="5"/>
        <v>5</v>
      </c>
      <c r="F66" s="240" t="s">
        <v>1169</v>
      </c>
      <c r="G66" s="184">
        <v>30</v>
      </c>
      <c r="H66" s="386">
        <v>5</v>
      </c>
      <c r="I66" s="390">
        <v>0</v>
      </c>
      <c r="J66" s="242">
        <f t="shared" si="6"/>
        <v>35</v>
      </c>
    </row>
    <row r="67" spans="1:10" ht="14.95" thickBot="1" x14ac:dyDescent="0.3">
      <c r="A67" s="235" t="s">
        <v>776</v>
      </c>
      <c r="B67" s="182">
        <v>3</v>
      </c>
      <c r="C67" s="384">
        <v>1</v>
      </c>
      <c r="D67" s="388">
        <v>1</v>
      </c>
      <c r="E67" s="238">
        <f t="shared" si="5"/>
        <v>5</v>
      </c>
      <c r="F67" s="240" t="s">
        <v>587</v>
      </c>
      <c r="G67" s="184">
        <v>30</v>
      </c>
      <c r="H67" s="386">
        <v>5</v>
      </c>
      <c r="I67" s="390">
        <v>0</v>
      </c>
      <c r="J67" s="242">
        <f t="shared" si="6"/>
        <v>35</v>
      </c>
    </row>
    <row r="68" spans="1:10" ht="14.95" thickBot="1" x14ac:dyDescent="0.3">
      <c r="A68" s="235" t="s">
        <v>707</v>
      </c>
      <c r="B68" s="182">
        <v>5</v>
      </c>
      <c r="C68" s="384">
        <v>0</v>
      </c>
      <c r="D68" s="388">
        <v>0</v>
      </c>
      <c r="E68" s="238">
        <f t="shared" si="5"/>
        <v>5</v>
      </c>
      <c r="F68" s="240" t="s">
        <v>940</v>
      </c>
      <c r="G68" s="184">
        <v>0</v>
      </c>
      <c r="H68" s="386">
        <v>0</v>
      </c>
      <c r="I68" s="390">
        <v>29</v>
      </c>
      <c r="J68" s="242">
        <f t="shared" si="6"/>
        <v>29</v>
      </c>
    </row>
    <row r="69" spans="1:10" ht="14.95" thickBot="1" x14ac:dyDescent="0.3">
      <c r="A69" s="235" t="s">
        <v>722</v>
      </c>
      <c r="B69" s="182">
        <v>0</v>
      </c>
      <c r="C69" s="384">
        <v>1</v>
      </c>
      <c r="D69" s="388">
        <v>3</v>
      </c>
      <c r="E69" s="238">
        <f t="shared" si="5"/>
        <v>4</v>
      </c>
      <c r="F69" s="240" t="s">
        <v>6</v>
      </c>
      <c r="G69" s="184">
        <v>21</v>
      </c>
      <c r="H69" s="386">
        <v>7</v>
      </c>
      <c r="I69" s="390">
        <v>0</v>
      </c>
      <c r="J69" s="242">
        <f t="shared" si="6"/>
        <v>28</v>
      </c>
    </row>
    <row r="70" spans="1:10" ht="14.95" thickBot="1" x14ac:dyDescent="0.3">
      <c r="A70" s="235" t="s">
        <v>936</v>
      </c>
      <c r="B70" s="182">
        <v>1</v>
      </c>
      <c r="C70" s="384">
        <v>1</v>
      </c>
      <c r="D70" s="388">
        <v>2</v>
      </c>
      <c r="E70" s="238">
        <f t="shared" si="5"/>
        <v>4</v>
      </c>
      <c r="F70" s="240" t="s">
        <v>750</v>
      </c>
      <c r="G70" s="184">
        <v>5</v>
      </c>
      <c r="H70" s="386">
        <v>10</v>
      </c>
      <c r="I70" s="390">
        <v>10</v>
      </c>
      <c r="J70" s="242">
        <f t="shared" si="6"/>
        <v>25</v>
      </c>
    </row>
    <row r="71" spans="1:10" ht="14.95" thickBot="1" x14ac:dyDescent="0.3">
      <c r="A71" s="235" t="s">
        <v>6</v>
      </c>
      <c r="B71" s="182">
        <v>3</v>
      </c>
      <c r="C71" s="384">
        <v>1</v>
      </c>
      <c r="D71" s="388">
        <v>0</v>
      </c>
      <c r="E71" s="238">
        <f t="shared" si="5"/>
        <v>4</v>
      </c>
      <c r="F71" s="240" t="s">
        <v>609</v>
      </c>
      <c r="G71" s="184">
        <v>20</v>
      </c>
      <c r="H71" s="386">
        <v>5</v>
      </c>
      <c r="I71" s="390">
        <v>0</v>
      </c>
      <c r="J71" s="242">
        <f t="shared" si="6"/>
        <v>25</v>
      </c>
    </row>
    <row r="72" spans="1:10" ht="14.95" thickBot="1" x14ac:dyDescent="0.3">
      <c r="A72" s="235" t="s">
        <v>932</v>
      </c>
      <c r="B72" s="182">
        <v>3</v>
      </c>
      <c r="C72" s="384">
        <v>0</v>
      </c>
      <c r="D72" s="388">
        <v>0</v>
      </c>
      <c r="E72" s="238">
        <f t="shared" si="5"/>
        <v>3</v>
      </c>
      <c r="F72" s="240" t="s">
        <v>776</v>
      </c>
      <c r="G72" s="184">
        <v>15</v>
      </c>
      <c r="H72" s="386">
        <v>5</v>
      </c>
      <c r="I72" s="390">
        <v>5</v>
      </c>
      <c r="J72" s="242">
        <f t="shared" si="6"/>
        <v>25</v>
      </c>
    </row>
    <row r="73" spans="1:10" ht="14.95" thickBot="1" x14ac:dyDescent="0.3">
      <c r="A73" s="235" t="s">
        <v>532</v>
      </c>
      <c r="B73" s="182">
        <v>2</v>
      </c>
      <c r="C73" s="384">
        <v>0</v>
      </c>
      <c r="D73" s="388">
        <v>0</v>
      </c>
      <c r="E73" s="238">
        <f t="shared" si="5"/>
        <v>2</v>
      </c>
      <c r="F73" s="240" t="s">
        <v>707</v>
      </c>
      <c r="G73" s="184">
        <v>25</v>
      </c>
      <c r="H73" s="386">
        <v>0</v>
      </c>
      <c r="I73" s="390">
        <v>0</v>
      </c>
      <c r="J73" s="242">
        <f t="shared" si="6"/>
        <v>25</v>
      </c>
    </row>
    <row r="74" spans="1:10" ht="14.95" thickBot="1" x14ac:dyDescent="0.3">
      <c r="A74" s="235" t="s">
        <v>117</v>
      </c>
      <c r="B74" s="182">
        <v>1</v>
      </c>
      <c r="C74" s="384">
        <v>1</v>
      </c>
      <c r="D74" s="388">
        <v>0</v>
      </c>
      <c r="E74" s="238">
        <f t="shared" si="5"/>
        <v>2</v>
      </c>
      <c r="F74" s="240" t="s">
        <v>722</v>
      </c>
      <c r="G74" s="184">
        <v>0</v>
      </c>
      <c r="H74" s="386">
        <v>5</v>
      </c>
      <c r="I74" s="390">
        <v>15</v>
      </c>
      <c r="J74" s="242">
        <f t="shared" si="6"/>
        <v>20</v>
      </c>
    </row>
    <row r="75" spans="1:10" ht="14.95" thickBot="1" x14ac:dyDescent="0.3">
      <c r="A75" s="235" t="s">
        <v>805</v>
      </c>
      <c r="B75" s="182">
        <v>2</v>
      </c>
      <c r="C75" s="384">
        <v>0</v>
      </c>
      <c r="D75" s="388">
        <v>0</v>
      </c>
      <c r="E75" s="238">
        <f t="shared" si="5"/>
        <v>2</v>
      </c>
      <c r="F75" s="240" t="s">
        <v>117</v>
      </c>
      <c r="G75" s="184">
        <v>5</v>
      </c>
      <c r="H75" s="386">
        <v>5</v>
      </c>
      <c r="I75" s="390">
        <v>0</v>
      </c>
      <c r="J75" s="242">
        <f t="shared" si="6"/>
        <v>10</v>
      </c>
    </row>
    <row r="76" spans="1:10" ht="14.95" thickBot="1" x14ac:dyDescent="0.3">
      <c r="A76" s="235" t="s">
        <v>169</v>
      </c>
      <c r="B76" s="182">
        <v>2</v>
      </c>
      <c r="C76" s="384">
        <v>0</v>
      </c>
      <c r="D76" s="388">
        <v>0</v>
      </c>
      <c r="E76" s="238">
        <f t="shared" si="5"/>
        <v>2</v>
      </c>
      <c r="F76" s="240" t="s">
        <v>805</v>
      </c>
      <c r="G76" s="184">
        <v>10</v>
      </c>
      <c r="H76" s="386">
        <v>0</v>
      </c>
      <c r="I76" s="390">
        <v>0</v>
      </c>
      <c r="J76" s="242">
        <f t="shared" si="6"/>
        <v>10</v>
      </c>
    </row>
    <row r="77" spans="1:10" ht="14.95" thickBot="1" x14ac:dyDescent="0.3">
      <c r="A77" s="235" t="s">
        <v>1185</v>
      </c>
      <c r="B77" s="182">
        <v>0</v>
      </c>
      <c r="C77" s="384">
        <v>0</v>
      </c>
      <c r="D77" s="388">
        <v>2</v>
      </c>
      <c r="E77" s="238">
        <f t="shared" si="5"/>
        <v>2</v>
      </c>
      <c r="F77" s="240" t="s">
        <v>169</v>
      </c>
      <c r="G77" s="184">
        <v>10</v>
      </c>
      <c r="H77" s="386">
        <v>0</v>
      </c>
      <c r="I77" s="390">
        <v>0</v>
      </c>
      <c r="J77" s="242">
        <f t="shared" si="6"/>
        <v>10</v>
      </c>
    </row>
    <row r="78" spans="1:10" ht="14.95" thickBot="1" x14ac:dyDescent="0.3">
      <c r="A78" s="235" t="s">
        <v>725</v>
      </c>
      <c r="B78" s="182">
        <v>2</v>
      </c>
      <c r="C78" s="384">
        <v>0</v>
      </c>
      <c r="D78" s="388">
        <v>0</v>
      </c>
      <c r="E78" s="238">
        <f t="shared" si="5"/>
        <v>2</v>
      </c>
      <c r="F78" s="240" t="s">
        <v>1185</v>
      </c>
      <c r="G78" s="184">
        <v>0</v>
      </c>
      <c r="H78" s="386">
        <v>0</v>
      </c>
      <c r="I78" s="390">
        <v>10</v>
      </c>
      <c r="J78" s="242">
        <f t="shared" si="6"/>
        <v>10</v>
      </c>
    </row>
    <row r="79" spans="1:10" ht="14.95" thickBot="1" x14ac:dyDescent="0.3">
      <c r="A79" s="235" t="s">
        <v>785</v>
      </c>
      <c r="B79" s="182">
        <v>1</v>
      </c>
      <c r="C79" s="384">
        <v>0</v>
      </c>
      <c r="D79" s="388">
        <v>0</v>
      </c>
      <c r="E79" s="238">
        <f t="shared" si="5"/>
        <v>1</v>
      </c>
      <c r="F79" s="240" t="s">
        <v>725</v>
      </c>
      <c r="G79" s="184">
        <v>10</v>
      </c>
      <c r="H79" s="386">
        <v>0</v>
      </c>
      <c r="I79" s="390">
        <v>0</v>
      </c>
      <c r="J79" s="242">
        <f t="shared" si="6"/>
        <v>10</v>
      </c>
    </row>
    <row r="80" spans="1:10" ht="14.95" thickBot="1" x14ac:dyDescent="0.3">
      <c r="A80" s="235" t="s">
        <v>66</v>
      </c>
      <c r="B80" s="182">
        <v>1</v>
      </c>
      <c r="C80" s="384">
        <v>0</v>
      </c>
      <c r="D80" s="388">
        <v>0</v>
      </c>
      <c r="E80" s="238">
        <f t="shared" si="5"/>
        <v>1</v>
      </c>
      <c r="F80" s="240" t="s">
        <v>789</v>
      </c>
      <c r="G80" s="184">
        <v>0</v>
      </c>
      <c r="H80" s="386">
        <v>0</v>
      </c>
      <c r="I80" s="390">
        <v>9</v>
      </c>
      <c r="J80" s="242">
        <f t="shared" si="6"/>
        <v>9</v>
      </c>
    </row>
    <row r="81" spans="1:10" ht="14.95" thickBot="1" x14ac:dyDescent="0.3">
      <c r="A81" s="235" t="s">
        <v>816</v>
      </c>
      <c r="B81" s="182">
        <v>0</v>
      </c>
      <c r="C81" s="384">
        <v>0</v>
      </c>
      <c r="D81" s="388">
        <v>1</v>
      </c>
      <c r="E81" s="238">
        <f t="shared" si="5"/>
        <v>1</v>
      </c>
      <c r="F81" s="240" t="s">
        <v>748</v>
      </c>
      <c r="G81" s="184">
        <v>7</v>
      </c>
      <c r="H81" s="386">
        <v>0</v>
      </c>
      <c r="I81" s="390">
        <v>0</v>
      </c>
      <c r="J81" s="242">
        <f t="shared" si="6"/>
        <v>7</v>
      </c>
    </row>
    <row r="82" spans="1:10" ht="14.95" thickBot="1" x14ac:dyDescent="0.3">
      <c r="A82" s="235" t="s">
        <v>628</v>
      </c>
      <c r="B82" s="182">
        <v>0</v>
      </c>
      <c r="C82" s="384">
        <v>0</v>
      </c>
      <c r="D82" s="388">
        <v>1</v>
      </c>
      <c r="E82" s="238">
        <f t="shared" si="5"/>
        <v>1</v>
      </c>
      <c r="F82" s="240" t="s">
        <v>785</v>
      </c>
      <c r="G82" s="184">
        <v>5</v>
      </c>
      <c r="H82" s="386">
        <v>0</v>
      </c>
      <c r="I82" s="390">
        <v>0</v>
      </c>
      <c r="J82" s="242">
        <f t="shared" si="6"/>
        <v>5</v>
      </c>
    </row>
    <row r="83" spans="1:10" ht="14.95" thickBot="1" x14ac:dyDescent="0.3">
      <c r="A83" s="235" t="s">
        <v>664</v>
      </c>
      <c r="B83" s="182">
        <v>0</v>
      </c>
      <c r="C83" s="384">
        <v>1</v>
      </c>
      <c r="D83" s="388">
        <v>0</v>
      </c>
      <c r="E83" s="238">
        <f t="shared" si="5"/>
        <v>1</v>
      </c>
      <c r="F83" s="240" t="s">
        <v>66</v>
      </c>
      <c r="G83" s="184">
        <v>5</v>
      </c>
      <c r="H83" s="386">
        <v>0</v>
      </c>
      <c r="I83" s="390">
        <v>0</v>
      </c>
      <c r="J83" s="242">
        <f t="shared" si="6"/>
        <v>5</v>
      </c>
    </row>
    <row r="84" spans="1:10" ht="14.95" thickBot="1" x14ac:dyDescent="0.3">
      <c r="A84" s="235" t="s">
        <v>748</v>
      </c>
      <c r="B84" s="182">
        <v>1</v>
      </c>
      <c r="C84" s="384">
        <v>0</v>
      </c>
      <c r="D84" s="388">
        <v>0</v>
      </c>
      <c r="E84" s="238">
        <f t="shared" si="5"/>
        <v>1</v>
      </c>
      <c r="F84" s="240" t="s">
        <v>816</v>
      </c>
      <c r="G84" s="184">
        <v>0</v>
      </c>
      <c r="H84" s="386">
        <v>0</v>
      </c>
      <c r="I84" s="390">
        <v>5</v>
      </c>
      <c r="J84" s="242">
        <f t="shared" si="6"/>
        <v>5</v>
      </c>
    </row>
    <row r="85" spans="1:10" ht="14.95" thickBot="1" x14ac:dyDescent="0.3">
      <c r="A85" s="235" t="s">
        <v>777</v>
      </c>
      <c r="B85" s="182">
        <v>1</v>
      </c>
      <c r="C85" s="384">
        <v>0</v>
      </c>
      <c r="D85" s="388">
        <v>0</v>
      </c>
      <c r="E85" s="238">
        <f t="shared" si="5"/>
        <v>1</v>
      </c>
      <c r="F85" s="240" t="s">
        <v>628</v>
      </c>
      <c r="G85" s="184">
        <v>0</v>
      </c>
      <c r="H85" s="386">
        <v>0</v>
      </c>
      <c r="I85" s="390">
        <v>5</v>
      </c>
      <c r="J85" s="242">
        <f t="shared" si="6"/>
        <v>5</v>
      </c>
    </row>
    <row r="86" spans="1:10" ht="14.95" thickBot="1" x14ac:dyDescent="0.3">
      <c r="A86" s="235" t="s">
        <v>946</v>
      </c>
      <c r="B86" s="182">
        <v>1</v>
      </c>
      <c r="C86" s="384">
        <v>0</v>
      </c>
      <c r="D86" s="388">
        <v>0</v>
      </c>
      <c r="E86" s="238">
        <f t="shared" si="5"/>
        <v>1</v>
      </c>
      <c r="F86" s="240" t="s">
        <v>664</v>
      </c>
      <c r="G86" s="184">
        <v>0</v>
      </c>
      <c r="H86" s="386">
        <v>5</v>
      </c>
      <c r="I86" s="390">
        <v>0</v>
      </c>
      <c r="J86" s="242">
        <f t="shared" si="6"/>
        <v>5</v>
      </c>
    </row>
    <row r="87" spans="1:10" ht="14.95" thickBot="1" x14ac:dyDescent="0.3">
      <c r="A87" s="235" t="s">
        <v>789</v>
      </c>
      <c r="B87" s="182">
        <v>0</v>
      </c>
      <c r="C87" s="384">
        <v>0</v>
      </c>
      <c r="D87" s="388">
        <v>1</v>
      </c>
      <c r="E87" s="238">
        <f t="shared" si="5"/>
        <v>1</v>
      </c>
      <c r="F87" s="240" t="s">
        <v>777</v>
      </c>
      <c r="G87" s="184">
        <v>5</v>
      </c>
      <c r="H87" s="386">
        <v>0</v>
      </c>
      <c r="I87" s="390">
        <v>0</v>
      </c>
      <c r="J87" s="242">
        <f t="shared" si="6"/>
        <v>5</v>
      </c>
    </row>
    <row r="88" spans="1:10" ht="14.95" thickBot="1" x14ac:dyDescent="0.3">
      <c r="A88" s="235" t="s">
        <v>381</v>
      </c>
      <c r="B88" s="182">
        <v>1</v>
      </c>
      <c r="C88" s="384">
        <v>0</v>
      </c>
      <c r="D88" s="388">
        <v>0</v>
      </c>
      <c r="E88" s="238">
        <f t="shared" ref="E88:E104" si="7">SUM(B88:D88)</f>
        <v>1</v>
      </c>
      <c r="F88" s="240" t="s">
        <v>946</v>
      </c>
      <c r="G88" s="184">
        <v>5</v>
      </c>
      <c r="H88" s="386">
        <v>0</v>
      </c>
      <c r="I88" s="390">
        <v>0</v>
      </c>
      <c r="J88" s="242">
        <f t="shared" ref="J88:J104" si="8">SUM(G88:I88)</f>
        <v>5</v>
      </c>
    </row>
    <row r="89" spans="1:10" ht="14.95" thickBot="1" x14ac:dyDescent="0.3">
      <c r="A89" s="235" t="s">
        <v>406</v>
      </c>
      <c r="B89" s="182">
        <v>1</v>
      </c>
      <c r="C89" s="384">
        <v>0</v>
      </c>
      <c r="D89" s="388">
        <v>0</v>
      </c>
      <c r="E89" s="238">
        <f t="shared" si="7"/>
        <v>1</v>
      </c>
      <c r="F89" s="240" t="s">
        <v>381</v>
      </c>
      <c r="G89" s="184">
        <v>5</v>
      </c>
      <c r="H89" s="386">
        <v>0</v>
      </c>
      <c r="I89" s="390">
        <v>0</v>
      </c>
      <c r="J89" s="242">
        <f t="shared" si="8"/>
        <v>5</v>
      </c>
    </row>
    <row r="90" spans="1:10" ht="14.95" thickBot="1" x14ac:dyDescent="0.3">
      <c r="A90" s="235" t="s">
        <v>1225</v>
      </c>
      <c r="B90" s="182">
        <v>1</v>
      </c>
      <c r="C90" s="384">
        <v>0</v>
      </c>
      <c r="D90" s="388">
        <v>0</v>
      </c>
      <c r="E90" s="238">
        <f t="shared" si="7"/>
        <v>1</v>
      </c>
      <c r="F90" s="240" t="s">
        <v>406</v>
      </c>
      <c r="G90" s="184">
        <v>5</v>
      </c>
      <c r="H90" s="386">
        <v>0</v>
      </c>
      <c r="I90" s="390">
        <v>0</v>
      </c>
      <c r="J90" s="242">
        <f t="shared" si="8"/>
        <v>5</v>
      </c>
    </row>
    <row r="91" spans="1:10" ht="14.95" thickBot="1" x14ac:dyDescent="0.3">
      <c r="A91" s="235" t="s">
        <v>746</v>
      </c>
      <c r="B91" s="182">
        <v>0</v>
      </c>
      <c r="C91" s="384">
        <v>0</v>
      </c>
      <c r="D91" s="388">
        <v>0</v>
      </c>
      <c r="E91" s="238">
        <f t="shared" si="7"/>
        <v>0</v>
      </c>
      <c r="F91" s="240" t="s">
        <v>1225</v>
      </c>
      <c r="G91" s="184">
        <v>5</v>
      </c>
      <c r="H91" s="386">
        <v>0</v>
      </c>
      <c r="I91" s="390">
        <v>0</v>
      </c>
      <c r="J91" s="242">
        <f t="shared" si="8"/>
        <v>5</v>
      </c>
    </row>
    <row r="92" spans="1:10" ht="14.95" thickBot="1" x14ac:dyDescent="0.3">
      <c r="A92" s="235" t="s">
        <v>76</v>
      </c>
      <c r="B92" s="182">
        <v>0</v>
      </c>
      <c r="C92" s="384">
        <v>0</v>
      </c>
      <c r="D92" s="388">
        <v>0</v>
      </c>
      <c r="E92" s="238">
        <f t="shared" si="7"/>
        <v>0</v>
      </c>
      <c r="F92" s="240" t="s">
        <v>746</v>
      </c>
      <c r="G92" s="184">
        <v>0</v>
      </c>
      <c r="H92" s="386">
        <v>0</v>
      </c>
      <c r="I92" s="390">
        <v>0</v>
      </c>
      <c r="J92" s="242">
        <f t="shared" si="8"/>
        <v>0</v>
      </c>
    </row>
    <row r="93" spans="1:10" ht="14.95" thickBot="1" x14ac:dyDescent="0.3">
      <c r="A93" s="235" t="s">
        <v>579</v>
      </c>
      <c r="B93" s="182">
        <v>0</v>
      </c>
      <c r="C93" s="384">
        <v>0</v>
      </c>
      <c r="D93" s="388">
        <v>0</v>
      </c>
      <c r="E93" s="238">
        <f t="shared" si="7"/>
        <v>0</v>
      </c>
      <c r="F93" s="240" t="s">
        <v>76</v>
      </c>
      <c r="G93" s="184">
        <v>0</v>
      </c>
      <c r="H93" s="386">
        <v>0</v>
      </c>
      <c r="I93" s="390">
        <v>0</v>
      </c>
      <c r="J93" s="242">
        <f t="shared" si="8"/>
        <v>0</v>
      </c>
    </row>
    <row r="94" spans="1:10" ht="14.95" thickBot="1" x14ac:dyDescent="0.3">
      <c r="A94" s="235" t="s">
        <v>938</v>
      </c>
      <c r="B94" s="182">
        <v>0</v>
      </c>
      <c r="C94" s="384">
        <v>0</v>
      </c>
      <c r="D94" s="388">
        <v>0</v>
      </c>
      <c r="E94" s="238">
        <f t="shared" si="7"/>
        <v>0</v>
      </c>
      <c r="F94" s="240" t="s">
        <v>579</v>
      </c>
      <c r="G94" s="184">
        <v>0</v>
      </c>
      <c r="H94" s="386">
        <v>0</v>
      </c>
      <c r="I94" s="390">
        <v>0</v>
      </c>
      <c r="J94" s="242">
        <f t="shared" si="8"/>
        <v>0</v>
      </c>
    </row>
    <row r="95" spans="1:10" ht="14.95" thickBot="1" x14ac:dyDescent="0.3">
      <c r="A95" s="235" t="s">
        <v>940</v>
      </c>
      <c r="B95" s="182">
        <v>0</v>
      </c>
      <c r="C95" s="384">
        <v>0</v>
      </c>
      <c r="D95" s="388">
        <v>0</v>
      </c>
      <c r="E95" s="238">
        <f t="shared" si="7"/>
        <v>0</v>
      </c>
      <c r="F95" s="240" t="s">
        <v>938</v>
      </c>
      <c r="G95" s="184">
        <v>0</v>
      </c>
      <c r="H95" s="386">
        <v>0</v>
      </c>
      <c r="I95" s="390">
        <v>0</v>
      </c>
      <c r="J95" s="242">
        <f t="shared" si="8"/>
        <v>0</v>
      </c>
    </row>
    <row r="96" spans="1:10" ht="14.95" thickBot="1" x14ac:dyDescent="0.3">
      <c r="A96" s="235" t="s">
        <v>536</v>
      </c>
      <c r="B96" s="182">
        <v>0</v>
      </c>
      <c r="C96" s="384">
        <v>0</v>
      </c>
      <c r="D96" s="388">
        <v>0</v>
      </c>
      <c r="E96" s="238">
        <f t="shared" si="7"/>
        <v>0</v>
      </c>
      <c r="F96" s="240" t="s">
        <v>536</v>
      </c>
      <c r="G96" s="184">
        <v>0</v>
      </c>
      <c r="H96" s="386">
        <v>0</v>
      </c>
      <c r="I96" s="390">
        <v>0</v>
      </c>
      <c r="J96" s="242">
        <f t="shared" si="8"/>
        <v>0</v>
      </c>
    </row>
    <row r="97" spans="1:10" ht="14.95" thickBot="1" x14ac:dyDescent="0.3">
      <c r="A97" s="235" t="s">
        <v>405</v>
      </c>
      <c r="B97" s="182">
        <v>0</v>
      </c>
      <c r="C97" s="384">
        <v>0</v>
      </c>
      <c r="D97" s="388">
        <v>0</v>
      </c>
      <c r="E97" s="238">
        <f t="shared" si="7"/>
        <v>0</v>
      </c>
      <c r="F97" s="240" t="s">
        <v>405</v>
      </c>
      <c r="G97" s="184">
        <v>0</v>
      </c>
      <c r="H97" s="386">
        <v>0</v>
      </c>
      <c r="I97" s="390">
        <v>0</v>
      </c>
      <c r="J97" s="242">
        <f t="shared" si="8"/>
        <v>0</v>
      </c>
    </row>
    <row r="98" spans="1:10" ht="14.95" thickBot="1" x14ac:dyDescent="0.3">
      <c r="A98" s="235" t="s">
        <v>942</v>
      </c>
      <c r="B98" s="182">
        <v>0</v>
      </c>
      <c r="C98" s="384">
        <v>0</v>
      </c>
      <c r="D98" s="388">
        <v>0</v>
      </c>
      <c r="E98" s="238">
        <f t="shared" si="7"/>
        <v>0</v>
      </c>
      <c r="F98" s="240" t="s">
        <v>942</v>
      </c>
      <c r="G98" s="184">
        <v>0</v>
      </c>
      <c r="H98" s="386">
        <v>0</v>
      </c>
      <c r="I98" s="390">
        <v>0</v>
      </c>
      <c r="J98" s="242">
        <f t="shared" si="8"/>
        <v>0</v>
      </c>
    </row>
    <row r="99" spans="1:10" ht="14.95" thickBot="1" x14ac:dyDescent="0.3">
      <c r="A99" s="235" t="s">
        <v>171</v>
      </c>
      <c r="B99" s="182">
        <v>0</v>
      </c>
      <c r="C99" s="384">
        <v>0</v>
      </c>
      <c r="D99" s="388">
        <v>0</v>
      </c>
      <c r="E99" s="238">
        <f t="shared" si="7"/>
        <v>0</v>
      </c>
      <c r="F99" s="240" t="s">
        <v>171</v>
      </c>
      <c r="G99" s="184">
        <v>0</v>
      </c>
      <c r="H99" s="386">
        <v>0</v>
      </c>
      <c r="I99" s="390">
        <v>0</v>
      </c>
      <c r="J99" s="242">
        <f t="shared" si="8"/>
        <v>0</v>
      </c>
    </row>
    <row r="100" spans="1:10" ht="14.95" thickBot="1" x14ac:dyDescent="0.3">
      <c r="A100" s="235" t="s">
        <v>48</v>
      </c>
      <c r="B100" s="182">
        <v>0</v>
      </c>
      <c r="C100" s="384">
        <v>0</v>
      </c>
      <c r="D100" s="388">
        <v>0</v>
      </c>
      <c r="E100" s="238">
        <f t="shared" si="7"/>
        <v>0</v>
      </c>
      <c r="F100" s="240" t="s">
        <v>48</v>
      </c>
      <c r="G100" s="184">
        <v>0</v>
      </c>
      <c r="H100" s="386">
        <v>0</v>
      </c>
      <c r="I100" s="390">
        <v>0</v>
      </c>
      <c r="J100" s="242">
        <f t="shared" si="8"/>
        <v>0</v>
      </c>
    </row>
    <row r="101" spans="1:10" ht="14.95" thickBot="1" x14ac:dyDescent="0.3">
      <c r="A101" s="235" t="s">
        <v>666</v>
      </c>
      <c r="B101" s="182">
        <v>0</v>
      </c>
      <c r="C101" s="384">
        <v>0</v>
      </c>
      <c r="D101" s="388">
        <v>0</v>
      </c>
      <c r="E101" s="238">
        <f t="shared" si="7"/>
        <v>0</v>
      </c>
      <c r="F101" s="240" t="s">
        <v>666</v>
      </c>
      <c r="G101" s="184">
        <v>0</v>
      </c>
      <c r="H101" s="386">
        <v>0</v>
      </c>
      <c r="I101" s="390">
        <v>0</v>
      </c>
      <c r="J101" s="242">
        <f t="shared" si="8"/>
        <v>0</v>
      </c>
    </row>
    <row r="102" spans="1:10" ht="14.95" thickBot="1" x14ac:dyDescent="0.3">
      <c r="A102" s="235" t="s">
        <v>950</v>
      </c>
      <c r="B102" s="182">
        <v>0</v>
      </c>
      <c r="C102" s="384">
        <v>0</v>
      </c>
      <c r="D102" s="388">
        <v>0</v>
      </c>
      <c r="E102" s="238">
        <f t="shared" si="7"/>
        <v>0</v>
      </c>
      <c r="F102" s="240" t="s">
        <v>950</v>
      </c>
      <c r="G102" s="184">
        <v>0</v>
      </c>
      <c r="H102" s="386">
        <v>0</v>
      </c>
      <c r="I102" s="390">
        <v>0</v>
      </c>
      <c r="J102" s="242">
        <f t="shared" si="8"/>
        <v>0</v>
      </c>
    </row>
    <row r="103" spans="1:10" ht="14.95" thickBot="1" x14ac:dyDescent="0.3">
      <c r="A103" s="235" t="s">
        <v>724</v>
      </c>
      <c r="B103" s="182">
        <v>0</v>
      </c>
      <c r="C103" s="384">
        <v>0</v>
      </c>
      <c r="D103" s="388">
        <v>0</v>
      </c>
      <c r="E103" s="238">
        <f t="shared" si="7"/>
        <v>0</v>
      </c>
      <c r="F103" s="240" t="s">
        <v>724</v>
      </c>
      <c r="G103" s="184">
        <v>0</v>
      </c>
      <c r="H103" s="386">
        <v>0</v>
      </c>
      <c r="I103" s="390">
        <v>0</v>
      </c>
      <c r="J103" s="242">
        <f t="shared" si="8"/>
        <v>0</v>
      </c>
    </row>
    <row r="104" spans="1:10" ht="14.95" thickBot="1" x14ac:dyDescent="0.3">
      <c r="A104" s="235" t="s">
        <v>952</v>
      </c>
      <c r="B104" s="182">
        <v>0</v>
      </c>
      <c r="C104" s="384">
        <v>0</v>
      </c>
      <c r="D104" s="388">
        <v>0</v>
      </c>
      <c r="E104" s="238">
        <f t="shared" si="7"/>
        <v>0</v>
      </c>
      <c r="F104" s="240" t="s">
        <v>952</v>
      </c>
      <c r="G104" s="184">
        <v>0</v>
      </c>
      <c r="H104" s="386">
        <v>0</v>
      </c>
      <c r="I104" s="390">
        <v>0</v>
      </c>
      <c r="J104" s="242">
        <f t="shared" si="8"/>
        <v>0</v>
      </c>
    </row>
    <row r="105" spans="1:10" ht="14.95" thickBot="1" x14ac:dyDescent="0.3">
      <c r="A105" s="235" t="s">
        <v>3</v>
      </c>
      <c r="B105" s="182">
        <f>SUM(B56:B104)</f>
        <v>92</v>
      </c>
      <c r="C105" s="384">
        <f>SUM(C56:C104)</f>
        <v>21</v>
      </c>
      <c r="D105" s="388">
        <f>SUM(D56:D104)</f>
        <v>22</v>
      </c>
      <c r="E105" s="238">
        <f t="shared" ref="E105" si="9">SUM(B105:D105)</f>
        <v>135</v>
      </c>
      <c r="F105" s="240" t="s">
        <v>3</v>
      </c>
      <c r="G105" s="184">
        <f>SUM(G56:G104)</f>
        <v>768</v>
      </c>
      <c r="H105" s="386">
        <f>SUM(H56:H104)</f>
        <v>144</v>
      </c>
      <c r="I105" s="390">
        <f>SUM(I56:I104)</f>
        <v>176</v>
      </c>
      <c r="J105" s="242">
        <f t="shared" ref="J105" si="10">SUM(G105:I105)</f>
        <v>1088</v>
      </c>
    </row>
    <row r="106" spans="1:10" x14ac:dyDescent="0.25">
      <c r="A106" s="582" t="s">
        <v>81</v>
      </c>
      <c r="B106" s="583"/>
      <c r="C106" s="583"/>
      <c r="D106" s="583"/>
      <c r="E106" s="583"/>
      <c r="F106" s="583"/>
      <c r="G106" s="583"/>
      <c r="H106" s="583"/>
      <c r="I106" s="583"/>
      <c r="J106" s="583"/>
    </row>
  </sheetData>
  <sortState xmlns:xlrd2="http://schemas.microsoft.com/office/spreadsheetml/2017/richdata2" ref="F56:J104">
    <sortCondition descending="1" ref="J56:J104"/>
  </sortState>
  <mergeCells count="50">
    <mergeCell ref="AU1:AW2"/>
    <mergeCell ref="K27:K28"/>
    <mergeCell ref="O27:Q28"/>
    <mergeCell ref="AR1:AT2"/>
    <mergeCell ref="R1:S2"/>
    <mergeCell ref="K20:K21"/>
    <mergeCell ref="K1:K2"/>
    <mergeCell ref="L1:N2"/>
    <mergeCell ref="O1:Q2"/>
    <mergeCell ref="AO1:AQ2"/>
    <mergeCell ref="L20:N21"/>
    <mergeCell ref="AL1:AN2"/>
    <mergeCell ref="AO20:AQ21"/>
    <mergeCell ref="T1:V2"/>
    <mergeCell ref="AC1:AE2"/>
    <mergeCell ref="K13:K14"/>
    <mergeCell ref="AI1:AK2"/>
    <mergeCell ref="K38:W38"/>
    <mergeCell ref="K36:AQ36"/>
    <mergeCell ref="A1:J1"/>
    <mergeCell ref="U27:W28"/>
    <mergeCell ref="AL20:AN21"/>
    <mergeCell ref="AC27:AE28"/>
    <mergeCell ref="AO27:AQ28"/>
    <mergeCell ref="AF27:AH28"/>
    <mergeCell ref="AI20:AK21"/>
    <mergeCell ref="AL27:AN28"/>
    <mergeCell ref="U20:W21"/>
    <mergeCell ref="W1:Y2"/>
    <mergeCell ref="R20:T21"/>
    <mergeCell ref="AF1:AH2"/>
    <mergeCell ref="L13:N14"/>
    <mergeCell ref="AL13:AN14"/>
    <mergeCell ref="AO13:AQ14"/>
    <mergeCell ref="O13:Q14"/>
    <mergeCell ref="AC13:AE14"/>
    <mergeCell ref="AF13:AH14"/>
    <mergeCell ref="R13:T14"/>
    <mergeCell ref="U13:W14"/>
    <mergeCell ref="AI13:AK14"/>
    <mergeCell ref="A106:J106"/>
    <mergeCell ref="K37:AB37"/>
    <mergeCell ref="AX31:AZ32"/>
    <mergeCell ref="BA31:BC32"/>
    <mergeCell ref="O20:Q21"/>
    <mergeCell ref="AC20:AE21"/>
    <mergeCell ref="R27:T28"/>
    <mergeCell ref="L27:N28"/>
    <mergeCell ref="AI27:AK28"/>
    <mergeCell ref="AF20:AH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E135"/>
  <sheetViews>
    <sheetView workbookViewId="0">
      <selection activeCell="K21" sqref="K21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6.375" bestFit="1" customWidth="1"/>
    <col min="12" max="14" width="5.375" customWidth="1"/>
    <col min="15" max="50" width="5.75" customWidth="1"/>
  </cols>
  <sheetData>
    <row r="1" spans="1:57" ht="14.95" customHeight="1" thickBot="1" x14ac:dyDescent="0.3">
      <c r="A1" s="589" t="s">
        <v>847</v>
      </c>
      <c r="B1" s="590"/>
      <c r="C1" s="590"/>
      <c r="D1" s="590"/>
      <c r="E1" s="590"/>
      <c r="F1" s="590"/>
      <c r="G1" s="590"/>
      <c r="H1" s="590"/>
      <c r="I1" s="590"/>
      <c r="J1" s="591"/>
      <c r="K1" s="540" t="s">
        <v>509</v>
      </c>
      <c r="L1" s="526" t="s">
        <v>29</v>
      </c>
      <c r="M1" s="527"/>
      <c r="N1" s="528"/>
      <c r="O1" s="526" t="s">
        <v>93</v>
      </c>
      <c r="P1" s="527"/>
      <c r="Q1" s="528"/>
      <c r="R1" s="526" t="s">
        <v>508</v>
      </c>
      <c r="S1" s="528"/>
      <c r="T1" s="520" t="s">
        <v>634</v>
      </c>
      <c r="U1" s="521"/>
      <c r="V1" s="522"/>
      <c r="W1" s="520" t="s">
        <v>863</v>
      </c>
      <c r="X1" s="521"/>
      <c r="Y1" s="522"/>
      <c r="Z1" s="325"/>
      <c r="AA1" s="214"/>
      <c r="AB1" s="214"/>
      <c r="AC1" s="327"/>
      <c r="AD1" s="520" t="s">
        <v>621</v>
      </c>
      <c r="AE1" s="521"/>
      <c r="AF1" s="522"/>
      <c r="AG1" s="520" t="s">
        <v>448</v>
      </c>
      <c r="AH1" s="521"/>
      <c r="AI1" s="522"/>
      <c r="AJ1" s="520" t="s">
        <v>178</v>
      </c>
      <c r="AK1" s="521"/>
      <c r="AL1" s="522"/>
      <c r="AM1" s="520" t="s">
        <v>122</v>
      </c>
      <c r="AN1" s="521"/>
      <c r="AO1" s="522"/>
      <c r="AP1" s="520" t="s">
        <v>113</v>
      </c>
      <c r="AQ1" s="521"/>
      <c r="AR1" s="522"/>
      <c r="AS1" s="520" t="s">
        <v>96</v>
      </c>
      <c r="AT1" s="521"/>
      <c r="AU1" s="522"/>
      <c r="AV1" s="520" t="s">
        <v>97</v>
      </c>
      <c r="AW1" s="521"/>
      <c r="AX1" s="522"/>
      <c r="AZ1" s="4"/>
      <c r="BA1" s="4"/>
      <c r="BB1" s="4"/>
      <c r="BE1" s="4"/>
    </row>
    <row r="2" spans="1:57" ht="14.95" customHeight="1" thickBot="1" x14ac:dyDescent="0.3">
      <c r="A2" s="244" t="s">
        <v>0</v>
      </c>
      <c r="B2" s="281" t="s">
        <v>620</v>
      </c>
      <c r="C2" s="227" t="s">
        <v>64</v>
      </c>
      <c r="D2" s="445" t="s">
        <v>925</v>
      </c>
      <c r="E2" s="227" t="s">
        <v>1</v>
      </c>
      <c r="F2" s="246" t="s">
        <v>2</v>
      </c>
      <c r="G2" s="138" t="s">
        <v>620</v>
      </c>
      <c r="H2" s="342" t="s">
        <v>64</v>
      </c>
      <c r="I2" s="428" t="s">
        <v>925</v>
      </c>
      <c r="J2" s="249" t="s">
        <v>1</v>
      </c>
      <c r="K2" s="541"/>
      <c r="L2" s="529"/>
      <c r="M2" s="530"/>
      <c r="N2" s="531"/>
      <c r="O2" s="529"/>
      <c r="P2" s="530"/>
      <c r="Q2" s="531"/>
      <c r="R2" s="529"/>
      <c r="S2" s="531"/>
      <c r="T2" s="523"/>
      <c r="U2" s="524"/>
      <c r="V2" s="525"/>
      <c r="W2" s="523"/>
      <c r="X2" s="524"/>
      <c r="Y2" s="525"/>
      <c r="Z2" s="325"/>
      <c r="AA2" s="214"/>
      <c r="AB2" s="214"/>
      <c r="AC2" s="327"/>
      <c r="AD2" s="523"/>
      <c r="AE2" s="524"/>
      <c r="AF2" s="525"/>
      <c r="AG2" s="523"/>
      <c r="AH2" s="524"/>
      <c r="AI2" s="525"/>
      <c r="AJ2" s="523"/>
      <c r="AK2" s="524"/>
      <c r="AL2" s="525"/>
      <c r="AM2" s="523"/>
      <c r="AN2" s="524"/>
      <c r="AO2" s="525"/>
      <c r="AP2" s="523"/>
      <c r="AQ2" s="524"/>
      <c r="AR2" s="525"/>
      <c r="AS2" s="523"/>
      <c r="AT2" s="524"/>
      <c r="AU2" s="525"/>
      <c r="AV2" s="523"/>
      <c r="AW2" s="524"/>
      <c r="AX2" s="525"/>
    </row>
    <row r="3" spans="1:57" ht="14.95" customHeight="1" thickBot="1" x14ac:dyDescent="0.3">
      <c r="A3" s="245" t="s">
        <v>1155</v>
      </c>
      <c r="B3" s="282">
        <v>2</v>
      </c>
      <c r="C3" s="228">
        <v>2</v>
      </c>
      <c r="D3" s="446">
        <v>3</v>
      </c>
      <c r="E3" s="228">
        <f>SUM(B3:D3)</f>
        <v>7</v>
      </c>
      <c r="F3" s="247" t="s">
        <v>1155</v>
      </c>
      <c r="G3" s="92">
        <v>10</v>
      </c>
      <c r="H3" s="343">
        <v>10</v>
      </c>
      <c r="I3" s="429">
        <v>15</v>
      </c>
      <c r="J3" s="250">
        <f>SUM(G3:I3)</f>
        <v>35</v>
      </c>
      <c r="K3" s="393" t="s">
        <v>44</v>
      </c>
      <c r="L3" s="3" t="s">
        <v>107</v>
      </c>
      <c r="M3" s="3" t="s">
        <v>23</v>
      </c>
      <c r="N3" s="3" t="s">
        <v>24</v>
      </c>
      <c r="O3" s="3" t="s">
        <v>107</v>
      </c>
      <c r="P3" s="3" t="s">
        <v>23</v>
      </c>
      <c r="Q3" s="3" t="s">
        <v>24</v>
      </c>
      <c r="R3" s="3" t="s">
        <v>34</v>
      </c>
      <c r="S3" s="3" t="s">
        <v>135</v>
      </c>
      <c r="T3" s="7" t="s">
        <v>107</v>
      </c>
      <c r="U3" s="7" t="s">
        <v>23</v>
      </c>
      <c r="V3" s="7" t="s">
        <v>24</v>
      </c>
      <c r="W3" s="201" t="s">
        <v>107</v>
      </c>
      <c r="X3" s="7" t="s">
        <v>23</v>
      </c>
      <c r="Y3" s="7" t="s">
        <v>24</v>
      </c>
      <c r="Z3" s="108"/>
      <c r="AA3" s="109"/>
      <c r="AB3" s="109"/>
      <c r="AC3" s="327"/>
      <c r="AD3" s="201" t="s">
        <v>107</v>
      </c>
      <c r="AE3" s="7" t="s">
        <v>23</v>
      </c>
      <c r="AF3" s="7" t="s">
        <v>24</v>
      </c>
      <c r="AG3" s="201" t="s">
        <v>107</v>
      </c>
      <c r="AH3" s="7" t="s">
        <v>23</v>
      </c>
      <c r="AI3" s="7" t="s">
        <v>24</v>
      </c>
      <c r="AJ3" s="201" t="s">
        <v>107</v>
      </c>
      <c r="AK3" s="7" t="s">
        <v>23</v>
      </c>
      <c r="AL3" s="7" t="s">
        <v>24</v>
      </c>
      <c r="AM3" s="201" t="s">
        <v>107</v>
      </c>
      <c r="AN3" s="7" t="s">
        <v>23</v>
      </c>
      <c r="AO3" s="7" t="s">
        <v>24</v>
      </c>
      <c r="AP3" s="7" t="s">
        <v>107</v>
      </c>
      <c r="AQ3" s="7" t="s">
        <v>23</v>
      </c>
      <c r="AR3" s="7" t="s">
        <v>24</v>
      </c>
      <c r="AS3" s="7" t="s">
        <v>107</v>
      </c>
      <c r="AT3" s="7" t="s">
        <v>23</v>
      </c>
      <c r="AU3" s="7" t="s">
        <v>24</v>
      </c>
      <c r="AV3" s="7" t="s">
        <v>107</v>
      </c>
      <c r="AW3" s="7" t="s">
        <v>23</v>
      </c>
      <c r="AX3" s="7" t="s">
        <v>24</v>
      </c>
    </row>
    <row r="4" spans="1:57" ht="14.95" customHeight="1" thickBot="1" x14ac:dyDescent="0.3">
      <c r="A4" s="245" t="s">
        <v>87</v>
      </c>
      <c r="B4" s="282">
        <v>0</v>
      </c>
      <c r="C4" s="228">
        <v>0</v>
      </c>
      <c r="D4" s="446">
        <v>0</v>
      </c>
      <c r="E4" s="228">
        <f>SUM(B4:D4)</f>
        <v>0</v>
      </c>
      <c r="F4" s="247" t="s">
        <v>87</v>
      </c>
      <c r="G4" s="92">
        <v>0</v>
      </c>
      <c r="H4" s="343">
        <v>0</v>
      </c>
      <c r="I4" s="429">
        <v>4</v>
      </c>
      <c r="J4" s="250">
        <f>SUM(G4:I4)</f>
        <v>4</v>
      </c>
      <c r="K4" s="251" t="s">
        <v>87</v>
      </c>
      <c r="L4" s="252" t="s">
        <v>30</v>
      </c>
      <c r="M4" s="252" t="s">
        <v>30</v>
      </c>
      <c r="N4" s="253" t="s">
        <v>30</v>
      </c>
      <c r="O4" s="252" t="s">
        <v>30</v>
      </c>
      <c r="P4" s="252" t="s">
        <v>30</v>
      </c>
      <c r="Q4" s="253" t="s">
        <v>30</v>
      </c>
      <c r="R4" s="252">
        <v>1</v>
      </c>
      <c r="S4" s="252">
        <v>1</v>
      </c>
      <c r="T4" s="7" t="s">
        <v>30</v>
      </c>
      <c r="U4" s="7" t="s">
        <v>30</v>
      </c>
      <c r="V4" s="206" t="s">
        <v>30</v>
      </c>
      <c r="W4" s="201">
        <v>3</v>
      </c>
      <c r="X4" s="7">
        <v>5</v>
      </c>
      <c r="Y4" s="206">
        <f>(W4/X4)*100</f>
        <v>60</v>
      </c>
      <c r="Z4" s="108"/>
      <c r="AA4" s="109"/>
      <c r="AB4" s="109"/>
      <c r="AC4" s="327"/>
      <c r="AD4" s="201" t="s">
        <v>30</v>
      </c>
      <c r="AE4" s="7" t="s">
        <v>30</v>
      </c>
      <c r="AF4" s="206" t="s">
        <v>30</v>
      </c>
      <c r="AG4" s="201" t="s">
        <v>30</v>
      </c>
      <c r="AH4" s="7" t="s">
        <v>30</v>
      </c>
      <c r="AI4" s="7" t="s">
        <v>30</v>
      </c>
      <c r="AJ4" s="201" t="s">
        <v>30</v>
      </c>
      <c r="AK4" s="7" t="s">
        <v>30</v>
      </c>
      <c r="AL4" s="7" t="s">
        <v>30</v>
      </c>
      <c r="AM4" s="201">
        <v>12</v>
      </c>
      <c r="AN4" s="7">
        <v>16</v>
      </c>
      <c r="AO4" s="206">
        <v>75</v>
      </c>
      <c r="AP4" s="7" t="s">
        <v>30</v>
      </c>
      <c r="AQ4" s="7" t="s">
        <v>30</v>
      </c>
      <c r="AR4" s="7" t="s">
        <v>30</v>
      </c>
      <c r="AS4" s="7" t="s">
        <v>30</v>
      </c>
      <c r="AT4" s="7" t="s">
        <v>30</v>
      </c>
      <c r="AU4" s="7" t="s">
        <v>30</v>
      </c>
      <c r="AV4" s="7" t="s">
        <v>30</v>
      </c>
      <c r="AW4" s="7" t="s">
        <v>30</v>
      </c>
      <c r="AX4" s="7" t="s">
        <v>30</v>
      </c>
    </row>
    <row r="5" spans="1:57" ht="14.95" customHeight="1" thickBot="1" x14ac:dyDescent="0.3">
      <c r="A5" s="245" t="s">
        <v>1207</v>
      </c>
      <c r="B5" s="282">
        <v>0</v>
      </c>
      <c r="C5" s="228">
        <v>0</v>
      </c>
      <c r="D5" s="446">
        <v>1</v>
      </c>
      <c r="E5" s="228">
        <f t="shared" ref="E5:E45" si="0">SUM(B5:D5)</f>
        <v>1</v>
      </c>
      <c r="F5" s="247" t="s">
        <v>1207</v>
      </c>
      <c r="G5" s="92">
        <v>0</v>
      </c>
      <c r="H5" s="343">
        <v>0</v>
      </c>
      <c r="I5" s="429">
        <v>5</v>
      </c>
      <c r="J5" s="250">
        <f t="shared" ref="J5:J45" si="1">SUM(G5:I5)</f>
        <v>5</v>
      </c>
      <c r="K5" s="245" t="s">
        <v>465</v>
      </c>
      <c r="L5" s="252">
        <v>82</v>
      </c>
      <c r="M5" s="252">
        <v>114</v>
      </c>
      <c r="N5" s="253">
        <f>(L5/M5)*100</f>
        <v>71.929824561403507</v>
      </c>
      <c r="O5" s="252">
        <v>2</v>
      </c>
      <c r="P5" s="252">
        <v>4</v>
      </c>
      <c r="Q5" s="253">
        <f>(O5/P5)*100</f>
        <v>50</v>
      </c>
      <c r="R5" s="252">
        <v>2</v>
      </c>
      <c r="S5" s="252">
        <v>2</v>
      </c>
      <c r="T5" s="7">
        <v>70</v>
      </c>
      <c r="U5" s="7">
        <v>94</v>
      </c>
      <c r="V5" s="206">
        <f>(T5/U5)*100</f>
        <v>74.468085106382972</v>
      </c>
      <c r="W5" s="201">
        <v>21</v>
      </c>
      <c r="X5" s="7">
        <v>30</v>
      </c>
      <c r="Y5" s="206">
        <f>(W5/X5)*100</f>
        <v>70</v>
      </c>
      <c r="Z5" s="108"/>
      <c r="AA5" s="109"/>
      <c r="AB5" s="109"/>
      <c r="AC5" s="327"/>
      <c r="AD5" s="218">
        <v>37</v>
      </c>
      <c r="AE5" s="206">
        <v>53</v>
      </c>
      <c r="AF5" s="206">
        <v>69.811320754716974</v>
      </c>
      <c r="AG5" s="218" t="s">
        <v>30</v>
      </c>
      <c r="AH5" s="206" t="s">
        <v>30</v>
      </c>
      <c r="AI5" s="206" t="s">
        <v>30</v>
      </c>
      <c r="AJ5" s="218">
        <v>38</v>
      </c>
      <c r="AK5" s="206">
        <v>47</v>
      </c>
      <c r="AL5" s="206">
        <v>80.851063829787222</v>
      </c>
      <c r="AM5" s="218">
        <v>52</v>
      </c>
      <c r="AN5" s="206">
        <v>67</v>
      </c>
      <c r="AO5" s="206">
        <v>77.611940298507463</v>
      </c>
      <c r="AP5" s="206">
        <v>25</v>
      </c>
      <c r="AQ5" s="206">
        <v>33</v>
      </c>
      <c r="AR5" s="206">
        <v>75.757575757575751</v>
      </c>
      <c r="AS5" s="7" t="s">
        <v>30</v>
      </c>
      <c r="AT5" s="7" t="s">
        <v>30</v>
      </c>
      <c r="AU5" s="7" t="s">
        <v>30</v>
      </c>
      <c r="AV5" s="7" t="s">
        <v>30</v>
      </c>
      <c r="AW5" s="7" t="s">
        <v>30</v>
      </c>
      <c r="AX5" s="7" t="s">
        <v>30</v>
      </c>
    </row>
    <row r="6" spans="1:57" ht="14.95" customHeight="1" thickBot="1" x14ac:dyDescent="0.3">
      <c r="A6" s="245" t="s">
        <v>451</v>
      </c>
      <c r="B6" s="282">
        <v>0</v>
      </c>
      <c r="C6" s="228">
        <v>0</v>
      </c>
      <c r="D6" s="446">
        <v>0</v>
      </c>
      <c r="E6" s="228">
        <f t="shared" si="0"/>
        <v>0</v>
      </c>
      <c r="F6" s="247" t="s">
        <v>451</v>
      </c>
      <c r="G6" s="92">
        <v>0</v>
      </c>
      <c r="H6" s="343">
        <v>0</v>
      </c>
      <c r="I6" s="429">
        <v>0</v>
      </c>
      <c r="J6" s="250">
        <f t="shared" si="1"/>
        <v>0</v>
      </c>
      <c r="K6" s="245" t="s">
        <v>1032</v>
      </c>
      <c r="L6" s="252">
        <v>0</v>
      </c>
      <c r="M6" s="252">
        <v>1</v>
      </c>
      <c r="N6" s="253">
        <f>(L6/M6)*100</f>
        <v>0</v>
      </c>
      <c r="O6" s="252" t="s">
        <v>30</v>
      </c>
      <c r="P6" s="252" t="s">
        <v>30</v>
      </c>
      <c r="Q6" s="253" t="s">
        <v>30</v>
      </c>
      <c r="R6" s="252">
        <v>-1</v>
      </c>
      <c r="S6" s="252">
        <v>-3</v>
      </c>
      <c r="T6" s="7" t="s">
        <v>30</v>
      </c>
      <c r="U6" s="7" t="s">
        <v>30</v>
      </c>
      <c r="V6" s="206" t="s">
        <v>30</v>
      </c>
      <c r="W6" s="7" t="s">
        <v>30</v>
      </c>
      <c r="X6" s="7" t="s">
        <v>30</v>
      </c>
      <c r="Y6" s="206" t="s">
        <v>30</v>
      </c>
      <c r="Z6" s="108"/>
      <c r="AA6" s="109"/>
      <c r="AB6" s="109"/>
      <c r="AC6" s="327"/>
      <c r="AD6" s="7" t="s">
        <v>30</v>
      </c>
      <c r="AE6" s="7" t="s">
        <v>30</v>
      </c>
      <c r="AF6" s="206" t="s">
        <v>30</v>
      </c>
      <c r="AG6" s="7" t="s">
        <v>30</v>
      </c>
      <c r="AH6" s="7" t="s">
        <v>30</v>
      </c>
      <c r="AI6" s="206" t="s">
        <v>30</v>
      </c>
      <c r="AJ6" s="7" t="s">
        <v>30</v>
      </c>
      <c r="AK6" s="7" t="s">
        <v>30</v>
      </c>
      <c r="AL6" s="206" t="s">
        <v>30</v>
      </c>
      <c r="AM6" s="7" t="s">
        <v>30</v>
      </c>
      <c r="AN6" s="7" t="s">
        <v>30</v>
      </c>
      <c r="AO6" s="206" t="s">
        <v>30</v>
      </c>
      <c r="AP6" s="7" t="s">
        <v>30</v>
      </c>
      <c r="AQ6" s="7" t="s">
        <v>30</v>
      </c>
      <c r="AR6" s="206" t="s">
        <v>30</v>
      </c>
      <c r="AS6" s="7" t="s">
        <v>30</v>
      </c>
      <c r="AT6" s="7" t="s">
        <v>30</v>
      </c>
      <c r="AU6" s="206" t="s">
        <v>30</v>
      </c>
      <c r="AV6" s="7" t="s">
        <v>30</v>
      </c>
      <c r="AW6" s="7" t="s">
        <v>30</v>
      </c>
      <c r="AX6" s="206" t="s">
        <v>30</v>
      </c>
    </row>
    <row r="7" spans="1:57" ht="14.95" customHeight="1" thickBot="1" x14ac:dyDescent="0.3">
      <c r="A7" s="245" t="s">
        <v>1162</v>
      </c>
      <c r="B7" s="282">
        <v>1</v>
      </c>
      <c r="C7" s="228">
        <v>0</v>
      </c>
      <c r="D7" s="446">
        <v>2</v>
      </c>
      <c r="E7" s="228">
        <f t="shared" si="0"/>
        <v>3</v>
      </c>
      <c r="F7" s="247" t="s">
        <v>1162</v>
      </c>
      <c r="G7" s="92">
        <v>5</v>
      </c>
      <c r="H7" s="343">
        <v>0</v>
      </c>
      <c r="I7" s="429">
        <v>10</v>
      </c>
      <c r="J7" s="250">
        <f t="shared" si="1"/>
        <v>15</v>
      </c>
      <c r="K7" s="245" t="s">
        <v>1048</v>
      </c>
      <c r="L7" s="252">
        <v>3</v>
      </c>
      <c r="M7" s="252">
        <v>5</v>
      </c>
      <c r="N7" s="253">
        <f>(L7/M7)*100</f>
        <v>60</v>
      </c>
      <c r="O7" s="252" t="s">
        <v>30</v>
      </c>
      <c r="P7" s="252" t="s">
        <v>30</v>
      </c>
      <c r="Q7" s="253" t="s">
        <v>30</v>
      </c>
      <c r="R7" s="252">
        <v>1</v>
      </c>
      <c r="S7" s="252">
        <v>3</v>
      </c>
      <c r="T7" s="7">
        <v>2</v>
      </c>
      <c r="U7" s="7">
        <v>2</v>
      </c>
      <c r="V7" s="206">
        <v>100</v>
      </c>
      <c r="W7" s="7" t="s">
        <v>30</v>
      </c>
      <c r="X7" s="7" t="s">
        <v>30</v>
      </c>
      <c r="Y7" s="206" t="s">
        <v>30</v>
      </c>
      <c r="Z7" s="108"/>
      <c r="AA7" s="109"/>
      <c r="AB7" s="109"/>
      <c r="AC7" s="327"/>
      <c r="AD7" s="7" t="s">
        <v>30</v>
      </c>
      <c r="AE7" s="7" t="s">
        <v>30</v>
      </c>
      <c r="AF7" s="206" t="s">
        <v>30</v>
      </c>
      <c r="AG7" s="7" t="s">
        <v>30</v>
      </c>
      <c r="AH7" s="7" t="s">
        <v>30</v>
      </c>
      <c r="AI7" s="206" t="s">
        <v>30</v>
      </c>
      <c r="AJ7" s="7" t="s">
        <v>30</v>
      </c>
      <c r="AK7" s="7" t="s">
        <v>30</v>
      </c>
      <c r="AL7" s="206" t="s">
        <v>30</v>
      </c>
      <c r="AM7" s="7" t="s">
        <v>30</v>
      </c>
      <c r="AN7" s="7" t="s">
        <v>30</v>
      </c>
      <c r="AO7" s="206" t="s">
        <v>30</v>
      </c>
      <c r="AP7" s="7" t="s">
        <v>30</v>
      </c>
      <c r="AQ7" s="7" t="s">
        <v>30</v>
      </c>
      <c r="AR7" s="206" t="s">
        <v>30</v>
      </c>
      <c r="AS7" s="7" t="s">
        <v>30</v>
      </c>
      <c r="AT7" s="7" t="s">
        <v>30</v>
      </c>
      <c r="AU7" s="206" t="s">
        <v>30</v>
      </c>
      <c r="AV7" s="7" t="s">
        <v>30</v>
      </c>
      <c r="AW7" s="7" t="s">
        <v>30</v>
      </c>
      <c r="AX7" s="206" t="s">
        <v>30</v>
      </c>
    </row>
    <row r="8" spans="1:57" ht="16.5" customHeight="1" thickBot="1" x14ac:dyDescent="0.3">
      <c r="A8" s="245" t="s">
        <v>145</v>
      </c>
      <c r="B8" s="282">
        <v>0</v>
      </c>
      <c r="C8" s="228">
        <v>0</v>
      </c>
      <c r="D8" s="446">
        <v>2</v>
      </c>
      <c r="E8" s="228">
        <f t="shared" si="0"/>
        <v>2</v>
      </c>
      <c r="F8" s="247" t="s">
        <v>145</v>
      </c>
      <c r="G8" s="92">
        <v>0</v>
      </c>
      <c r="H8" s="343">
        <v>0</v>
      </c>
      <c r="I8" s="429">
        <v>10</v>
      </c>
      <c r="J8" s="250">
        <f t="shared" si="1"/>
        <v>10</v>
      </c>
      <c r="K8" s="245" t="s">
        <v>1076</v>
      </c>
      <c r="L8" s="252" t="s">
        <v>30</v>
      </c>
      <c r="M8" s="252" t="s">
        <v>30</v>
      </c>
      <c r="N8" s="253" t="s">
        <v>30</v>
      </c>
      <c r="O8" s="252" t="s">
        <v>30</v>
      </c>
      <c r="P8" s="252" t="s">
        <v>30</v>
      </c>
      <c r="Q8" s="253" t="s">
        <v>30</v>
      </c>
      <c r="R8" s="252">
        <v>2</v>
      </c>
      <c r="S8" s="252">
        <v>2</v>
      </c>
      <c r="T8" s="7" t="s">
        <v>30</v>
      </c>
      <c r="U8" s="7" t="s">
        <v>30</v>
      </c>
      <c r="V8" s="206" t="s">
        <v>30</v>
      </c>
      <c r="W8" s="7" t="s">
        <v>30</v>
      </c>
      <c r="X8" s="7" t="s">
        <v>30</v>
      </c>
      <c r="Y8" s="206" t="s">
        <v>30</v>
      </c>
      <c r="Z8" s="108"/>
      <c r="AA8" s="109"/>
      <c r="AB8" s="109"/>
      <c r="AC8" s="327"/>
      <c r="AD8" s="7" t="s">
        <v>30</v>
      </c>
      <c r="AE8" s="7" t="s">
        <v>30</v>
      </c>
      <c r="AF8" s="206" t="s">
        <v>30</v>
      </c>
      <c r="AG8" s="7" t="s">
        <v>30</v>
      </c>
      <c r="AH8" s="7" t="s">
        <v>30</v>
      </c>
      <c r="AI8" s="206" t="s">
        <v>30</v>
      </c>
      <c r="AJ8" s="7" t="s">
        <v>30</v>
      </c>
      <c r="AK8" s="7" t="s">
        <v>30</v>
      </c>
      <c r="AL8" s="206" t="s">
        <v>30</v>
      </c>
      <c r="AM8" s="7" t="s">
        <v>30</v>
      </c>
      <c r="AN8" s="7" t="s">
        <v>30</v>
      </c>
      <c r="AO8" s="206" t="s">
        <v>30</v>
      </c>
      <c r="AP8" s="7" t="s">
        <v>30</v>
      </c>
      <c r="AQ8" s="7" t="s">
        <v>30</v>
      </c>
      <c r="AR8" s="206" t="s">
        <v>30</v>
      </c>
      <c r="AS8" s="7" t="s">
        <v>30</v>
      </c>
      <c r="AT8" s="7" t="s">
        <v>30</v>
      </c>
      <c r="AU8" s="206" t="s">
        <v>30</v>
      </c>
      <c r="AV8" s="7" t="s">
        <v>30</v>
      </c>
      <c r="AW8" s="7" t="s">
        <v>30</v>
      </c>
      <c r="AX8" s="206" t="s">
        <v>30</v>
      </c>
    </row>
    <row r="9" spans="1:57" ht="14.95" customHeight="1" thickBot="1" x14ac:dyDescent="0.3">
      <c r="A9" s="245" t="s">
        <v>543</v>
      </c>
      <c r="B9" s="282">
        <v>1</v>
      </c>
      <c r="C9" s="228">
        <v>0</v>
      </c>
      <c r="D9" s="446">
        <v>0</v>
      </c>
      <c r="E9" s="228">
        <f t="shared" si="0"/>
        <v>1</v>
      </c>
      <c r="F9" s="248" t="s">
        <v>543</v>
      </c>
      <c r="G9" s="92">
        <v>5</v>
      </c>
      <c r="H9" s="343">
        <v>0</v>
      </c>
      <c r="I9" s="429">
        <v>0</v>
      </c>
      <c r="J9" s="250">
        <f t="shared" si="1"/>
        <v>5</v>
      </c>
      <c r="K9" s="245" t="s">
        <v>513</v>
      </c>
      <c r="L9" s="252" t="s">
        <v>30</v>
      </c>
      <c r="M9" s="252" t="s">
        <v>30</v>
      </c>
      <c r="N9" s="253" t="s">
        <v>30</v>
      </c>
      <c r="O9" s="252" t="s">
        <v>30</v>
      </c>
      <c r="P9" s="252" t="s">
        <v>30</v>
      </c>
      <c r="Q9" s="253" t="s">
        <v>30</v>
      </c>
      <c r="R9" s="252">
        <v>1</v>
      </c>
      <c r="S9" s="252">
        <v>1</v>
      </c>
      <c r="T9" s="7" t="s">
        <v>30</v>
      </c>
      <c r="U9" s="7" t="s">
        <v>30</v>
      </c>
      <c r="V9" s="206" t="s">
        <v>30</v>
      </c>
      <c r="W9" s="201">
        <v>1</v>
      </c>
      <c r="X9" s="7">
        <v>1</v>
      </c>
      <c r="Y9" s="206">
        <f>(W9/X9)*100</f>
        <v>100</v>
      </c>
      <c r="Z9" s="108"/>
      <c r="AA9" s="109"/>
      <c r="AB9" s="109"/>
      <c r="AC9" s="327"/>
      <c r="AD9" s="7" t="s">
        <v>30</v>
      </c>
      <c r="AE9" s="7" t="s">
        <v>30</v>
      </c>
      <c r="AF9" s="206" t="s">
        <v>30</v>
      </c>
      <c r="AG9" s="7" t="s">
        <v>30</v>
      </c>
      <c r="AH9" s="7" t="s">
        <v>30</v>
      </c>
      <c r="AI9" s="206" t="s">
        <v>30</v>
      </c>
      <c r="AJ9" s="7" t="s">
        <v>30</v>
      </c>
      <c r="AK9" s="7" t="s">
        <v>30</v>
      </c>
      <c r="AL9" s="206" t="s">
        <v>30</v>
      </c>
      <c r="AM9" s="7" t="s">
        <v>30</v>
      </c>
      <c r="AN9" s="7" t="s">
        <v>30</v>
      </c>
      <c r="AO9" s="206" t="s">
        <v>30</v>
      </c>
      <c r="AP9" s="7" t="s">
        <v>30</v>
      </c>
      <c r="AQ9" s="7" t="s">
        <v>30</v>
      </c>
      <c r="AR9" s="206" t="s">
        <v>30</v>
      </c>
      <c r="AS9" s="7" t="s">
        <v>30</v>
      </c>
      <c r="AT9" s="7" t="s">
        <v>30</v>
      </c>
      <c r="AU9" s="206" t="s">
        <v>30</v>
      </c>
      <c r="AV9" s="7" t="s">
        <v>30</v>
      </c>
      <c r="AW9" s="7" t="s">
        <v>30</v>
      </c>
      <c r="AX9" s="206" t="s">
        <v>30</v>
      </c>
    </row>
    <row r="10" spans="1:57" ht="14.95" customHeight="1" thickBot="1" x14ac:dyDescent="0.3">
      <c r="A10" s="245" t="s">
        <v>496</v>
      </c>
      <c r="B10" s="282">
        <v>0</v>
      </c>
      <c r="C10" s="228">
        <v>0</v>
      </c>
      <c r="D10" s="446">
        <v>0</v>
      </c>
      <c r="E10" s="228">
        <f t="shared" si="0"/>
        <v>0</v>
      </c>
      <c r="F10" s="248" t="s">
        <v>496</v>
      </c>
      <c r="G10" s="92">
        <v>0</v>
      </c>
      <c r="H10" s="343">
        <v>0</v>
      </c>
      <c r="I10" s="429">
        <v>0</v>
      </c>
      <c r="J10" s="250">
        <f t="shared" si="1"/>
        <v>0</v>
      </c>
      <c r="K10" s="245" t="s">
        <v>1179</v>
      </c>
      <c r="L10" s="252" t="s">
        <v>30</v>
      </c>
      <c r="M10" s="252" t="s">
        <v>30</v>
      </c>
      <c r="N10" s="253" t="s">
        <v>30</v>
      </c>
      <c r="O10" s="252" t="s">
        <v>30</v>
      </c>
      <c r="P10" s="252" t="s">
        <v>30</v>
      </c>
      <c r="Q10" s="253" t="s">
        <v>30</v>
      </c>
      <c r="R10" s="252">
        <v>-1</v>
      </c>
      <c r="S10" s="252">
        <v>3</v>
      </c>
      <c r="T10" s="7" t="s">
        <v>30</v>
      </c>
      <c r="U10" s="7" t="s">
        <v>30</v>
      </c>
      <c r="V10" s="206" t="s">
        <v>30</v>
      </c>
      <c r="W10" s="7">
        <v>5</v>
      </c>
      <c r="X10" s="7">
        <v>7</v>
      </c>
      <c r="Y10" s="206">
        <v>71</v>
      </c>
      <c r="Z10" s="108"/>
      <c r="AA10" s="109"/>
      <c r="AB10" s="109"/>
      <c r="AC10" s="327"/>
      <c r="AD10" s="7">
        <v>5</v>
      </c>
      <c r="AE10" s="7">
        <v>8</v>
      </c>
      <c r="AF10" s="206">
        <v>63</v>
      </c>
      <c r="AG10" s="7" t="s">
        <v>30</v>
      </c>
      <c r="AH10" s="7" t="s">
        <v>30</v>
      </c>
      <c r="AI10" s="206" t="s">
        <v>30</v>
      </c>
      <c r="AJ10" s="7" t="s">
        <v>30</v>
      </c>
      <c r="AK10" s="7" t="s">
        <v>30</v>
      </c>
      <c r="AL10" s="206" t="s">
        <v>30</v>
      </c>
      <c r="AM10" s="7" t="s">
        <v>30</v>
      </c>
      <c r="AN10" s="7" t="s">
        <v>30</v>
      </c>
      <c r="AO10" s="206" t="s">
        <v>30</v>
      </c>
      <c r="AP10" s="7" t="s">
        <v>30</v>
      </c>
      <c r="AQ10" s="7" t="s">
        <v>30</v>
      </c>
      <c r="AR10" s="206" t="s">
        <v>30</v>
      </c>
      <c r="AS10" s="7" t="s">
        <v>30</v>
      </c>
      <c r="AT10" s="7" t="s">
        <v>30</v>
      </c>
      <c r="AU10" s="206" t="s">
        <v>30</v>
      </c>
      <c r="AV10" s="7" t="s">
        <v>30</v>
      </c>
      <c r="AW10" s="7" t="s">
        <v>30</v>
      </c>
      <c r="AX10" s="206" t="s">
        <v>30</v>
      </c>
    </row>
    <row r="11" spans="1:57" ht="14.95" customHeight="1" thickBot="1" x14ac:dyDescent="0.3">
      <c r="A11" s="245" t="s">
        <v>566</v>
      </c>
      <c r="B11" s="282">
        <v>3</v>
      </c>
      <c r="C11" s="228">
        <v>1</v>
      </c>
      <c r="D11" s="446">
        <v>0</v>
      </c>
      <c r="E11" s="228">
        <f t="shared" si="0"/>
        <v>4</v>
      </c>
      <c r="F11" s="247" t="s">
        <v>566</v>
      </c>
      <c r="G11" s="92">
        <v>15</v>
      </c>
      <c r="H11" s="343">
        <v>5</v>
      </c>
      <c r="I11" s="429">
        <v>0</v>
      </c>
      <c r="J11" s="250">
        <f t="shared" si="1"/>
        <v>20</v>
      </c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</row>
    <row r="12" spans="1:57" ht="14.95" customHeight="1" thickBot="1" x14ac:dyDescent="0.3">
      <c r="A12" s="245" t="s">
        <v>1110</v>
      </c>
      <c r="B12" s="282">
        <v>1</v>
      </c>
      <c r="C12" s="228">
        <v>3</v>
      </c>
      <c r="D12" s="446">
        <v>0</v>
      </c>
      <c r="E12" s="228">
        <f t="shared" si="0"/>
        <v>4</v>
      </c>
      <c r="F12" s="247" t="s">
        <v>1110</v>
      </c>
      <c r="G12" s="92">
        <v>5</v>
      </c>
      <c r="H12" s="343">
        <v>15</v>
      </c>
      <c r="I12" s="429">
        <v>0</v>
      </c>
      <c r="J12" s="250">
        <f t="shared" si="1"/>
        <v>20</v>
      </c>
      <c r="K12" s="538" t="s">
        <v>510</v>
      </c>
      <c r="L12" s="520" t="s">
        <v>29</v>
      </c>
      <c r="M12" s="521"/>
      <c r="N12" s="522"/>
      <c r="O12" s="520" t="s">
        <v>634</v>
      </c>
      <c r="P12" s="521"/>
      <c r="Q12" s="522"/>
      <c r="R12" s="520" t="s">
        <v>863</v>
      </c>
      <c r="S12" s="521"/>
      <c r="T12" s="522"/>
      <c r="U12" s="520" t="s">
        <v>621</v>
      </c>
      <c r="V12" s="521"/>
      <c r="W12" s="522"/>
      <c r="X12" s="325"/>
      <c r="Y12" s="214"/>
      <c r="Z12" s="214"/>
      <c r="AC12" s="276"/>
      <c r="AD12" s="520" t="s">
        <v>178</v>
      </c>
      <c r="AE12" s="521"/>
      <c r="AF12" s="522"/>
      <c r="AG12" s="520" t="s">
        <v>122</v>
      </c>
      <c r="AH12" s="521"/>
      <c r="AI12" s="522"/>
      <c r="AJ12" s="520" t="s">
        <v>113</v>
      </c>
      <c r="AK12" s="521"/>
      <c r="AL12" s="522"/>
      <c r="AM12" s="520" t="s">
        <v>85</v>
      </c>
      <c r="AN12" s="521"/>
      <c r="AO12" s="522"/>
    </row>
    <row r="13" spans="1:57" ht="14.95" customHeight="1" thickBot="1" x14ac:dyDescent="0.3">
      <c r="A13" s="245" t="s">
        <v>583</v>
      </c>
      <c r="B13" s="282">
        <v>14</v>
      </c>
      <c r="C13" s="228">
        <v>4</v>
      </c>
      <c r="D13" s="446">
        <v>0</v>
      </c>
      <c r="E13" s="228">
        <f t="shared" si="0"/>
        <v>18</v>
      </c>
      <c r="F13" s="247" t="s">
        <v>583</v>
      </c>
      <c r="G13" s="92">
        <v>70</v>
      </c>
      <c r="H13" s="343">
        <v>20</v>
      </c>
      <c r="I13" s="429">
        <v>0</v>
      </c>
      <c r="J13" s="250">
        <f t="shared" si="1"/>
        <v>90</v>
      </c>
      <c r="K13" s="539"/>
      <c r="L13" s="523"/>
      <c r="M13" s="524"/>
      <c r="N13" s="525"/>
      <c r="O13" s="523"/>
      <c r="P13" s="524"/>
      <c r="Q13" s="525"/>
      <c r="R13" s="523"/>
      <c r="S13" s="524"/>
      <c r="T13" s="525"/>
      <c r="U13" s="523"/>
      <c r="V13" s="524"/>
      <c r="W13" s="525"/>
      <c r="X13" s="325"/>
      <c r="Y13" s="214"/>
      <c r="Z13" s="214"/>
      <c r="AC13" s="276"/>
      <c r="AD13" s="523"/>
      <c r="AE13" s="524"/>
      <c r="AF13" s="525"/>
      <c r="AG13" s="523"/>
      <c r="AH13" s="524"/>
      <c r="AI13" s="525"/>
      <c r="AJ13" s="523"/>
      <c r="AK13" s="524"/>
      <c r="AL13" s="525"/>
      <c r="AM13" s="523"/>
      <c r="AN13" s="524"/>
      <c r="AO13" s="525"/>
    </row>
    <row r="14" spans="1:57" ht="14.95" customHeight="1" thickBot="1" x14ac:dyDescent="0.3">
      <c r="A14" s="245" t="s">
        <v>1027</v>
      </c>
      <c r="B14" s="282">
        <v>1</v>
      </c>
      <c r="C14" s="228">
        <v>0</v>
      </c>
      <c r="D14" s="446">
        <v>0</v>
      </c>
      <c r="E14" s="228">
        <f t="shared" si="0"/>
        <v>1</v>
      </c>
      <c r="F14" s="247" t="s">
        <v>1027</v>
      </c>
      <c r="G14" s="92">
        <v>5</v>
      </c>
      <c r="H14" s="343">
        <v>0</v>
      </c>
      <c r="I14" s="429">
        <v>0</v>
      </c>
      <c r="J14" s="250">
        <f t="shared" si="1"/>
        <v>5</v>
      </c>
      <c r="K14" s="395" t="s">
        <v>44</v>
      </c>
      <c r="L14" s="7" t="s">
        <v>107</v>
      </c>
      <c r="M14" s="7" t="s">
        <v>23</v>
      </c>
      <c r="N14" s="7" t="s">
        <v>24</v>
      </c>
      <c r="O14" s="7" t="s">
        <v>107</v>
      </c>
      <c r="P14" s="7" t="s">
        <v>23</v>
      </c>
      <c r="Q14" s="7" t="s">
        <v>24</v>
      </c>
      <c r="R14" s="7" t="s">
        <v>107</v>
      </c>
      <c r="S14" s="7" t="s">
        <v>23</v>
      </c>
      <c r="T14" s="7" t="s">
        <v>24</v>
      </c>
      <c r="U14" s="201" t="s">
        <v>107</v>
      </c>
      <c r="V14" s="7" t="s">
        <v>23</v>
      </c>
      <c r="W14" s="7" t="s">
        <v>24</v>
      </c>
      <c r="X14" s="107"/>
      <c r="AC14" s="276"/>
      <c r="AD14" s="201" t="s">
        <v>107</v>
      </c>
      <c r="AE14" s="7" t="s">
        <v>23</v>
      </c>
      <c r="AF14" s="7" t="s">
        <v>24</v>
      </c>
      <c r="AG14" s="201" t="s">
        <v>107</v>
      </c>
      <c r="AH14" s="7" t="s">
        <v>23</v>
      </c>
      <c r="AI14" s="7" t="s">
        <v>24</v>
      </c>
      <c r="AJ14" s="201" t="s">
        <v>107</v>
      </c>
      <c r="AK14" s="7" t="s">
        <v>23</v>
      </c>
      <c r="AL14" s="7" t="s">
        <v>24</v>
      </c>
      <c r="AM14" s="6" t="s">
        <v>107</v>
      </c>
      <c r="AN14" s="7" t="s">
        <v>23</v>
      </c>
      <c r="AO14" s="7" t="s">
        <v>24</v>
      </c>
    </row>
    <row r="15" spans="1:57" ht="14.95" customHeight="1" thickBot="1" x14ac:dyDescent="0.3">
      <c r="A15" s="245" t="s">
        <v>597</v>
      </c>
      <c r="B15" s="282">
        <v>0</v>
      </c>
      <c r="C15" s="228">
        <v>0</v>
      </c>
      <c r="D15" s="446">
        <v>1</v>
      </c>
      <c r="E15" s="228">
        <f t="shared" si="0"/>
        <v>1</v>
      </c>
      <c r="F15" s="247" t="s">
        <v>597</v>
      </c>
      <c r="G15" s="92">
        <v>0</v>
      </c>
      <c r="H15" s="343">
        <v>0</v>
      </c>
      <c r="I15" s="429">
        <v>5</v>
      </c>
      <c r="J15" s="250">
        <f t="shared" si="1"/>
        <v>5</v>
      </c>
      <c r="K15" s="251" t="s">
        <v>87</v>
      </c>
      <c r="L15" s="7" t="s">
        <v>30</v>
      </c>
      <c r="M15" s="7" t="s">
        <v>30</v>
      </c>
      <c r="N15" s="206" t="s">
        <v>30</v>
      </c>
      <c r="O15" s="7" t="s">
        <v>30</v>
      </c>
      <c r="P15" s="7" t="s">
        <v>30</v>
      </c>
      <c r="Q15" s="206" t="s">
        <v>30</v>
      </c>
      <c r="R15" s="7" t="s">
        <v>30</v>
      </c>
      <c r="S15" s="7" t="s">
        <v>30</v>
      </c>
      <c r="T15" s="206" t="s">
        <v>30</v>
      </c>
      <c r="U15" s="201" t="s">
        <v>30</v>
      </c>
      <c r="V15" s="7" t="s">
        <v>30</v>
      </c>
      <c r="W15" s="206" t="s">
        <v>30</v>
      </c>
      <c r="X15" s="107"/>
      <c r="AC15" s="276"/>
      <c r="AD15" s="201" t="s">
        <v>30</v>
      </c>
      <c r="AE15" s="7" t="s">
        <v>30</v>
      </c>
      <c r="AF15" s="206" t="s">
        <v>30</v>
      </c>
      <c r="AG15" s="201" t="s">
        <v>30</v>
      </c>
      <c r="AH15" s="7" t="s">
        <v>30</v>
      </c>
      <c r="AI15" s="206" t="s">
        <v>30</v>
      </c>
      <c r="AJ15" s="6" t="s">
        <v>30</v>
      </c>
      <c r="AK15" s="7" t="s">
        <v>30</v>
      </c>
      <c r="AL15" s="206" t="s">
        <v>30</v>
      </c>
      <c r="AM15" s="7" t="s">
        <v>30</v>
      </c>
      <c r="AN15" s="7" t="s">
        <v>30</v>
      </c>
      <c r="AO15" s="206" t="s">
        <v>30</v>
      </c>
    </row>
    <row r="16" spans="1:57" ht="14.95" customHeight="1" thickBot="1" x14ac:dyDescent="0.3">
      <c r="A16" s="245" t="s">
        <v>495</v>
      </c>
      <c r="B16" s="282">
        <v>0</v>
      </c>
      <c r="C16" s="228">
        <v>0</v>
      </c>
      <c r="D16" s="446">
        <v>0</v>
      </c>
      <c r="E16" s="228">
        <f t="shared" si="0"/>
        <v>0</v>
      </c>
      <c r="F16" s="247" t="s">
        <v>495</v>
      </c>
      <c r="G16" s="92">
        <v>0</v>
      </c>
      <c r="H16" s="343">
        <v>0</v>
      </c>
      <c r="I16" s="429">
        <v>0</v>
      </c>
      <c r="J16" s="250">
        <f t="shared" si="1"/>
        <v>0</v>
      </c>
      <c r="K16" s="245" t="s">
        <v>465</v>
      </c>
      <c r="L16" s="7" t="s">
        <v>30</v>
      </c>
      <c r="M16" s="7" t="s">
        <v>30</v>
      </c>
      <c r="N16" s="206" t="s">
        <v>30</v>
      </c>
      <c r="O16" s="7" t="s">
        <v>30</v>
      </c>
      <c r="P16" s="7" t="s">
        <v>30</v>
      </c>
      <c r="Q16" s="206" t="s">
        <v>30</v>
      </c>
      <c r="R16" s="7" t="s">
        <v>30</v>
      </c>
      <c r="S16" s="7" t="s">
        <v>30</v>
      </c>
      <c r="T16" s="206" t="s">
        <v>30</v>
      </c>
      <c r="U16" s="201" t="s">
        <v>30</v>
      </c>
      <c r="V16" s="7" t="s">
        <v>30</v>
      </c>
      <c r="W16" s="206" t="s">
        <v>30</v>
      </c>
      <c r="X16" s="107"/>
      <c r="AC16" s="276"/>
      <c r="AD16" s="201">
        <v>20</v>
      </c>
      <c r="AE16" s="7">
        <v>26</v>
      </c>
      <c r="AF16" s="206">
        <v>76.923076923076934</v>
      </c>
      <c r="AG16" s="201">
        <v>22</v>
      </c>
      <c r="AH16" s="7">
        <v>25</v>
      </c>
      <c r="AI16" s="206">
        <v>88</v>
      </c>
      <c r="AJ16" s="6">
        <v>6</v>
      </c>
      <c r="AK16" s="7">
        <v>11</v>
      </c>
      <c r="AL16" s="206">
        <v>54.54545454545454</v>
      </c>
      <c r="AM16" s="7">
        <v>22</v>
      </c>
      <c r="AN16" s="7">
        <v>29</v>
      </c>
      <c r="AO16" s="206">
        <v>75.862068965517238</v>
      </c>
    </row>
    <row r="17" spans="1:51" ht="14.95" customHeight="1" thickBot="1" x14ac:dyDescent="0.3">
      <c r="A17" s="245" t="s">
        <v>1127</v>
      </c>
      <c r="B17" s="282">
        <v>1</v>
      </c>
      <c r="C17" s="228">
        <v>2</v>
      </c>
      <c r="D17" s="446">
        <v>0</v>
      </c>
      <c r="E17" s="228">
        <f t="shared" si="0"/>
        <v>3</v>
      </c>
      <c r="F17" s="247" t="s">
        <v>1127</v>
      </c>
      <c r="G17" s="92">
        <v>5</v>
      </c>
      <c r="H17" s="343">
        <v>10</v>
      </c>
      <c r="I17" s="429">
        <v>0</v>
      </c>
      <c r="J17" s="250">
        <f t="shared" si="1"/>
        <v>15</v>
      </c>
      <c r="K17" s="244" t="s">
        <v>1179</v>
      </c>
      <c r="L17" s="484" t="s">
        <v>30</v>
      </c>
      <c r="M17" s="484" t="s">
        <v>30</v>
      </c>
      <c r="N17" s="485" t="s">
        <v>30</v>
      </c>
      <c r="O17" s="7" t="s">
        <v>30</v>
      </c>
      <c r="P17" s="7" t="s">
        <v>30</v>
      </c>
      <c r="Q17" s="206" t="s">
        <v>30</v>
      </c>
      <c r="R17" s="7" t="s">
        <v>30</v>
      </c>
      <c r="S17" s="7" t="s">
        <v>30</v>
      </c>
      <c r="T17" s="206" t="s">
        <v>30</v>
      </c>
      <c r="U17" s="201">
        <v>3</v>
      </c>
      <c r="V17" s="7">
        <v>3</v>
      </c>
      <c r="W17" s="206">
        <v>100</v>
      </c>
      <c r="AD17" s="201" t="s">
        <v>30</v>
      </c>
      <c r="AE17" s="7" t="s">
        <v>30</v>
      </c>
      <c r="AF17" s="206" t="s">
        <v>30</v>
      </c>
      <c r="AG17" s="201" t="s">
        <v>30</v>
      </c>
      <c r="AH17" s="7" t="s">
        <v>30</v>
      </c>
      <c r="AI17" s="206" t="s">
        <v>30</v>
      </c>
      <c r="AJ17" s="201" t="s">
        <v>30</v>
      </c>
      <c r="AK17" s="7" t="s">
        <v>30</v>
      </c>
      <c r="AL17" s="206" t="s">
        <v>30</v>
      </c>
      <c r="AM17" s="6" t="s">
        <v>30</v>
      </c>
      <c r="AN17" s="7" t="s">
        <v>30</v>
      </c>
      <c r="AO17" s="206" t="s">
        <v>30</v>
      </c>
    </row>
    <row r="18" spans="1:51" ht="14.95" customHeight="1" thickBot="1" x14ac:dyDescent="0.3">
      <c r="A18" s="245" t="s">
        <v>452</v>
      </c>
      <c r="B18" s="282">
        <v>0</v>
      </c>
      <c r="C18" s="228">
        <v>0</v>
      </c>
      <c r="D18" s="446">
        <v>0</v>
      </c>
      <c r="E18" s="228">
        <f t="shared" si="0"/>
        <v>0</v>
      </c>
      <c r="F18" s="247" t="s">
        <v>452</v>
      </c>
      <c r="G18" s="92">
        <v>0</v>
      </c>
      <c r="H18" s="343">
        <v>0</v>
      </c>
      <c r="I18" s="429">
        <v>0</v>
      </c>
      <c r="J18" s="250">
        <f t="shared" si="1"/>
        <v>0</v>
      </c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AD18" s="84"/>
      <c r="AE18" s="84"/>
      <c r="AF18" s="84"/>
      <c r="AQ18" s="151"/>
    </row>
    <row r="19" spans="1:51" ht="14.95" customHeight="1" thickBot="1" x14ac:dyDescent="0.3">
      <c r="A19" s="245" t="s">
        <v>505</v>
      </c>
      <c r="B19" s="282">
        <v>10</v>
      </c>
      <c r="C19" s="228">
        <v>0</v>
      </c>
      <c r="D19" s="446">
        <v>1</v>
      </c>
      <c r="E19" s="228">
        <f t="shared" si="0"/>
        <v>11</v>
      </c>
      <c r="F19" s="247" t="s">
        <v>505</v>
      </c>
      <c r="G19" s="92">
        <v>50</v>
      </c>
      <c r="H19" s="343">
        <v>0</v>
      </c>
      <c r="I19" s="429">
        <v>5</v>
      </c>
      <c r="J19" s="250">
        <f t="shared" si="1"/>
        <v>55</v>
      </c>
      <c r="K19" s="542" t="s">
        <v>511</v>
      </c>
      <c r="L19" s="555" t="s">
        <v>29</v>
      </c>
      <c r="M19" s="556"/>
      <c r="N19" s="557"/>
      <c r="O19" s="520" t="s">
        <v>634</v>
      </c>
      <c r="P19" s="521"/>
      <c r="Q19" s="522"/>
      <c r="R19" s="520" t="s">
        <v>863</v>
      </c>
      <c r="S19" s="521"/>
      <c r="T19" s="522"/>
      <c r="U19" s="520" t="s">
        <v>621</v>
      </c>
      <c r="V19" s="521"/>
      <c r="W19" s="522"/>
      <c r="X19" s="325"/>
      <c r="Y19" s="214"/>
      <c r="Z19" s="214"/>
      <c r="AC19" s="276"/>
      <c r="AD19" s="520" t="s">
        <v>448</v>
      </c>
      <c r="AE19" s="521"/>
      <c r="AF19" s="522"/>
      <c r="AG19" s="520" t="s">
        <v>178</v>
      </c>
      <c r="AH19" s="521"/>
      <c r="AI19" s="522"/>
      <c r="AJ19" s="520" t="s">
        <v>122</v>
      </c>
      <c r="AK19" s="521"/>
      <c r="AL19" s="522"/>
      <c r="AM19" s="520" t="s">
        <v>113</v>
      </c>
      <c r="AN19" s="521"/>
      <c r="AO19" s="522"/>
      <c r="AP19" s="520" t="s">
        <v>85</v>
      </c>
      <c r="AQ19" s="521"/>
      <c r="AR19" s="522"/>
    </row>
    <row r="20" spans="1:51" ht="14.95" customHeight="1" thickBot="1" x14ac:dyDescent="0.3">
      <c r="A20" s="245" t="s">
        <v>453</v>
      </c>
      <c r="B20" s="282">
        <v>2</v>
      </c>
      <c r="C20" s="228">
        <v>0</v>
      </c>
      <c r="D20" s="446">
        <v>1</v>
      </c>
      <c r="E20" s="228">
        <f t="shared" si="0"/>
        <v>3</v>
      </c>
      <c r="F20" s="247" t="s">
        <v>453</v>
      </c>
      <c r="G20" s="92">
        <v>10</v>
      </c>
      <c r="H20" s="343">
        <v>0</v>
      </c>
      <c r="I20" s="429">
        <v>5</v>
      </c>
      <c r="J20" s="250">
        <f t="shared" si="1"/>
        <v>15</v>
      </c>
      <c r="K20" s="543"/>
      <c r="L20" s="558"/>
      <c r="M20" s="559"/>
      <c r="N20" s="560"/>
      <c r="O20" s="523"/>
      <c r="P20" s="524"/>
      <c r="Q20" s="525"/>
      <c r="R20" s="523"/>
      <c r="S20" s="524"/>
      <c r="T20" s="525"/>
      <c r="U20" s="523"/>
      <c r="V20" s="524"/>
      <c r="W20" s="525"/>
      <c r="X20" s="325"/>
      <c r="Y20" s="214"/>
      <c r="Z20" s="214"/>
      <c r="AC20" s="276"/>
      <c r="AD20" s="523"/>
      <c r="AE20" s="524"/>
      <c r="AF20" s="525"/>
      <c r="AG20" s="523"/>
      <c r="AH20" s="524"/>
      <c r="AI20" s="525"/>
      <c r="AJ20" s="523"/>
      <c r="AK20" s="524"/>
      <c r="AL20" s="525"/>
      <c r="AM20" s="523"/>
      <c r="AN20" s="524"/>
      <c r="AO20" s="525"/>
      <c r="AP20" s="523"/>
      <c r="AQ20" s="524"/>
      <c r="AR20" s="525"/>
    </row>
    <row r="21" spans="1:51" ht="14.95" customHeight="1" thickBot="1" x14ac:dyDescent="0.3">
      <c r="A21" s="245" t="s">
        <v>454</v>
      </c>
      <c r="B21" s="282">
        <v>2</v>
      </c>
      <c r="C21" s="228">
        <v>1</v>
      </c>
      <c r="D21" s="446">
        <v>0</v>
      </c>
      <c r="E21" s="228">
        <f t="shared" si="0"/>
        <v>3</v>
      </c>
      <c r="F21" s="247" t="s">
        <v>454</v>
      </c>
      <c r="G21" s="92">
        <v>10</v>
      </c>
      <c r="H21" s="343">
        <v>5</v>
      </c>
      <c r="I21" s="429">
        <v>0</v>
      </c>
      <c r="J21" s="250">
        <f t="shared" si="1"/>
        <v>15</v>
      </c>
      <c r="K21" s="466" t="s">
        <v>44</v>
      </c>
      <c r="L21" s="229" t="s">
        <v>107</v>
      </c>
      <c r="M21" s="229" t="s">
        <v>23</v>
      </c>
      <c r="N21" s="229" t="s">
        <v>24</v>
      </c>
      <c r="O21" s="7" t="s">
        <v>107</v>
      </c>
      <c r="P21" s="7" t="s">
        <v>23</v>
      </c>
      <c r="Q21" s="7" t="s">
        <v>24</v>
      </c>
      <c r="R21" s="7" t="s">
        <v>107</v>
      </c>
      <c r="S21" s="7" t="s">
        <v>23</v>
      </c>
      <c r="T21" s="7" t="s">
        <v>24</v>
      </c>
      <c r="U21" s="201" t="s">
        <v>107</v>
      </c>
      <c r="V21" s="7" t="s">
        <v>23</v>
      </c>
      <c r="W21" s="7" t="s">
        <v>24</v>
      </c>
      <c r="X21" s="107"/>
      <c r="AC21" s="276"/>
      <c r="AD21" s="201" t="s">
        <v>107</v>
      </c>
      <c r="AE21" s="7" t="s">
        <v>23</v>
      </c>
      <c r="AF21" s="7" t="s">
        <v>24</v>
      </c>
      <c r="AG21" s="201" t="s">
        <v>107</v>
      </c>
      <c r="AH21" s="7" t="s">
        <v>23</v>
      </c>
      <c r="AI21" s="7" t="s">
        <v>24</v>
      </c>
      <c r="AJ21" s="201" t="s">
        <v>107</v>
      </c>
      <c r="AK21" s="7" t="s">
        <v>23</v>
      </c>
      <c r="AL21" s="7" t="s">
        <v>24</v>
      </c>
      <c r="AM21" s="201" t="s">
        <v>107</v>
      </c>
      <c r="AN21" s="7" t="s">
        <v>23</v>
      </c>
      <c r="AO21" s="7" t="s">
        <v>24</v>
      </c>
      <c r="AP21" s="6" t="s">
        <v>107</v>
      </c>
      <c r="AQ21" s="7" t="s">
        <v>23</v>
      </c>
      <c r="AR21" s="7" t="s">
        <v>24</v>
      </c>
    </row>
    <row r="22" spans="1:51" ht="14.95" customHeight="1" thickBot="1" x14ac:dyDescent="0.3">
      <c r="A22" s="245" t="s">
        <v>455</v>
      </c>
      <c r="B22" s="282">
        <v>3</v>
      </c>
      <c r="C22" s="228">
        <v>0</v>
      </c>
      <c r="D22" s="446">
        <v>0</v>
      </c>
      <c r="E22" s="228">
        <f t="shared" si="0"/>
        <v>3</v>
      </c>
      <c r="F22" s="247" t="s">
        <v>455</v>
      </c>
      <c r="G22" s="92">
        <v>200</v>
      </c>
      <c r="H22" s="343">
        <v>30</v>
      </c>
      <c r="I22" s="429">
        <v>20</v>
      </c>
      <c r="J22" s="250">
        <f t="shared" si="1"/>
        <v>250</v>
      </c>
      <c r="K22" s="251" t="s">
        <v>87</v>
      </c>
      <c r="L22" s="252" t="s">
        <v>30</v>
      </c>
      <c r="M22" s="252" t="s">
        <v>30</v>
      </c>
      <c r="N22" s="253" t="s">
        <v>30</v>
      </c>
      <c r="O22" s="7">
        <v>2</v>
      </c>
      <c r="P22" s="7">
        <v>2</v>
      </c>
      <c r="Q22" s="206">
        <f t="shared" ref="Q22" si="2">(O22/P22)*100</f>
        <v>100</v>
      </c>
      <c r="R22" s="7">
        <v>0</v>
      </c>
      <c r="S22" s="7">
        <v>2</v>
      </c>
      <c r="T22" s="206">
        <f>(R22/S22)*100</f>
        <v>0</v>
      </c>
      <c r="U22" s="201" t="s">
        <v>30</v>
      </c>
      <c r="V22" s="7" t="s">
        <v>30</v>
      </c>
      <c r="W22" s="206" t="s">
        <v>30</v>
      </c>
      <c r="X22" s="107"/>
      <c r="AC22" s="276"/>
      <c r="AD22" s="201">
        <v>7</v>
      </c>
      <c r="AE22" s="7">
        <v>10</v>
      </c>
      <c r="AF22" s="206">
        <f>SUM(AD22/AE22)*100</f>
        <v>70</v>
      </c>
      <c r="AG22" s="201" t="s">
        <v>30</v>
      </c>
      <c r="AH22" s="7" t="s">
        <v>30</v>
      </c>
      <c r="AI22" s="206" t="s">
        <v>30</v>
      </c>
      <c r="AJ22" s="201" t="s">
        <v>30</v>
      </c>
      <c r="AK22" s="7" t="s">
        <v>30</v>
      </c>
      <c r="AL22" s="206" t="s">
        <v>30</v>
      </c>
      <c r="AM22" s="6" t="s">
        <v>30</v>
      </c>
      <c r="AN22" s="7" t="s">
        <v>30</v>
      </c>
      <c r="AO22" s="206" t="s">
        <v>30</v>
      </c>
      <c r="AP22" s="7" t="s">
        <v>30</v>
      </c>
      <c r="AQ22" s="7" t="s">
        <v>30</v>
      </c>
      <c r="AR22" s="206" t="s">
        <v>30</v>
      </c>
    </row>
    <row r="23" spans="1:51" ht="14.95" customHeight="1" thickBot="1" x14ac:dyDescent="0.3">
      <c r="A23" s="245" t="s">
        <v>1032</v>
      </c>
      <c r="B23" s="282">
        <v>7</v>
      </c>
      <c r="C23" s="228">
        <v>1</v>
      </c>
      <c r="D23" s="446">
        <v>2</v>
      </c>
      <c r="E23" s="228">
        <f t="shared" si="0"/>
        <v>10</v>
      </c>
      <c r="F23" s="247" t="s">
        <v>1032</v>
      </c>
      <c r="G23" s="92">
        <v>35</v>
      </c>
      <c r="H23" s="343">
        <v>7</v>
      </c>
      <c r="I23" s="429">
        <v>10</v>
      </c>
      <c r="J23" s="250">
        <f t="shared" si="1"/>
        <v>52</v>
      </c>
      <c r="K23" s="245" t="s">
        <v>465</v>
      </c>
      <c r="L23" s="252">
        <v>14</v>
      </c>
      <c r="M23" s="252">
        <v>19</v>
      </c>
      <c r="N23" s="253">
        <f>(L23/M23)*100</f>
        <v>73.68421052631578</v>
      </c>
      <c r="O23" s="7">
        <v>13</v>
      </c>
      <c r="P23" s="7">
        <v>15</v>
      </c>
      <c r="Q23" s="206">
        <f>(O23/P23)*100</f>
        <v>86.666666666666671</v>
      </c>
      <c r="R23" s="7">
        <v>9</v>
      </c>
      <c r="S23" s="7">
        <v>11</v>
      </c>
      <c r="T23" s="206">
        <f>(R23/S23)*100</f>
        <v>81.818181818181827</v>
      </c>
      <c r="U23" s="201">
        <v>9</v>
      </c>
      <c r="V23" s="7">
        <v>14</v>
      </c>
      <c r="W23" s="206">
        <v>64.285714285714292</v>
      </c>
      <c r="X23" s="107"/>
      <c r="AC23" s="276"/>
      <c r="AD23" s="201" t="s">
        <v>30</v>
      </c>
      <c r="AE23" s="7" t="s">
        <v>30</v>
      </c>
      <c r="AF23" s="206" t="s">
        <v>30</v>
      </c>
      <c r="AG23" s="201" t="s">
        <v>30</v>
      </c>
      <c r="AH23" s="7" t="s">
        <v>30</v>
      </c>
      <c r="AI23" s="206" t="s">
        <v>30</v>
      </c>
      <c r="AJ23" s="201" t="s">
        <v>30</v>
      </c>
      <c r="AK23" s="7" t="s">
        <v>30</v>
      </c>
      <c r="AL23" s="206" t="s">
        <v>30</v>
      </c>
      <c r="AM23" s="6" t="s">
        <v>30</v>
      </c>
      <c r="AN23" s="7" t="s">
        <v>30</v>
      </c>
      <c r="AO23" s="206" t="s">
        <v>30</v>
      </c>
      <c r="AP23" s="7" t="s">
        <v>30</v>
      </c>
      <c r="AQ23" s="7" t="s">
        <v>30</v>
      </c>
      <c r="AR23" s="206" t="s">
        <v>30</v>
      </c>
      <c r="AY23" s="151"/>
    </row>
    <row r="24" spans="1:51" ht="14.95" customHeight="1" thickBot="1" x14ac:dyDescent="0.3">
      <c r="A24" s="245" t="s">
        <v>1046</v>
      </c>
      <c r="B24" s="282">
        <v>0</v>
      </c>
      <c r="C24" s="228">
        <v>0</v>
      </c>
      <c r="D24" s="446">
        <v>0</v>
      </c>
      <c r="E24" s="228">
        <f t="shared" si="0"/>
        <v>0</v>
      </c>
      <c r="F24" s="247" t="s">
        <v>1046</v>
      </c>
      <c r="G24" s="92">
        <v>6</v>
      </c>
      <c r="H24" s="343">
        <v>6</v>
      </c>
      <c r="I24" s="429">
        <v>20</v>
      </c>
      <c r="J24" s="250">
        <f t="shared" si="1"/>
        <v>32</v>
      </c>
      <c r="K24" s="245" t="s">
        <v>1032</v>
      </c>
      <c r="L24" s="252">
        <v>1</v>
      </c>
      <c r="M24" s="252">
        <v>3</v>
      </c>
      <c r="N24" s="253">
        <f>(L24/M24)*100</f>
        <v>33.333333333333329</v>
      </c>
      <c r="O24" s="7" t="s">
        <v>30</v>
      </c>
      <c r="P24" s="7" t="s">
        <v>30</v>
      </c>
      <c r="Q24" s="206" t="s">
        <v>30</v>
      </c>
      <c r="R24" s="7" t="s">
        <v>30</v>
      </c>
      <c r="S24" s="7" t="s">
        <v>30</v>
      </c>
      <c r="T24" s="206" t="s">
        <v>30</v>
      </c>
      <c r="U24" s="201" t="s">
        <v>30</v>
      </c>
      <c r="V24" s="7" t="s">
        <v>30</v>
      </c>
      <c r="W24" s="206" t="s">
        <v>30</v>
      </c>
      <c r="AD24" s="201" t="s">
        <v>30</v>
      </c>
      <c r="AE24" s="7" t="s">
        <v>30</v>
      </c>
      <c r="AF24" s="206" t="s">
        <v>30</v>
      </c>
      <c r="AG24" s="201" t="s">
        <v>30</v>
      </c>
      <c r="AH24" s="7" t="s">
        <v>30</v>
      </c>
      <c r="AI24" s="206" t="s">
        <v>30</v>
      </c>
      <c r="AJ24" s="201" t="s">
        <v>30</v>
      </c>
      <c r="AK24" s="7" t="s">
        <v>30</v>
      </c>
      <c r="AL24" s="206" t="s">
        <v>30</v>
      </c>
      <c r="AM24" s="6" t="s">
        <v>30</v>
      </c>
      <c r="AN24" s="7" t="s">
        <v>30</v>
      </c>
      <c r="AO24" s="206" t="s">
        <v>30</v>
      </c>
      <c r="AP24" s="7" t="s">
        <v>30</v>
      </c>
      <c r="AQ24" s="7" t="s">
        <v>30</v>
      </c>
      <c r="AR24" s="206" t="s">
        <v>30</v>
      </c>
    </row>
    <row r="25" spans="1:51" ht="14.95" customHeight="1" thickBot="1" x14ac:dyDescent="0.3">
      <c r="A25" s="245" t="s">
        <v>10</v>
      </c>
      <c r="B25" s="282">
        <v>0</v>
      </c>
      <c r="C25" s="228">
        <v>1</v>
      </c>
      <c r="D25" s="446">
        <v>1</v>
      </c>
      <c r="E25" s="228">
        <f t="shared" si="0"/>
        <v>2</v>
      </c>
      <c r="F25" s="247" t="s">
        <v>10</v>
      </c>
      <c r="G25" s="92">
        <v>0</v>
      </c>
      <c r="H25" s="343">
        <v>5</v>
      </c>
      <c r="I25" s="429">
        <v>5</v>
      </c>
      <c r="J25" s="250">
        <f t="shared" si="1"/>
        <v>10</v>
      </c>
      <c r="K25" s="244" t="s">
        <v>1048</v>
      </c>
      <c r="L25" s="473">
        <v>3</v>
      </c>
      <c r="M25" s="473">
        <v>3</v>
      </c>
      <c r="N25" s="474">
        <f>(L25/M25)*100</f>
        <v>100</v>
      </c>
      <c r="O25" s="7" t="s">
        <v>30</v>
      </c>
      <c r="P25" s="7" t="s">
        <v>30</v>
      </c>
      <c r="Q25" s="206" t="s">
        <v>30</v>
      </c>
      <c r="R25" s="7" t="s">
        <v>30</v>
      </c>
      <c r="S25" s="7" t="s">
        <v>30</v>
      </c>
      <c r="T25" s="206" t="s">
        <v>30</v>
      </c>
      <c r="U25" s="201" t="s">
        <v>30</v>
      </c>
      <c r="V25" s="7" t="s">
        <v>30</v>
      </c>
      <c r="W25" s="206" t="s">
        <v>30</v>
      </c>
      <c r="AD25" s="201" t="s">
        <v>30</v>
      </c>
      <c r="AE25" s="7" t="s">
        <v>30</v>
      </c>
      <c r="AF25" s="206" t="s">
        <v>30</v>
      </c>
      <c r="AG25" s="201" t="s">
        <v>30</v>
      </c>
      <c r="AH25" s="7" t="s">
        <v>30</v>
      </c>
      <c r="AI25" s="206" t="s">
        <v>30</v>
      </c>
      <c r="AJ25" s="201" t="s">
        <v>30</v>
      </c>
      <c r="AK25" s="7" t="s">
        <v>30</v>
      </c>
      <c r="AL25" s="206" t="s">
        <v>30</v>
      </c>
      <c r="AM25" s="6" t="s">
        <v>30</v>
      </c>
      <c r="AN25" s="7" t="s">
        <v>30</v>
      </c>
      <c r="AO25" s="206" t="s">
        <v>30</v>
      </c>
      <c r="AP25" s="7" t="s">
        <v>30</v>
      </c>
      <c r="AQ25" s="7" t="s">
        <v>30</v>
      </c>
      <c r="AR25" s="206" t="s">
        <v>30</v>
      </c>
    </row>
    <row r="26" spans="1:51" ht="14.95" customHeight="1" thickBot="1" x14ac:dyDescent="0.3">
      <c r="A26" s="245" t="s">
        <v>456</v>
      </c>
      <c r="B26" s="282">
        <v>3</v>
      </c>
      <c r="C26" s="228">
        <v>0</v>
      </c>
      <c r="D26" s="446">
        <v>0</v>
      </c>
      <c r="E26" s="228">
        <f t="shared" si="0"/>
        <v>3</v>
      </c>
      <c r="F26" s="247" t="s">
        <v>456</v>
      </c>
      <c r="G26" s="92">
        <v>15</v>
      </c>
      <c r="H26" s="343">
        <v>0</v>
      </c>
      <c r="I26" s="429">
        <v>0</v>
      </c>
      <c r="J26" s="250">
        <f t="shared" si="1"/>
        <v>15</v>
      </c>
      <c r="K26" s="244" t="s">
        <v>1179</v>
      </c>
      <c r="L26" s="252" t="s">
        <v>30</v>
      </c>
      <c r="M26" s="252" t="s">
        <v>30</v>
      </c>
      <c r="N26" s="253" t="s">
        <v>30</v>
      </c>
      <c r="O26" s="7">
        <v>1</v>
      </c>
      <c r="P26" s="7">
        <v>2</v>
      </c>
      <c r="Q26" s="206">
        <v>50</v>
      </c>
      <c r="R26" s="7">
        <v>2</v>
      </c>
      <c r="S26" s="7">
        <v>2</v>
      </c>
      <c r="T26" s="206">
        <v>100</v>
      </c>
      <c r="U26" s="201" t="s">
        <v>30</v>
      </c>
      <c r="V26" s="7" t="s">
        <v>30</v>
      </c>
      <c r="W26" s="206" t="s">
        <v>30</v>
      </c>
      <c r="AD26" s="201" t="s">
        <v>30</v>
      </c>
      <c r="AE26" s="7" t="s">
        <v>30</v>
      </c>
      <c r="AF26" s="206" t="s">
        <v>30</v>
      </c>
      <c r="AG26" s="201" t="s">
        <v>30</v>
      </c>
      <c r="AH26" s="7" t="s">
        <v>30</v>
      </c>
      <c r="AI26" s="206" t="s">
        <v>30</v>
      </c>
      <c r="AJ26" s="201" t="s">
        <v>30</v>
      </c>
      <c r="AK26" s="7" t="s">
        <v>30</v>
      </c>
      <c r="AL26" s="206" t="s">
        <v>30</v>
      </c>
      <c r="AM26" s="6" t="s">
        <v>30</v>
      </c>
      <c r="AN26" s="7" t="s">
        <v>30</v>
      </c>
      <c r="AO26" s="206" t="s">
        <v>30</v>
      </c>
      <c r="AP26" s="7" t="s">
        <v>30</v>
      </c>
      <c r="AQ26" s="7" t="s">
        <v>30</v>
      </c>
      <c r="AR26" s="206" t="s">
        <v>30</v>
      </c>
    </row>
    <row r="27" spans="1:51" ht="15.8" thickBot="1" x14ac:dyDescent="0.3">
      <c r="A27" s="245" t="s">
        <v>538</v>
      </c>
      <c r="B27" s="282">
        <v>1</v>
      </c>
      <c r="C27" s="228">
        <v>0</v>
      </c>
      <c r="D27" s="446">
        <v>1</v>
      </c>
      <c r="E27" s="228">
        <f t="shared" si="0"/>
        <v>2</v>
      </c>
      <c r="F27" s="247" t="s">
        <v>538</v>
      </c>
      <c r="G27" s="92">
        <v>5</v>
      </c>
      <c r="H27" s="343">
        <v>0</v>
      </c>
      <c r="I27" s="429">
        <v>5</v>
      </c>
      <c r="J27" s="250">
        <f t="shared" si="1"/>
        <v>10</v>
      </c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AD27" s="84"/>
      <c r="AE27" s="84"/>
      <c r="AF27" s="84"/>
      <c r="AQ27" s="151"/>
    </row>
    <row r="28" spans="1:51" ht="17" thickBot="1" x14ac:dyDescent="0.3">
      <c r="A28" s="245" t="s">
        <v>1114</v>
      </c>
      <c r="B28" s="282">
        <v>1</v>
      </c>
      <c r="C28" s="228">
        <v>0</v>
      </c>
      <c r="D28" s="446">
        <v>0</v>
      </c>
      <c r="E28" s="228">
        <f t="shared" si="0"/>
        <v>1</v>
      </c>
      <c r="F28" s="247" t="s">
        <v>1114</v>
      </c>
      <c r="G28" s="92">
        <v>5</v>
      </c>
      <c r="H28" s="343">
        <v>0</v>
      </c>
      <c r="I28" s="429">
        <v>0</v>
      </c>
      <c r="J28" s="250">
        <f t="shared" si="1"/>
        <v>5</v>
      </c>
      <c r="K28" s="547" t="s">
        <v>179</v>
      </c>
      <c r="L28" s="555" t="s">
        <v>29</v>
      </c>
      <c r="M28" s="556"/>
      <c r="N28" s="557"/>
      <c r="O28" s="520" t="s">
        <v>634</v>
      </c>
      <c r="P28" s="521"/>
      <c r="Q28" s="522"/>
      <c r="R28" s="520" t="s">
        <v>863</v>
      </c>
      <c r="S28" s="521"/>
      <c r="T28" s="522"/>
      <c r="U28" s="520" t="s">
        <v>621</v>
      </c>
      <c r="V28" s="521"/>
      <c r="W28" s="522"/>
      <c r="X28" s="325"/>
      <c r="Y28" s="214"/>
      <c r="Z28" s="214"/>
      <c r="AA28" s="109"/>
      <c r="AB28" s="109"/>
      <c r="AC28" s="327"/>
      <c r="AD28" s="520" t="s">
        <v>448</v>
      </c>
      <c r="AE28" s="521"/>
      <c r="AF28" s="522"/>
      <c r="AG28" s="520" t="s">
        <v>178</v>
      </c>
      <c r="AH28" s="521"/>
      <c r="AI28" s="522"/>
      <c r="AJ28" s="520" t="s">
        <v>113</v>
      </c>
      <c r="AK28" s="521"/>
      <c r="AL28" s="522"/>
      <c r="AM28" s="520" t="s">
        <v>85</v>
      </c>
      <c r="AN28" s="521"/>
      <c r="AO28" s="522"/>
    </row>
    <row r="29" spans="1:51" ht="17" thickBot="1" x14ac:dyDescent="0.3">
      <c r="A29" s="245" t="s">
        <v>1074</v>
      </c>
      <c r="B29" s="282">
        <v>0</v>
      </c>
      <c r="C29" s="228">
        <v>0</v>
      </c>
      <c r="D29" s="446">
        <v>1</v>
      </c>
      <c r="E29" s="228">
        <f t="shared" si="0"/>
        <v>1</v>
      </c>
      <c r="F29" s="247" t="s">
        <v>1074</v>
      </c>
      <c r="G29" s="92">
        <v>0</v>
      </c>
      <c r="H29" s="343">
        <v>0</v>
      </c>
      <c r="I29" s="429">
        <v>5</v>
      </c>
      <c r="J29" s="250">
        <f t="shared" si="1"/>
        <v>5</v>
      </c>
      <c r="K29" s="548"/>
      <c r="L29" s="558"/>
      <c r="M29" s="559"/>
      <c r="N29" s="560"/>
      <c r="O29" s="523"/>
      <c r="P29" s="524"/>
      <c r="Q29" s="525"/>
      <c r="R29" s="523"/>
      <c r="S29" s="524"/>
      <c r="T29" s="525"/>
      <c r="U29" s="523"/>
      <c r="V29" s="524"/>
      <c r="W29" s="525"/>
      <c r="X29" s="325"/>
      <c r="Y29" s="214"/>
      <c r="Z29" s="214"/>
      <c r="AA29" s="109"/>
      <c r="AB29" s="109"/>
      <c r="AC29" s="327"/>
      <c r="AD29" s="523"/>
      <c r="AE29" s="524"/>
      <c r="AF29" s="525"/>
      <c r="AG29" s="523"/>
      <c r="AH29" s="524"/>
      <c r="AI29" s="525"/>
      <c r="AJ29" s="523"/>
      <c r="AK29" s="524"/>
      <c r="AL29" s="525"/>
      <c r="AM29" s="523"/>
      <c r="AN29" s="524"/>
      <c r="AO29" s="525"/>
    </row>
    <row r="30" spans="1:51" ht="15.8" thickBot="1" x14ac:dyDescent="0.3">
      <c r="A30" s="245" t="s">
        <v>102</v>
      </c>
      <c r="B30" s="282">
        <v>0</v>
      </c>
      <c r="C30" s="228">
        <v>0</v>
      </c>
      <c r="D30" s="446">
        <v>0</v>
      </c>
      <c r="E30" s="228">
        <f t="shared" si="0"/>
        <v>0</v>
      </c>
      <c r="F30" s="247" t="s">
        <v>102</v>
      </c>
      <c r="G30" s="92">
        <v>0</v>
      </c>
      <c r="H30" s="343">
        <v>0</v>
      </c>
      <c r="I30" s="429">
        <v>0</v>
      </c>
      <c r="J30" s="250">
        <f t="shared" si="1"/>
        <v>0</v>
      </c>
      <c r="K30" s="400" t="s">
        <v>44</v>
      </c>
      <c r="L30" s="229" t="s">
        <v>107</v>
      </c>
      <c r="M30" s="229" t="s">
        <v>23</v>
      </c>
      <c r="N30" s="229" t="s">
        <v>24</v>
      </c>
      <c r="O30" s="7" t="s">
        <v>107</v>
      </c>
      <c r="P30" s="7" t="s">
        <v>23</v>
      </c>
      <c r="Q30" s="7" t="s">
        <v>24</v>
      </c>
      <c r="R30" s="7" t="s">
        <v>107</v>
      </c>
      <c r="S30" s="7" t="s">
        <v>23</v>
      </c>
      <c r="T30" s="7" t="s">
        <v>24</v>
      </c>
      <c r="U30" s="201" t="s">
        <v>107</v>
      </c>
      <c r="V30" s="7" t="s">
        <v>23</v>
      </c>
      <c r="W30" s="7" t="s">
        <v>24</v>
      </c>
      <c r="X30" s="108"/>
      <c r="Y30" s="109"/>
      <c r="Z30" s="109"/>
      <c r="AA30" s="109"/>
      <c r="AB30" s="109"/>
      <c r="AC30" s="327"/>
      <c r="AD30" s="201" t="s">
        <v>107</v>
      </c>
      <c r="AE30" s="7" t="s">
        <v>23</v>
      </c>
      <c r="AF30" s="7" t="s">
        <v>24</v>
      </c>
      <c r="AG30" s="201" t="s">
        <v>107</v>
      </c>
      <c r="AH30" s="7" t="s">
        <v>23</v>
      </c>
      <c r="AI30" s="7" t="s">
        <v>24</v>
      </c>
      <c r="AJ30" s="201" t="s">
        <v>107</v>
      </c>
      <c r="AK30" s="7" t="s">
        <v>23</v>
      </c>
      <c r="AL30" s="7" t="s">
        <v>24</v>
      </c>
      <c r="AM30" s="201" t="s">
        <v>107</v>
      </c>
      <c r="AN30" s="7" t="s">
        <v>23</v>
      </c>
      <c r="AO30" s="7" t="s">
        <v>24</v>
      </c>
    </row>
    <row r="31" spans="1:51" ht="15.8" thickBot="1" x14ac:dyDescent="0.3">
      <c r="A31" s="245" t="s">
        <v>1076</v>
      </c>
      <c r="B31" s="282">
        <v>0</v>
      </c>
      <c r="C31" s="228">
        <v>0</v>
      </c>
      <c r="D31" s="446">
        <v>1</v>
      </c>
      <c r="E31" s="228">
        <f t="shared" si="0"/>
        <v>1</v>
      </c>
      <c r="F31" s="247" t="s">
        <v>1076</v>
      </c>
      <c r="G31" s="92">
        <v>0</v>
      </c>
      <c r="H31" s="343">
        <v>0</v>
      </c>
      <c r="I31" s="429">
        <v>10</v>
      </c>
      <c r="J31" s="250">
        <f t="shared" si="1"/>
        <v>10</v>
      </c>
      <c r="K31" s="251" t="s">
        <v>87</v>
      </c>
      <c r="L31" s="415">
        <v>2</v>
      </c>
      <c r="M31" s="415">
        <v>4</v>
      </c>
      <c r="N31" s="416">
        <f>(L31/M31)*100</f>
        <v>50</v>
      </c>
      <c r="O31" s="7" t="s">
        <v>30</v>
      </c>
      <c r="P31" s="7" t="s">
        <v>30</v>
      </c>
      <c r="Q31" s="206" t="s">
        <v>30</v>
      </c>
      <c r="R31" s="7" t="s">
        <v>30</v>
      </c>
      <c r="S31" s="7" t="s">
        <v>30</v>
      </c>
      <c r="T31" s="206" t="s">
        <v>30</v>
      </c>
      <c r="U31" s="201" t="s">
        <v>30</v>
      </c>
      <c r="V31" s="7" t="s">
        <v>30</v>
      </c>
      <c r="W31" s="206" t="s">
        <v>30</v>
      </c>
      <c r="X31" s="108"/>
      <c r="Y31" s="109"/>
      <c r="Z31" s="109"/>
      <c r="AA31" s="109"/>
      <c r="AB31" s="109"/>
      <c r="AC31" s="327"/>
      <c r="AD31" s="201" t="s">
        <v>30</v>
      </c>
      <c r="AE31" s="7" t="s">
        <v>30</v>
      </c>
      <c r="AF31" s="206" t="s">
        <v>30</v>
      </c>
      <c r="AG31" s="201" t="s">
        <v>30</v>
      </c>
      <c r="AH31" s="7" t="s">
        <v>30</v>
      </c>
      <c r="AI31" s="206" t="s">
        <v>30</v>
      </c>
      <c r="AJ31" s="201" t="s">
        <v>30</v>
      </c>
      <c r="AK31" s="7" t="s">
        <v>30</v>
      </c>
      <c r="AL31" s="206" t="s">
        <v>30</v>
      </c>
      <c r="AM31" s="201" t="s">
        <v>30</v>
      </c>
      <c r="AN31" s="7" t="s">
        <v>30</v>
      </c>
      <c r="AO31" s="7" t="s">
        <v>30</v>
      </c>
      <c r="AP31" s="151"/>
      <c r="AQ31" s="151"/>
      <c r="AR31" s="151"/>
      <c r="AS31" s="151"/>
      <c r="AT31" s="151"/>
      <c r="AU31" s="151"/>
      <c r="AV31" s="151"/>
      <c r="AW31" s="151"/>
      <c r="AX31" s="151"/>
    </row>
    <row r="32" spans="1:51" ht="14.95" thickBot="1" x14ac:dyDescent="0.3">
      <c r="A32" s="245" t="s">
        <v>458</v>
      </c>
      <c r="B32" s="282">
        <v>4</v>
      </c>
      <c r="C32" s="228">
        <v>0</v>
      </c>
      <c r="D32" s="446">
        <v>1</v>
      </c>
      <c r="E32" s="228">
        <f t="shared" si="0"/>
        <v>5</v>
      </c>
      <c r="F32" s="247" t="s">
        <v>458</v>
      </c>
      <c r="G32" s="92">
        <v>20</v>
      </c>
      <c r="H32" s="343">
        <v>0</v>
      </c>
      <c r="I32" s="429">
        <v>5</v>
      </c>
      <c r="J32" s="250">
        <f t="shared" si="1"/>
        <v>25</v>
      </c>
      <c r="K32" s="245" t="s">
        <v>455</v>
      </c>
      <c r="L32" s="415">
        <v>7</v>
      </c>
      <c r="M32" s="415">
        <v>11</v>
      </c>
      <c r="N32" s="416">
        <f>(L32/M32)*100</f>
        <v>63.636363636363633</v>
      </c>
      <c r="O32" s="7" t="s">
        <v>30</v>
      </c>
      <c r="P32" s="7" t="s">
        <v>30</v>
      </c>
      <c r="Q32" s="206" t="s">
        <v>30</v>
      </c>
      <c r="R32" s="7">
        <v>8</v>
      </c>
      <c r="S32" s="7">
        <v>12</v>
      </c>
      <c r="T32" s="206">
        <f>(R32/S32)*100</f>
        <v>66.666666666666657</v>
      </c>
      <c r="U32" s="201" t="s">
        <v>30</v>
      </c>
      <c r="V32" s="7" t="s">
        <v>30</v>
      </c>
      <c r="W32" s="206" t="s">
        <v>30</v>
      </c>
      <c r="X32" s="108"/>
      <c r="Y32" s="109"/>
      <c r="Z32" s="109"/>
      <c r="AA32" s="109"/>
      <c r="AB32" s="109"/>
      <c r="AC32" s="327"/>
      <c r="AD32" s="201" t="s">
        <v>30</v>
      </c>
      <c r="AE32" s="7" t="s">
        <v>30</v>
      </c>
      <c r="AF32" s="206" t="s">
        <v>30</v>
      </c>
      <c r="AG32" s="201" t="s">
        <v>30</v>
      </c>
      <c r="AH32" s="7" t="s">
        <v>30</v>
      </c>
      <c r="AI32" s="206" t="s">
        <v>30</v>
      </c>
      <c r="AJ32" s="201" t="s">
        <v>30</v>
      </c>
      <c r="AK32" s="7" t="s">
        <v>30</v>
      </c>
      <c r="AL32" s="206" t="s">
        <v>30</v>
      </c>
      <c r="AM32" s="201" t="s">
        <v>30</v>
      </c>
      <c r="AN32" s="7" t="s">
        <v>30</v>
      </c>
      <c r="AO32" s="7" t="s">
        <v>30</v>
      </c>
    </row>
    <row r="33" spans="1:41" ht="14.95" thickBot="1" x14ac:dyDescent="0.3">
      <c r="A33" s="245" t="s">
        <v>1143</v>
      </c>
      <c r="B33" s="282">
        <v>2</v>
      </c>
      <c r="C33" s="228">
        <v>1</v>
      </c>
      <c r="D33" s="446">
        <v>0</v>
      </c>
      <c r="E33" s="228">
        <f t="shared" si="0"/>
        <v>3</v>
      </c>
      <c r="F33" s="247" t="s">
        <v>1143</v>
      </c>
      <c r="G33" s="92">
        <v>10</v>
      </c>
      <c r="H33" s="343">
        <v>5</v>
      </c>
      <c r="I33" s="429">
        <v>0</v>
      </c>
      <c r="J33" s="250">
        <f t="shared" si="1"/>
        <v>15</v>
      </c>
      <c r="K33" s="245" t="s">
        <v>1048</v>
      </c>
      <c r="L33" s="415">
        <v>9</v>
      </c>
      <c r="M33" s="415">
        <v>12</v>
      </c>
      <c r="N33" s="416">
        <f>(L33/M33)*100</f>
        <v>75</v>
      </c>
      <c r="O33" s="7" t="s">
        <v>30</v>
      </c>
      <c r="P33" s="7" t="s">
        <v>30</v>
      </c>
      <c r="Q33" s="206" t="s">
        <v>30</v>
      </c>
      <c r="R33" s="7" t="s">
        <v>30</v>
      </c>
      <c r="S33" s="7" t="s">
        <v>30</v>
      </c>
      <c r="T33" s="206" t="s">
        <v>30</v>
      </c>
      <c r="U33" s="201" t="s">
        <v>30</v>
      </c>
      <c r="V33" s="7" t="s">
        <v>30</v>
      </c>
      <c r="W33" s="206" t="s">
        <v>30</v>
      </c>
      <c r="X33" s="108"/>
      <c r="Y33" s="109"/>
      <c r="Z33" s="109"/>
      <c r="AA33" s="109"/>
      <c r="AB33" s="109"/>
      <c r="AC33" s="327"/>
      <c r="AD33" s="201" t="s">
        <v>30</v>
      </c>
      <c r="AE33" s="7" t="s">
        <v>30</v>
      </c>
      <c r="AF33" s="206" t="s">
        <v>30</v>
      </c>
      <c r="AG33" s="201" t="s">
        <v>30</v>
      </c>
      <c r="AH33" s="7" t="s">
        <v>30</v>
      </c>
      <c r="AI33" s="206" t="s">
        <v>30</v>
      </c>
      <c r="AJ33" s="201">
        <v>1</v>
      </c>
      <c r="AK33" s="7">
        <v>1</v>
      </c>
      <c r="AL33" s="206">
        <v>100</v>
      </c>
      <c r="AM33" s="201" t="s">
        <v>30</v>
      </c>
      <c r="AN33" s="7" t="s">
        <v>30</v>
      </c>
      <c r="AO33" s="7" t="s">
        <v>30</v>
      </c>
    </row>
    <row r="34" spans="1:41" ht="14.95" thickBot="1" x14ac:dyDescent="0.3">
      <c r="A34" s="245" t="s">
        <v>513</v>
      </c>
      <c r="B34" s="282">
        <v>6</v>
      </c>
      <c r="C34" s="228">
        <v>0</v>
      </c>
      <c r="D34" s="446">
        <v>0</v>
      </c>
      <c r="E34" s="228">
        <f t="shared" si="0"/>
        <v>6</v>
      </c>
      <c r="F34" s="247" t="s">
        <v>513</v>
      </c>
      <c r="G34" s="92">
        <v>30</v>
      </c>
      <c r="H34" s="343">
        <v>0</v>
      </c>
      <c r="I34" s="429">
        <v>0</v>
      </c>
      <c r="J34" s="250">
        <f t="shared" si="1"/>
        <v>30</v>
      </c>
      <c r="K34" s="251" t="s">
        <v>1076</v>
      </c>
      <c r="L34" s="415">
        <v>2</v>
      </c>
      <c r="M34" s="415">
        <v>2</v>
      </c>
      <c r="N34" s="416">
        <f>(L34/M34)*100</f>
        <v>100</v>
      </c>
      <c r="O34" s="7" t="s">
        <v>30</v>
      </c>
      <c r="P34" s="7" t="s">
        <v>30</v>
      </c>
      <c r="Q34" s="206" t="s">
        <v>30</v>
      </c>
      <c r="R34" s="7" t="s">
        <v>30</v>
      </c>
      <c r="S34" s="7" t="s">
        <v>30</v>
      </c>
      <c r="T34" s="206" t="s">
        <v>30</v>
      </c>
      <c r="U34" s="201" t="s">
        <v>30</v>
      </c>
      <c r="V34" s="7" t="s">
        <v>30</v>
      </c>
      <c r="W34" s="206" t="s">
        <v>30</v>
      </c>
      <c r="X34" s="108"/>
      <c r="Y34" s="109"/>
      <c r="Z34" s="109"/>
      <c r="AA34" s="109"/>
      <c r="AB34" s="109"/>
      <c r="AC34" s="327"/>
      <c r="AD34" s="201" t="s">
        <v>30</v>
      </c>
      <c r="AE34" s="7" t="s">
        <v>30</v>
      </c>
      <c r="AF34" s="206" t="s">
        <v>30</v>
      </c>
      <c r="AG34" s="201" t="s">
        <v>30</v>
      </c>
      <c r="AH34" s="7" t="s">
        <v>30</v>
      </c>
      <c r="AI34" s="206" t="s">
        <v>30</v>
      </c>
      <c r="AJ34" s="201" t="s">
        <v>30</v>
      </c>
      <c r="AK34" s="7" t="s">
        <v>30</v>
      </c>
      <c r="AL34" s="206" t="s">
        <v>30</v>
      </c>
      <c r="AM34" s="201" t="s">
        <v>30</v>
      </c>
      <c r="AN34" s="7" t="s">
        <v>30</v>
      </c>
      <c r="AO34" s="7" t="s">
        <v>30</v>
      </c>
    </row>
    <row r="35" spans="1:41" ht="14.95" thickBot="1" x14ac:dyDescent="0.3">
      <c r="A35" s="245" t="s">
        <v>482</v>
      </c>
      <c r="B35" s="282">
        <v>0</v>
      </c>
      <c r="C35" s="228">
        <v>0</v>
      </c>
      <c r="D35" s="446">
        <v>1</v>
      </c>
      <c r="E35" s="228">
        <f t="shared" si="0"/>
        <v>1</v>
      </c>
      <c r="F35" s="247" t="s">
        <v>482</v>
      </c>
      <c r="G35" s="92">
        <v>0</v>
      </c>
      <c r="H35" s="343">
        <v>0</v>
      </c>
      <c r="I35" s="429">
        <v>25</v>
      </c>
      <c r="J35" s="250">
        <f t="shared" si="1"/>
        <v>25</v>
      </c>
      <c r="K35" s="251" t="s">
        <v>482</v>
      </c>
      <c r="L35" s="415">
        <v>10</v>
      </c>
      <c r="M35" s="415">
        <v>13</v>
      </c>
      <c r="N35" s="416">
        <f>(L35/M35)*100</f>
        <v>76.923076923076934</v>
      </c>
      <c r="O35" s="7" t="s">
        <v>30</v>
      </c>
      <c r="P35" s="7" t="s">
        <v>30</v>
      </c>
      <c r="Q35" s="206" t="s">
        <v>30</v>
      </c>
      <c r="R35" s="7">
        <v>3</v>
      </c>
      <c r="S35" s="7">
        <v>8</v>
      </c>
      <c r="T35" s="206">
        <v>38</v>
      </c>
      <c r="U35" s="201" t="s">
        <v>30</v>
      </c>
      <c r="V35" s="7" t="s">
        <v>30</v>
      </c>
      <c r="W35" s="206" t="s">
        <v>30</v>
      </c>
      <c r="X35" s="108"/>
      <c r="Y35" s="109"/>
      <c r="Z35" s="109"/>
      <c r="AA35" s="109"/>
      <c r="AB35" s="109"/>
      <c r="AC35" s="327"/>
      <c r="AD35" s="201" t="s">
        <v>30</v>
      </c>
      <c r="AE35" s="7" t="s">
        <v>30</v>
      </c>
      <c r="AF35" s="206" t="s">
        <v>30</v>
      </c>
      <c r="AG35" s="201" t="s">
        <v>30</v>
      </c>
      <c r="AH35" s="7" t="s">
        <v>30</v>
      </c>
      <c r="AI35" s="206" t="s">
        <v>30</v>
      </c>
      <c r="AJ35" s="201" t="s">
        <v>30</v>
      </c>
      <c r="AK35" s="7" t="s">
        <v>30</v>
      </c>
      <c r="AL35" s="206" t="s">
        <v>30</v>
      </c>
      <c r="AM35" s="201" t="s">
        <v>30</v>
      </c>
      <c r="AN35" s="7" t="s">
        <v>30</v>
      </c>
      <c r="AO35" s="7" t="s">
        <v>30</v>
      </c>
    </row>
    <row r="36" spans="1:41" ht="14.95" thickBot="1" x14ac:dyDescent="0.3">
      <c r="A36" s="245" t="s">
        <v>459</v>
      </c>
      <c r="B36" s="282">
        <v>3</v>
      </c>
      <c r="C36" s="228">
        <v>1</v>
      </c>
      <c r="D36" s="446">
        <v>1</v>
      </c>
      <c r="E36" s="228">
        <f t="shared" si="0"/>
        <v>5</v>
      </c>
      <c r="F36" s="247" t="s">
        <v>459</v>
      </c>
      <c r="G36" s="92">
        <v>15</v>
      </c>
      <c r="H36" s="343">
        <v>5</v>
      </c>
      <c r="I36" s="429">
        <v>5</v>
      </c>
      <c r="J36" s="250">
        <f t="shared" si="1"/>
        <v>25</v>
      </c>
      <c r="K36" s="588" t="s">
        <v>992</v>
      </c>
      <c r="L36" s="519"/>
      <c r="M36" s="519"/>
      <c r="N36" s="519"/>
      <c r="O36" s="519"/>
      <c r="P36" s="519"/>
      <c r="Q36" s="519"/>
      <c r="R36" s="519"/>
      <c r="S36" s="519"/>
      <c r="T36" s="519"/>
      <c r="U36" s="519"/>
      <c r="V36" s="519"/>
      <c r="W36" s="519"/>
      <c r="X36" s="519"/>
      <c r="Y36" s="519"/>
      <c r="Z36" s="519"/>
      <c r="AA36" s="519"/>
      <c r="AB36" s="519"/>
      <c r="AC36" s="519"/>
      <c r="AD36" s="519"/>
      <c r="AE36" s="519"/>
      <c r="AF36" s="519"/>
    </row>
    <row r="37" spans="1:41" ht="14.95" thickBot="1" x14ac:dyDescent="0.3">
      <c r="A37" s="245" t="s">
        <v>460</v>
      </c>
      <c r="B37" s="282">
        <v>4</v>
      </c>
      <c r="C37" s="228">
        <v>1</v>
      </c>
      <c r="D37" s="446">
        <v>0</v>
      </c>
      <c r="E37" s="228">
        <f t="shared" si="0"/>
        <v>5</v>
      </c>
      <c r="F37" s="247" t="s">
        <v>460</v>
      </c>
      <c r="G37" s="92">
        <v>20</v>
      </c>
      <c r="H37" s="343">
        <v>5</v>
      </c>
      <c r="I37" s="429">
        <v>0</v>
      </c>
      <c r="J37" s="250">
        <f t="shared" si="1"/>
        <v>25</v>
      </c>
      <c r="K37" s="588" t="s">
        <v>1049</v>
      </c>
      <c r="L37" s="519"/>
      <c r="M37" s="519"/>
      <c r="N37" s="519"/>
      <c r="O37" s="519"/>
      <c r="P37" s="519"/>
      <c r="Q37" s="519"/>
      <c r="R37" s="519"/>
      <c r="S37" s="519"/>
      <c r="T37" s="519"/>
      <c r="U37" s="519"/>
      <c r="V37" s="519"/>
      <c r="W37" s="519"/>
    </row>
    <row r="38" spans="1:41" ht="14.95" thickBot="1" x14ac:dyDescent="0.3">
      <c r="A38" s="245" t="s">
        <v>1039</v>
      </c>
      <c r="B38" s="282">
        <v>8</v>
      </c>
      <c r="C38" s="228">
        <v>2</v>
      </c>
      <c r="D38" s="446">
        <v>0</v>
      </c>
      <c r="E38" s="228">
        <f t="shared" si="0"/>
        <v>10</v>
      </c>
      <c r="F38" s="247" t="s">
        <v>1039</v>
      </c>
      <c r="G38" s="92">
        <v>40</v>
      </c>
      <c r="H38" s="343">
        <v>10</v>
      </c>
      <c r="I38" s="429">
        <v>0</v>
      </c>
      <c r="J38" s="250">
        <f t="shared" si="1"/>
        <v>50</v>
      </c>
      <c r="K38" t="s">
        <v>1180</v>
      </c>
    </row>
    <row r="39" spans="1:41" ht="14.95" thickBot="1" x14ac:dyDescent="0.3">
      <c r="A39" s="245" t="s">
        <v>6</v>
      </c>
      <c r="B39" s="282">
        <v>2</v>
      </c>
      <c r="C39" s="228">
        <v>1</v>
      </c>
      <c r="D39" s="446">
        <v>0</v>
      </c>
      <c r="E39" s="228">
        <f t="shared" si="0"/>
        <v>3</v>
      </c>
      <c r="F39" s="247" t="s">
        <v>6</v>
      </c>
      <c r="G39" s="92">
        <v>14</v>
      </c>
      <c r="H39" s="343">
        <v>7</v>
      </c>
      <c r="I39" s="429">
        <v>0</v>
      </c>
      <c r="J39" s="250">
        <f t="shared" si="1"/>
        <v>21</v>
      </c>
      <c r="P39" t="s">
        <v>44</v>
      </c>
      <c r="Q39" t="s">
        <v>44</v>
      </c>
    </row>
    <row r="40" spans="1:41" ht="14.95" thickBot="1" x14ac:dyDescent="0.3">
      <c r="A40" s="245" t="s">
        <v>1081</v>
      </c>
      <c r="B40" s="282">
        <v>0</v>
      </c>
      <c r="C40" s="228">
        <v>1</v>
      </c>
      <c r="D40" s="446">
        <v>1</v>
      </c>
      <c r="E40" s="228">
        <f t="shared" si="0"/>
        <v>2</v>
      </c>
      <c r="F40" s="247" t="s">
        <v>1081</v>
      </c>
      <c r="G40" s="92">
        <v>0</v>
      </c>
      <c r="H40" s="343">
        <v>5</v>
      </c>
      <c r="I40" s="429">
        <v>5</v>
      </c>
      <c r="J40" s="250">
        <f t="shared" si="1"/>
        <v>10</v>
      </c>
    </row>
    <row r="41" spans="1:41" ht="14.95" thickBot="1" x14ac:dyDescent="0.3">
      <c r="A41" s="245" t="s">
        <v>171</v>
      </c>
      <c r="B41" s="282">
        <v>1</v>
      </c>
      <c r="C41" s="228">
        <v>0</v>
      </c>
      <c r="D41" s="446">
        <v>0</v>
      </c>
      <c r="E41" s="228">
        <f t="shared" si="0"/>
        <v>1</v>
      </c>
      <c r="F41" s="247" t="s">
        <v>171</v>
      </c>
      <c r="G41" s="92">
        <v>5</v>
      </c>
      <c r="H41" s="343">
        <v>0</v>
      </c>
      <c r="I41" s="429">
        <v>0</v>
      </c>
      <c r="J41" s="250">
        <f t="shared" si="1"/>
        <v>5</v>
      </c>
    </row>
    <row r="42" spans="1:41" ht="14.95" customHeight="1" thickBot="1" x14ac:dyDescent="0.3">
      <c r="A42" s="245" t="s">
        <v>753</v>
      </c>
      <c r="B42" s="282">
        <v>3</v>
      </c>
      <c r="C42" s="228">
        <v>1</v>
      </c>
      <c r="D42" s="446">
        <v>2</v>
      </c>
      <c r="E42" s="228">
        <f t="shared" si="0"/>
        <v>6</v>
      </c>
      <c r="F42" s="247" t="s">
        <v>753</v>
      </c>
      <c r="G42" s="92">
        <v>15</v>
      </c>
      <c r="H42" s="343">
        <v>5</v>
      </c>
      <c r="I42" s="429">
        <v>10</v>
      </c>
      <c r="J42" s="250">
        <f t="shared" si="1"/>
        <v>30</v>
      </c>
    </row>
    <row r="43" spans="1:41" ht="14.95" thickBot="1" x14ac:dyDescent="0.3">
      <c r="A43" s="245" t="s">
        <v>462</v>
      </c>
      <c r="B43" s="282">
        <v>2</v>
      </c>
      <c r="C43" s="228">
        <v>1</v>
      </c>
      <c r="D43" s="446">
        <v>3</v>
      </c>
      <c r="E43" s="228">
        <f t="shared" si="0"/>
        <v>6</v>
      </c>
      <c r="F43" s="247" t="s">
        <v>462</v>
      </c>
      <c r="G43" s="92">
        <v>10</v>
      </c>
      <c r="H43" s="343">
        <v>5</v>
      </c>
      <c r="I43" s="429">
        <v>15</v>
      </c>
      <c r="J43" s="250">
        <f t="shared" si="1"/>
        <v>30</v>
      </c>
    </row>
    <row r="44" spans="1:41" ht="14.95" thickBot="1" x14ac:dyDescent="0.3">
      <c r="A44" s="245" t="s">
        <v>162</v>
      </c>
      <c r="B44" s="282">
        <v>4</v>
      </c>
      <c r="C44" s="228">
        <v>0</v>
      </c>
      <c r="D44" s="446">
        <v>1</v>
      </c>
      <c r="E44" s="228">
        <f t="shared" si="0"/>
        <v>5</v>
      </c>
      <c r="F44" s="247" t="s">
        <v>162</v>
      </c>
      <c r="G44" s="92">
        <v>20</v>
      </c>
      <c r="H44" s="343">
        <v>0</v>
      </c>
      <c r="I44" s="429">
        <v>5</v>
      </c>
      <c r="J44" s="250">
        <f t="shared" si="1"/>
        <v>25</v>
      </c>
    </row>
    <row r="45" spans="1:41" ht="14.95" thickBot="1" x14ac:dyDescent="0.3">
      <c r="A45" s="245" t="s">
        <v>1037</v>
      </c>
      <c r="B45" s="282">
        <v>1</v>
      </c>
      <c r="C45" s="228">
        <v>0</v>
      </c>
      <c r="D45" s="446">
        <v>1</v>
      </c>
      <c r="E45" s="228">
        <f t="shared" si="0"/>
        <v>2</v>
      </c>
      <c r="F45" s="247" t="s">
        <v>1037</v>
      </c>
      <c r="G45" s="92">
        <v>5</v>
      </c>
      <c r="H45" s="343">
        <v>0</v>
      </c>
      <c r="I45" s="429">
        <v>5</v>
      </c>
      <c r="J45" s="250">
        <f t="shared" si="1"/>
        <v>10</v>
      </c>
    </row>
    <row r="46" spans="1:41" ht="14.95" thickBot="1" x14ac:dyDescent="0.3">
      <c r="A46" s="245" t="s">
        <v>3</v>
      </c>
      <c r="B46" s="282">
        <f>SUM(B3:B45)</f>
        <v>93</v>
      </c>
      <c r="C46" s="228">
        <f>SUM(C3:C45)</f>
        <v>24</v>
      </c>
      <c r="D46" s="446">
        <f>SUM(D3:D45)</f>
        <v>28</v>
      </c>
      <c r="E46" s="228">
        <f>SUM(E3:E45)</f>
        <v>145</v>
      </c>
      <c r="F46" s="247" t="s">
        <v>3</v>
      </c>
      <c r="G46" s="92">
        <f>SUM(G3:G45)</f>
        <v>660</v>
      </c>
      <c r="H46" s="343">
        <f>SUM(H3:H45)</f>
        <v>160</v>
      </c>
      <c r="I46" s="429">
        <f>SUM(I3:I45)</f>
        <v>209</v>
      </c>
      <c r="J46" s="250">
        <f>SUM(J3:J45)</f>
        <v>1029</v>
      </c>
    </row>
    <row r="47" spans="1:41" x14ac:dyDescent="0.25">
      <c r="A47" s="4" t="s">
        <v>44</v>
      </c>
      <c r="B47" s="268"/>
      <c r="C47" s="232"/>
      <c r="D47" s="232"/>
      <c r="E47" s="4"/>
      <c r="F47" s="39"/>
      <c r="G47" s="170"/>
      <c r="H47" s="123"/>
      <c r="I47" s="80"/>
      <c r="J47" s="39"/>
    </row>
    <row r="48" spans="1:41" ht="14.95" thickBot="1" x14ac:dyDescent="0.3">
      <c r="A48" t="s">
        <v>26</v>
      </c>
      <c r="B48" s="269"/>
      <c r="C48" s="233"/>
      <c r="D48" s="233"/>
      <c r="F48" s="37"/>
      <c r="G48" s="169"/>
      <c r="H48" s="124"/>
      <c r="I48" s="81"/>
      <c r="J48" s="37"/>
    </row>
    <row r="49" spans="1:10" ht="14.95" thickBot="1" x14ac:dyDescent="0.3">
      <c r="A49" s="244" t="s">
        <v>0</v>
      </c>
      <c r="B49" s="281" t="s">
        <v>620</v>
      </c>
      <c r="C49" s="227" t="s">
        <v>64</v>
      </c>
      <c r="D49" s="445" t="s">
        <v>925</v>
      </c>
      <c r="E49" s="227" t="s">
        <v>1</v>
      </c>
      <c r="F49" s="246" t="s">
        <v>2</v>
      </c>
      <c r="G49" s="138" t="s">
        <v>620</v>
      </c>
      <c r="H49" s="342" t="s">
        <v>64</v>
      </c>
      <c r="I49" s="428" t="s">
        <v>925</v>
      </c>
      <c r="J49" s="249" t="s">
        <v>1</v>
      </c>
    </row>
    <row r="50" spans="1:10" ht="14.95" thickBot="1" x14ac:dyDescent="0.3">
      <c r="A50" s="245" t="s">
        <v>583</v>
      </c>
      <c r="B50" s="282">
        <v>14</v>
      </c>
      <c r="C50" s="228">
        <v>4</v>
      </c>
      <c r="D50" s="446">
        <v>0</v>
      </c>
      <c r="E50" s="228">
        <f t="shared" ref="E50:E92" si="3">SUM(B50:D50)</f>
        <v>18</v>
      </c>
      <c r="F50" s="247" t="s">
        <v>455</v>
      </c>
      <c r="G50" s="92">
        <v>200</v>
      </c>
      <c r="H50" s="343">
        <v>30</v>
      </c>
      <c r="I50" s="429">
        <v>20</v>
      </c>
      <c r="J50" s="250">
        <f t="shared" ref="J50:J92" si="4">SUM(G50:I50)</f>
        <v>250</v>
      </c>
    </row>
    <row r="51" spans="1:10" ht="14.95" thickBot="1" x14ac:dyDescent="0.3">
      <c r="A51" s="245" t="s">
        <v>505</v>
      </c>
      <c r="B51" s="282">
        <v>10</v>
      </c>
      <c r="C51" s="228">
        <v>0</v>
      </c>
      <c r="D51" s="446">
        <v>1</v>
      </c>
      <c r="E51" s="228">
        <f t="shared" si="3"/>
        <v>11</v>
      </c>
      <c r="F51" s="247" t="s">
        <v>583</v>
      </c>
      <c r="G51" s="92">
        <v>70</v>
      </c>
      <c r="H51" s="343">
        <v>20</v>
      </c>
      <c r="I51" s="429">
        <v>0</v>
      </c>
      <c r="J51" s="250">
        <f t="shared" si="4"/>
        <v>90</v>
      </c>
    </row>
    <row r="52" spans="1:10" ht="14.95" thickBot="1" x14ac:dyDescent="0.3">
      <c r="A52" s="245" t="s">
        <v>1032</v>
      </c>
      <c r="B52" s="282">
        <v>7</v>
      </c>
      <c r="C52" s="228">
        <v>1</v>
      </c>
      <c r="D52" s="446">
        <v>2</v>
      </c>
      <c r="E52" s="228">
        <f t="shared" si="3"/>
        <v>10</v>
      </c>
      <c r="F52" s="247" t="s">
        <v>505</v>
      </c>
      <c r="G52" s="92">
        <v>50</v>
      </c>
      <c r="H52" s="343">
        <v>0</v>
      </c>
      <c r="I52" s="429">
        <v>5</v>
      </c>
      <c r="J52" s="250">
        <f t="shared" si="4"/>
        <v>55</v>
      </c>
    </row>
    <row r="53" spans="1:10" ht="14.95" thickBot="1" x14ac:dyDescent="0.3">
      <c r="A53" s="245" t="s">
        <v>1039</v>
      </c>
      <c r="B53" s="282">
        <v>8</v>
      </c>
      <c r="C53" s="228">
        <v>2</v>
      </c>
      <c r="D53" s="446">
        <v>0</v>
      </c>
      <c r="E53" s="228">
        <f t="shared" si="3"/>
        <v>10</v>
      </c>
      <c r="F53" s="247" t="s">
        <v>1032</v>
      </c>
      <c r="G53" s="92">
        <v>35</v>
      </c>
      <c r="H53" s="343">
        <v>7</v>
      </c>
      <c r="I53" s="429">
        <v>10</v>
      </c>
      <c r="J53" s="250">
        <f t="shared" si="4"/>
        <v>52</v>
      </c>
    </row>
    <row r="54" spans="1:10" ht="14.95" thickBot="1" x14ac:dyDescent="0.3">
      <c r="A54" s="245" t="s">
        <v>1155</v>
      </c>
      <c r="B54" s="282">
        <v>2</v>
      </c>
      <c r="C54" s="228">
        <v>2</v>
      </c>
      <c r="D54" s="446">
        <v>3</v>
      </c>
      <c r="E54" s="228">
        <f t="shared" si="3"/>
        <v>7</v>
      </c>
      <c r="F54" s="247" t="s">
        <v>1039</v>
      </c>
      <c r="G54" s="92">
        <v>40</v>
      </c>
      <c r="H54" s="343">
        <v>10</v>
      </c>
      <c r="I54" s="429">
        <v>0</v>
      </c>
      <c r="J54" s="250">
        <f t="shared" si="4"/>
        <v>50</v>
      </c>
    </row>
    <row r="55" spans="1:10" ht="14.95" thickBot="1" x14ac:dyDescent="0.3">
      <c r="A55" s="245" t="s">
        <v>513</v>
      </c>
      <c r="B55" s="282">
        <v>6</v>
      </c>
      <c r="C55" s="228">
        <v>0</v>
      </c>
      <c r="D55" s="446">
        <v>0</v>
      </c>
      <c r="E55" s="228">
        <f t="shared" si="3"/>
        <v>6</v>
      </c>
      <c r="F55" s="247" t="s">
        <v>1155</v>
      </c>
      <c r="G55" s="92">
        <v>10</v>
      </c>
      <c r="H55" s="343">
        <v>10</v>
      </c>
      <c r="I55" s="429">
        <v>15</v>
      </c>
      <c r="J55" s="250">
        <f t="shared" si="4"/>
        <v>35</v>
      </c>
    </row>
    <row r="56" spans="1:10" ht="14.95" thickBot="1" x14ac:dyDescent="0.3">
      <c r="A56" s="245" t="s">
        <v>753</v>
      </c>
      <c r="B56" s="282">
        <v>3</v>
      </c>
      <c r="C56" s="228">
        <v>1</v>
      </c>
      <c r="D56" s="446">
        <v>2</v>
      </c>
      <c r="E56" s="228">
        <f t="shared" si="3"/>
        <v>6</v>
      </c>
      <c r="F56" s="248" t="s">
        <v>1046</v>
      </c>
      <c r="G56" s="92">
        <v>6</v>
      </c>
      <c r="H56" s="343">
        <v>6</v>
      </c>
      <c r="I56" s="429">
        <v>20</v>
      </c>
      <c r="J56" s="250">
        <f t="shared" si="4"/>
        <v>32</v>
      </c>
    </row>
    <row r="57" spans="1:10" ht="14.95" thickBot="1" x14ac:dyDescent="0.3">
      <c r="A57" s="245" t="s">
        <v>462</v>
      </c>
      <c r="B57" s="282">
        <v>2</v>
      </c>
      <c r="C57" s="228">
        <v>1</v>
      </c>
      <c r="D57" s="446">
        <v>3</v>
      </c>
      <c r="E57" s="228">
        <f t="shared" si="3"/>
        <v>6</v>
      </c>
      <c r="F57" s="248" t="s">
        <v>513</v>
      </c>
      <c r="G57" s="92">
        <v>30</v>
      </c>
      <c r="H57" s="343">
        <v>0</v>
      </c>
      <c r="I57" s="429">
        <v>0</v>
      </c>
      <c r="J57" s="250">
        <f t="shared" si="4"/>
        <v>30</v>
      </c>
    </row>
    <row r="58" spans="1:10" ht="14.95" thickBot="1" x14ac:dyDescent="0.3">
      <c r="A58" s="245" t="s">
        <v>458</v>
      </c>
      <c r="B58" s="282">
        <v>4</v>
      </c>
      <c r="C58" s="228">
        <v>0</v>
      </c>
      <c r="D58" s="446">
        <v>1</v>
      </c>
      <c r="E58" s="228">
        <f t="shared" si="3"/>
        <v>5</v>
      </c>
      <c r="F58" s="247" t="s">
        <v>753</v>
      </c>
      <c r="G58" s="92">
        <v>15</v>
      </c>
      <c r="H58" s="343">
        <v>5</v>
      </c>
      <c r="I58" s="429">
        <v>10</v>
      </c>
      <c r="J58" s="250">
        <f t="shared" si="4"/>
        <v>30</v>
      </c>
    </row>
    <row r="59" spans="1:10" ht="14.95" thickBot="1" x14ac:dyDescent="0.3">
      <c r="A59" s="245" t="s">
        <v>459</v>
      </c>
      <c r="B59" s="282">
        <v>3</v>
      </c>
      <c r="C59" s="228">
        <v>1</v>
      </c>
      <c r="D59" s="446">
        <v>1</v>
      </c>
      <c r="E59" s="228">
        <f t="shared" si="3"/>
        <v>5</v>
      </c>
      <c r="F59" s="247" t="s">
        <v>462</v>
      </c>
      <c r="G59" s="92">
        <v>10</v>
      </c>
      <c r="H59" s="343">
        <v>5</v>
      </c>
      <c r="I59" s="429">
        <v>15</v>
      </c>
      <c r="J59" s="250">
        <f t="shared" si="4"/>
        <v>30</v>
      </c>
    </row>
    <row r="60" spans="1:10" ht="14.95" thickBot="1" x14ac:dyDescent="0.3">
      <c r="A60" s="245" t="s">
        <v>460</v>
      </c>
      <c r="B60" s="282">
        <v>4</v>
      </c>
      <c r="C60" s="228">
        <v>1</v>
      </c>
      <c r="D60" s="446">
        <v>0</v>
      </c>
      <c r="E60" s="228">
        <f t="shared" si="3"/>
        <v>5</v>
      </c>
      <c r="F60" s="247" t="s">
        <v>458</v>
      </c>
      <c r="G60" s="92">
        <v>20</v>
      </c>
      <c r="H60" s="343">
        <v>0</v>
      </c>
      <c r="I60" s="429">
        <v>5</v>
      </c>
      <c r="J60" s="250">
        <f t="shared" si="4"/>
        <v>25</v>
      </c>
    </row>
    <row r="61" spans="1:10" ht="14.95" thickBot="1" x14ac:dyDescent="0.3">
      <c r="A61" s="245" t="s">
        <v>162</v>
      </c>
      <c r="B61" s="282">
        <v>4</v>
      </c>
      <c r="C61" s="228">
        <v>0</v>
      </c>
      <c r="D61" s="446">
        <v>1</v>
      </c>
      <c r="E61" s="228">
        <f t="shared" si="3"/>
        <v>5</v>
      </c>
      <c r="F61" s="247" t="s">
        <v>482</v>
      </c>
      <c r="G61" s="92">
        <v>0</v>
      </c>
      <c r="H61" s="343">
        <v>0</v>
      </c>
      <c r="I61" s="429">
        <v>25</v>
      </c>
      <c r="J61" s="250">
        <f t="shared" si="4"/>
        <v>25</v>
      </c>
    </row>
    <row r="62" spans="1:10" ht="14.95" thickBot="1" x14ac:dyDescent="0.3">
      <c r="A62" s="245" t="s">
        <v>566</v>
      </c>
      <c r="B62" s="282">
        <v>3</v>
      </c>
      <c r="C62" s="228">
        <v>1</v>
      </c>
      <c r="D62" s="446">
        <v>0</v>
      </c>
      <c r="E62" s="228">
        <f t="shared" si="3"/>
        <v>4</v>
      </c>
      <c r="F62" s="247" t="s">
        <v>459</v>
      </c>
      <c r="G62" s="92">
        <v>15</v>
      </c>
      <c r="H62" s="343">
        <v>5</v>
      </c>
      <c r="I62" s="429">
        <v>5</v>
      </c>
      <c r="J62" s="250">
        <f t="shared" si="4"/>
        <v>25</v>
      </c>
    </row>
    <row r="63" spans="1:10" ht="14.95" thickBot="1" x14ac:dyDescent="0.3">
      <c r="A63" s="245" t="s">
        <v>1110</v>
      </c>
      <c r="B63" s="282">
        <v>1</v>
      </c>
      <c r="C63" s="228">
        <v>3</v>
      </c>
      <c r="D63" s="446">
        <v>0</v>
      </c>
      <c r="E63" s="228">
        <f t="shared" si="3"/>
        <v>4</v>
      </c>
      <c r="F63" s="247" t="s">
        <v>460</v>
      </c>
      <c r="G63" s="92">
        <v>20</v>
      </c>
      <c r="H63" s="343">
        <v>5</v>
      </c>
      <c r="I63" s="429">
        <v>0</v>
      </c>
      <c r="J63" s="250">
        <f t="shared" si="4"/>
        <v>25</v>
      </c>
    </row>
    <row r="64" spans="1:10" ht="14.95" thickBot="1" x14ac:dyDescent="0.3">
      <c r="A64" s="245" t="s">
        <v>1162</v>
      </c>
      <c r="B64" s="282">
        <v>1</v>
      </c>
      <c r="C64" s="228">
        <v>0</v>
      </c>
      <c r="D64" s="446">
        <v>2</v>
      </c>
      <c r="E64" s="228">
        <f t="shared" si="3"/>
        <v>3</v>
      </c>
      <c r="F64" s="247" t="s">
        <v>162</v>
      </c>
      <c r="G64" s="92">
        <v>20</v>
      </c>
      <c r="H64" s="343">
        <v>0</v>
      </c>
      <c r="I64" s="429">
        <v>5</v>
      </c>
      <c r="J64" s="250">
        <f t="shared" si="4"/>
        <v>25</v>
      </c>
    </row>
    <row r="65" spans="1:10" ht="14.95" thickBot="1" x14ac:dyDescent="0.3">
      <c r="A65" s="245" t="s">
        <v>1127</v>
      </c>
      <c r="B65" s="282">
        <v>1</v>
      </c>
      <c r="C65" s="228">
        <v>2</v>
      </c>
      <c r="D65" s="446">
        <v>0</v>
      </c>
      <c r="E65" s="228">
        <f t="shared" si="3"/>
        <v>3</v>
      </c>
      <c r="F65" s="247" t="s">
        <v>6</v>
      </c>
      <c r="G65" s="92">
        <v>14</v>
      </c>
      <c r="H65" s="343">
        <v>7</v>
      </c>
      <c r="I65" s="429">
        <v>0</v>
      </c>
      <c r="J65" s="250">
        <f t="shared" si="4"/>
        <v>21</v>
      </c>
    </row>
    <row r="66" spans="1:10" ht="14.95" thickBot="1" x14ac:dyDescent="0.3">
      <c r="A66" s="245" t="s">
        <v>453</v>
      </c>
      <c r="B66" s="282">
        <v>2</v>
      </c>
      <c r="C66" s="228">
        <v>0</v>
      </c>
      <c r="D66" s="446">
        <v>1</v>
      </c>
      <c r="E66" s="228">
        <f t="shared" si="3"/>
        <v>3</v>
      </c>
      <c r="F66" s="247" t="s">
        <v>566</v>
      </c>
      <c r="G66" s="92">
        <v>15</v>
      </c>
      <c r="H66" s="343">
        <v>5</v>
      </c>
      <c r="I66" s="429">
        <v>0</v>
      </c>
      <c r="J66" s="250">
        <f t="shared" si="4"/>
        <v>20</v>
      </c>
    </row>
    <row r="67" spans="1:10" ht="14.95" thickBot="1" x14ac:dyDescent="0.3">
      <c r="A67" s="245" t="s">
        <v>454</v>
      </c>
      <c r="B67" s="282">
        <v>2</v>
      </c>
      <c r="C67" s="228">
        <v>1</v>
      </c>
      <c r="D67" s="446">
        <v>0</v>
      </c>
      <c r="E67" s="228">
        <f t="shared" si="3"/>
        <v>3</v>
      </c>
      <c r="F67" s="247" t="s">
        <v>1110</v>
      </c>
      <c r="G67" s="92">
        <v>5</v>
      </c>
      <c r="H67" s="343">
        <v>15</v>
      </c>
      <c r="I67" s="429">
        <v>0</v>
      </c>
      <c r="J67" s="250">
        <f t="shared" si="4"/>
        <v>20</v>
      </c>
    </row>
    <row r="68" spans="1:10" ht="14.95" thickBot="1" x14ac:dyDescent="0.3">
      <c r="A68" s="245" t="s">
        <v>455</v>
      </c>
      <c r="B68" s="282">
        <v>3</v>
      </c>
      <c r="C68" s="228">
        <v>0</v>
      </c>
      <c r="D68" s="446">
        <v>0</v>
      </c>
      <c r="E68" s="228">
        <f t="shared" si="3"/>
        <v>3</v>
      </c>
      <c r="F68" s="247" t="s">
        <v>1162</v>
      </c>
      <c r="G68" s="92">
        <v>5</v>
      </c>
      <c r="H68" s="343">
        <v>0</v>
      </c>
      <c r="I68" s="429">
        <v>10</v>
      </c>
      <c r="J68" s="250">
        <f t="shared" si="4"/>
        <v>15</v>
      </c>
    </row>
    <row r="69" spans="1:10" ht="14.95" thickBot="1" x14ac:dyDescent="0.3">
      <c r="A69" s="245" t="s">
        <v>456</v>
      </c>
      <c r="B69" s="282">
        <v>3</v>
      </c>
      <c r="C69" s="228">
        <v>0</v>
      </c>
      <c r="D69" s="446">
        <v>0</v>
      </c>
      <c r="E69" s="228">
        <f t="shared" si="3"/>
        <v>3</v>
      </c>
      <c r="F69" s="247" t="s">
        <v>1127</v>
      </c>
      <c r="G69" s="92">
        <v>5</v>
      </c>
      <c r="H69" s="343">
        <v>10</v>
      </c>
      <c r="I69" s="429">
        <v>0</v>
      </c>
      <c r="J69" s="250">
        <f t="shared" si="4"/>
        <v>15</v>
      </c>
    </row>
    <row r="70" spans="1:10" ht="14.95" thickBot="1" x14ac:dyDescent="0.3">
      <c r="A70" s="245" t="s">
        <v>1143</v>
      </c>
      <c r="B70" s="282">
        <v>2</v>
      </c>
      <c r="C70" s="228">
        <v>1</v>
      </c>
      <c r="D70" s="446">
        <v>0</v>
      </c>
      <c r="E70" s="228">
        <f t="shared" si="3"/>
        <v>3</v>
      </c>
      <c r="F70" s="247" t="s">
        <v>453</v>
      </c>
      <c r="G70" s="92">
        <v>10</v>
      </c>
      <c r="H70" s="343">
        <v>0</v>
      </c>
      <c r="I70" s="429">
        <v>5</v>
      </c>
      <c r="J70" s="250">
        <f t="shared" si="4"/>
        <v>15</v>
      </c>
    </row>
    <row r="71" spans="1:10" ht="14.95" thickBot="1" x14ac:dyDescent="0.3">
      <c r="A71" s="245" t="s">
        <v>6</v>
      </c>
      <c r="B71" s="282">
        <v>2</v>
      </c>
      <c r="C71" s="228">
        <v>1</v>
      </c>
      <c r="D71" s="446">
        <v>0</v>
      </c>
      <c r="E71" s="228">
        <f t="shared" si="3"/>
        <v>3</v>
      </c>
      <c r="F71" s="247" t="s">
        <v>454</v>
      </c>
      <c r="G71" s="92">
        <v>10</v>
      </c>
      <c r="H71" s="343">
        <v>5</v>
      </c>
      <c r="I71" s="429">
        <v>0</v>
      </c>
      <c r="J71" s="250">
        <f t="shared" si="4"/>
        <v>15</v>
      </c>
    </row>
    <row r="72" spans="1:10" ht="14.95" thickBot="1" x14ac:dyDescent="0.3">
      <c r="A72" s="245" t="s">
        <v>145</v>
      </c>
      <c r="B72" s="282">
        <v>0</v>
      </c>
      <c r="C72" s="228">
        <v>0</v>
      </c>
      <c r="D72" s="446">
        <v>2</v>
      </c>
      <c r="E72" s="228">
        <f t="shared" si="3"/>
        <v>2</v>
      </c>
      <c r="F72" s="247" t="s">
        <v>456</v>
      </c>
      <c r="G72" s="92">
        <v>15</v>
      </c>
      <c r="H72" s="343">
        <v>0</v>
      </c>
      <c r="I72" s="429">
        <v>0</v>
      </c>
      <c r="J72" s="250">
        <f t="shared" si="4"/>
        <v>15</v>
      </c>
    </row>
    <row r="73" spans="1:10" ht="14.95" thickBot="1" x14ac:dyDescent="0.3">
      <c r="A73" s="245" t="s">
        <v>10</v>
      </c>
      <c r="B73" s="282">
        <v>0</v>
      </c>
      <c r="C73" s="228">
        <v>1</v>
      </c>
      <c r="D73" s="446">
        <v>1</v>
      </c>
      <c r="E73" s="228">
        <f t="shared" si="3"/>
        <v>2</v>
      </c>
      <c r="F73" s="247" t="s">
        <v>1143</v>
      </c>
      <c r="G73" s="92">
        <v>10</v>
      </c>
      <c r="H73" s="343">
        <v>5</v>
      </c>
      <c r="I73" s="429">
        <v>0</v>
      </c>
      <c r="J73" s="250">
        <f t="shared" si="4"/>
        <v>15</v>
      </c>
    </row>
    <row r="74" spans="1:10" ht="14.95" thickBot="1" x14ac:dyDescent="0.3">
      <c r="A74" s="245" t="s">
        <v>538</v>
      </c>
      <c r="B74" s="282">
        <v>1</v>
      </c>
      <c r="C74" s="228">
        <v>0</v>
      </c>
      <c r="D74" s="446">
        <v>1</v>
      </c>
      <c r="E74" s="228">
        <f t="shared" si="3"/>
        <v>2</v>
      </c>
      <c r="F74" s="247" t="s">
        <v>145</v>
      </c>
      <c r="G74" s="92">
        <v>0</v>
      </c>
      <c r="H74" s="343">
        <v>0</v>
      </c>
      <c r="I74" s="429">
        <v>10</v>
      </c>
      <c r="J74" s="250">
        <f t="shared" si="4"/>
        <v>10</v>
      </c>
    </row>
    <row r="75" spans="1:10" ht="14.95" thickBot="1" x14ac:dyDescent="0.3">
      <c r="A75" s="245" t="s">
        <v>1081</v>
      </c>
      <c r="B75" s="282">
        <v>0</v>
      </c>
      <c r="C75" s="228">
        <v>1</v>
      </c>
      <c r="D75" s="446">
        <v>1</v>
      </c>
      <c r="E75" s="228">
        <f t="shared" si="3"/>
        <v>2</v>
      </c>
      <c r="F75" s="247" t="s">
        <v>10</v>
      </c>
      <c r="G75" s="92">
        <v>0</v>
      </c>
      <c r="H75" s="343">
        <v>5</v>
      </c>
      <c r="I75" s="429">
        <v>5</v>
      </c>
      <c r="J75" s="250">
        <f t="shared" si="4"/>
        <v>10</v>
      </c>
    </row>
    <row r="76" spans="1:10" ht="14.95" thickBot="1" x14ac:dyDescent="0.3">
      <c r="A76" s="245" t="s">
        <v>1037</v>
      </c>
      <c r="B76" s="282">
        <v>1</v>
      </c>
      <c r="C76" s="228">
        <v>0</v>
      </c>
      <c r="D76" s="446">
        <v>1</v>
      </c>
      <c r="E76" s="228">
        <f t="shared" si="3"/>
        <v>2</v>
      </c>
      <c r="F76" s="247" t="s">
        <v>538</v>
      </c>
      <c r="G76" s="92">
        <v>5</v>
      </c>
      <c r="H76" s="343">
        <v>0</v>
      </c>
      <c r="I76" s="429">
        <v>5</v>
      </c>
      <c r="J76" s="250">
        <f t="shared" si="4"/>
        <v>10</v>
      </c>
    </row>
    <row r="77" spans="1:10" ht="14.95" thickBot="1" x14ac:dyDescent="0.3">
      <c r="A77" s="245" t="s">
        <v>1207</v>
      </c>
      <c r="B77" s="282">
        <v>0</v>
      </c>
      <c r="C77" s="228">
        <v>0</v>
      </c>
      <c r="D77" s="446">
        <v>1</v>
      </c>
      <c r="E77" s="228">
        <f t="shared" si="3"/>
        <v>1</v>
      </c>
      <c r="F77" s="247" t="s">
        <v>1076</v>
      </c>
      <c r="G77" s="92">
        <v>0</v>
      </c>
      <c r="H77" s="343">
        <v>0</v>
      </c>
      <c r="I77" s="429">
        <v>10</v>
      </c>
      <c r="J77" s="250">
        <f t="shared" si="4"/>
        <v>10</v>
      </c>
    </row>
    <row r="78" spans="1:10" ht="14.95" thickBot="1" x14ac:dyDescent="0.3">
      <c r="A78" s="245" t="s">
        <v>543</v>
      </c>
      <c r="B78" s="282">
        <v>1</v>
      </c>
      <c r="C78" s="228">
        <v>0</v>
      </c>
      <c r="D78" s="446">
        <v>0</v>
      </c>
      <c r="E78" s="228">
        <f t="shared" si="3"/>
        <v>1</v>
      </c>
      <c r="F78" s="247" t="s">
        <v>1081</v>
      </c>
      <c r="G78" s="92">
        <v>0</v>
      </c>
      <c r="H78" s="343">
        <v>5</v>
      </c>
      <c r="I78" s="429">
        <v>5</v>
      </c>
      <c r="J78" s="250">
        <f t="shared" si="4"/>
        <v>10</v>
      </c>
    </row>
    <row r="79" spans="1:10" ht="14.95" thickBot="1" x14ac:dyDescent="0.3">
      <c r="A79" s="245" t="s">
        <v>1027</v>
      </c>
      <c r="B79" s="282">
        <v>1</v>
      </c>
      <c r="C79" s="228">
        <v>0</v>
      </c>
      <c r="D79" s="446">
        <v>0</v>
      </c>
      <c r="E79" s="228">
        <f t="shared" si="3"/>
        <v>1</v>
      </c>
      <c r="F79" s="247" t="s">
        <v>1037</v>
      </c>
      <c r="G79" s="92">
        <v>5</v>
      </c>
      <c r="H79" s="343">
        <v>0</v>
      </c>
      <c r="I79" s="429">
        <v>5</v>
      </c>
      <c r="J79" s="250">
        <f t="shared" si="4"/>
        <v>10</v>
      </c>
    </row>
    <row r="80" spans="1:10" ht="14.95" thickBot="1" x14ac:dyDescent="0.3">
      <c r="A80" s="245" t="s">
        <v>597</v>
      </c>
      <c r="B80" s="282">
        <v>0</v>
      </c>
      <c r="C80" s="228">
        <v>0</v>
      </c>
      <c r="D80" s="446">
        <v>1</v>
      </c>
      <c r="E80" s="228">
        <f t="shared" si="3"/>
        <v>1</v>
      </c>
      <c r="F80" s="247" t="s">
        <v>1207</v>
      </c>
      <c r="G80" s="92">
        <v>0</v>
      </c>
      <c r="H80" s="343">
        <v>0</v>
      </c>
      <c r="I80" s="429">
        <v>5</v>
      </c>
      <c r="J80" s="250">
        <f t="shared" si="4"/>
        <v>5</v>
      </c>
    </row>
    <row r="81" spans="1:10" ht="14.95" thickBot="1" x14ac:dyDescent="0.3">
      <c r="A81" s="245" t="s">
        <v>1114</v>
      </c>
      <c r="B81" s="282">
        <v>1</v>
      </c>
      <c r="C81" s="228">
        <v>0</v>
      </c>
      <c r="D81" s="446">
        <v>0</v>
      </c>
      <c r="E81" s="228">
        <f t="shared" si="3"/>
        <v>1</v>
      </c>
      <c r="F81" s="247" t="s">
        <v>543</v>
      </c>
      <c r="G81" s="92">
        <v>5</v>
      </c>
      <c r="H81" s="343">
        <v>0</v>
      </c>
      <c r="I81" s="429">
        <v>0</v>
      </c>
      <c r="J81" s="250">
        <f t="shared" si="4"/>
        <v>5</v>
      </c>
    </row>
    <row r="82" spans="1:10" ht="14.95" thickBot="1" x14ac:dyDescent="0.3">
      <c r="A82" s="245" t="s">
        <v>1074</v>
      </c>
      <c r="B82" s="282">
        <v>0</v>
      </c>
      <c r="C82" s="228">
        <v>0</v>
      </c>
      <c r="D82" s="446">
        <v>1</v>
      </c>
      <c r="E82" s="228">
        <f t="shared" si="3"/>
        <v>1</v>
      </c>
      <c r="F82" s="247" t="s">
        <v>1027</v>
      </c>
      <c r="G82" s="92">
        <v>5</v>
      </c>
      <c r="H82" s="343">
        <v>0</v>
      </c>
      <c r="I82" s="429">
        <v>0</v>
      </c>
      <c r="J82" s="250">
        <f t="shared" si="4"/>
        <v>5</v>
      </c>
    </row>
    <row r="83" spans="1:10" ht="14.95" thickBot="1" x14ac:dyDescent="0.3">
      <c r="A83" s="245" t="s">
        <v>1076</v>
      </c>
      <c r="B83" s="282">
        <v>0</v>
      </c>
      <c r="C83" s="228">
        <v>0</v>
      </c>
      <c r="D83" s="446">
        <v>1</v>
      </c>
      <c r="E83" s="228">
        <f t="shared" si="3"/>
        <v>1</v>
      </c>
      <c r="F83" s="247" t="s">
        <v>597</v>
      </c>
      <c r="G83" s="92">
        <v>0</v>
      </c>
      <c r="H83" s="343">
        <v>0</v>
      </c>
      <c r="I83" s="429">
        <v>5</v>
      </c>
      <c r="J83" s="250">
        <f t="shared" si="4"/>
        <v>5</v>
      </c>
    </row>
    <row r="84" spans="1:10" ht="14.95" thickBot="1" x14ac:dyDescent="0.3">
      <c r="A84" s="245" t="s">
        <v>482</v>
      </c>
      <c r="B84" s="282">
        <v>0</v>
      </c>
      <c r="C84" s="228">
        <v>0</v>
      </c>
      <c r="D84" s="446">
        <v>1</v>
      </c>
      <c r="E84" s="228">
        <f t="shared" si="3"/>
        <v>1</v>
      </c>
      <c r="F84" s="247" t="s">
        <v>1114</v>
      </c>
      <c r="G84" s="92">
        <v>5</v>
      </c>
      <c r="H84" s="343">
        <v>0</v>
      </c>
      <c r="I84" s="429">
        <v>0</v>
      </c>
      <c r="J84" s="250">
        <f t="shared" si="4"/>
        <v>5</v>
      </c>
    </row>
    <row r="85" spans="1:10" ht="14.95" thickBot="1" x14ac:dyDescent="0.3">
      <c r="A85" s="245" t="s">
        <v>171</v>
      </c>
      <c r="B85" s="282">
        <v>1</v>
      </c>
      <c r="C85" s="228">
        <v>0</v>
      </c>
      <c r="D85" s="446">
        <v>0</v>
      </c>
      <c r="E85" s="228">
        <f t="shared" si="3"/>
        <v>1</v>
      </c>
      <c r="F85" s="247" t="s">
        <v>1074</v>
      </c>
      <c r="G85" s="92">
        <v>0</v>
      </c>
      <c r="H85" s="343">
        <v>0</v>
      </c>
      <c r="I85" s="429">
        <v>5</v>
      </c>
      <c r="J85" s="250">
        <f t="shared" si="4"/>
        <v>5</v>
      </c>
    </row>
    <row r="86" spans="1:10" ht="14.95" customHeight="1" thickBot="1" x14ac:dyDescent="0.3">
      <c r="A86" s="245" t="s">
        <v>87</v>
      </c>
      <c r="B86" s="282">
        <v>0</v>
      </c>
      <c r="C86" s="228">
        <v>0</v>
      </c>
      <c r="D86" s="446">
        <v>0</v>
      </c>
      <c r="E86" s="228">
        <f t="shared" si="3"/>
        <v>0</v>
      </c>
      <c r="F86" s="247" t="s">
        <v>171</v>
      </c>
      <c r="G86" s="92">
        <v>5</v>
      </c>
      <c r="H86" s="343">
        <v>0</v>
      </c>
      <c r="I86" s="429">
        <v>0</v>
      </c>
      <c r="J86" s="250">
        <f t="shared" si="4"/>
        <v>5</v>
      </c>
    </row>
    <row r="87" spans="1:10" ht="14.95" customHeight="1" thickBot="1" x14ac:dyDescent="0.3">
      <c r="A87" s="245" t="s">
        <v>451</v>
      </c>
      <c r="B87" s="282">
        <v>0</v>
      </c>
      <c r="C87" s="228">
        <v>0</v>
      </c>
      <c r="D87" s="446">
        <v>0</v>
      </c>
      <c r="E87" s="228">
        <f t="shared" si="3"/>
        <v>0</v>
      </c>
      <c r="F87" s="247" t="s">
        <v>87</v>
      </c>
      <c r="G87" s="92">
        <v>0</v>
      </c>
      <c r="H87" s="343">
        <v>0</v>
      </c>
      <c r="I87" s="429">
        <v>4</v>
      </c>
      <c r="J87" s="250">
        <f t="shared" si="4"/>
        <v>4</v>
      </c>
    </row>
    <row r="88" spans="1:10" ht="14.95" thickBot="1" x14ac:dyDescent="0.3">
      <c r="A88" s="245" t="s">
        <v>496</v>
      </c>
      <c r="B88" s="282">
        <v>0</v>
      </c>
      <c r="C88" s="228">
        <v>0</v>
      </c>
      <c r="D88" s="446">
        <v>0</v>
      </c>
      <c r="E88" s="228">
        <f t="shared" si="3"/>
        <v>0</v>
      </c>
      <c r="F88" s="247" t="s">
        <v>451</v>
      </c>
      <c r="G88" s="92">
        <v>0</v>
      </c>
      <c r="H88" s="343">
        <v>0</v>
      </c>
      <c r="I88" s="429">
        <v>0</v>
      </c>
      <c r="J88" s="250">
        <f t="shared" si="4"/>
        <v>0</v>
      </c>
    </row>
    <row r="89" spans="1:10" ht="14.95" customHeight="1" thickBot="1" x14ac:dyDescent="0.3">
      <c r="A89" s="245" t="s">
        <v>495</v>
      </c>
      <c r="B89" s="282">
        <v>0</v>
      </c>
      <c r="C89" s="228">
        <v>0</v>
      </c>
      <c r="D89" s="446">
        <v>0</v>
      </c>
      <c r="E89" s="228">
        <f t="shared" si="3"/>
        <v>0</v>
      </c>
      <c r="F89" s="247" t="s">
        <v>496</v>
      </c>
      <c r="G89" s="92">
        <v>0</v>
      </c>
      <c r="H89" s="343">
        <v>0</v>
      </c>
      <c r="I89" s="429">
        <v>0</v>
      </c>
      <c r="J89" s="250">
        <f t="shared" si="4"/>
        <v>0</v>
      </c>
    </row>
    <row r="90" spans="1:10" ht="14.95" thickBot="1" x14ac:dyDescent="0.3">
      <c r="A90" s="245" t="s">
        <v>452</v>
      </c>
      <c r="B90" s="282">
        <v>0</v>
      </c>
      <c r="C90" s="228">
        <v>0</v>
      </c>
      <c r="D90" s="446">
        <v>0</v>
      </c>
      <c r="E90" s="228">
        <f t="shared" si="3"/>
        <v>0</v>
      </c>
      <c r="F90" s="247" t="s">
        <v>495</v>
      </c>
      <c r="G90" s="92">
        <v>0</v>
      </c>
      <c r="H90" s="343">
        <v>0</v>
      </c>
      <c r="I90" s="429">
        <v>0</v>
      </c>
      <c r="J90" s="250">
        <f t="shared" si="4"/>
        <v>0</v>
      </c>
    </row>
    <row r="91" spans="1:10" ht="14.95" customHeight="1" thickBot="1" x14ac:dyDescent="0.3">
      <c r="A91" s="245" t="s">
        <v>1046</v>
      </c>
      <c r="B91" s="282">
        <v>0</v>
      </c>
      <c r="C91" s="228">
        <v>0</v>
      </c>
      <c r="D91" s="446">
        <v>0</v>
      </c>
      <c r="E91" s="228">
        <f t="shared" si="3"/>
        <v>0</v>
      </c>
      <c r="F91" s="247" t="s">
        <v>452</v>
      </c>
      <c r="G91" s="92">
        <v>0</v>
      </c>
      <c r="H91" s="343">
        <v>0</v>
      </c>
      <c r="I91" s="429">
        <v>0</v>
      </c>
      <c r="J91" s="250">
        <f t="shared" si="4"/>
        <v>0</v>
      </c>
    </row>
    <row r="92" spans="1:10" ht="14.95" thickBot="1" x14ac:dyDescent="0.3">
      <c r="A92" s="245" t="s">
        <v>102</v>
      </c>
      <c r="B92" s="282">
        <v>0</v>
      </c>
      <c r="C92" s="228">
        <v>0</v>
      </c>
      <c r="D92" s="446">
        <v>0</v>
      </c>
      <c r="E92" s="228">
        <f t="shared" si="3"/>
        <v>0</v>
      </c>
      <c r="F92" s="247" t="s">
        <v>102</v>
      </c>
      <c r="G92" s="92">
        <v>0</v>
      </c>
      <c r="H92" s="343">
        <v>0</v>
      </c>
      <c r="I92" s="429">
        <v>0</v>
      </c>
      <c r="J92" s="250">
        <f t="shared" si="4"/>
        <v>0</v>
      </c>
    </row>
    <row r="93" spans="1:10" ht="14.95" customHeight="1" thickBot="1" x14ac:dyDescent="0.3">
      <c r="A93" s="245" t="s">
        <v>3</v>
      </c>
      <c r="B93" s="282">
        <f>SUM(B50:B92)</f>
        <v>93</v>
      </c>
      <c r="C93" s="228">
        <f>SUM(C50:C92)</f>
        <v>24</v>
      </c>
      <c r="D93" s="446">
        <f>SUM(D50:D92)</f>
        <v>28</v>
      </c>
      <c r="E93" s="228">
        <f>SUM(E50:E92)</f>
        <v>145</v>
      </c>
      <c r="F93" s="247" t="s">
        <v>3</v>
      </c>
      <c r="G93" s="92">
        <f>SUM(G50:G92)</f>
        <v>660</v>
      </c>
      <c r="H93" s="343">
        <f>SUM(H50:H92)</f>
        <v>160</v>
      </c>
      <c r="I93" s="429">
        <f>SUM(I50:I92)</f>
        <v>209</v>
      </c>
      <c r="J93" s="250">
        <f>SUM(J50:J92)</f>
        <v>1029</v>
      </c>
    </row>
    <row r="94" spans="1:10" x14ac:dyDescent="0.25">
      <c r="A94" s="532" t="s">
        <v>81</v>
      </c>
      <c r="B94" s="519"/>
      <c r="C94" s="519"/>
      <c r="D94" s="519"/>
      <c r="E94" s="519"/>
      <c r="F94" s="519"/>
      <c r="G94" s="519"/>
      <c r="H94" s="519"/>
    </row>
    <row r="95" spans="1:10" x14ac:dyDescent="0.25">
      <c r="G95" s="167"/>
    </row>
    <row r="96" spans="1:10" x14ac:dyDescent="0.25">
      <c r="G96" s="167"/>
    </row>
    <row r="97" spans="7:7" x14ac:dyDescent="0.25">
      <c r="G97" s="167"/>
    </row>
    <row r="98" spans="7:7" x14ac:dyDescent="0.25">
      <c r="G98" s="167"/>
    </row>
    <row r="99" spans="7:7" x14ac:dyDescent="0.25">
      <c r="G99" s="167"/>
    </row>
    <row r="100" spans="7:7" x14ac:dyDescent="0.25">
      <c r="G100" s="167"/>
    </row>
    <row r="101" spans="7:7" x14ac:dyDescent="0.25">
      <c r="G101" s="167"/>
    </row>
    <row r="102" spans="7:7" x14ac:dyDescent="0.25">
      <c r="G102" s="167"/>
    </row>
    <row r="103" spans="7:7" x14ac:dyDescent="0.25">
      <c r="G103" s="167"/>
    </row>
    <row r="104" spans="7:7" x14ac:dyDescent="0.25">
      <c r="G104" s="167"/>
    </row>
    <row r="105" spans="7:7" x14ac:dyDescent="0.25">
      <c r="G105" s="167"/>
    </row>
    <row r="106" spans="7:7" x14ac:dyDescent="0.25">
      <c r="G106" s="167"/>
    </row>
    <row r="107" spans="7:7" x14ac:dyDescent="0.25">
      <c r="G107" s="167"/>
    </row>
    <row r="108" spans="7:7" x14ac:dyDescent="0.25">
      <c r="G108" s="167"/>
    </row>
    <row r="109" spans="7:7" x14ac:dyDescent="0.25">
      <c r="G109" s="167"/>
    </row>
    <row r="110" spans="7:7" x14ac:dyDescent="0.25">
      <c r="G110" s="167"/>
    </row>
    <row r="111" spans="7:7" x14ac:dyDescent="0.25">
      <c r="G111" s="167"/>
    </row>
    <row r="112" spans="7:7" x14ac:dyDescent="0.25">
      <c r="G112" s="167"/>
    </row>
    <row r="113" spans="7:7" x14ac:dyDescent="0.25">
      <c r="G113" s="167"/>
    </row>
    <row r="114" spans="7:7" x14ac:dyDescent="0.25">
      <c r="G114" s="167"/>
    </row>
    <row r="115" spans="7:7" x14ac:dyDescent="0.25">
      <c r="G115" s="167"/>
    </row>
    <row r="116" spans="7:7" x14ac:dyDescent="0.25">
      <c r="G116" s="167"/>
    </row>
    <row r="117" spans="7:7" x14ac:dyDescent="0.25">
      <c r="G117" s="167"/>
    </row>
    <row r="118" spans="7:7" x14ac:dyDescent="0.25">
      <c r="G118" s="167"/>
    </row>
    <row r="119" spans="7:7" x14ac:dyDescent="0.25">
      <c r="G119" s="167"/>
    </row>
    <row r="120" spans="7:7" x14ac:dyDescent="0.25">
      <c r="G120" s="167"/>
    </row>
    <row r="121" spans="7:7" x14ac:dyDescent="0.25">
      <c r="G121" s="167"/>
    </row>
    <row r="122" spans="7:7" x14ac:dyDescent="0.25">
      <c r="G122" s="167"/>
    </row>
    <row r="123" spans="7:7" x14ac:dyDescent="0.25">
      <c r="G123" s="167"/>
    </row>
    <row r="124" spans="7:7" x14ac:dyDescent="0.25">
      <c r="G124" s="167"/>
    </row>
    <row r="125" spans="7:7" x14ac:dyDescent="0.25">
      <c r="G125" s="167"/>
    </row>
    <row r="126" spans="7:7" x14ac:dyDescent="0.25">
      <c r="G126" s="167"/>
    </row>
    <row r="127" spans="7:7" x14ac:dyDescent="0.25">
      <c r="G127" s="167"/>
    </row>
    <row r="128" spans="7:7" x14ac:dyDescent="0.25">
      <c r="G128" s="167"/>
    </row>
    <row r="129" spans="7:7" x14ac:dyDescent="0.25">
      <c r="G129" s="167"/>
    </row>
    <row r="130" spans="7:7" x14ac:dyDescent="0.25">
      <c r="G130" s="167"/>
    </row>
    <row r="131" spans="7:7" x14ac:dyDescent="0.25">
      <c r="G131" s="167"/>
    </row>
    <row r="132" spans="7:7" x14ac:dyDescent="0.25">
      <c r="G132" s="167"/>
    </row>
    <row r="133" spans="7:7" x14ac:dyDescent="0.25">
      <c r="G133" s="167"/>
    </row>
    <row r="134" spans="7:7" x14ac:dyDescent="0.25">
      <c r="G134" s="167"/>
    </row>
    <row r="135" spans="7:7" x14ac:dyDescent="0.25">
      <c r="G135" s="167"/>
    </row>
  </sheetData>
  <sortState xmlns:xlrd2="http://schemas.microsoft.com/office/spreadsheetml/2017/richdata2" ref="F50:J92">
    <sortCondition descending="1" ref="J50:J92"/>
  </sortState>
  <mergeCells count="45">
    <mergeCell ref="A94:H94"/>
    <mergeCell ref="AV1:AX2"/>
    <mergeCell ref="K28:K29"/>
    <mergeCell ref="L28:N29"/>
    <mergeCell ref="AS1:AU2"/>
    <mergeCell ref="R1:S2"/>
    <mergeCell ref="K19:K20"/>
    <mergeCell ref="K1:K2"/>
    <mergeCell ref="L1:N2"/>
    <mergeCell ref="O1:Q2"/>
    <mergeCell ref="AP1:AR2"/>
    <mergeCell ref="AM19:AO20"/>
    <mergeCell ref="AM28:AO29"/>
    <mergeCell ref="R28:T29"/>
    <mergeCell ref="O28:Q29"/>
    <mergeCell ref="AD28:AF29"/>
    <mergeCell ref="AM1:AO2"/>
    <mergeCell ref="AP19:AR20"/>
    <mergeCell ref="W1:Y2"/>
    <mergeCell ref="AM12:AO13"/>
    <mergeCell ref="AG28:AI29"/>
    <mergeCell ref="AG12:AI13"/>
    <mergeCell ref="AJ12:AL13"/>
    <mergeCell ref="AG1:AI2"/>
    <mergeCell ref="AG19:AI20"/>
    <mergeCell ref="U12:W13"/>
    <mergeCell ref="AD12:AF13"/>
    <mergeCell ref="AJ1:AL2"/>
    <mergeCell ref="AJ19:AL20"/>
    <mergeCell ref="AJ28:AL29"/>
    <mergeCell ref="A1:J1"/>
    <mergeCell ref="T1:V2"/>
    <mergeCell ref="AD1:AF2"/>
    <mergeCell ref="K12:K13"/>
    <mergeCell ref="L12:N13"/>
    <mergeCell ref="R12:T13"/>
    <mergeCell ref="O12:Q13"/>
    <mergeCell ref="K37:W37"/>
    <mergeCell ref="K36:AF36"/>
    <mergeCell ref="L19:N20"/>
    <mergeCell ref="U19:W20"/>
    <mergeCell ref="U28:W29"/>
    <mergeCell ref="R19:T20"/>
    <mergeCell ref="O19:Q20"/>
    <mergeCell ref="AD19:AF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D106"/>
  <sheetViews>
    <sheetView workbookViewId="0">
      <selection activeCell="AA15" sqref="AA15"/>
    </sheetView>
  </sheetViews>
  <sheetFormatPr defaultColWidth="8.875" defaultRowHeight="14.3" x14ac:dyDescent="0.25"/>
  <cols>
    <col min="1" max="1" width="18.25" bestFit="1" customWidth="1"/>
    <col min="2" max="2" width="3.75" customWidth="1"/>
    <col min="3" max="4" width="4.125" customWidth="1"/>
    <col min="5" max="5" width="4.75" customWidth="1"/>
    <col min="6" max="6" width="18.25" bestFit="1" customWidth="1"/>
    <col min="7" max="10" width="5.25" customWidth="1"/>
    <col min="11" max="11" width="16.75" customWidth="1"/>
    <col min="12" max="49" width="5.75" customWidth="1"/>
  </cols>
  <sheetData>
    <row r="1" spans="1:56" ht="14.95" customHeight="1" thickBot="1" x14ac:dyDescent="0.3">
      <c r="A1" s="592" t="s">
        <v>848</v>
      </c>
      <c r="B1" s="593"/>
      <c r="C1" s="593"/>
      <c r="D1" s="593"/>
      <c r="E1" s="593"/>
      <c r="F1" s="593"/>
      <c r="G1" s="593"/>
      <c r="H1" s="593"/>
      <c r="I1" s="593"/>
      <c r="J1" s="594"/>
      <c r="K1" s="540" t="s">
        <v>509</v>
      </c>
      <c r="L1" s="526" t="s">
        <v>29</v>
      </c>
      <c r="M1" s="527"/>
      <c r="N1" s="528"/>
      <c r="O1" s="526" t="s">
        <v>93</v>
      </c>
      <c r="P1" s="527"/>
      <c r="Q1" s="528"/>
      <c r="R1" s="526" t="s">
        <v>508</v>
      </c>
      <c r="S1" s="528"/>
      <c r="T1" s="520" t="s">
        <v>634</v>
      </c>
      <c r="U1" s="521"/>
      <c r="V1" s="522"/>
      <c r="W1" s="520" t="s">
        <v>863</v>
      </c>
      <c r="X1" s="521"/>
      <c r="Y1" s="522"/>
      <c r="Z1" s="391"/>
      <c r="AA1" s="129"/>
      <c r="AB1" s="403"/>
      <c r="AC1" s="520" t="s">
        <v>621</v>
      </c>
      <c r="AD1" s="521"/>
      <c r="AE1" s="522"/>
      <c r="AF1" s="520" t="s">
        <v>448</v>
      </c>
      <c r="AG1" s="521"/>
      <c r="AH1" s="522"/>
      <c r="AI1" s="520" t="s">
        <v>178</v>
      </c>
      <c r="AJ1" s="521"/>
      <c r="AK1" s="522"/>
      <c r="AL1" s="520" t="s">
        <v>122</v>
      </c>
      <c r="AM1" s="521"/>
      <c r="AN1" s="522"/>
      <c r="AO1" s="520" t="s">
        <v>113</v>
      </c>
      <c r="AP1" s="521"/>
      <c r="AQ1" s="522"/>
      <c r="AR1" s="520" t="s">
        <v>85</v>
      </c>
      <c r="AS1" s="521"/>
      <c r="AT1" s="522"/>
      <c r="AU1" s="520" t="s">
        <v>106</v>
      </c>
      <c r="AV1" s="521"/>
      <c r="AW1" s="522"/>
      <c r="AY1" s="4"/>
      <c r="AZ1" s="4"/>
      <c r="BA1" s="4"/>
      <c r="BD1" s="4"/>
    </row>
    <row r="2" spans="1:56" ht="14.95" customHeight="1" thickBot="1" x14ac:dyDescent="0.3">
      <c r="A2" s="283" t="s">
        <v>0</v>
      </c>
      <c r="B2" s="145" t="s">
        <v>620</v>
      </c>
      <c r="C2" s="467" t="s">
        <v>64</v>
      </c>
      <c r="D2" s="426" t="s">
        <v>925</v>
      </c>
      <c r="E2" s="133" t="s">
        <v>1</v>
      </c>
      <c r="F2" s="285" t="s">
        <v>2</v>
      </c>
      <c r="G2" s="138" t="s">
        <v>620</v>
      </c>
      <c r="H2" s="342" t="s">
        <v>64</v>
      </c>
      <c r="I2" s="428" t="s">
        <v>925</v>
      </c>
      <c r="J2" s="139" t="s">
        <v>1</v>
      </c>
      <c r="K2" s="541"/>
      <c r="L2" s="529"/>
      <c r="M2" s="530"/>
      <c r="N2" s="531"/>
      <c r="O2" s="529"/>
      <c r="P2" s="530"/>
      <c r="Q2" s="531"/>
      <c r="R2" s="529"/>
      <c r="S2" s="531"/>
      <c r="T2" s="523"/>
      <c r="U2" s="524"/>
      <c r="V2" s="525"/>
      <c r="W2" s="523"/>
      <c r="X2" s="524"/>
      <c r="Y2" s="525"/>
      <c r="Z2" s="108"/>
      <c r="AA2" s="109"/>
      <c r="AB2" s="327"/>
      <c r="AC2" s="523"/>
      <c r="AD2" s="524"/>
      <c r="AE2" s="525"/>
      <c r="AF2" s="523"/>
      <c r="AG2" s="524"/>
      <c r="AH2" s="525"/>
      <c r="AI2" s="523"/>
      <c r="AJ2" s="524"/>
      <c r="AK2" s="525"/>
      <c r="AL2" s="523"/>
      <c r="AM2" s="524"/>
      <c r="AN2" s="525"/>
      <c r="AO2" s="523"/>
      <c r="AP2" s="524"/>
      <c r="AQ2" s="525"/>
      <c r="AR2" s="523"/>
      <c r="AS2" s="524"/>
      <c r="AT2" s="525"/>
      <c r="AU2" s="523"/>
      <c r="AV2" s="524"/>
      <c r="AW2" s="525"/>
    </row>
    <row r="3" spans="1:56" ht="14.95" customHeight="1" thickBot="1" x14ac:dyDescent="0.3">
      <c r="A3" s="284" t="s">
        <v>744</v>
      </c>
      <c r="B3" s="91">
        <v>0</v>
      </c>
      <c r="C3" s="468">
        <v>0</v>
      </c>
      <c r="D3" s="427">
        <v>1</v>
      </c>
      <c r="E3" s="5">
        <f t="shared" ref="E3:E52" si="0">SUM(B3:D3)</f>
        <v>1</v>
      </c>
      <c r="F3" s="287" t="s">
        <v>744</v>
      </c>
      <c r="G3" s="92">
        <v>0</v>
      </c>
      <c r="H3" s="343">
        <v>0</v>
      </c>
      <c r="I3" s="429">
        <v>5</v>
      </c>
      <c r="J3" s="74">
        <f t="shared" ref="J3:J52" si="1">SUM(G3:I3)</f>
        <v>5</v>
      </c>
      <c r="K3" s="394" t="s">
        <v>44</v>
      </c>
      <c r="L3" s="3" t="s">
        <v>107</v>
      </c>
      <c r="M3" s="3" t="s">
        <v>23</v>
      </c>
      <c r="N3" s="3" t="s">
        <v>24</v>
      </c>
      <c r="O3" s="3" t="s">
        <v>107</v>
      </c>
      <c r="P3" s="3" t="s">
        <v>23</v>
      </c>
      <c r="Q3" s="3" t="s">
        <v>24</v>
      </c>
      <c r="R3" s="3" t="s">
        <v>34</v>
      </c>
      <c r="S3" s="3" t="s">
        <v>135</v>
      </c>
      <c r="T3" s="7" t="s">
        <v>107</v>
      </c>
      <c r="U3" s="7" t="s">
        <v>23</v>
      </c>
      <c r="V3" s="7" t="s">
        <v>24</v>
      </c>
      <c r="W3" s="201" t="s">
        <v>107</v>
      </c>
      <c r="X3" s="7" t="s">
        <v>23</v>
      </c>
      <c r="Y3" s="7" t="s">
        <v>24</v>
      </c>
      <c r="Z3" s="108"/>
      <c r="AA3" s="109"/>
      <c r="AB3" s="327"/>
      <c r="AC3" s="201" t="s">
        <v>107</v>
      </c>
      <c r="AD3" s="7" t="s">
        <v>23</v>
      </c>
      <c r="AE3" s="7" t="s">
        <v>24</v>
      </c>
      <c r="AF3" s="201" t="s">
        <v>107</v>
      </c>
      <c r="AG3" s="7" t="s">
        <v>23</v>
      </c>
      <c r="AH3" s="7" t="s">
        <v>24</v>
      </c>
      <c r="AI3" s="201" t="s">
        <v>107</v>
      </c>
      <c r="AJ3" s="7" t="s">
        <v>23</v>
      </c>
      <c r="AK3" s="7" t="s">
        <v>24</v>
      </c>
      <c r="AL3" s="201" t="s">
        <v>107</v>
      </c>
      <c r="AM3" s="7" t="s">
        <v>23</v>
      </c>
      <c r="AN3" s="7" t="s">
        <v>24</v>
      </c>
      <c r="AO3" s="7" t="s">
        <v>107</v>
      </c>
      <c r="AP3" s="7" t="s">
        <v>23</v>
      </c>
      <c r="AQ3" s="7" t="s">
        <v>24</v>
      </c>
      <c r="AR3" s="7" t="s">
        <v>107</v>
      </c>
      <c r="AS3" s="7" t="s">
        <v>23</v>
      </c>
      <c r="AT3" s="7" t="s">
        <v>24</v>
      </c>
      <c r="AU3" s="7" t="s">
        <v>107</v>
      </c>
      <c r="AV3" s="7" t="s">
        <v>23</v>
      </c>
      <c r="AW3" s="7" t="s">
        <v>24</v>
      </c>
    </row>
    <row r="4" spans="1:56" ht="14.95" customHeight="1" thickBot="1" x14ac:dyDescent="0.3">
      <c r="A4" s="284" t="s">
        <v>670</v>
      </c>
      <c r="B4" s="91">
        <v>2</v>
      </c>
      <c r="C4" s="468">
        <v>0</v>
      </c>
      <c r="D4" s="427">
        <v>0</v>
      </c>
      <c r="E4" s="5">
        <f t="shared" si="0"/>
        <v>2</v>
      </c>
      <c r="F4" s="287" t="s">
        <v>670</v>
      </c>
      <c r="G4" s="92">
        <v>10</v>
      </c>
      <c r="H4" s="343">
        <v>0</v>
      </c>
      <c r="I4" s="429">
        <v>0</v>
      </c>
      <c r="J4" s="74">
        <f t="shared" si="1"/>
        <v>10</v>
      </c>
      <c r="K4" s="284" t="s">
        <v>689</v>
      </c>
      <c r="L4" s="5">
        <v>22</v>
      </c>
      <c r="M4" s="5">
        <v>27</v>
      </c>
      <c r="N4" s="288">
        <f t="shared" ref="N4:N6" si="2">SUM(L4/M4)*100</f>
        <v>81.481481481481481</v>
      </c>
      <c r="O4" s="5" t="s">
        <v>30</v>
      </c>
      <c r="P4" s="5" t="s">
        <v>30</v>
      </c>
      <c r="Q4" s="288" t="s">
        <v>30</v>
      </c>
      <c r="R4" s="5">
        <v>8</v>
      </c>
      <c r="S4" s="5">
        <v>3</v>
      </c>
      <c r="T4" s="7">
        <v>35</v>
      </c>
      <c r="U4" s="7">
        <v>51</v>
      </c>
      <c r="V4" s="206">
        <f>SUM(T4/U4)*100</f>
        <v>68.627450980392155</v>
      </c>
      <c r="W4" s="201" t="s">
        <v>30</v>
      </c>
      <c r="X4" s="7" t="s">
        <v>30</v>
      </c>
      <c r="Y4" s="206" t="s">
        <v>30</v>
      </c>
      <c r="Z4" s="108"/>
      <c r="AA4" s="109"/>
      <c r="AB4" s="327"/>
      <c r="AC4" s="201">
        <v>5</v>
      </c>
      <c r="AD4" s="7">
        <v>6</v>
      </c>
      <c r="AE4" s="7">
        <v>100</v>
      </c>
      <c r="AF4" s="201" t="s">
        <v>30</v>
      </c>
      <c r="AG4" s="7" t="s">
        <v>30</v>
      </c>
      <c r="AH4" s="206" t="s">
        <v>30</v>
      </c>
      <c r="AI4" s="7" t="s">
        <v>30</v>
      </c>
      <c r="AJ4" s="7" t="s">
        <v>30</v>
      </c>
      <c r="AK4" s="206" t="s">
        <v>30</v>
      </c>
      <c r="AL4" s="7" t="s">
        <v>30</v>
      </c>
      <c r="AM4" s="7" t="s">
        <v>30</v>
      </c>
      <c r="AN4" s="206" t="s">
        <v>30</v>
      </c>
      <c r="AO4" s="7" t="s">
        <v>30</v>
      </c>
      <c r="AP4" s="7" t="s">
        <v>30</v>
      </c>
      <c r="AQ4" s="206" t="s">
        <v>30</v>
      </c>
      <c r="AR4" s="7" t="s">
        <v>30</v>
      </c>
      <c r="AS4" s="7" t="s">
        <v>30</v>
      </c>
      <c r="AT4" s="206" t="s">
        <v>30</v>
      </c>
      <c r="AU4" s="7" t="s">
        <v>30</v>
      </c>
      <c r="AV4" s="7" t="s">
        <v>30</v>
      </c>
      <c r="AW4" s="206" t="s">
        <v>30</v>
      </c>
    </row>
    <row r="5" spans="1:56" ht="14.95" customHeight="1" thickBot="1" x14ac:dyDescent="0.3">
      <c r="A5" s="284" t="s">
        <v>672</v>
      </c>
      <c r="B5" s="91">
        <v>0</v>
      </c>
      <c r="C5" s="468">
        <v>0</v>
      </c>
      <c r="D5" s="427">
        <v>0</v>
      </c>
      <c r="E5" s="5">
        <f t="shared" si="0"/>
        <v>0</v>
      </c>
      <c r="F5" s="287" t="s">
        <v>672</v>
      </c>
      <c r="G5" s="92">
        <v>0</v>
      </c>
      <c r="H5" s="343">
        <v>0</v>
      </c>
      <c r="I5" s="429">
        <v>0</v>
      </c>
      <c r="J5" s="74">
        <f t="shared" si="1"/>
        <v>0</v>
      </c>
      <c r="K5" s="284" t="s">
        <v>1024</v>
      </c>
      <c r="L5" s="5">
        <v>25</v>
      </c>
      <c r="M5" s="5">
        <v>33</v>
      </c>
      <c r="N5" s="288">
        <f t="shared" si="2"/>
        <v>75.757575757575751</v>
      </c>
      <c r="O5" s="5" t="s">
        <v>30</v>
      </c>
      <c r="P5" s="5" t="s">
        <v>30</v>
      </c>
      <c r="Q5" s="288" t="s">
        <v>30</v>
      </c>
      <c r="R5" s="5">
        <v>2</v>
      </c>
      <c r="S5" s="5">
        <v>2</v>
      </c>
      <c r="T5" s="7"/>
      <c r="U5" s="7"/>
      <c r="V5" s="206"/>
      <c r="W5" s="201"/>
      <c r="X5" s="7"/>
      <c r="Y5" s="206"/>
      <c r="Z5" s="108"/>
      <c r="AA5" s="109"/>
      <c r="AB5" s="327"/>
      <c r="AC5" s="201"/>
      <c r="AD5" s="7"/>
      <c r="AE5" s="7"/>
      <c r="AF5" s="201"/>
      <c r="AG5" s="7"/>
      <c r="AH5" s="206"/>
      <c r="AI5" s="7"/>
      <c r="AJ5" s="7"/>
      <c r="AK5" s="206"/>
      <c r="AL5" s="7"/>
      <c r="AM5" s="7"/>
      <c r="AN5" s="206"/>
      <c r="AO5" s="7"/>
      <c r="AP5" s="7"/>
      <c r="AQ5" s="206"/>
      <c r="AR5" s="7"/>
      <c r="AS5" s="7"/>
      <c r="AT5" s="206"/>
      <c r="AU5" s="7"/>
      <c r="AV5" s="7"/>
      <c r="AW5" s="206"/>
    </row>
    <row r="6" spans="1:56" ht="14.95" customHeight="1" thickBot="1" x14ac:dyDescent="0.3">
      <c r="A6" s="284" t="s">
        <v>12</v>
      </c>
      <c r="B6" s="91">
        <v>1</v>
      </c>
      <c r="C6" s="468">
        <v>1</v>
      </c>
      <c r="D6" s="427">
        <v>0</v>
      </c>
      <c r="E6" s="5">
        <f t="shared" si="0"/>
        <v>2</v>
      </c>
      <c r="F6" s="287" t="s">
        <v>12</v>
      </c>
      <c r="G6" s="92">
        <v>5</v>
      </c>
      <c r="H6" s="343">
        <v>5</v>
      </c>
      <c r="I6" s="429">
        <v>0</v>
      </c>
      <c r="J6" s="74">
        <f t="shared" si="1"/>
        <v>10</v>
      </c>
      <c r="K6" s="284" t="s">
        <v>690</v>
      </c>
      <c r="L6" s="5">
        <v>15</v>
      </c>
      <c r="M6" s="5">
        <v>25</v>
      </c>
      <c r="N6" s="288">
        <f t="shared" si="2"/>
        <v>60</v>
      </c>
      <c r="O6" s="5">
        <v>2</v>
      </c>
      <c r="P6" s="5">
        <v>3</v>
      </c>
      <c r="Q6" s="288">
        <f t="shared" ref="Q6" si="3">SUM(O6/P6)*100</f>
        <v>66.666666666666657</v>
      </c>
      <c r="R6" s="5">
        <v>1</v>
      </c>
      <c r="S6" s="5">
        <v>1</v>
      </c>
      <c r="T6" s="7">
        <v>10</v>
      </c>
      <c r="U6" s="7">
        <v>14</v>
      </c>
      <c r="V6" s="206">
        <f>SUM(T6/U6)*100</f>
        <v>71.428571428571431</v>
      </c>
      <c r="W6" s="201" t="s">
        <v>30</v>
      </c>
      <c r="X6" s="7" t="s">
        <v>30</v>
      </c>
      <c r="Y6" s="206" t="s">
        <v>30</v>
      </c>
      <c r="Z6" s="108"/>
      <c r="AA6" s="109"/>
      <c r="AB6" s="327"/>
      <c r="AC6" s="201">
        <v>2</v>
      </c>
      <c r="AD6" s="7">
        <v>2</v>
      </c>
      <c r="AE6" s="206">
        <f>SUM(AC6/AD6)*100</f>
        <v>100</v>
      </c>
      <c r="AF6" s="201">
        <v>19</v>
      </c>
      <c r="AG6" s="7">
        <v>23</v>
      </c>
      <c r="AH6" s="206">
        <f>SUM(AF6/AG6)*100</f>
        <v>82.608695652173907</v>
      </c>
      <c r="AI6" s="201">
        <v>24</v>
      </c>
      <c r="AJ6" s="7">
        <v>35</v>
      </c>
      <c r="AK6" s="206">
        <f>SUM(AI6/AJ6)*100</f>
        <v>68.571428571428569</v>
      </c>
      <c r="AL6" s="7" t="s">
        <v>30</v>
      </c>
      <c r="AM6" s="7" t="s">
        <v>30</v>
      </c>
      <c r="AN6" s="206" t="s">
        <v>30</v>
      </c>
      <c r="AO6" s="7" t="s">
        <v>30</v>
      </c>
      <c r="AP6" s="7" t="s">
        <v>30</v>
      </c>
      <c r="AQ6" s="206" t="s">
        <v>30</v>
      </c>
      <c r="AR6" s="7" t="s">
        <v>30</v>
      </c>
      <c r="AS6" s="7" t="s">
        <v>30</v>
      </c>
      <c r="AT6" s="206" t="s">
        <v>30</v>
      </c>
      <c r="AU6" s="7" t="s">
        <v>30</v>
      </c>
      <c r="AV6" s="7" t="s">
        <v>30</v>
      </c>
      <c r="AW6" s="206" t="s">
        <v>30</v>
      </c>
    </row>
    <row r="7" spans="1:56" ht="14.95" customHeight="1" thickBot="1" x14ac:dyDescent="0.3">
      <c r="A7" s="284" t="s">
        <v>956</v>
      </c>
      <c r="B7" s="91">
        <v>0</v>
      </c>
      <c r="C7" s="468">
        <v>1</v>
      </c>
      <c r="D7" s="427">
        <v>0</v>
      </c>
      <c r="E7" s="5">
        <f t="shared" si="0"/>
        <v>1</v>
      </c>
      <c r="F7" s="287" t="s">
        <v>956</v>
      </c>
      <c r="G7" s="92">
        <v>0</v>
      </c>
      <c r="H7" s="343">
        <v>5</v>
      </c>
      <c r="I7" s="429">
        <v>0</v>
      </c>
      <c r="J7" s="74">
        <f t="shared" si="1"/>
        <v>5</v>
      </c>
      <c r="K7" s="284" t="s">
        <v>976</v>
      </c>
      <c r="L7" s="5" t="s">
        <v>30</v>
      </c>
      <c r="M7" s="5" t="s">
        <v>30</v>
      </c>
      <c r="N7" s="5" t="s">
        <v>30</v>
      </c>
      <c r="O7" s="5" t="s">
        <v>30</v>
      </c>
      <c r="P7" s="5" t="s">
        <v>30</v>
      </c>
      <c r="Q7" s="288" t="s">
        <v>30</v>
      </c>
      <c r="R7" s="5">
        <v>-1</v>
      </c>
      <c r="S7" s="5">
        <v>-1</v>
      </c>
      <c r="T7" s="7" t="s">
        <v>30</v>
      </c>
      <c r="U7" s="7" t="s">
        <v>30</v>
      </c>
      <c r="V7" s="7" t="s">
        <v>30</v>
      </c>
      <c r="W7" s="201" t="s">
        <v>30</v>
      </c>
      <c r="X7" s="7" t="s">
        <v>30</v>
      </c>
      <c r="Y7" s="7" t="s">
        <v>30</v>
      </c>
      <c r="Z7" s="108"/>
      <c r="AA7" s="109"/>
      <c r="AB7" s="327"/>
      <c r="AC7" s="201" t="s">
        <v>30</v>
      </c>
      <c r="AD7" s="7" t="s">
        <v>30</v>
      </c>
      <c r="AE7" s="7" t="s">
        <v>30</v>
      </c>
      <c r="AF7" s="201">
        <v>0</v>
      </c>
      <c r="AG7" s="7">
        <v>1</v>
      </c>
      <c r="AH7" s="206">
        <v>0</v>
      </c>
      <c r="AI7" s="7" t="s">
        <v>30</v>
      </c>
      <c r="AJ7" s="7" t="s">
        <v>30</v>
      </c>
      <c r="AK7" s="206" t="s">
        <v>30</v>
      </c>
      <c r="AL7" s="7" t="s">
        <v>30</v>
      </c>
      <c r="AM7" s="7" t="s">
        <v>30</v>
      </c>
      <c r="AN7" s="206" t="s">
        <v>30</v>
      </c>
      <c r="AO7" s="7" t="s">
        <v>30</v>
      </c>
      <c r="AP7" s="7" t="s">
        <v>30</v>
      </c>
      <c r="AQ7" s="206" t="s">
        <v>30</v>
      </c>
      <c r="AR7" s="7" t="s">
        <v>30</v>
      </c>
      <c r="AS7" s="7" t="s">
        <v>30</v>
      </c>
      <c r="AT7" s="206" t="s">
        <v>30</v>
      </c>
      <c r="AU7" s="7" t="s">
        <v>30</v>
      </c>
      <c r="AV7" s="7" t="s">
        <v>30</v>
      </c>
      <c r="AW7" s="206" t="s">
        <v>30</v>
      </c>
    </row>
    <row r="8" spans="1:56" ht="14.95" customHeight="1" thickBot="1" x14ac:dyDescent="0.3">
      <c r="A8" s="284" t="s">
        <v>772</v>
      </c>
      <c r="B8" s="91">
        <v>2</v>
      </c>
      <c r="C8" s="468">
        <v>0</v>
      </c>
      <c r="D8" s="427">
        <v>0</v>
      </c>
      <c r="E8" s="5">
        <f t="shared" si="0"/>
        <v>2</v>
      </c>
      <c r="F8" s="287" t="s">
        <v>772</v>
      </c>
      <c r="G8" s="92">
        <v>10</v>
      </c>
      <c r="H8" s="343">
        <v>0</v>
      </c>
      <c r="I8" s="429">
        <v>0</v>
      </c>
      <c r="J8" s="74">
        <f t="shared" si="1"/>
        <v>10</v>
      </c>
      <c r="K8" s="284" t="s">
        <v>704</v>
      </c>
      <c r="L8" s="5" t="s">
        <v>30</v>
      </c>
      <c r="M8" s="5" t="s">
        <v>30</v>
      </c>
      <c r="N8" s="5" t="s">
        <v>30</v>
      </c>
      <c r="O8" s="5" t="s">
        <v>30</v>
      </c>
      <c r="P8" s="5" t="s">
        <v>30</v>
      </c>
      <c r="Q8" s="288" t="s">
        <v>30</v>
      </c>
      <c r="R8" s="5" t="s">
        <v>38</v>
      </c>
      <c r="S8" s="5">
        <v>1</v>
      </c>
      <c r="T8" s="7" t="s">
        <v>30</v>
      </c>
      <c r="U8" s="7" t="s">
        <v>30</v>
      </c>
      <c r="V8" s="7" t="s">
        <v>30</v>
      </c>
      <c r="W8" s="201" t="s">
        <v>30</v>
      </c>
      <c r="X8" s="7" t="s">
        <v>30</v>
      </c>
      <c r="Y8" s="7" t="s">
        <v>30</v>
      </c>
      <c r="Z8" s="108"/>
      <c r="AA8" s="109"/>
      <c r="AB8" s="327"/>
      <c r="AC8" s="201" t="s">
        <v>30</v>
      </c>
      <c r="AD8" s="7" t="s">
        <v>30</v>
      </c>
      <c r="AE8" s="7" t="s">
        <v>30</v>
      </c>
      <c r="AF8" s="201" t="s">
        <v>30</v>
      </c>
      <c r="AG8" s="7" t="s">
        <v>30</v>
      </c>
      <c r="AH8" s="206" t="s">
        <v>30</v>
      </c>
      <c r="AI8" s="7" t="s">
        <v>30</v>
      </c>
      <c r="AJ8" s="7" t="s">
        <v>30</v>
      </c>
      <c r="AK8" s="206" t="s">
        <v>30</v>
      </c>
      <c r="AL8" s="7" t="s">
        <v>30</v>
      </c>
      <c r="AM8" s="7" t="s">
        <v>30</v>
      </c>
      <c r="AN8" s="206" t="s">
        <v>30</v>
      </c>
      <c r="AO8" s="7" t="s">
        <v>30</v>
      </c>
      <c r="AP8" s="7" t="s">
        <v>30</v>
      </c>
      <c r="AQ8" s="206" t="s">
        <v>30</v>
      </c>
      <c r="AR8" s="7" t="s">
        <v>30</v>
      </c>
      <c r="AS8" s="7" t="s">
        <v>30</v>
      </c>
      <c r="AT8" s="206" t="s">
        <v>30</v>
      </c>
      <c r="AU8" s="7" t="s">
        <v>30</v>
      </c>
      <c r="AV8" s="7" t="s">
        <v>30</v>
      </c>
      <c r="AW8" s="206" t="s">
        <v>30</v>
      </c>
    </row>
    <row r="9" spans="1:56" ht="14.95" customHeight="1" thickBot="1" x14ac:dyDescent="0.3">
      <c r="A9" s="284" t="s">
        <v>674</v>
      </c>
      <c r="B9" s="91">
        <v>4</v>
      </c>
      <c r="C9" s="468">
        <v>0</v>
      </c>
      <c r="D9" s="427">
        <v>0</v>
      </c>
      <c r="E9" s="5">
        <f t="shared" si="0"/>
        <v>4</v>
      </c>
      <c r="F9" s="287" t="s">
        <v>674</v>
      </c>
      <c r="G9" s="92">
        <v>20</v>
      </c>
      <c r="H9" s="343">
        <v>0</v>
      </c>
      <c r="I9" s="429">
        <v>0</v>
      </c>
      <c r="J9" s="74">
        <f t="shared" si="1"/>
        <v>20</v>
      </c>
      <c r="K9" s="284" t="s">
        <v>154</v>
      </c>
      <c r="L9" s="5" t="s">
        <v>30</v>
      </c>
      <c r="M9" s="5" t="s">
        <v>30</v>
      </c>
      <c r="N9" s="288" t="s">
        <v>30</v>
      </c>
      <c r="O9" s="5" t="s">
        <v>30</v>
      </c>
      <c r="P9" s="5" t="s">
        <v>30</v>
      </c>
      <c r="Q9" s="5" t="s">
        <v>30</v>
      </c>
      <c r="R9" s="5">
        <v>-1</v>
      </c>
      <c r="S9" s="5">
        <v>-1</v>
      </c>
      <c r="T9" s="7" t="s">
        <v>30</v>
      </c>
      <c r="U9" s="7" t="s">
        <v>30</v>
      </c>
      <c r="V9" s="206" t="s">
        <v>30</v>
      </c>
      <c r="W9" s="201" t="s">
        <v>30</v>
      </c>
      <c r="X9" s="7" t="s">
        <v>30</v>
      </c>
      <c r="Y9" s="206" t="s">
        <v>30</v>
      </c>
      <c r="Z9" s="108"/>
      <c r="AA9" s="109"/>
      <c r="AB9" s="327"/>
      <c r="AC9" s="201">
        <v>0</v>
      </c>
      <c r="AD9" s="7">
        <v>1</v>
      </c>
      <c r="AE9" s="7">
        <v>0</v>
      </c>
      <c r="AF9" s="201" t="s">
        <v>30</v>
      </c>
      <c r="AG9" s="7" t="s">
        <v>30</v>
      </c>
      <c r="AH9" s="206" t="s">
        <v>30</v>
      </c>
      <c r="AI9" s="7" t="s">
        <v>30</v>
      </c>
      <c r="AJ9" s="7" t="s">
        <v>30</v>
      </c>
      <c r="AK9" s="206" t="s">
        <v>30</v>
      </c>
      <c r="AL9" s="7" t="s">
        <v>30</v>
      </c>
      <c r="AM9" s="7" t="s">
        <v>30</v>
      </c>
      <c r="AN9" s="206" t="s">
        <v>30</v>
      </c>
      <c r="AO9" s="7" t="s">
        <v>30</v>
      </c>
      <c r="AP9" s="7" t="s">
        <v>30</v>
      </c>
      <c r="AQ9" s="206" t="s">
        <v>30</v>
      </c>
      <c r="AR9" s="7" t="s">
        <v>30</v>
      </c>
      <c r="AS9" s="7" t="s">
        <v>30</v>
      </c>
      <c r="AT9" s="206" t="s">
        <v>30</v>
      </c>
      <c r="AU9" s="7" t="s">
        <v>30</v>
      </c>
      <c r="AV9" s="7" t="s">
        <v>30</v>
      </c>
      <c r="AW9" s="206" t="s">
        <v>30</v>
      </c>
    </row>
    <row r="10" spans="1:56" ht="14.95" customHeight="1" thickBot="1" x14ac:dyDescent="0.3">
      <c r="A10" s="284" t="s">
        <v>677</v>
      </c>
      <c r="B10" s="91">
        <v>1</v>
      </c>
      <c r="C10" s="468">
        <v>0</v>
      </c>
      <c r="D10" s="427">
        <v>0</v>
      </c>
      <c r="E10" s="5">
        <f t="shared" si="0"/>
        <v>1</v>
      </c>
      <c r="F10" s="287" t="s">
        <v>677</v>
      </c>
      <c r="G10" s="92">
        <v>5</v>
      </c>
      <c r="H10" s="343">
        <v>0</v>
      </c>
      <c r="I10" s="429">
        <v>0</v>
      </c>
      <c r="J10" s="74">
        <f t="shared" si="1"/>
        <v>5</v>
      </c>
      <c r="K10" s="63"/>
      <c r="L10" s="60"/>
      <c r="M10" s="59"/>
      <c r="N10" s="59"/>
      <c r="O10" s="60"/>
      <c r="P10" s="59"/>
      <c r="Q10" s="61"/>
      <c r="R10" s="62"/>
      <c r="S10" s="36"/>
      <c r="T10" s="36"/>
      <c r="U10" s="36"/>
      <c r="V10" s="36"/>
      <c r="W10" s="59"/>
      <c r="X10" s="59"/>
      <c r="Y10" s="59"/>
    </row>
    <row r="11" spans="1:56" ht="14.95" customHeight="1" thickBot="1" x14ac:dyDescent="0.3">
      <c r="A11" s="284" t="s">
        <v>689</v>
      </c>
      <c r="B11" s="91">
        <v>1</v>
      </c>
      <c r="C11" s="468">
        <v>0</v>
      </c>
      <c r="D11" s="427">
        <v>0</v>
      </c>
      <c r="E11" s="5">
        <f t="shared" si="0"/>
        <v>1</v>
      </c>
      <c r="F11" s="287" t="s">
        <v>689</v>
      </c>
      <c r="G11" s="92">
        <v>58</v>
      </c>
      <c r="H11" s="343">
        <v>17</v>
      </c>
      <c r="I11" s="429">
        <v>11</v>
      </c>
      <c r="J11" s="74">
        <f t="shared" si="1"/>
        <v>86</v>
      </c>
      <c r="K11" s="542" t="s">
        <v>511</v>
      </c>
      <c r="L11" s="526" t="s">
        <v>29</v>
      </c>
      <c r="M11" s="527"/>
      <c r="N11" s="528"/>
      <c r="O11" s="520" t="s">
        <v>634</v>
      </c>
      <c r="P11" s="521"/>
      <c r="Q11" s="522"/>
      <c r="R11" s="520" t="s">
        <v>863</v>
      </c>
      <c r="S11" s="521"/>
      <c r="T11" s="522"/>
      <c r="U11" s="520" t="s">
        <v>621</v>
      </c>
      <c r="V11" s="521"/>
      <c r="W11" s="522"/>
      <c r="X11" s="325"/>
      <c r="Y11" s="214"/>
      <c r="Z11" s="214"/>
      <c r="AB11" s="276"/>
      <c r="AC11" s="520" t="s">
        <v>448</v>
      </c>
      <c r="AD11" s="521"/>
      <c r="AE11" s="522"/>
      <c r="AF11" s="520" t="s">
        <v>178</v>
      </c>
      <c r="AG11" s="521"/>
      <c r="AH11" s="522"/>
      <c r="AI11" s="520" t="s">
        <v>122</v>
      </c>
      <c r="AJ11" s="521"/>
      <c r="AK11" s="522"/>
      <c r="AL11" s="520" t="s">
        <v>113</v>
      </c>
      <c r="AM11" s="521"/>
      <c r="AN11" s="522"/>
      <c r="AO11" s="520" t="s">
        <v>137</v>
      </c>
      <c r="AP11" s="521"/>
      <c r="AQ11" s="522"/>
    </row>
    <row r="12" spans="1:56" ht="14.95" customHeight="1" thickBot="1" x14ac:dyDescent="0.3">
      <c r="A12" s="284" t="s">
        <v>678</v>
      </c>
      <c r="B12" s="91">
        <v>1</v>
      </c>
      <c r="C12" s="468">
        <v>0</v>
      </c>
      <c r="D12" s="427">
        <v>0</v>
      </c>
      <c r="E12" s="5">
        <f t="shared" si="0"/>
        <v>1</v>
      </c>
      <c r="F12" s="287" t="s">
        <v>678</v>
      </c>
      <c r="G12" s="92">
        <v>5</v>
      </c>
      <c r="H12" s="343">
        <v>0</v>
      </c>
      <c r="I12" s="429">
        <v>0</v>
      </c>
      <c r="J12" s="74">
        <f t="shared" si="1"/>
        <v>5</v>
      </c>
      <c r="K12" s="543"/>
      <c r="L12" s="529"/>
      <c r="M12" s="530"/>
      <c r="N12" s="531"/>
      <c r="O12" s="523"/>
      <c r="P12" s="524"/>
      <c r="Q12" s="525"/>
      <c r="R12" s="523"/>
      <c r="S12" s="524"/>
      <c r="T12" s="525"/>
      <c r="U12" s="523"/>
      <c r="V12" s="524"/>
      <c r="W12" s="525"/>
      <c r="X12" s="325"/>
      <c r="Y12" s="214"/>
      <c r="Z12" s="214"/>
      <c r="AB12" s="276"/>
      <c r="AC12" s="523"/>
      <c r="AD12" s="524"/>
      <c r="AE12" s="525"/>
      <c r="AF12" s="523"/>
      <c r="AG12" s="524"/>
      <c r="AH12" s="525"/>
      <c r="AI12" s="523"/>
      <c r="AJ12" s="524"/>
      <c r="AK12" s="525"/>
      <c r="AL12" s="523"/>
      <c r="AM12" s="524"/>
      <c r="AN12" s="525"/>
      <c r="AO12" s="523"/>
      <c r="AP12" s="524"/>
      <c r="AQ12" s="525"/>
    </row>
    <row r="13" spans="1:56" ht="14.95" customHeight="1" thickBot="1" x14ac:dyDescent="0.3">
      <c r="A13" s="284" t="s">
        <v>959</v>
      </c>
      <c r="B13" s="91">
        <v>0</v>
      </c>
      <c r="C13" s="468">
        <v>0</v>
      </c>
      <c r="D13" s="427">
        <v>0</v>
      </c>
      <c r="E13" s="5">
        <f t="shared" si="0"/>
        <v>0</v>
      </c>
      <c r="F13" s="287" t="s">
        <v>959</v>
      </c>
      <c r="G13" s="92">
        <v>0</v>
      </c>
      <c r="H13" s="343">
        <v>0</v>
      </c>
      <c r="I13" s="429">
        <v>0</v>
      </c>
      <c r="J13" s="74">
        <f t="shared" si="1"/>
        <v>0</v>
      </c>
      <c r="K13" s="466" t="s">
        <v>44</v>
      </c>
      <c r="L13" s="3" t="s">
        <v>107</v>
      </c>
      <c r="M13" s="3" t="s">
        <v>23</v>
      </c>
      <c r="N13" s="3" t="s">
        <v>24</v>
      </c>
      <c r="O13" s="7" t="s">
        <v>107</v>
      </c>
      <c r="P13" s="7" t="s">
        <v>23</v>
      </c>
      <c r="Q13" s="7" t="s">
        <v>24</v>
      </c>
      <c r="R13" s="93" t="s">
        <v>107</v>
      </c>
      <c r="S13" s="93" t="s">
        <v>23</v>
      </c>
      <c r="T13" s="93" t="s">
        <v>24</v>
      </c>
      <c r="U13" s="201" t="s">
        <v>107</v>
      </c>
      <c r="V13" s="7" t="s">
        <v>23</v>
      </c>
      <c r="W13" s="7" t="s">
        <v>24</v>
      </c>
      <c r="X13" s="107"/>
      <c r="AB13" s="276"/>
      <c r="AC13" s="201" t="s">
        <v>107</v>
      </c>
      <c r="AD13" s="7" t="s">
        <v>23</v>
      </c>
      <c r="AE13" s="7" t="s">
        <v>24</v>
      </c>
      <c r="AF13" s="201" t="s">
        <v>107</v>
      </c>
      <c r="AG13" s="7" t="s">
        <v>23</v>
      </c>
      <c r="AH13" s="7" t="s">
        <v>24</v>
      </c>
      <c r="AI13" s="201" t="s">
        <v>107</v>
      </c>
      <c r="AJ13" s="7" t="s">
        <v>23</v>
      </c>
      <c r="AK13" s="7" t="s">
        <v>24</v>
      </c>
      <c r="AL13" s="201" t="s">
        <v>107</v>
      </c>
      <c r="AM13" s="7" t="s">
        <v>23</v>
      </c>
      <c r="AN13" s="7" t="s">
        <v>24</v>
      </c>
      <c r="AO13" s="201" t="s">
        <v>107</v>
      </c>
      <c r="AP13" s="7" t="s">
        <v>23</v>
      </c>
      <c r="AQ13" s="7" t="s">
        <v>24</v>
      </c>
    </row>
    <row r="14" spans="1:56" ht="14.95" customHeight="1" thickBot="1" x14ac:dyDescent="0.3">
      <c r="A14" s="284" t="s">
        <v>791</v>
      </c>
      <c r="B14" s="91">
        <v>1</v>
      </c>
      <c r="C14" s="468">
        <v>1</v>
      </c>
      <c r="D14" s="427">
        <v>0</v>
      </c>
      <c r="E14" s="5">
        <f t="shared" si="0"/>
        <v>2</v>
      </c>
      <c r="F14" s="287" t="s">
        <v>791</v>
      </c>
      <c r="G14" s="92">
        <v>5</v>
      </c>
      <c r="H14" s="343">
        <v>5</v>
      </c>
      <c r="I14" s="429">
        <v>0</v>
      </c>
      <c r="J14" s="74">
        <f t="shared" si="1"/>
        <v>10</v>
      </c>
      <c r="K14" s="284" t="s">
        <v>689</v>
      </c>
      <c r="L14" s="5">
        <v>7</v>
      </c>
      <c r="M14" s="5">
        <v>10</v>
      </c>
      <c r="N14" s="288">
        <f t="shared" ref="N14" si="4">SUM(L14/M14)*100</f>
        <v>70</v>
      </c>
      <c r="O14" s="7">
        <v>9</v>
      </c>
      <c r="P14" s="7">
        <v>13</v>
      </c>
      <c r="Q14" s="206">
        <f>SUM(O14/P14)*100</f>
        <v>69.230769230769226</v>
      </c>
      <c r="R14" s="7" t="s">
        <v>30</v>
      </c>
      <c r="S14" s="7" t="s">
        <v>30</v>
      </c>
      <c r="T14" s="7" t="s">
        <v>30</v>
      </c>
      <c r="U14" s="201" t="s">
        <v>30</v>
      </c>
      <c r="V14" s="7" t="s">
        <v>30</v>
      </c>
      <c r="W14" s="7" t="s">
        <v>30</v>
      </c>
      <c r="X14" s="107"/>
      <c r="AB14" s="276"/>
      <c r="AC14" s="201" t="s">
        <v>30</v>
      </c>
      <c r="AD14" s="7" t="s">
        <v>30</v>
      </c>
      <c r="AE14" s="7" t="s">
        <v>30</v>
      </c>
      <c r="AF14" s="201">
        <v>1</v>
      </c>
      <c r="AG14" s="7">
        <v>2</v>
      </c>
      <c r="AH14" s="206">
        <f>SUM(AF14/AG14)*100</f>
        <v>50</v>
      </c>
      <c r="AI14" s="6" t="s">
        <v>30</v>
      </c>
      <c r="AJ14" s="7" t="s">
        <v>30</v>
      </c>
      <c r="AK14" s="7" t="s">
        <v>30</v>
      </c>
      <c r="AL14" s="7" t="s">
        <v>30</v>
      </c>
      <c r="AM14" s="7" t="s">
        <v>30</v>
      </c>
      <c r="AN14" s="7" t="s">
        <v>30</v>
      </c>
      <c r="AO14" s="7" t="s">
        <v>30</v>
      </c>
      <c r="AP14" s="7" t="s">
        <v>30</v>
      </c>
      <c r="AQ14" s="7" t="s">
        <v>30</v>
      </c>
    </row>
    <row r="15" spans="1:56" ht="14.95" customHeight="1" thickBot="1" x14ac:dyDescent="0.3">
      <c r="A15" s="284" t="s">
        <v>43</v>
      </c>
      <c r="B15" s="91">
        <v>1</v>
      </c>
      <c r="C15" s="468">
        <v>0</v>
      </c>
      <c r="D15" s="427">
        <v>2</v>
      </c>
      <c r="E15" s="5">
        <f t="shared" si="0"/>
        <v>3</v>
      </c>
      <c r="F15" s="287" t="s">
        <v>43</v>
      </c>
      <c r="G15" s="92">
        <v>5</v>
      </c>
      <c r="H15" s="343">
        <v>0</v>
      </c>
      <c r="I15" s="429">
        <v>10</v>
      </c>
      <c r="J15" s="74">
        <f t="shared" si="1"/>
        <v>15</v>
      </c>
      <c r="K15" s="284" t="s">
        <v>1024</v>
      </c>
      <c r="L15" s="5">
        <v>4</v>
      </c>
      <c r="M15" s="5">
        <v>5</v>
      </c>
      <c r="N15" s="288">
        <f t="shared" ref="N15" si="5">SUM(L15/M15)*100</f>
        <v>80</v>
      </c>
      <c r="O15" s="7" t="s">
        <v>30</v>
      </c>
      <c r="P15" s="7" t="s">
        <v>30</v>
      </c>
      <c r="Q15" s="206" t="s">
        <v>30</v>
      </c>
      <c r="R15" s="7" t="s">
        <v>30</v>
      </c>
      <c r="S15" s="7" t="s">
        <v>30</v>
      </c>
      <c r="T15" s="7" t="s">
        <v>30</v>
      </c>
      <c r="U15" s="201" t="s">
        <v>30</v>
      </c>
      <c r="V15" s="7" t="s">
        <v>30</v>
      </c>
      <c r="W15" s="7" t="s">
        <v>30</v>
      </c>
      <c r="X15" s="107"/>
      <c r="AB15" s="276"/>
      <c r="AC15" s="7" t="s">
        <v>30</v>
      </c>
      <c r="AD15" s="7" t="s">
        <v>30</v>
      </c>
      <c r="AE15" s="206" t="s">
        <v>30</v>
      </c>
      <c r="AF15" s="7" t="s">
        <v>30</v>
      </c>
      <c r="AG15" s="7" t="s">
        <v>30</v>
      </c>
      <c r="AH15" s="7" t="s">
        <v>30</v>
      </c>
      <c r="AI15" s="201" t="s">
        <v>30</v>
      </c>
      <c r="AJ15" s="7" t="s">
        <v>30</v>
      </c>
      <c r="AK15" s="7" t="s">
        <v>30</v>
      </c>
      <c r="AL15" s="7" t="s">
        <v>30</v>
      </c>
      <c r="AM15" s="7" t="s">
        <v>30</v>
      </c>
      <c r="AN15" s="7" t="s">
        <v>30</v>
      </c>
      <c r="AO15" s="7" t="s">
        <v>30</v>
      </c>
      <c r="AP15" s="7" t="s">
        <v>30</v>
      </c>
      <c r="AQ15" s="7" t="s">
        <v>30</v>
      </c>
    </row>
    <row r="16" spans="1:56" ht="14.95" customHeight="1" thickBot="1" x14ac:dyDescent="0.3">
      <c r="A16" s="284" t="s">
        <v>961</v>
      </c>
      <c r="B16" s="91">
        <v>0</v>
      </c>
      <c r="C16" s="468">
        <v>0</v>
      </c>
      <c r="D16" s="427">
        <v>0</v>
      </c>
      <c r="E16" s="5">
        <f t="shared" si="0"/>
        <v>0</v>
      </c>
      <c r="F16" s="287" t="s">
        <v>961</v>
      </c>
      <c r="G16" s="92">
        <v>0</v>
      </c>
      <c r="H16" s="343">
        <v>0</v>
      </c>
      <c r="I16" s="429">
        <v>0</v>
      </c>
      <c r="J16" s="74">
        <f t="shared" si="1"/>
        <v>0</v>
      </c>
      <c r="K16" s="284" t="s">
        <v>690</v>
      </c>
      <c r="L16" s="5">
        <v>2</v>
      </c>
      <c r="M16" s="5">
        <v>2</v>
      </c>
      <c r="N16" s="288">
        <f t="shared" ref="N16" si="6">SUM(L16/M16)*100</f>
        <v>100</v>
      </c>
      <c r="O16" s="7">
        <v>4</v>
      </c>
      <c r="P16" s="7">
        <v>4</v>
      </c>
      <c r="Q16" s="206">
        <f>SUM(O16/P16)*100</f>
        <v>100</v>
      </c>
      <c r="R16" s="7" t="s">
        <v>30</v>
      </c>
      <c r="S16" s="7" t="s">
        <v>30</v>
      </c>
      <c r="T16" s="7" t="s">
        <v>30</v>
      </c>
      <c r="U16" s="201" t="s">
        <v>30</v>
      </c>
      <c r="V16" s="7" t="s">
        <v>30</v>
      </c>
      <c r="W16" s="7" t="s">
        <v>30</v>
      </c>
      <c r="X16" s="107"/>
      <c r="AB16" s="276"/>
      <c r="AC16" s="201">
        <v>13</v>
      </c>
      <c r="AD16" s="7">
        <v>14</v>
      </c>
      <c r="AE16" s="206">
        <f>SUM(AC16/AD16)*100</f>
        <v>92.857142857142861</v>
      </c>
      <c r="AF16" s="201">
        <v>12</v>
      </c>
      <c r="AG16" s="7">
        <v>12</v>
      </c>
      <c r="AH16" s="206">
        <f>SUM(AF16/AG16)*100</f>
        <v>100</v>
      </c>
      <c r="AI16" s="6" t="s">
        <v>30</v>
      </c>
      <c r="AJ16" s="7" t="s">
        <v>30</v>
      </c>
      <c r="AK16" s="7" t="s">
        <v>30</v>
      </c>
      <c r="AL16" s="7" t="s">
        <v>30</v>
      </c>
      <c r="AM16" s="7" t="s">
        <v>30</v>
      </c>
      <c r="AN16" s="7" t="s">
        <v>30</v>
      </c>
      <c r="AO16" s="7" t="s">
        <v>30</v>
      </c>
      <c r="AP16" s="7" t="s">
        <v>30</v>
      </c>
      <c r="AQ16" s="7" t="s">
        <v>30</v>
      </c>
    </row>
    <row r="17" spans="1:43" ht="14.95" customHeight="1" thickBot="1" x14ac:dyDescent="0.3">
      <c r="A17" s="284" t="s">
        <v>963</v>
      </c>
      <c r="B17" s="91">
        <v>1</v>
      </c>
      <c r="C17" s="468">
        <v>0</v>
      </c>
      <c r="D17" s="427">
        <v>0</v>
      </c>
      <c r="E17" s="5">
        <f t="shared" si="0"/>
        <v>1</v>
      </c>
      <c r="F17" s="287" t="s">
        <v>963</v>
      </c>
      <c r="G17" s="92">
        <v>5</v>
      </c>
      <c r="H17" s="343">
        <v>0</v>
      </c>
      <c r="I17" s="429">
        <v>0</v>
      </c>
      <c r="J17" s="74">
        <f t="shared" si="1"/>
        <v>5</v>
      </c>
      <c r="K17" s="284" t="s">
        <v>704</v>
      </c>
      <c r="L17" s="5" t="s">
        <v>30</v>
      </c>
      <c r="M17" s="5" t="s">
        <v>30</v>
      </c>
      <c r="N17" s="288" t="s">
        <v>30</v>
      </c>
      <c r="O17" s="7" t="s">
        <v>30</v>
      </c>
      <c r="P17" s="7" t="s">
        <v>30</v>
      </c>
      <c r="Q17" s="206" t="s">
        <v>30</v>
      </c>
      <c r="R17" s="7" t="s">
        <v>30</v>
      </c>
      <c r="S17" s="7" t="s">
        <v>30</v>
      </c>
      <c r="T17" s="7" t="s">
        <v>30</v>
      </c>
      <c r="U17" s="201" t="s">
        <v>30</v>
      </c>
      <c r="V17" s="7" t="s">
        <v>30</v>
      </c>
      <c r="W17" s="7" t="s">
        <v>30</v>
      </c>
      <c r="X17" s="107"/>
      <c r="AB17" s="276"/>
      <c r="AC17" s="201" t="s">
        <v>30</v>
      </c>
      <c r="AD17" s="7" t="s">
        <v>30</v>
      </c>
      <c r="AE17" s="7" t="s">
        <v>30</v>
      </c>
      <c r="AF17" s="201" t="s">
        <v>30</v>
      </c>
      <c r="AG17" s="7" t="s">
        <v>30</v>
      </c>
      <c r="AH17" s="7" t="s">
        <v>30</v>
      </c>
      <c r="AI17" s="201">
        <v>1</v>
      </c>
      <c r="AJ17" s="7">
        <v>1</v>
      </c>
      <c r="AK17" s="7">
        <v>100</v>
      </c>
      <c r="AL17" s="7" t="s">
        <v>30</v>
      </c>
      <c r="AM17" s="7" t="s">
        <v>30</v>
      </c>
      <c r="AN17" s="7" t="s">
        <v>30</v>
      </c>
      <c r="AO17" s="7" t="s">
        <v>30</v>
      </c>
      <c r="AP17" s="7" t="s">
        <v>30</v>
      </c>
      <c r="AQ17" s="7" t="s">
        <v>30</v>
      </c>
    </row>
    <row r="18" spans="1:43" ht="14.95" customHeight="1" thickBot="1" x14ac:dyDescent="0.3">
      <c r="A18" s="284" t="s">
        <v>735</v>
      </c>
      <c r="B18" s="91">
        <v>0</v>
      </c>
      <c r="C18" s="468">
        <v>0</v>
      </c>
      <c r="D18" s="427">
        <v>0</v>
      </c>
      <c r="E18" s="5">
        <f t="shared" si="0"/>
        <v>0</v>
      </c>
      <c r="F18" s="287" t="s">
        <v>735</v>
      </c>
      <c r="G18" s="92">
        <v>0</v>
      </c>
      <c r="H18" s="343">
        <v>0</v>
      </c>
      <c r="I18" s="429">
        <v>0</v>
      </c>
      <c r="J18" s="74">
        <f t="shared" si="1"/>
        <v>0</v>
      </c>
    </row>
    <row r="19" spans="1:43" ht="14.95" customHeight="1" thickBot="1" x14ac:dyDescent="0.3">
      <c r="A19" s="284" t="s">
        <v>727</v>
      </c>
      <c r="B19" s="91">
        <v>0</v>
      </c>
      <c r="C19" s="468">
        <v>0</v>
      </c>
      <c r="D19" s="427">
        <v>1</v>
      </c>
      <c r="E19" s="5">
        <f t="shared" si="0"/>
        <v>1</v>
      </c>
      <c r="F19" s="287" t="s">
        <v>727</v>
      </c>
      <c r="G19" s="92">
        <v>0</v>
      </c>
      <c r="H19" s="343">
        <v>0</v>
      </c>
      <c r="I19" s="429">
        <v>5</v>
      </c>
      <c r="J19" s="74">
        <f t="shared" si="1"/>
        <v>5</v>
      </c>
      <c r="K19" s="538" t="s">
        <v>510</v>
      </c>
      <c r="L19" s="520" t="s">
        <v>29</v>
      </c>
      <c r="M19" s="521"/>
      <c r="N19" s="522"/>
      <c r="O19" s="520" t="s">
        <v>634</v>
      </c>
      <c r="P19" s="521"/>
      <c r="Q19" s="522"/>
      <c r="R19" s="520" t="s">
        <v>863</v>
      </c>
      <c r="S19" s="521"/>
      <c r="T19" s="522"/>
      <c r="U19" s="520" t="s">
        <v>621</v>
      </c>
      <c r="V19" s="521"/>
      <c r="W19" s="522"/>
      <c r="X19" s="214"/>
      <c r="Y19" s="214"/>
      <c r="Z19" s="214"/>
      <c r="AC19" s="520" t="s">
        <v>448</v>
      </c>
      <c r="AD19" s="521"/>
      <c r="AE19" s="522"/>
      <c r="AF19" s="520" t="s">
        <v>178</v>
      </c>
      <c r="AG19" s="521"/>
      <c r="AH19" s="522"/>
      <c r="AI19" s="520" t="s">
        <v>122</v>
      </c>
      <c r="AJ19" s="521"/>
      <c r="AK19" s="522"/>
      <c r="AL19" s="520" t="s">
        <v>113</v>
      </c>
      <c r="AM19" s="521"/>
      <c r="AN19" s="522"/>
      <c r="AO19" s="520" t="s">
        <v>137</v>
      </c>
      <c r="AP19" s="521"/>
      <c r="AQ19" s="522"/>
    </row>
    <row r="20" spans="1:43" ht="14.95" customHeight="1" thickBot="1" x14ac:dyDescent="0.3">
      <c r="A20" s="284" t="s">
        <v>996</v>
      </c>
      <c r="B20" s="91">
        <v>1</v>
      </c>
      <c r="C20" s="468">
        <v>0</v>
      </c>
      <c r="D20" s="427">
        <v>1</v>
      </c>
      <c r="E20" s="5">
        <f t="shared" si="0"/>
        <v>2</v>
      </c>
      <c r="F20" s="287" t="s">
        <v>996</v>
      </c>
      <c r="G20" s="92">
        <v>65</v>
      </c>
      <c r="H20" s="343">
        <v>8</v>
      </c>
      <c r="I20" s="429">
        <v>5</v>
      </c>
      <c r="J20" s="74">
        <f t="shared" si="1"/>
        <v>78</v>
      </c>
      <c r="K20" s="539"/>
      <c r="L20" s="523"/>
      <c r="M20" s="524"/>
      <c r="N20" s="525"/>
      <c r="O20" s="523"/>
      <c r="P20" s="524"/>
      <c r="Q20" s="525"/>
      <c r="R20" s="523"/>
      <c r="S20" s="524"/>
      <c r="T20" s="525"/>
      <c r="U20" s="523"/>
      <c r="V20" s="524"/>
      <c r="W20" s="525"/>
      <c r="X20" s="214"/>
      <c r="Y20" s="214"/>
      <c r="Z20" s="214"/>
      <c r="AC20" s="523"/>
      <c r="AD20" s="524"/>
      <c r="AE20" s="525"/>
      <c r="AF20" s="523"/>
      <c r="AG20" s="524"/>
      <c r="AH20" s="525"/>
      <c r="AI20" s="523"/>
      <c r="AJ20" s="524"/>
      <c r="AK20" s="525"/>
      <c r="AL20" s="523"/>
      <c r="AM20" s="524"/>
      <c r="AN20" s="525"/>
      <c r="AO20" s="523"/>
      <c r="AP20" s="524"/>
      <c r="AQ20" s="525"/>
    </row>
    <row r="21" spans="1:43" ht="14.95" customHeight="1" thickBot="1" x14ac:dyDescent="0.3">
      <c r="A21" s="284" t="s">
        <v>690</v>
      </c>
      <c r="B21" s="91">
        <v>1</v>
      </c>
      <c r="C21" s="468">
        <v>1</v>
      </c>
      <c r="D21" s="427">
        <v>0</v>
      </c>
      <c r="E21" s="5">
        <f t="shared" si="0"/>
        <v>2</v>
      </c>
      <c r="F21" s="287" t="s">
        <v>690</v>
      </c>
      <c r="G21" s="92">
        <v>39</v>
      </c>
      <c r="H21" s="343">
        <v>10</v>
      </c>
      <c r="I21" s="429">
        <v>10</v>
      </c>
      <c r="J21" s="74">
        <f t="shared" si="1"/>
        <v>59</v>
      </c>
      <c r="K21" s="397" t="s">
        <v>44</v>
      </c>
      <c r="L21" s="7" t="s">
        <v>107</v>
      </c>
      <c r="M21" s="7" t="s">
        <v>23</v>
      </c>
      <c r="N21" s="7" t="s">
        <v>24</v>
      </c>
      <c r="O21" s="7" t="s">
        <v>107</v>
      </c>
      <c r="P21" s="7" t="s">
        <v>23</v>
      </c>
      <c r="Q21" s="7" t="s">
        <v>24</v>
      </c>
      <c r="R21" s="93" t="s">
        <v>107</v>
      </c>
      <c r="S21" s="93" t="s">
        <v>23</v>
      </c>
      <c r="T21" s="93" t="s">
        <v>24</v>
      </c>
      <c r="U21" s="201" t="s">
        <v>107</v>
      </c>
      <c r="V21" s="7" t="s">
        <v>23</v>
      </c>
      <c r="W21" s="7" t="s">
        <v>24</v>
      </c>
      <c r="AC21" s="201" t="s">
        <v>107</v>
      </c>
      <c r="AD21" s="7" t="s">
        <v>23</v>
      </c>
      <c r="AE21" s="7" t="s">
        <v>24</v>
      </c>
      <c r="AF21" s="201" t="s">
        <v>107</v>
      </c>
      <c r="AG21" s="7" t="s">
        <v>23</v>
      </c>
      <c r="AH21" s="7" t="s">
        <v>24</v>
      </c>
      <c r="AI21" s="201" t="s">
        <v>107</v>
      </c>
      <c r="AJ21" s="7" t="s">
        <v>23</v>
      </c>
      <c r="AK21" s="7" t="s">
        <v>24</v>
      </c>
      <c r="AL21" s="201" t="s">
        <v>107</v>
      </c>
      <c r="AM21" s="7" t="s">
        <v>23</v>
      </c>
      <c r="AN21" s="7" t="s">
        <v>24</v>
      </c>
      <c r="AO21" s="201" t="s">
        <v>107</v>
      </c>
      <c r="AP21" s="7" t="s">
        <v>23</v>
      </c>
      <c r="AQ21" s="7" t="s">
        <v>24</v>
      </c>
    </row>
    <row r="22" spans="1:43" ht="14.95" customHeight="1" thickBot="1" x14ac:dyDescent="0.3">
      <c r="A22" s="284" t="s">
        <v>874</v>
      </c>
      <c r="B22" s="91">
        <v>0</v>
      </c>
      <c r="C22" s="468">
        <v>0</v>
      </c>
      <c r="D22" s="427">
        <v>1</v>
      </c>
      <c r="E22" s="5">
        <f t="shared" si="0"/>
        <v>1</v>
      </c>
      <c r="F22" s="287" t="s">
        <v>874</v>
      </c>
      <c r="G22" s="92">
        <v>0</v>
      </c>
      <c r="H22" s="343">
        <v>0</v>
      </c>
      <c r="I22" s="429">
        <v>5</v>
      </c>
      <c r="J22" s="74">
        <f t="shared" si="1"/>
        <v>5</v>
      </c>
      <c r="K22" s="284" t="s">
        <v>689</v>
      </c>
      <c r="L22" s="7" t="s">
        <v>30</v>
      </c>
      <c r="M22" s="7" t="s">
        <v>30</v>
      </c>
      <c r="N22" s="206" t="s">
        <v>30</v>
      </c>
      <c r="O22" s="7" t="s">
        <v>30</v>
      </c>
      <c r="P22" s="7" t="s">
        <v>30</v>
      </c>
      <c r="Q22" s="7" t="s">
        <v>30</v>
      </c>
      <c r="R22" s="7" t="s">
        <v>30</v>
      </c>
      <c r="S22" s="7" t="s">
        <v>30</v>
      </c>
      <c r="T22" s="7" t="s">
        <v>30</v>
      </c>
      <c r="U22" s="201">
        <v>3</v>
      </c>
      <c r="V22" s="7">
        <v>3</v>
      </c>
      <c r="W22" s="206">
        <v>100</v>
      </c>
      <c r="AC22" s="201" t="s">
        <v>30</v>
      </c>
      <c r="AD22" s="7" t="s">
        <v>30</v>
      </c>
      <c r="AE22" s="7" t="s">
        <v>30</v>
      </c>
      <c r="AF22" s="7" t="s">
        <v>30</v>
      </c>
      <c r="AG22" s="7" t="s">
        <v>30</v>
      </c>
      <c r="AH22" s="7" t="s">
        <v>30</v>
      </c>
      <c r="AI22" s="7" t="s">
        <v>30</v>
      </c>
      <c r="AJ22" s="7" t="s">
        <v>30</v>
      </c>
      <c r="AK22" s="7" t="s">
        <v>30</v>
      </c>
      <c r="AL22" s="7" t="s">
        <v>30</v>
      </c>
      <c r="AM22" s="7" t="s">
        <v>30</v>
      </c>
      <c r="AN22" s="7" t="s">
        <v>30</v>
      </c>
      <c r="AO22" s="7" t="s">
        <v>30</v>
      </c>
      <c r="AP22" s="7" t="s">
        <v>30</v>
      </c>
      <c r="AQ22" s="7" t="s">
        <v>30</v>
      </c>
    </row>
    <row r="23" spans="1:43" ht="14.95" customHeight="1" thickBot="1" x14ac:dyDescent="0.3">
      <c r="A23" s="284" t="s">
        <v>966</v>
      </c>
      <c r="B23" s="91">
        <v>0</v>
      </c>
      <c r="C23" s="468">
        <v>1</v>
      </c>
      <c r="D23" s="427">
        <v>0</v>
      </c>
      <c r="E23" s="5">
        <f t="shared" si="0"/>
        <v>1</v>
      </c>
      <c r="F23" s="287" t="s">
        <v>966</v>
      </c>
      <c r="G23" s="92">
        <v>0</v>
      </c>
      <c r="H23" s="343">
        <v>5</v>
      </c>
      <c r="I23" s="429">
        <v>0</v>
      </c>
      <c r="J23" s="74">
        <f t="shared" si="1"/>
        <v>5</v>
      </c>
      <c r="K23" s="284" t="s">
        <v>690</v>
      </c>
      <c r="L23" s="7" t="s">
        <v>30</v>
      </c>
      <c r="M23" s="7" t="s">
        <v>30</v>
      </c>
      <c r="N23" s="206" t="s">
        <v>30</v>
      </c>
      <c r="O23" s="7" t="s">
        <v>30</v>
      </c>
      <c r="P23" s="7" t="s">
        <v>30</v>
      </c>
      <c r="Q23" s="7" t="s">
        <v>30</v>
      </c>
      <c r="R23" s="7" t="s">
        <v>30</v>
      </c>
      <c r="S23" s="7" t="s">
        <v>30</v>
      </c>
      <c r="T23" s="7" t="s">
        <v>30</v>
      </c>
      <c r="U23" s="201">
        <v>10</v>
      </c>
      <c r="V23" s="7">
        <v>10</v>
      </c>
      <c r="W23" s="206">
        <f>SUM(U23/V23)*100</f>
        <v>100</v>
      </c>
      <c r="AC23" s="201" t="s">
        <v>30</v>
      </c>
      <c r="AD23" s="7" t="s">
        <v>30</v>
      </c>
      <c r="AE23" s="7" t="s">
        <v>30</v>
      </c>
      <c r="AF23" s="7" t="s">
        <v>30</v>
      </c>
      <c r="AG23" s="7" t="s">
        <v>30</v>
      </c>
      <c r="AH23" s="7" t="s">
        <v>30</v>
      </c>
      <c r="AI23" s="7" t="s">
        <v>30</v>
      </c>
      <c r="AJ23" s="7" t="s">
        <v>30</v>
      </c>
      <c r="AK23" s="7" t="s">
        <v>30</v>
      </c>
      <c r="AL23" s="7" t="s">
        <v>30</v>
      </c>
      <c r="AM23" s="7" t="s">
        <v>30</v>
      </c>
      <c r="AN23" s="7" t="s">
        <v>30</v>
      </c>
      <c r="AO23" s="7" t="s">
        <v>30</v>
      </c>
      <c r="AP23" s="7" t="s">
        <v>30</v>
      </c>
      <c r="AQ23" s="7" t="s">
        <v>30</v>
      </c>
    </row>
    <row r="24" spans="1:43" ht="14.95" customHeight="1" thickBot="1" x14ac:dyDescent="0.3">
      <c r="A24" s="284" t="s">
        <v>968</v>
      </c>
      <c r="B24" s="91">
        <v>0</v>
      </c>
      <c r="C24" s="468">
        <v>0</v>
      </c>
      <c r="D24" s="427">
        <v>1</v>
      </c>
      <c r="E24" s="5">
        <f t="shared" si="0"/>
        <v>1</v>
      </c>
      <c r="F24" s="287" t="s">
        <v>968</v>
      </c>
      <c r="G24" s="92">
        <v>0</v>
      </c>
      <c r="H24" s="343">
        <v>0</v>
      </c>
      <c r="I24" s="429">
        <v>5</v>
      </c>
      <c r="J24" s="74">
        <f t="shared" si="1"/>
        <v>5</v>
      </c>
      <c r="K24" s="284" t="s">
        <v>704</v>
      </c>
      <c r="L24" s="7" t="s">
        <v>30</v>
      </c>
      <c r="M24" s="7" t="s">
        <v>30</v>
      </c>
      <c r="N24" s="206" t="s">
        <v>30</v>
      </c>
      <c r="O24" s="7" t="s">
        <v>30</v>
      </c>
      <c r="P24" s="7" t="s">
        <v>30</v>
      </c>
      <c r="Q24" s="7" t="s">
        <v>30</v>
      </c>
      <c r="R24" s="7" t="s">
        <v>30</v>
      </c>
      <c r="S24" s="7" t="s">
        <v>30</v>
      </c>
      <c r="T24" s="7" t="s">
        <v>30</v>
      </c>
      <c r="U24" s="201" t="s">
        <v>30</v>
      </c>
      <c r="V24" s="7" t="s">
        <v>30</v>
      </c>
      <c r="W24" s="7" t="s">
        <v>30</v>
      </c>
      <c r="AC24" s="201" t="s">
        <v>30</v>
      </c>
      <c r="AD24" s="7" t="s">
        <v>30</v>
      </c>
      <c r="AE24" s="7" t="s">
        <v>30</v>
      </c>
      <c r="AF24" s="7" t="s">
        <v>30</v>
      </c>
      <c r="AG24" s="7" t="s">
        <v>30</v>
      </c>
      <c r="AH24" s="7" t="s">
        <v>30</v>
      </c>
      <c r="AI24" s="7" t="s">
        <v>30</v>
      </c>
      <c r="AJ24" s="7" t="s">
        <v>30</v>
      </c>
      <c r="AK24" s="7" t="s">
        <v>30</v>
      </c>
      <c r="AL24" s="7" t="s">
        <v>30</v>
      </c>
      <c r="AM24" s="7" t="s">
        <v>30</v>
      </c>
      <c r="AN24" s="7" t="s">
        <v>30</v>
      </c>
      <c r="AO24" s="7" t="s">
        <v>30</v>
      </c>
      <c r="AP24" s="7" t="s">
        <v>30</v>
      </c>
      <c r="AQ24" s="7" t="s">
        <v>30</v>
      </c>
    </row>
    <row r="25" spans="1:43" ht="14.95" customHeight="1" thickBot="1" x14ac:dyDescent="0.3">
      <c r="A25" s="284" t="s">
        <v>457</v>
      </c>
      <c r="B25" s="91">
        <v>1</v>
      </c>
      <c r="C25" s="468">
        <v>0</v>
      </c>
      <c r="D25" s="427">
        <v>0</v>
      </c>
      <c r="E25" s="5">
        <f t="shared" si="0"/>
        <v>1</v>
      </c>
      <c r="F25" s="287" t="s">
        <v>457</v>
      </c>
      <c r="G25" s="92">
        <v>5</v>
      </c>
      <c r="H25" s="343">
        <v>0</v>
      </c>
      <c r="I25" s="429">
        <v>0</v>
      </c>
      <c r="J25" s="74">
        <f t="shared" si="1"/>
        <v>5</v>
      </c>
    </row>
    <row r="26" spans="1:43" ht="14.95" customHeight="1" thickBot="1" x14ac:dyDescent="0.3">
      <c r="A26" s="284" t="s">
        <v>92</v>
      </c>
      <c r="B26" s="91">
        <v>1</v>
      </c>
      <c r="C26" s="468">
        <v>0</v>
      </c>
      <c r="D26" s="427">
        <v>0</v>
      </c>
      <c r="E26" s="5">
        <f t="shared" si="0"/>
        <v>1</v>
      </c>
      <c r="F26" s="287" t="s">
        <v>92</v>
      </c>
      <c r="G26" s="92">
        <v>5</v>
      </c>
      <c r="H26" s="343">
        <v>0</v>
      </c>
      <c r="I26" s="429">
        <v>0</v>
      </c>
      <c r="J26" s="74">
        <f t="shared" si="1"/>
        <v>5</v>
      </c>
      <c r="K26" s="547" t="s">
        <v>179</v>
      </c>
      <c r="L26" s="526" t="s">
        <v>634</v>
      </c>
      <c r="M26" s="527"/>
      <c r="N26" s="528"/>
      <c r="O26" s="520" t="s">
        <v>634</v>
      </c>
      <c r="P26" s="521"/>
      <c r="Q26" s="522"/>
      <c r="R26" s="520" t="s">
        <v>863</v>
      </c>
      <c r="S26" s="521"/>
      <c r="T26" s="522"/>
      <c r="U26" s="520" t="s">
        <v>621</v>
      </c>
      <c r="V26" s="521"/>
      <c r="W26" s="522"/>
      <c r="AC26" s="520" t="s">
        <v>448</v>
      </c>
      <c r="AD26" s="521"/>
      <c r="AE26" s="522"/>
      <c r="AF26" s="520" t="s">
        <v>178</v>
      </c>
      <c r="AG26" s="521"/>
      <c r="AH26" s="522"/>
      <c r="AI26" s="520" t="s">
        <v>122</v>
      </c>
      <c r="AJ26" s="521"/>
      <c r="AK26" s="522"/>
      <c r="AL26" s="520" t="s">
        <v>113</v>
      </c>
      <c r="AM26" s="521"/>
      <c r="AN26" s="522"/>
      <c r="AO26" s="520" t="s">
        <v>85</v>
      </c>
      <c r="AP26" s="521"/>
      <c r="AQ26" s="522"/>
    </row>
    <row r="27" spans="1:43" ht="14.95" customHeight="1" thickBot="1" x14ac:dyDescent="0.3">
      <c r="A27" s="284" t="s">
        <v>59</v>
      </c>
      <c r="B27" s="91">
        <v>15</v>
      </c>
      <c r="C27" s="468">
        <v>2</v>
      </c>
      <c r="D27" s="427">
        <v>1</v>
      </c>
      <c r="E27" s="5">
        <f t="shared" si="0"/>
        <v>18</v>
      </c>
      <c r="F27" s="287" t="s">
        <v>59</v>
      </c>
      <c r="G27" s="92">
        <v>75</v>
      </c>
      <c r="H27" s="343">
        <v>10</v>
      </c>
      <c r="I27" s="429">
        <v>5</v>
      </c>
      <c r="J27" s="74">
        <f t="shared" si="1"/>
        <v>90</v>
      </c>
      <c r="K27" s="548"/>
      <c r="L27" s="529"/>
      <c r="M27" s="530"/>
      <c r="N27" s="531"/>
      <c r="O27" s="523"/>
      <c r="P27" s="524"/>
      <c r="Q27" s="525"/>
      <c r="R27" s="523"/>
      <c r="S27" s="524"/>
      <c r="T27" s="525"/>
      <c r="U27" s="523"/>
      <c r="V27" s="524"/>
      <c r="W27" s="525"/>
      <c r="AC27" s="523"/>
      <c r="AD27" s="524"/>
      <c r="AE27" s="525"/>
      <c r="AF27" s="523"/>
      <c r="AG27" s="524"/>
      <c r="AH27" s="525"/>
      <c r="AI27" s="523"/>
      <c r="AJ27" s="524"/>
      <c r="AK27" s="525"/>
      <c r="AL27" s="523"/>
      <c r="AM27" s="524"/>
      <c r="AN27" s="525"/>
      <c r="AO27" s="523"/>
      <c r="AP27" s="524"/>
      <c r="AQ27" s="525"/>
    </row>
    <row r="28" spans="1:43" ht="14.95" customHeight="1" thickBot="1" x14ac:dyDescent="0.3">
      <c r="A28" s="284" t="s">
        <v>970</v>
      </c>
      <c r="B28" s="91">
        <v>0</v>
      </c>
      <c r="C28" s="468">
        <v>0</v>
      </c>
      <c r="D28" s="427">
        <v>0</v>
      </c>
      <c r="E28" s="5">
        <f t="shared" si="0"/>
        <v>0</v>
      </c>
      <c r="F28" s="287" t="s">
        <v>970</v>
      </c>
      <c r="G28" s="92">
        <v>0</v>
      </c>
      <c r="H28" s="343">
        <v>0</v>
      </c>
      <c r="I28" s="429">
        <v>0</v>
      </c>
      <c r="J28" s="74">
        <f t="shared" si="1"/>
        <v>0</v>
      </c>
      <c r="K28" s="401" t="s">
        <v>44</v>
      </c>
      <c r="L28" s="3" t="s">
        <v>107</v>
      </c>
      <c r="M28" s="3" t="s">
        <v>23</v>
      </c>
      <c r="N28" s="3" t="s">
        <v>24</v>
      </c>
      <c r="O28" s="7" t="s">
        <v>107</v>
      </c>
      <c r="P28" s="7" t="s">
        <v>23</v>
      </c>
      <c r="Q28" s="7" t="s">
        <v>24</v>
      </c>
      <c r="R28" s="93" t="s">
        <v>107</v>
      </c>
      <c r="S28" s="93" t="s">
        <v>23</v>
      </c>
      <c r="T28" s="93" t="s">
        <v>24</v>
      </c>
      <c r="U28" s="201" t="s">
        <v>107</v>
      </c>
      <c r="V28" s="7" t="s">
        <v>23</v>
      </c>
      <c r="W28" s="7" t="s">
        <v>24</v>
      </c>
      <c r="AC28" s="201" t="s">
        <v>107</v>
      </c>
      <c r="AD28" s="7" t="s">
        <v>23</v>
      </c>
      <c r="AE28" s="7" t="s">
        <v>24</v>
      </c>
      <c r="AF28" s="201" t="s">
        <v>107</v>
      </c>
      <c r="AG28" s="7" t="s">
        <v>23</v>
      </c>
      <c r="AH28" s="7" t="s">
        <v>24</v>
      </c>
      <c r="AI28" s="201" t="s">
        <v>107</v>
      </c>
      <c r="AJ28" s="7" t="s">
        <v>23</v>
      </c>
      <c r="AK28" s="7" t="s">
        <v>24</v>
      </c>
      <c r="AL28" s="201" t="s">
        <v>107</v>
      </c>
      <c r="AM28" s="7" t="s">
        <v>23</v>
      </c>
      <c r="AN28" s="7" t="s">
        <v>24</v>
      </c>
      <c r="AO28" s="201" t="s">
        <v>107</v>
      </c>
      <c r="AP28" s="7" t="s">
        <v>23</v>
      </c>
      <c r="AQ28" s="7" t="s">
        <v>24</v>
      </c>
    </row>
    <row r="29" spans="1:43" ht="14.95" customHeight="1" thickBot="1" x14ac:dyDescent="0.3">
      <c r="A29" s="284" t="s">
        <v>718</v>
      </c>
      <c r="B29" s="91">
        <v>0</v>
      </c>
      <c r="C29" s="468">
        <v>1</v>
      </c>
      <c r="D29" s="427">
        <v>1</v>
      </c>
      <c r="E29" s="5">
        <f t="shared" si="0"/>
        <v>2</v>
      </c>
      <c r="F29" s="287" t="s">
        <v>718</v>
      </c>
      <c r="G29" s="92">
        <v>0</v>
      </c>
      <c r="H29" s="343">
        <v>5</v>
      </c>
      <c r="I29" s="429">
        <v>5</v>
      </c>
      <c r="J29" s="74">
        <f t="shared" si="1"/>
        <v>10</v>
      </c>
      <c r="K29" s="284" t="s">
        <v>689</v>
      </c>
      <c r="L29" s="5">
        <v>5</v>
      </c>
      <c r="M29" s="5">
        <v>8</v>
      </c>
      <c r="N29" s="288">
        <f t="shared" ref="N29" si="7">SUM(L29/M29)*100</f>
        <v>62.5</v>
      </c>
      <c r="O29" s="7" t="s">
        <v>30</v>
      </c>
      <c r="P29" s="7" t="s">
        <v>30</v>
      </c>
      <c r="Q29" s="7" t="s">
        <v>30</v>
      </c>
      <c r="R29" s="7" t="s">
        <v>30</v>
      </c>
      <c r="S29" s="7" t="s">
        <v>30</v>
      </c>
      <c r="T29" s="7" t="s">
        <v>30</v>
      </c>
      <c r="U29" s="201">
        <v>12</v>
      </c>
      <c r="V29" s="7">
        <v>15</v>
      </c>
      <c r="W29" s="206">
        <f>SUM(U29/V29)*100</f>
        <v>80</v>
      </c>
      <c r="AC29" s="201" t="s">
        <v>30</v>
      </c>
      <c r="AD29" s="7" t="s">
        <v>30</v>
      </c>
      <c r="AE29" s="7" t="s">
        <v>30</v>
      </c>
      <c r="AF29" s="7">
        <v>3</v>
      </c>
      <c r="AG29" s="7">
        <v>4</v>
      </c>
      <c r="AH29" s="206">
        <f>SUM(AF29/AG29)*100</f>
        <v>75</v>
      </c>
      <c r="AI29" s="7" t="s">
        <v>30</v>
      </c>
      <c r="AJ29" s="7" t="s">
        <v>30</v>
      </c>
      <c r="AK29" s="7" t="s">
        <v>30</v>
      </c>
      <c r="AL29" s="201" t="s">
        <v>30</v>
      </c>
      <c r="AM29" s="7" t="s">
        <v>30</v>
      </c>
      <c r="AN29" s="7" t="s">
        <v>30</v>
      </c>
      <c r="AO29" s="7" t="s">
        <v>30</v>
      </c>
      <c r="AP29" s="7" t="s">
        <v>30</v>
      </c>
      <c r="AQ29" s="7" t="s">
        <v>30</v>
      </c>
    </row>
    <row r="30" spans="1:43" ht="14.95" customHeight="1" thickBot="1" x14ac:dyDescent="0.3">
      <c r="A30" s="284" t="s">
        <v>682</v>
      </c>
      <c r="B30" s="91">
        <v>0</v>
      </c>
      <c r="C30" s="468">
        <v>0</v>
      </c>
      <c r="D30" s="427">
        <v>0</v>
      </c>
      <c r="E30" s="5">
        <f t="shared" si="0"/>
        <v>0</v>
      </c>
      <c r="F30" s="287" t="s">
        <v>682</v>
      </c>
      <c r="G30" s="92">
        <v>0</v>
      </c>
      <c r="H30" s="343">
        <v>0</v>
      </c>
      <c r="I30" s="429">
        <v>0</v>
      </c>
      <c r="J30" s="74">
        <f t="shared" si="1"/>
        <v>0</v>
      </c>
      <c r="K30" s="284" t="s">
        <v>1024</v>
      </c>
      <c r="L30" s="5">
        <v>0</v>
      </c>
      <c r="M30" s="5">
        <v>3</v>
      </c>
      <c r="N30" s="5">
        <f t="shared" ref="N30:N31" si="8">SUM(L30/M30)*100</f>
        <v>0</v>
      </c>
      <c r="O30" s="201" t="s">
        <v>30</v>
      </c>
      <c r="P30" s="7" t="s">
        <v>30</v>
      </c>
      <c r="Q30" s="7" t="s">
        <v>30</v>
      </c>
      <c r="R30" s="201" t="s">
        <v>30</v>
      </c>
      <c r="S30" s="7" t="s">
        <v>30</v>
      </c>
      <c r="T30" s="7" t="s">
        <v>30</v>
      </c>
      <c r="U30" s="201" t="s">
        <v>30</v>
      </c>
      <c r="V30" s="7" t="s">
        <v>30</v>
      </c>
      <c r="W30" s="7" t="s">
        <v>30</v>
      </c>
      <c r="AC30" s="201" t="s">
        <v>30</v>
      </c>
      <c r="AD30" s="7" t="s">
        <v>30</v>
      </c>
      <c r="AE30" s="7" t="s">
        <v>30</v>
      </c>
      <c r="AF30" s="7" t="s">
        <v>30</v>
      </c>
      <c r="AG30" s="7" t="s">
        <v>30</v>
      </c>
      <c r="AH30" s="7" t="s">
        <v>30</v>
      </c>
      <c r="AI30" s="7" t="s">
        <v>30</v>
      </c>
      <c r="AJ30" s="7" t="s">
        <v>30</v>
      </c>
      <c r="AK30" s="7" t="s">
        <v>30</v>
      </c>
      <c r="AL30" s="7" t="s">
        <v>30</v>
      </c>
      <c r="AM30" s="7" t="s">
        <v>30</v>
      </c>
      <c r="AN30" s="7" t="s">
        <v>30</v>
      </c>
      <c r="AO30" s="7" t="s">
        <v>30</v>
      </c>
      <c r="AP30" s="7" t="s">
        <v>30</v>
      </c>
      <c r="AQ30" s="7" t="s">
        <v>30</v>
      </c>
    </row>
    <row r="31" spans="1:43" ht="14.95" customHeight="1" thickBot="1" x14ac:dyDescent="0.3">
      <c r="A31" s="284" t="s">
        <v>973</v>
      </c>
      <c r="B31" s="91">
        <v>2</v>
      </c>
      <c r="C31" s="468">
        <v>1</v>
      </c>
      <c r="D31" s="427">
        <v>0</v>
      </c>
      <c r="E31" s="5">
        <f t="shared" si="0"/>
        <v>3</v>
      </c>
      <c r="F31" s="287" t="s">
        <v>973</v>
      </c>
      <c r="G31" s="92">
        <v>10</v>
      </c>
      <c r="H31" s="343">
        <v>5</v>
      </c>
      <c r="I31" s="429">
        <v>0</v>
      </c>
      <c r="J31" s="74">
        <f t="shared" si="1"/>
        <v>15</v>
      </c>
      <c r="K31" s="284" t="s">
        <v>690</v>
      </c>
      <c r="L31" s="5">
        <v>5</v>
      </c>
      <c r="M31" s="5">
        <v>9</v>
      </c>
      <c r="N31" s="5">
        <f t="shared" si="8"/>
        <v>55.555555555555557</v>
      </c>
      <c r="O31" s="7" t="s">
        <v>30</v>
      </c>
      <c r="P31" s="7" t="s">
        <v>30</v>
      </c>
      <c r="Q31" s="7" t="s">
        <v>30</v>
      </c>
      <c r="R31" s="7" t="s">
        <v>30</v>
      </c>
      <c r="S31" s="7" t="s">
        <v>30</v>
      </c>
      <c r="T31" s="7" t="s">
        <v>30</v>
      </c>
      <c r="U31" s="201">
        <v>3</v>
      </c>
      <c r="V31" s="7">
        <v>3</v>
      </c>
      <c r="W31" s="206">
        <f>SUM(U31/V31)*100</f>
        <v>100</v>
      </c>
      <c r="AC31" s="201">
        <v>12</v>
      </c>
      <c r="AD31" s="7">
        <v>17</v>
      </c>
      <c r="AE31" s="206">
        <f>SUM(AC31/AD31)*100</f>
        <v>70.588235294117652</v>
      </c>
      <c r="AF31" s="7" t="s">
        <v>30</v>
      </c>
      <c r="AG31" s="7" t="s">
        <v>30</v>
      </c>
      <c r="AH31" s="7" t="s">
        <v>30</v>
      </c>
      <c r="AI31" s="7" t="s">
        <v>30</v>
      </c>
      <c r="AJ31" s="7" t="s">
        <v>30</v>
      </c>
      <c r="AK31" s="7" t="s">
        <v>30</v>
      </c>
      <c r="AL31" s="201" t="s">
        <v>30</v>
      </c>
      <c r="AM31" s="7" t="s">
        <v>30</v>
      </c>
      <c r="AN31" s="7" t="s">
        <v>30</v>
      </c>
      <c r="AO31" s="7" t="s">
        <v>30</v>
      </c>
      <c r="AP31" s="7" t="s">
        <v>30</v>
      </c>
      <c r="AQ31" s="7" t="s">
        <v>30</v>
      </c>
    </row>
    <row r="32" spans="1:43" ht="14.95" customHeight="1" thickBot="1" x14ac:dyDescent="0.3">
      <c r="A32" s="284" t="s">
        <v>760</v>
      </c>
      <c r="B32" s="91">
        <v>1</v>
      </c>
      <c r="C32" s="468">
        <v>0</v>
      </c>
      <c r="D32" s="427">
        <v>0</v>
      </c>
      <c r="E32" s="5">
        <f t="shared" si="0"/>
        <v>1</v>
      </c>
      <c r="F32" s="287" t="s">
        <v>760</v>
      </c>
      <c r="G32" s="92">
        <v>5</v>
      </c>
      <c r="H32" s="343">
        <v>0</v>
      </c>
      <c r="I32" s="429">
        <v>0</v>
      </c>
      <c r="J32" s="74">
        <f t="shared" si="1"/>
        <v>5</v>
      </c>
      <c r="K32" s="107" t="s">
        <v>975</v>
      </c>
    </row>
    <row r="33" spans="1:10" ht="14.95" customHeight="1" thickBot="1" x14ac:dyDescent="0.3">
      <c r="A33" s="284" t="s">
        <v>529</v>
      </c>
      <c r="B33" s="91">
        <v>0</v>
      </c>
      <c r="C33" s="468">
        <v>0</v>
      </c>
      <c r="D33" s="427">
        <v>0</v>
      </c>
      <c r="E33" s="5">
        <f t="shared" si="0"/>
        <v>0</v>
      </c>
      <c r="F33" s="287" t="s">
        <v>529</v>
      </c>
      <c r="G33" s="92">
        <v>0</v>
      </c>
      <c r="H33" s="343">
        <v>0</v>
      </c>
      <c r="I33" s="429">
        <v>0</v>
      </c>
      <c r="J33" s="74">
        <f t="shared" si="1"/>
        <v>0</v>
      </c>
    </row>
    <row r="34" spans="1:10" ht="14.95" customHeight="1" thickBot="1" x14ac:dyDescent="0.3">
      <c r="A34" s="284" t="s">
        <v>6</v>
      </c>
      <c r="B34" s="91">
        <v>2</v>
      </c>
      <c r="C34" s="468">
        <v>0</v>
      </c>
      <c r="D34" s="427">
        <v>0</v>
      </c>
      <c r="E34" s="5">
        <f t="shared" si="0"/>
        <v>2</v>
      </c>
      <c r="F34" s="287" t="s">
        <v>6</v>
      </c>
      <c r="G34" s="92">
        <v>14</v>
      </c>
      <c r="H34" s="343">
        <v>0</v>
      </c>
      <c r="I34" s="429">
        <v>0</v>
      </c>
      <c r="J34" s="74">
        <f t="shared" si="1"/>
        <v>14</v>
      </c>
    </row>
    <row r="35" spans="1:10" ht="14.95" customHeight="1" thickBot="1" x14ac:dyDescent="0.3">
      <c r="A35" s="284" t="s">
        <v>704</v>
      </c>
      <c r="B35" s="91">
        <v>0</v>
      </c>
      <c r="C35" s="468">
        <v>0</v>
      </c>
      <c r="D35" s="427">
        <v>0</v>
      </c>
      <c r="E35" s="5">
        <f t="shared" si="0"/>
        <v>0</v>
      </c>
      <c r="F35" s="287" t="s">
        <v>704</v>
      </c>
      <c r="G35" s="92">
        <v>0</v>
      </c>
      <c r="H35" s="343">
        <v>0</v>
      </c>
      <c r="I35" s="429">
        <v>0</v>
      </c>
      <c r="J35" s="74">
        <f t="shared" si="1"/>
        <v>0</v>
      </c>
    </row>
    <row r="36" spans="1:10" ht="14.95" customHeight="1" thickBot="1" x14ac:dyDescent="0.3">
      <c r="A36" s="284" t="s">
        <v>684</v>
      </c>
      <c r="B36" s="91">
        <v>1</v>
      </c>
      <c r="C36" s="468">
        <v>0</v>
      </c>
      <c r="D36" s="427">
        <v>0</v>
      </c>
      <c r="E36" s="5">
        <f t="shared" si="0"/>
        <v>1</v>
      </c>
      <c r="F36" s="287" t="s">
        <v>684</v>
      </c>
      <c r="G36" s="92">
        <v>5</v>
      </c>
      <c r="H36" s="343">
        <v>0</v>
      </c>
      <c r="I36" s="429">
        <v>0</v>
      </c>
      <c r="J36" s="74">
        <f t="shared" si="1"/>
        <v>5</v>
      </c>
    </row>
    <row r="37" spans="1:10" ht="14.95" customHeight="1" thickBot="1" x14ac:dyDescent="0.3">
      <c r="A37" s="284" t="s">
        <v>691</v>
      </c>
      <c r="B37" s="91">
        <v>7</v>
      </c>
      <c r="C37" s="468">
        <v>0</v>
      </c>
      <c r="D37" s="427">
        <v>0</v>
      </c>
      <c r="E37" s="5">
        <f t="shared" si="0"/>
        <v>7</v>
      </c>
      <c r="F37" s="287" t="s">
        <v>691</v>
      </c>
      <c r="G37" s="92">
        <v>35</v>
      </c>
      <c r="H37" s="343">
        <v>0</v>
      </c>
      <c r="I37" s="429">
        <v>0</v>
      </c>
      <c r="J37" s="74">
        <f t="shared" si="1"/>
        <v>35</v>
      </c>
    </row>
    <row r="38" spans="1:10" ht="14.95" customHeight="1" thickBot="1" x14ac:dyDescent="0.3">
      <c r="A38" s="284" t="s">
        <v>686</v>
      </c>
      <c r="B38" s="91">
        <v>2</v>
      </c>
      <c r="C38" s="468">
        <v>0</v>
      </c>
      <c r="D38" s="427">
        <v>0</v>
      </c>
      <c r="E38" s="5">
        <f t="shared" si="0"/>
        <v>2</v>
      </c>
      <c r="F38" s="287" t="s">
        <v>686</v>
      </c>
      <c r="G38" s="92">
        <v>10</v>
      </c>
      <c r="H38" s="343">
        <v>0</v>
      </c>
      <c r="I38" s="429">
        <v>0</v>
      </c>
      <c r="J38" s="74">
        <f t="shared" si="1"/>
        <v>10</v>
      </c>
    </row>
    <row r="39" spans="1:10" ht="14.95" customHeight="1" thickBot="1" x14ac:dyDescent="0.3">
      <c r="A39" s="284" t="s">
        <v>811</v>
      </c>
      <c r="B39" s="91">
        <v>2</v>
      </c>
      <c r="C39" s="468">
        <v>0</v>
      </c>
      <c r="D39" s="427">
        <v>0</v>
      </c>
      <c r="E39" s="5">
        <f t="shared" si="0"/>
        <v>2</v>
      </c>
      <c r="F39" s="287" t="s">
        <v>812</v>
      </c>
      <c r="G39" s="92">
        <v>10</v>
      </c>
      <c r="H39" s="343">
        <v>0</v>
      </c>
      <c r="I39" s="429">
        <v>0</v>
      </c>
      <c r="J39" s="74">
        <f t="shared" si="1"/>
        <v>10</v>
      </c>
    </row>
    <row r="40" spans="1:10" ht="14.95" customHeight="1" thickBot="1" x14ac:dyDescent="0.3">
      <c r="A40" s="284" t="s">
        <v>48</v>
      </c>
      <c r="B40" s="91">
        <v>0</v>
      </c>
      <c r="C40" s="468">
        <v>0</v>
      </c>
      <c r="D40" s="427">
        <v>3</v>
      </c>
      <c r="E40" s="5">
        <f t="shared" si="0"/>
        <v>3</v>
      </c>
      <c r="F40" s="287" t="s">
        <v>48</v>
      </c>
      <c r="G40" s="92">
        <v>0</v>
      </c>
      <c r="H40" s="343">
        <v>0</v>
      </c>
      <c r="I40" s="429">
        <v>15</v>
      </c>
      <c r="J40" s="74">
        <f t="shared" si="1"/>
        <v>15</v>
      </c>
    </row>
    <row r="41" spans="1:10" ht="14.95" customHeight="1" thickBot="1" x14ac:dyDescent="0.3">
      <c r="A41" s="284" t="s">
        <v>995</v>
      </c>
      <c r="B41" s="91">
        <v>2</v>
      </c>
      <c r="C41" s="468">
        <v>0</v>
      </c>
      <c r="D41" s="427">
        <v>1</v>
      </c>
      <c r="E41" s="5">
        <f t="shared" si="0"/>
        <v>3</v>
      </c>
      <c r="F41" s="287" t="s">
        <v>995</v>
      </c>
      <c r="G41" s="92">
        <v>10</v>
      </c>
      <c r="H41" s="343">
        <v>0</v>
      </c>
      <c r="I41" s="429">
        <v>5</v>
      </c>
      <c r="J41" s="74">
        <f t="shared" si="1"/>
        <v>15</v>
      </c>
    </row>
    <row r="42" spans="1:10" ht="14.95" customHeight="1" thickBot="1" x14ac:dyDescent="0.3">
      <c r="A42" s="284" t="s">
        <v>720</v>
      </c>
      <c r="B42" s="91">
        <v>4</v>
      </c>
      <c r="C42" s="468">
        <v>0</v>
      </c>
      <c r="D42" s="427">
        <v>0</v>
      </c>
      <c r="E42" s="5">
        <f t="shared" si="0"/>
        <v>4</v>
      </c>
      <c r="F42" s="287" t="s">
        <v>720</v>
      </c>
      <c r="G42" s="92">
        <v>20</v>
      </c>
      <c r="H42" s="343">
        <v>0</v>
      </c>
      <c r="I42" s="429">
        <v>0</v>
      </c>
      <c r="J42" s="74">
        <f t="shared" si="1"/>
        <v>20</v>
      </c>
    </row>
    <row r="43" spans="1:10" ht="14.95" customHeight="1" thickBot="1" x14ac:dyDescent="0.3">
      <c r="A43" s="284" t="s">
        <v>154</v>
      </c>
      <c r="B43" s="91">
        <v>0</v>
      </c>
      <c r="C43" s="468">
        <v>1</v>
      </c>
      <c r="D43" s="427">
        <v>0</v>
      </c>
      <c r="E43" s="5">
        <f t="shared" si="0"/>
        <v>1</v>
      </c>
      <c r="F43" s="287" t="s">
        <v>154</v>
      </c>
      <c r="G43" s="92">
        <v>0</v>
      </c>
      <c r="H43" s="343">
        <v>5</v>
      </c>
      <c r="I43" s="429">
        <v>0</v>
      </c>
      <c r="J43" s="74">
        <f t="shared" si="1"/>
        <v>5</v>
      </c>
    </row>
    <row r="44" spans="1:10" ht="14.95" customHeight="1" thickBot="1" x14ac:dyDescent="0.3">
      <c r="A44" s="284" t="s">
        <v>693</v>
      </c>
      <c r="B44" s="91">
        <v>0</v>
      </c>
      <c r="C44" s="468">
        <v>0</v>
      </c>
      <c r="D44" s="427">
        <v>3</v>
      </c>
      <c r="E44" s="5">
        <f t="shared" si="0"/>
        <v>3</v>
      </c>
      <c r="F44" s="287" t="s">
        <v>693</v>
      </c>
      <c r="G44" s="92">
        <v>0</v>
      </c>
      <c r="H44" s="343">
        <v>0</v>
      </c>
      <c r="I44" s="429">
        <v>15</v>
      </c>
      <c r="J44" s="74">
        <f t="shared" si="1"/>
        <v>15</v>
      </c>
    </row>
    <row r="45" spans="1:10" ht="14.95" customHeight="1" thickBot="1" x14ac:dyDescent="0.3">
      <c r="A45" s="284" t="s">
        <v>688</v>
      </c>
      <c r="B45" s="91">
        <v>0</v>
      </c>
      <c r="C45" s="468">
        <v>0</v>
      </c>
      <c r="D45" s="427">
        <v>0</v>
      </c>
      <c r="E45" s="5">
        <f t="shared" si="0"/>
        <v>0</v>
      </c>
      <c r="F45" s="287" t="s">
        <v>688</v>
      </c>
      <c r="G45" s="92">
        <v>0</v>
      </c>
      <c r="H45" s="343">
        <v>0</v>
      </c>
      <c r="I45" s="429">
        <v>0</v>
      </c>
      <c r="J45" s="74">
        <f t="shared" si="1"/>
        <v>0</v>
      </c>
    </row>
    <row r="46" spans="1:10" ht="14.95" thickBot="1" x14ac:dyDescent="0.3">
      <c r="A46" s="284" t="s">
        <v>1214</v>
      </c>
      <c r="B46" s="91">
        <v>0</v>
      </c>
      <c r="C46" s="468">
        <v>0</v>
      </c>
      <c r="D46" s="427">
        <v>1</v>
      </c>
      <c r="E46" s="5">
        <f t="shared" si="0"/>
        <v>1</v>
      </c>
      <c r="F46" s="287" t="s">
        <v>1214</v>
      </c>
      <c r="G46" s="92">
        <v>0</v>
      </c>
      <c r="H46" s="343">
        <v>0</v>
      </c>
      <c r="I46" s="429">
        <v>5</v>
      </c>
      <c r="J46" s="74">
        <f t="shared" si="1"/>
        <v>5</v>
      </c>
    </row>
    <row r="47" spans="1:10" ht="14.95" thickBot="1" x14ac:dyDescent="0.3">
      <c r="A47" s="284" t="s">
        <v>696</v>
      </c>
      <c r="B47" s="91">
        <v>0</v>
      </c>
      <c r="C47" s="468">
        <v>0</v>
      </c>
      <c r="D47" s="427">
        <v>0</v>
      </c>
      <c r="E47" s="5">
        <f t="shared" si="0"/>
        <v>0</v>
      </c>
      <c r="F47" s="287" t="s">
        <v>696</v>
      </c>
      <c r="G47" s="92">
        <v>0</v>
      </c>
      <c r="H47" s="343">
        <v>0</v>
      </c>
      <c r="I47" s="429">
        <v>0</v>
      </c>
      <c r="J47" s="74">
        <f t="shared" si="1"/>
        <v>0</v>
      </c>
    </row>
    <row r="48" spans="1:10" ht="14.95" customHeight="1" thickBot="1" x14ac:dyDescent="0.3">
      <c r="A48" s="284" t="s">
        <v>737</v>
      </c>
      <c r="B48" s="91">
        <v>0</v>
      </c>
      <c r="C48" s="468">
        <v>1</v>
      </c>
      <c r="D48" s="427">
        <v>1</v>
      </c>
      <c r="E48" s="5">
        <f t="shared" si="0"/>
        <v>2</v>
      </c>
      <c r="F48" s="287" t="s">
        <v>737</v>
      </c>
      <c r="G48" s="92">
        <v>0</v>
      </c>
      <c r="H48" s="343">
        <v>5</v>
      </c>
      <c r="I48" s="429">
        <v>5</v>
      </c>
      <c r="J48" s="74">
        <f t="shared" si="1"/>
        <v>10</v>
      </c>
    </row>
    <row r="49" spans="1:10" ht="14.95" customHeight="1" thickBot="1" x14ac:dyDescent="0.3">
      <c r="A49" s="284" t="s">
        <v>698</v>
      </c>
      <c r="B49" s="91">
        <v>0</v>
      </c>
      <c r="C49" s="468">
        <v>0</v>
      </c>
      <c r="D49" s="427">
        <v>0</v>
      </c>
      <c r="E49" s="5">
        <f t="shared" si="0"/>
        <v>0</v>
      </c>
      <c r="F49" s="287" t="s">
        <v>698</v>
      </c>
      <c r="G49" s="92">
        <v>0</v>
      </c>
      <c r="H49" s="343">
        <v>0</v>
      </c>
      <c r="I49" s="429">
        <v>0</v>
      </c>
      <c r="J49" s="74">
        <f t="shared" si="1"/>
        <v>0</v>
      </c>
    </row>
    <row r="50" spans="1:10" ht="14.95" thickBot="1" x14ac:dyDescent="0.3">
      <c r="A50" s="284" t="s">
        <v>261</v>
      </c>
      <c r="B50" s="91">
        <v>0</v>
      </c>
      <c r="C50" s="468">
        <v>1</v>
      </c>
      <c r="D50" s="427">
        <v>1</v>
      </c>
      <c r="E50" s="5">
        <f t="shared" si="0"/>
        <v>2</v>
      </c>
      <c r="F50" s="287" t="s">
        <v>261</v>
      </c>
      <c r="G50" s="92">
        <v>0</v>
      </c>
      <c r="H50" s="343">
        <v>5</v>
      </c>
      <c r="I50" s="429">
        <v>5</v>
      </c>
      <c r="J50" s="74">
        <f t="shared" si="1"/>
        <v>10</v>
      </c>
    </row>
    <row r="51" spans="1:10" ht="14.95" thickBot="1" x14ac:dyDescent="0.3">
      <c r="A51" s="284" t="s">
        <v>53</v>
      </c>
      <c r="B51" s="91">
        <v>0</v>
      </c>
      <c r="C51" s="468">
        <v>0</v>
      </c>
      <c r="D51" s="427">
        <v>0</v>
      </c>
      <c r="E51" s="5">
        <f t="shared" si="0"/>
        <v>0</v>
      </c>
      <c r="F51" s="287" t="s">
        <v>53</v>
      </c>
      <c r="G51" s="92">
        <v>0</v>
      </c>
      <c r="H51" s="343">
        <v>0</v>
      </c>
      <c r="I51" s="429">
        <v>0</v>
      </c>
      <c r="J51" s="74">
        <f t="shared" si="1"/>
        <v>0</v>
      </c>
    </row>
    <row r="52" spans="1:10" ht="14.95" thickBot="1" x14ac:dyDescent="0.3">
      <c r="A52" s="284" t="s">
        <v>3</v>
      </c>
      <c r="B52" s="91">
        <f>SUM(B3:B51)</f>
        <v>57</v>
      </c>
      <c r="C52" s="468">
        <f>SUM(C3:C51)</f>
        <v>12</v>
      </c>
      <c r="D52" s="427">
        <f>SUM(D3:D51)</f>
        <v>19</v>
      </c>
      <c r="E52" s="5">
        <f t="shared" si="0"/>
        <v>88</v>
      </c>
      <c r="F52" s="286" t="s">
        <v>3</v>
      </c>
      <c r="G52" s="92">
        <f>SUM(G3:G51)</f>
        <v>436</v>
      </c>
      <c r="H52" s="343">
        <f>SUM(H3:H51)</f>
        <v>90</v>
      </c>
      <c r="I52" s="429">
        <f>SUM(I3:I51)</f>
        <v>116</v>
      </c>
      <c r="J52" s="74">
        <f t="shared" si="1"/>
        <v>642</v>
      </c>
    </row>
    <row r="53" spans="1:10" ht="16.3" x14ac:dyDescent="0.25">
      <c r="A53" s="83" t="s">
        <v>44</v>
      </c>
      <c r="B53" s="169"/>
      <c r="C53" s="85"/>
      <c r="D53" s="85"/>
      <c r="E53" s="73"/>
      <c r="F53" s="35"/>
      <c r="G53" s="172"/>
      <c r="H53" s="124"/>
      <c r="I53" s="37"/>
      <c r="J53" s="35"/>
    </row>
    <row r="54" spans="1:10" ht="14.95" thickBot="1" x14ac:dyDescent="0.3">
      <c r="A54" s="84" t="s">
        <v>26</v>
      </c>
      <c r="B54" s="169"/>
      <c r="C54" s="85"/>
      <c r="D54" s="85"/>
      <c r="E54" s="73"/>
      <c r="F54" s="37"/>
      <c r="G54" s="169"/>
      <c r="H54" s="124"/>
      <c r="I54" s="37"/>
      <c r="J54" s="37"/>
    </row>
    <row r="55" spans="1:10" ht="14.95" thickBot="1" x14ac:dyDescent="0.3">
      <c r="A55" s="283" t="s">
        <v>0</v>
      </c>
      <c r="B55" s="145" t="s">
        <v>620</v>
      </c>
      <c r="C55" s="467" t="s">
        <v>64</v>
      </c>
      <c r="D55" s="426" t="s">
        <v>925</v>
      </c>
      <c r="E55" s="133" t="s">
        <v>1</v>
      </c>
      <c r="F55" s="285" t="s">
        <v>2</v>
      </c>
      <c r="G55" s="138" t="s">
        <v>620</v>
      </c>
      <c r="H55" s="342" t="s">
        <v>64</v>
      </c>
      <c r="I55" s="428" t="s">
        <v>925</v>
      </c>
      <c r="J55" s="139" t="s">
        <v>1</v>
      </c>
    </row>
    <row r="56" spans="1:10" ht="14.95" thickBot="1" x14ac:dyDescent="0.3">
      <c r="A56" s="284" t="s">
        <v>59</v>
      </c>
      <c r="B56" s="91">
        <v>15</v>
      </c>
      <c r="C56" s="468">
        <v>2</v>
      </c>
      <c r="D56" s="427">
        <v>1</v>
      </c>
      <c r="E56" s="5">
        <f t="shared" ref="E56:E87" si="9">SUM(B56:D56)</f>
        <v>18</v>
      </c>
      <c r="F56" s="287" t="s">
        <v>59</v>
      </c>
      <c r="G56" s="92">
        <v>75</v>
      </c>
      <c r="H56" s="343">
        <v>10</v>
      </c>
      <c r="I56" s="429">
        <v>5</v>
      </c>
      <c r="J56" s="74">
        <f t="shared" ref="J56:J87" si="10">SUM(G56:I56)</f>
        <v>90</v>
      </c>
    </row>
    <row r="57" spans="1:10" ht="14.95" thickBot="1" x14ac:dyDescent="0.3">
      <c r="A57" s="284" t="s">
        <v>691</v>
      </c>
      <c r="B57" s="91">
        <v>7</v>
      </c>
      <c r="C57" s="468">
        <v>0</v>
      </c>
      <c r="D57" s="427">
        <v>0</v>
      </c>
      <c r="E57" s="5">
        <f t="shared" si="9"/>
        <v>7</v>
      </c>
      <c r="F57" s="287" t="s">
        <v>689</v>
      </c>
      <c r="G57" s="92">
        <v>58</v>
      </c>
      <c r="H57" s="343">
        <v>17</v>
      </c>
      <c r="I57" s="429">
        <v>11</v>
      </c>
      <c r="J57" s="74">
        <f t="shared" si="10"/>
        <v>86</v>
      </c>
    </row>
    <row r="58" spans="1:10" ht="14.95" thickBot="1" x14ac:dyDescent="0.3">
      <c r="A58" s="284" t="s">
        <v>674</v>
      </c>
      <c r="B58" s="91">
        <v>4</v>
      </c>
      <c r="C58" s="468">
        <v>0</v>
      </c>
      <c r="D58" s="427">
        <v>0</v>
      </c>
      <c r="E58" s="5">
        <f t="shared" si="9"/>
        <v>4</v>
      </c>
      <c r="F58" s="287" t="s">
        <v>996</v>
      </c>
      <c r="G58" s="92">
        <v>65</v>
      </c>
      <c r="H58" s="343">
        <v>8</v>
      </c>
      <c r="I58" s="429">
        <v>5</v>
      </c>
      <c r="J58" s="74">
        <f t="shared" si="10"/>
        <v>78</v>
      </c>
    </row>
    <row r="59" spans="1:10" ht="14.95" thickBot="1" x14ac:dyDescent="0.3">
      <c r="A59" s="284" t="s">
        <v>720</v>
      </c>
      <c r="B59" s="91">
        <v>4</v>
      </c>
      <c r="C59" s="468">
        <v>0</v>
      </c>
      <c r="D59" s="427">
        <v>0</v>
      </c>
      <c r="E59" s="5">
        <f t="shared" si="9"/>
        <v>4</v>
      </c>
      <c r="F59" s="287" t="s">
        <v>690</v>
      </c>
      <c r="G59" s="92">
        <v>39</v>
      </c>
      <c r="H59" s="343">
        <v>10</v>
      </c>
      <c r="I59" s="429">
        <v>10</v>
      </c>
      <c r="J59" s="74">
        <f t="shared" si="10"/>
        <v>59</v>
      </c>
    </row>
    <row r="60" spans="1:10" ht="14.95" thickBot="1" x14ac:dyDescent="0.3">
      <c r="A60" s="284" t="s">
        <v>43</v>
      </c>
      <c r="B60" s="91">
        <v>1</v>
      </c>
      <c r="C60" s="468">
        <v>0</v>
      </c>
      <c r="D60" s="427">
        <v>2</v>
      </c>
      <c r="E60" s="5">
        <f t="shared" si="9"/>
        <v>3</v>
      </c>
      <c r="F60" s="287" t="s">
        <v>691</v>
      </c>
      <c r="G60" s="92">
        <v>35</v>
      </c>
      <c r="H60" s="343">
        <v>0</v>
      </c>
      <c r="I60" s="429">
        <v>0</v>
      </c>
      <c r="J60" s="74">
        <f t="shared" si="10"/>
        <v>35</v>
      </c>
    </row>
    <row r="61" spans="1:10" ht="14.95" thickBot="1" x14ac:dyDescent="0.3">
      <c r="A61" s="284" t="s">
        <v>973</v>
      </c>
      <c r="B61" s="91">
        <v>2</v>
      </c>
      <c r="C61" s="468">
        <v>1</v>
      </c>
      <c r="D61" s="427">
        <v>0</v>
      </c>
      <c r="E61" s="5">
        <f t="shared" si="9"/>
        <v>3</v>
      </c>
      <c r="F61" s="287" t="s">
        <v>674</v>
      </c>
      <c r="G61" s="92">
        <v>20</v>
      </c>
      <c r="H61" s="343">
        <v>0</v>
      </c>
      <c r="I61" s="429">
        <v>0</v>
      </c>
      <c r="J61" s="74">
        <f t="shared" si="10"/>
        <v>20</v>
      </c>
    </row>
    <row r="62" spans="1:10" ht="14.95" thickBot="1" x14ac:dyDescent="0.3">
      <c r="A62" s="284" t="s">
        <v>48</v>
      </c>
      <c r="B62" s="91">
        <v>0</v>
      </c>
      <c r="C62" s="468">
        <v>0</v>
      </c>
      <c r="D62" s="427">
        <v>3</v>
      </c>
      <c r="E62" s="5">
        <f t="shared" si="9"/>
        <v>3</v>
      </c>
      <c r="F62" s="287" t="s">
        <v>720</v>
      </c>
      <c r="G62" s="92">
        <v>20</v>
      </c>
      <c r="H62" s="343">
        <v>0</v>
      </c>
      <c r="I62" s="429">
        <v>0</v>
      </c>
      <c r="J62" s="74">
        <f t="shared" si="10"/>
        <v>20</v>
      </c>
    </row>
    <row r="63" spans="1:10" ht="14.95" thickBot="1" x14ac:dyDescent="0.3">
      <c r="A63" s="284" t="s">
        <v>995</v>
      </c>
      <c r="B63" s="91">
        <v>2</v>
      </c>
      <c r="C63" s="468">
        <v>0</v>
      </c>
      <c r="D63" s="427">
        <v>1</v>
      </c>
      <c r="E63" s="5">
        <f t="shared" si="9"/>
        <v>3</v>
      </c>
      <c r="F63" s="287" t="s">
        <v>43</v>
      </c>
      <c r="G63" s="92">
        <v>5</v>
      </c>
      <c r="H63" s="343">
        <v>0</v>
      </c>
      <c r="I63" s="429">
        <v>10</v>
      </c>
      <c r="J63" s="74">
        <f t="shared" si="10"/>
        <v>15</v>
      </c>
    </row>
    <row r="64" spans="1:10" ht="14.95" thickBot="1" x14ac:dyDescent="0.3">
      <c r="A64" s="284" t="s">
        <v>693</v>
      </c>
      <c r="B64" s="91">
        <v>0</v>
      </c>
      <c r="C64" s="468">
        <v>0</v>
      </c>
      <c r="D64" s="427">
        <v>3</v>
      </c>
      <c r="E64" s="5">
        <f t="shared" si="9"/>
        <v>3</v>
      </c>
      <c r="F64" s="287" t="s">
        <v>973</v>
      </c>
      <c r="G64" s="92">
        <v>10</v>
      </c>
      <c r="H64" s="343">
        <v>5</v>
      </c>
      <c r="I64" s="429">
        <v>0</v>
      </c>
      <c r="J64" s="74">
        <f t="shared" si="10"/>
        <v>15</v>
      </c>
    </row>
    <row r="65" spans="1:10" ht="14.95" thickBot="1" x14ac:dyDescent="0.3">
      <c r="A65" s="284" t="s">
        <v>670</v>
      </c>
      <c r="B65" s="91">
        <v>2</v>
      </c>
      <c r="C65" s="468">
        <v>0</v>
      </c>
      <c r="D65" s="427">
        <v>0</v>
      </c>
      <c r="E65" s="5">
        <f t="shared" si="9"/>
        <v>2</v>
      </c>
      <c r="F65" s="287" t="s">
        <v>48</v>
      </c>
      <c r="G65" s="92">
        <v>0</v>
      </c>
      <c r="H65" s="343">
        <v>0</v>
      </c>
      <c r="I65" s="429">
        <v>15</v>
      </c>
      <c r="J65" s="74">
        <f t="shared" si="10"/>
        <v>15</v>
      </c>
    </row>
    <row r="66" spans="1:10" ht="14.95" thickBot="1" x14ac:dyDescent="0.3">
      <c r="A66" s="284" t="s">
        <v>12</v>
      </c>
      <c r="B66" s="91">
        <v>1</v>
      </c>
      <c r="C66" s="468">
        <v>1</v>
      </c>
      <c r="D66" s="427">
        <v>0</v>
      </c>
      <c r="E66" s="5">
        <f t="shared" si="9"/>
        <v>2</v>
      </c>
      <c r="F66" s="287" t="s">
        <v>995</v>
      </c>
      <c r="G66" s="92">
        <v>10</v>
      </c>
      <c r="H66" s="343">
        <v>0</v>
      </c>
      <c r="I66" s="429">
        <v>5</v>
      </c>
      <c r="J66" s="74">
        <f t="shared" si="10"/>
        <v>15</v>
      </c>
    </row>
    <row r="67" spans="1:10" ht="14.95" thickBot="1" x14ac:dyDescent="0.3">
      <c r="A67" s="284" t="s">
        <v>772</v>
      </c>
      <c r="B67" s="91">
        <v>2</v>
      </c>
      <c r="C67" s="468">
        <v>0</v>
      </c>
      <c r="D67" s="427">
        <v>0</v>
      </c>
      <c r="E67" s="5">
        <f t="shared" si="9"/>
        <v>2</v>
      </c>
      <c r="F67" s="287" t="s">
        <v>693</v>
      </c>
      <c r="G67" s="92">
        <v>0</v>
      </c>
      <c r="H67" s="343">
        <v>0</v>
      </c>
      <c r="I67" s="429">
        <v>15</v>
      </c>
      <c r="J67" s="74">
        <f t="shared" si="10"/>
        <v>15</v>
      </c>
    </row>
    <row r="68" spans="1:10" ht="14.95" thickBot="1" x14ac:dyDescent="0.3">
      <c r="A68" s="284" t="s">
        <v>791</v>
      </c>
      <c r="B68" s="91">
        <v>1</v>
      </c>
      <c r="C68" s="468">
        <v>1</v>
      </c>
      <c r="D68" s="427">
        <v>0</v>
      </c>
      <c r="E68" s="5">
        <f t="shared" si="9"/>
        <v>2</v>
      </c>
      <c r="F68" s="287" t="s">
        <v>6</v>
      </c>
      <c r="G68" s="92">
        <v>14</v>
      </c>
      <c r="H68" s="343">
        <v>0</v>
      </c>
      <c r="I68" s="429">
        <v>0</v>
      </c>
      <c r="J68" s="74">
        <f t="shared" si="10"/>
        <v>14</v>
      </c>
    </row>
    <row r="69" spans="1:10" ht="14.95" thickBot="1" x14ac:dyDescent="0.3">
      <c r="A69" s="284" t="s">
        <v>996</v>
      </c>
      <c r="B69" s="91">
        <v>1</v>
      </c>
      <c r="C69" s="468">
        <v>0</v>
      </c>
      <c r="D69" s="427">
        <v>1</v>
      </c>
      <c r="E69" s="5">
        <f t="shared" si="9"/>
        <v>2</v>
      </c>
      <c r="F69" s="287" t="s">
        <v>670</v>
      </c>
      <c r="G69" s="92">
        <v>10</v>
      </c>
      <c r="H69" s="343">
        <v>0</v>
      </c>
      <c r="I69" s="429">
        <v>0</v>
      </c>
      <c r="J69" s="74">
        <f t="shared" si="10"/>
        <v>10</v>
      </c>
    </row>
    <row r="70" spans="1:10" ht="14.95" thickBot="1" x14ac:dyDescent="0.3">
      <c r="A70" s="284" t="s">
        <v>690</v>
      </c>
      <c r="B70" s="91">
        <v>1</v>
      </c>
      <c r="C70" s="468">
        <v>1</v>
      </c>
      <c r="D70" s="427">
        <v>0</v>
      </c>
      <c r="E70" s="5">
        <f t="shared" si="9"/>
        <v>2</v>
      </c>
      <c r="F70" s="287" t="s">
        <v>12</v>
      </c>
      <c r="G70" s="92">
        <v>5</v>
      </c>
      <c r="H70" s="343">
        <v>5</v>
      </c>
      <c r="I70" s="429">
        <v>0</v>
      </c>
      <c r="J70" s="74">
        <f t="shared" si="10"/>
        <v>10</v>
      </c>
    </row>
    <row r="71" spans="1:10" ht="14.95" thickBot="1" x14ac:dyDescent="0.3">
      <c r="A71" s="284" t="s">
        <v>718</v>
      </c>
      <c r="B71" s="91">
        <v>0</v>
      </c>
      <c r="C71" s="468">
        <v>1</v>
      </c>
      <c r="D71" s="427">
        <v>1</v>
      </c>
      <c r="E71" s="5">
        <f t="shared" si="9"/>
        <v>2</v>
      </c>
      <c r="F71" s="287" t="s">
        <v>772</v>
      </c>
      <c r="G71" s="92">
        <v>10</v>
      </c>
      <c r="H71" s="343">
        <v>0</v>
      </c>
      <c r="I71" s="429">
        <v>0</v>
      </c>
      <c r="J71" s="74">
        <f t="shared" si="10"/>
        <v>10</v>
      </c>
    </row>
    <row r="72" spans="1:10" ht="14.95" thickBot="1" x14ac:dyDescent="0.3">
      <c r="A72" s="284" t="s">
        <v>6</v>
      </c>
      <c r="B72" s="91">
        <v>2</v>
      </c>
      <c r="C72" s="468">
        <v>0</v>
      </c>
      <c r="D72" s="427">
        <v>0</v>
      </c>
      <c r="E72" s="5">
        <f t="shared" si="9"/>
        <v>2</v>
      </c>
      <c r="F72" s="287" t="s">
        <v>791</v>
      </c>
      <c r="G72" s="92">
        <v>5</v>
      </c>
      <c r="H72" s="343">
        <v>5</v>
      </c>
      <c r="I72" s="429">
        <v>0</v>
      </c>
      <c r="J72" s="74">
        <f t="shared" si="10"/>
        <v>10</v>
      </c>
    </row>
    <row r="73" spans="1:10" ht="14.95" thickBot="1" x14ac:dyDescent="0.3">
      <c r="A73" s="284" t="s">
        <v>686</v>
      </c>
      <c r="B73" s="91">
        <v>2</v>
      </c>
      <c r="C73" s="468">
        <v>0</v>
      </c>
      <c r="D73" s="427">
        <v>0</v>
      </c>
      <c r="E73" s="5">
        <f t="shared" si="9"/>
        <v>2</v>
      </c>
      <c r="F73" s="287" t="s">
        <v>718</v>
      </c>
      <c r="G73" s="92">
        <v>0</v>
      </c>
      <c r="H73" s="343">
        <v>5</v>
      </c>
      <c r="I73" s="429">
        <v>5</v>
      </c>
      <c r="J73" s="74">
        <f t="shared" si="10"/>
        <v>10</v>
      </c>
    </row>
    <row r="74" spans="1:10" ht="14.95" thickBot="1" x14ac:dyDescent="0.3">
      <c r="A74" s="284" t="s">
        <v>811</v>
      </c>
      <c r="B74" s="91">
        <v>2</v>
      </c>
      <c r="C74" s="468">
        <v>0</v>
      </c>
      <c r="D74" s="427">
        <v>0</v>
      </c>
      <c r="E74" s="5">
        <f t="shared" si="9"/>
        <v>2</v>
      </c>
      <c r="F74" s="287" t="s">
        <v>686</v>
      </c>
      <c r="G74" s="92">
        <v>10</v>
      </c>
      <c r="H74" s="343">
        <v>0</v>
      </c>
      <c r="I74" s="429">
        <v>0</v>
      </c>
      <c r="J74" s="74">
        <f t="shared" si="10"/>
        <v>10</v>
      </c>
    </row>
    <row r="75" spans="1:10" ht="14.95" thickBot="1" x14ac:dyDescent="0.3">
      <c r="A75" s="284" t="s">
        <v>737</v>
      </c>
      <c r="B75" s="91">
        <v>0</v>
      </c>
      <c r="C75" s="468">
        <v>1</v>
      </c>
      <c r="D75" s="427">
        <v>1</v>
      </c>
      <c r="E75" s="5">
        <f t="shared" si="9"/>
        <v>2</v>
      </c>
      <c r="F75" s="287" t="s">
        <v>812</v>
      </c>
      <c r="G75" s="92">
        <v>10</v>
      </c>
      <c r="H75" s="343">
        <v>0</v>
      </c>
      <c r="I75" s="429">
        <v>0</v>
      </c>
      <c r="J75" s="74">
        <f t="shared" si="10"/>
        <v>10</v>
      </c>
    </row>
    <row r="76" spans="1:10" ht="14.95" thickBot="1" x14ac:dyDescent="0.3">
      <c r="A76" s="284" t="s">
        <v>261</v>
      </c>
      <c r="B76" s="91">
        <v>0</v>
      </c>
      <c r="C76" s="468">
        <v>1</v>
      </c>
      <c r="D76" s="427">
        <v>1</v>
      </c>
      <c r="E76" s="5">
        <f t="shared" si="9"/>
        <v>2</v>
      </c>
      <c r="F76" s="287" t="s">
        <v>737</v>
      </c>
      <c r="G76" s="92">
        <v>0</v>
      </c>
      <c r="H76" s="343">
        <v>5</v>
      </c>
      <c r="I76" s="429">
        <v>5</v>
      </c>
      <c r="J76" s="74">
        <f t="shared" si="10"/>
        <v>10</v>
      </c>
    </row>
    <row r="77" spans="1:10" ht="14.95" thickBot="1" x14ac:dyDescent="0.3">
      <c r="A77" s="284" t="s">
        <v>744</v>
      </c>
      <c r="B77" s="91">
        <v>0</v>
      </c>
      <c r="C77" s="468">
        <v>0</v>
      </c>
      <c r="D77" s="427">
        <v>1</v>
      </c>
      <c r="E77" s="5">
        <f t="shared" si="9"/>
        <v>1</v>
      </c>
      <c r="F77" s="287" t="s">
        <v>261</v>
      </c>
      <c r="G77" s="92">
        <v>0</v>
      </c>
      <c r="H77" s="343">
        <v>5</v>
      </c>
      <c r="I77" s="429">
        <v>5</v>
      </c>
      <c r="J77" s="74">
        <f t="shared" si="10"/>
        <v>10</v>
      </c>
    </row>
    <row r="78" spans="1:10" ht="14.95" thickBot="1" x14ac:dyDescent="0.3">
      <c r="A78" s="284" t="s">
        <v>956</v>
      </c>
      <c r="B78" s="91">
        <v>0</v>
      </c>
      <c r="C78" s="468">
        <v>1</v>
      </c>
      <c r="D78" s="427">
        <v>0</v>
      </c>
      <c r="E78" s="5">
        <f t="shared" si="9"/>
        <v>1</v>
      </c>
      <c r="F78" s="287" t="s">
        <v>744</v>
      </c>
      <c r="G78" s="92">
        <v>0</v>
      </c>
      <c r="H78" s="343">
        <v>0</v>
      </c>
      <c r="I78" s="429">
        <v>5</v>
      </c>
      <c r="J78" s="74">
        <f t="shared" si="10"/>
        <v>5</v>
      </c>
    </row>
    <row r="79" spans="1:10" ht="14.95" thickBot="1" x14ac:dyDescent="0.3">
      <c r="A79" s="284" t="s">
        <v>677</v>
      </c>
      <c r="B79" s="91">
        <v>1</v>
      </c>
      <c r="C79" s="468">
        <v>0</v>
      </c>
      <c r="D79" s="427">
        <v>0</v>
      </c>
      <c r="E79" s="5">
        <f t="shared" si="9"/>
        <v>1</v>
      </c>
      <c r="F79" s="287" t="s">
        <v>956</v>
      </c>
      <c r="G79" s="92">
        <v>0</v>
      </c>
      <c r="H79" s="343">
        <v>5</v>
      </c>
      <c r="I79" s="429">
        <v>0</v>
      </c>
      <c r="J79" s="74">
        <f t="shared" si="10"/>
        <v>5</v>
      </c>
    </row>
    <row r="80" spans="1:10" ht="14.95" thickBot="1" x14ac:dyDescent="0.3">
      <c r="A80" s="284" t="s">
        <v>689</v>
      </c>
      <c r="B80" s="91">
        <v>1</v>
      </c>
      <c r="C80" s="468">
        <v>0</v>
      </c>
      <c r="D80" s="427">
        <v>0</v>
      </c>
      <c r="E80" s="5">
        <f t="shared" si="9"/>
        <v>1</v>
      </c>
      <c r="F80" s="287" t="s">
        <v>677</v>
      </c>
      <c r="G80" s="92">
        <v>5</v>
      </c>
      <c r="H80" s="343">
        <v>0</v>
      </c>
      <c r="I80" s="429">
        <v>0</v>
      </c>
      <c r="J80" s="74">
        <f t="shared" si="10"/>
        <v>5</v>
      </c>
    </row>
    <row r="81" spans="1:10" ht="14.95" thickBot="1" x14ac:dyDescent="0.3">
      <c r="A81" s="284" t="s">
        <v>678</v>
      </c>
      <c r="B81" s="91">
        <v>1</v>
      </c>
      <c r="C81" s="468">
        <v>0</v>
      </c>
      <c r="D81" s="427">
        <v>0</v>
      </c>
      <c r="E81" s="5">
        <f t="shared" si="9"/>
        <v>1</v>
      </c>
      <c r="F81" s="287" t="s">
        <v>678</v>
      </c>
      <c r="G81" s="92">
        <v>5</v>
      </c>
      <c r="H81" s="343">
        <v>0</v>
      </c>
      <c r="I81" s="429">
        <v>0</v>
      </c>
      <c r="J81" s="74">
        <f t="shared" si="10"/>
        <v>5</v>
      </c>
    </row>
    <row r="82" spans="1:10" ht="14.95" thickBot="1" x14ac:dyDescent="0.3">
      <c r="A82" s="284" t="s">
        <v>963</v>
      </c>
      <c r="B82" s="91">
        <v>1</v>
      </c>
      <c r="C82" s="468">
        <v>0</v>
      </c>
      <c r="D82" s="427">
        <v>0</v>
      </c>
      <c r="E82" s="5">
        <f t="shared" si="9"/>
        <v>1</v>
      </c>
      <c r="F82" s="287" t="s">
        <v>963</v>
      </c>
      <c r="G82" s="92">
        <v>5</v>
      </c>
      <c r="H82" s="343">
        <v>0</v>
      </c>
      <c r="I82" s="429">
        <v>0</v>
      </c>
      <c r="J82" s="74">
        <f t="shared" si="10"/>
        <v>5</v>
      </c>
    </row>
    <row r="83" spans="1:10" ht="14.95" customHeight="1" thickBot="1" x14ac:dyDescent="0.3">
      <c r="A83" s="284" t="s">
        <v>727</v>
      </c>
      <c r="B83" s="91">
        <v>0</v>
      </c>
      <c r="C83" s="468">
        <v>0</v>
      </c>
      <c r="D83" s="427">
        <v>1</v>
      </c>
      <c r="E83" s="5">
        <f t="shared" si="9"/>
        <v>1</v>
      </c>
      <c r="F83" s="287" t="s">
        <v>727</v>
      </c>
      <c r="G83" s="92">
        <v>0</v>
      </c>
      <c r="H83" s="343">
        <v>0</v>
      </c>
      <c r="I83" s="429">
        <v>5</v>
      </c>
      <c r="J83" s="74">
        <f t="shared" si="10"/>
        <v>5</v>
      </c>
    </row>
    <row r="84" spans="1:10" ht="14.95" thickBot="1" x14ac:dyDescent="0.3">
      <c r="A84" s="284" t="s">
        <v>874</v>
      </c>
      <c r="B84" s="91">
        <v>0</v>
      </c>
      <c r="C84" s="468">
        <v>0</v>
      </c>
      <c r="D84" s="427">
        <v>1</v>
      </c>
      <c r="E84" s="5">
        <f t="shared" si="9"/>
        <v>1</v>
      </c>
      <c r="F84" s="287" t="s">
        <v>874</v>
      </c>
      <c r="G84" s="92">
        <v>0</v>
      </c>
      <c r="H84" s="343">
        <v>0</v>
      </c>
      <c r="I84" s="429">
        <v>5</v>
      </c>
      <c r="J84" s="74">
        <f t="shared" si="10"/>
        <v>5</v>
      </c>
    </row>
    <row r="85" spans="1:10" ht="14.95" customHeight="1" thickBot="1" x14ac:dyDescent="0.3">
      <c r="A85" s="284" t="s">
        <v>966</v>
      </c>
      <c r="B85" s="91">
        <v>0</v>
      </c>
      <c r="C85" s="468">
        <v>1</v>
      </c>
      <c r="D85" s="427">
        <v>0</v>
      </c>
      <c r="E85" s="5">
        <f t="shared" si="9"/>
        <v>1</v>
      </c>
      <c r="F85" s="287" t="s">
        <v>966</v>
      </c>
      <c r="G85" s="92">
        <v>0</v>
      </c>
      <c r="H85" s="343">
        <v>5</v>
      </c>
      <c r="I85" s="429">
        <v>0</v>
      </c>
      <c r="J85" s="74">
        <f t="shared" si="10"/>
        <v>5</v>
      </c>
    </row>
    <row r="86" spans="1:10" ht="14.95" thickBot="1" x14ac:dyDescent="0.3">
      <c r="A86" s="284" t="s">
        <v>968</v>
      </c>
      <c r="B86" s="91">
        <v>0</v>
      </c>
      <c r="C86" s="468">
        <v>0</v>
      </c>
      <c r="D86" s="427">
        <v>1</v>
      </c>
      <c r="E86" s="5">
        <f t="shared" si="9"/>
        <v>1</v>
      </c>
      <c r="F86" s="287" t="s">
        <v>968</v>
      </c>
      <c r="G86" s="92">
        <v>0</v>
      </c>
      <c r="H86" s="343">
        <v>0</v>
      </c>
      <c r="I86" s="429">
        <v>5</v>
      </c>
      <c r="J86" s="74">
        <f t="shared" si="10"/>
        <v>5</v>
      </c>
    </row>
    <row r="87" spans="1:10" ht="14.95" customHeight="1" thickBot="1" x14ac:dyDescent="0.3">
      <c r="A87" s="284" t="s">
        <v>457</v>
      </c>
      <c r="B87" s="91">
        <v>1</v>
      </c>
      <c r="C87" s="468">
        <v>0</v>
      </c>
      <c r="D87" s="427">
        <v>0</v>
      </c>
      <c r="E87" s="5">
        <f t="shared" si="9"/>
        <v>1</v>
      </c>
      <c r="F87" s="287" t="s">
        <v>457</v>
      </c>
      <c r="G87" s="92">
        <v>5</v>
      </c>
      <c r="H87" s="343">
        <v>0</v>
      </c>
      <c r="I87" s="429">
        <v>0</v>
      </c>
      <c r="J87" s="74">
        <f t="shared" si="10"/>
        <v>5</v>
      </c>
    </row>
    <row r="88" spans="1:10" ht="14.95" thickBot="1" x14ac:dyDescent="0.3">
      <c r="A88" s="284" t="s">
        <v>92</v>
      </c>
      <c r="B88" s="91">
        <v>1</v>
      </c>
      <c r="C88" s="468">
        <v>0</v>
      </c>
      <c r="D88" s="427">
        <v>0</v>
      </c>
      <c r="E88" s="5">
        <f t="shared" ref="E88:E104" si="11">SUM(B88:D88)</f>
        <v>1</v>
      </c>
      <c r="F88" s="287" t="s">
        <v>92</v>
      </c>
      <c r="G88" s="92">
        <v>5</v>
      </c>
      <c r="H88" s="343">
        <v>0</v>
      </c>
      <c r="I88" s="429">
        <v>0</v>
      </c>
      <c r="J88" s="74">
        <f t="shared" ref="J88:J104" si="12">SUM(G88:I88)</f>
        <v>5</v>
      </c>
    </row>
    <row r="89" spans="1:10" ht="14.95" customHeight="1" thickBot="1" x14ac:dyDescent="0.3">
      <c r="A89" s="284" t="s">
        <v>760</v>
      </c>
      <c r="B89" s="91">
        <v>1</v>
      </c>
      <c r="C89" s="468">
        <v>0</v>
      </c>
      <c r="D89" s="427">
        <v>0</v>
      </c>
      <c r="E89" s="5">
        <f t="shared" si="11"/>
        <v>1</v>
      </c>
      <c r="F89" s="287" t="s">
        <v>760</v>
      </c>
      <c r="G89" s="92">
        <v>5</v>
      </c>
      <c r="H89" s="343">
        <v>0</v>
      </c>
      <c r="I89" s="429">
        <v>0</v>
      </c>
      <c r="J89" s="74">
        <f t="shared" si="12"/>
        <v>5</v>
      </c>
    </row>
    <row r="90" spans="1:10" ht="14.95" thickBot="1" x14ac:dyDescent="0.3">
      <c r="A90" s="284" t="s">
        <v>684</v>
      </c>
      <c r="B90" s="91">
        <v>1</v>
      </c>
      <c r="C90" s="468">
        <v>0</v>
      </c>
      <c r="D90" s="427">
        <v>0</v>
      </c>
      <c r="E90" s="5">
        <f t="shared" si="11"/>
        <v>1</v>
      </c>
      <c r="F90" s="287" t="s">
        <v>684</v>
      </c>
      <c r="G90" s="92">
        <v>5</v>
      </c>
      <c r="H90" s="343">
        <v>0</v>
      </c>
      <c r="I90" s="429">
        <v>0</v>
      </c>
      <c r="J90" s="74">
        <f t="shared" si="12"/>
        <v>5</v>
      </c>
    </row>
    <row r="91" spans="1:10" ht="14.95" thickBot="1" x14ac:dyDescent="0.3">
      <c r="A91" s="284" t="s">
        <v>154</v>
      </c>
      <c r="B91" s="91">
        <v>0</v>
      </c>
      <c r="C91" s="468">
        <v>1</v>
      </c>
      <c r="D91" s="427">
        <v>0</v>
      </c>
      <c r="E91" s="5">
        <f t="shared" si="11"/>
        <v>1</v>
      </c>
      <c r="F91" s="287" t="s">
        <v>154</v>
      </c>
      <c r="G91" s="92">
        <v>0</v>
      </c>
      <c r="H91" s="343">
        <v>5</v>
      </c>
      <c r="I91" s="429">
        <v>0</v>
      </c>
      <c r="J91" s="74">
        <f t="shared" si="12"/>
        <v>5</v>
      </c>
    </row>
    <row r="92" spans="1:10" ht="14.95" thickBot="1" x14ac:dyDescent="0.3">
      <c r="A92" s="284" t="s">
        <v>1214</v>
      </c>
      <c r="B92" s="91">
        <v>0</v>
      </c>
      <c r="C92" s="468">
        <v>0</v>
      </c>
      <c r="D92" s="427">
        <v>1</v>
      </c>
      <c r="E92" s="5">
        <f t="shared" si="11"/>
        <v>1</v>
      </c>
      <c r="F92" s="287" t="s">
        <v>1214</v>
      </c>
      <c r="G92" s="92">
        <v>0</v>
      </c>
      <c r="H92" s="343">
        <v>0</v>
      </c>
      <c r="I92" s="429">
        <v>5</v>
      </c>
      <c r="J92" s="74">
        <f t="shared" si="12"/>
        <v>5</v>
      </c>
    </row>
    <row r="93" spans="1:10" ht="14.95" thickBot="1" x14ac:dyDescent="0.3">
      <c r="A93" s="284" t="s">
        <v>672</v>
      </c>
      <c r="B93" s="91">
        <v>0</v>
      </c>
      <c r="C93" s="468">
        <v>0</v>
      </c>
      <c r="D93" s="427">
        <v>0</v>
      </c>
      <c r="E93" s="5">
        <f t="shared" si="11"/>
        <v>0</v>
      </c>
      <c r="F93" s="287" t="s">
        <v>672</v>
      </c>
      <c r="G93" s="92">
        <v>0</v>
      </c>
      <c r="H93" s="343">
        <v>0</v>
      </c>
      <c r="I93" s="429">
        <v>0</v>
      </c>
      <c r="J93" s="74">
        <f t="shared" si="12"/>
        <v>0</v>
      </c>
    </row>
    <row r="94" spans="1:10" ht="14.95" thickBot="1" x14ac:dyDescent="0.3">
      <c r="A94" s="284" t="s">
        <v>959</v>
      </c>
      <c r="B94" s="91">
        <v>0</v>
      </c>
      <c r="C94" s="468">
        <v>0</v>
      </c>
      <c r="D94" s="427">
        <v>0</v>
      </c>
      <c r="E94" s="5">
        <f t="shared" si="11"/>
        <v>0</v>
      </c>
      <c r="F94" s="287" t="s">
        <v>959</v>
      </c>
      <c r="G94" s="92">
        <v>0</v>
      </c>
      <c r="H94" s="343">
        <v>0</v>
      </c>
      <c r="I94" s="429">
        <v>0</v>
      </c>
      <c r="J94" s="74">
        <f t="shared" si="12"/>
        <v>0</v>
      </c>
    </row>
    <row r="95" spans="1:10" ht="14.95" thickBot="1" x14ac:dyDescent="0.3">
      <c r="A95" s="284" t="s">
        <v>961</v>
      </c>
      <c r="B95" s="91">
        <v>0</v>
      </c>
      <c r="C95" s="468">
        <v>0</v>
      </c>
      <c r="D95" s="427">
        <v>0</v>
      </c>
      <c r="E95" s="5">
        <f t="shared" si="11"/>
        <v>0</v>
      </c>
      <c r="F95" s="287" t="s">
        <v>961</v>
      </c>
      <c r="G95" s="92">
        <v>0</v>
      </c>
      <c r="H95" s="343">
        <v>0</v>
      </c>
      <c r="I95" s="429">
        <v>0</v>
      </c>
      <c r="J95" s="74">
        <f t="shared" si="12"/>
        <v>0</v>
      </c>
    </row>
    <row r="96" spans="1:10" ht="14.95" thickBot="1" x14ac:dyDescent="0.3">
      <c r="A96" s="284" t="s">
        <v>735</v>
      </c>
      <c r="B96" s="91">
        <v>0</v>
      </c>
      <c r="C96" s="468">
        <v>0</v>
      </c>
      <c r="D96" s="427">
        <v>0</v>
      </c>
      <c r="E96" s="5">
        <f t="shared" si="11"/>
        <v>0</v>
      </c>
      <c r="F96" s="287" t="s">
        <v>735</v>
      </c>
      <c r="G96" s="92">
        <v>0</v>
      </c>
      <c r="H96" s="343">
        <v>0</v>
      </c>
      <c r="I96" s="429">
        <v>0</v>
      </c>
      <c r="J96" s="74">
        <f t="shared" si="12"/>
        <v>0</v>
      </c>
    </row>
    <row r="97" spans="1:10" ht="14.95" thickBot="1" x14ac:dyDescent="0.3">
      <c r="A97" s="284" t="s">
        <v>970</v>
      </c>
      <c r="B97" s="91">
        <v>0</v>
      </c>
      <c r="C97" s="468">
        <v>0</v>
      </c>
      <c r="D97" s="427">
        <v>0</v>
      </c>
      <c r="E97" s="5">
        <f t="shared" si="11"/>
        <v>0</v>
      </c>
      <c r="F97" s="287" t="s">
        <v>970</v>
      </c>
      <c r="G97" s="92">
        <v>0</v>
      </c>
      <c r="H97" s="343">
        <v>0</v>
      </c>
      <c r="I97" s="429">
        <v>0</v>
      </c>
      <c r="J97" s="74">
        <f t="shared" si="12"/>
        <v>0</v>
      </c>
    </row>
    <row r="98" spans="1:10" ht="14.95" thickBot="1" x14ac:dyDescent="0.3">
      <c r="A98" s="284" t="s">
        <v>682</v>
      </c>
      <c r="B98" s="91">
        <v>0</v>
      </c>
      <c r="C98" s="468">
        <v>0</v>
      </c>
      <c r="D98" s="427">
        <v>0</v>
      </c>
      <c r="E98" s="5">
        <f t="shared" si="11"/>
        <v>0</v>
      </c>
      <c r="F98" s="287" t="s">
        <v>682</v>
      </c>
      <c r="G98" s="92">
        <v>0</v>
      </c>
      <c r="H98" s="343">
        <v>0</v>
      </c>
      <c r="I98" s="429">
        <v>0</v>
      </c>
      <c r="J98" s="74">
        <f t="shared" si="12"/>
        <v>0</v>
      </c>
    </row>
    <row r="99" spans="1:10" ht="14.95" thickBot="1" x14ac:dyDescent="0.3">
      <c r="A99" s="284" t="s">
        <v>529</v>
      </c>
      <c r="B99" s="91">
        <v>0</v>
      </c>
      <c r="C99" s="468">
        <v>0</v>
      </c>
      <c r="D99" s="427">
        <v>0</v>
      </c>
      <c r="E99" s="5">
        <f t="shared" si="11"/>
        <v>0</v>
      </c>
      <c r="F99" s="287" t="s">
        <v>529</v>
      </c>
      <c r="G99" s="92">
        <v>0</v>
      </c>
      <c r="H99" s="343">
        <v>0</v>
      </c>
      <c r="I99" s="429">
        <v>0</v>
      </c>
      <c r="J99" s="74">
        <f t="shared" si="12"/>
        <v>0</v>
      </c>
    </row>
    <row r="100" spans="1:10" ht="14.95" thickBot="1" x14ac:dyDescent="0.3">
      <c r="A100" s="284" t="s">
        <v>704</v>
      </c>
      <c r="B100" s="91">
        <v>0</v>
      </c>
      <c r="C100" s="468">
        <v>0</v>
      </c>
      <c r="D100" s="427">
        <v>0</v>
      </c>
      <c r="E100" s="5">
        <f t="shared" si="11"/>
        <v>0</v>
      </c>
      <c r="F100" s="287" t="s">
        <v>704</v>
      </c>
      <c r="G100" s="92">
        <v>0</v>
      </c>
      <c r="H100" s="343">
        <v>0</v>
      </c>
      <c r="I100" s="429">
        <v>0</v>
      </c>
      <c r="J100" s="74">
        <f t="shared" si="12"/>
        <v>0</v>
      </c>
    </row>
    <row r="101" spans="1:10" ht="14.95" thickBot="1" x14ac:dyDescent="0.3">
      <c r="A101" s="284" t="s">
        <v>688</v>
      </c>
      <c r="B101" s="91">
        <v>0</v>
      </c>
      <c r="C101" s="468">
        <v>0</v>
      </c>
      <c r="D101" s="427">
        <v>0</v>
      </c>
      <c r="E101" s="5">
        <f t="shared" si="11"/>
        <v>0</v>
      </c>
      <c r="F101" s="287" t="s">
        <v>688</v>
      </c>
      <c r="G101" s="92">
        <v>0</v>
      </c>
      <c r="H101" s="343">
        <v>0</v>
      </c>
      <c r="I101" s="429">
        <v>0</v>
      </c>
      <c r="J101" s="74">
        <f t="shared" si="12"/>
        <v>0</v>
      </c>
    </row>
    <row r="102" spans="1:10" ht="14.95" thickBot="1" x14ac:dyDescent="0.3">
      <c r="A102" s="284" t="s">
        <v>696</v>
      </c>
      <c r="B102" s="91">
        <v>0</v>
      </c>
      <c r="C102" s="468">
        <v>0</v>
      </c>
      <c r="D102" s="427">
        <v>0</v>
      </c>
      <c r="E102" s="5">
        <f t="shared" si="11"/>
        <v>0</v>
      </c>
      <c r="F102" s="287" t="s">
        <v>696</v>
      </c>
      <c r="G102" s="92">
        <v>0</v>
      </c>
      <c r="H102" s="343">
        <v>0</v>
      </c>
      <c r="I102" s="429">
        <v>0</v>
      </c>
      <c r="J102" s="74">
        <f t="shared" si="12"/>
        <v>0</v>
      </c>
    </row>
    <row r="103" spans="1:10" ht="14.95" customHeight="1" thickBot="1" x14ac:dyDescent="0.3">
      <c r="A103" s="284" t="s">
        <v>698</v>
      </c>
      <c r="B103" s="91">
        <v>0</v>
      </c>
      <c r="C103" s="468">
        <v>0</v>
      </c>
      <c r="D103" s="427">
        <v>0</v>
      </c>
      <c r="E103" s="5">
        <f t="shared" si="11"/>
        <v>0</v>
      </c>
      <c r="F103" s="287" t="s">
        <v>698</v>
      </c>
      <c r="G103" s="92">
        <v>0</v>
      </c>
      <c r="H103" s="343">
        <v>0</v>
      </c>
      <c r="I103" s="429">
        <v>0</v>
      </c>
      <c r="J103" s="74">
        <f t="shared" si="12"/>
        <v>0</v>
      </c>
    </row>
    <row r="104" spans="1:10" ht="14.95" thickBot="1" x14ac:dyDescent="0.3">
      <c r="A104" s="284" t="s">
        <v>53</v>
      </c>
      <c r="B104" s="91">
        <v>0</v>
      </c>
      <c r="C104" s="468">
        <v>0</v>
      </c>
      <c r="D104" s="427">
        <v>0</v>
      </c>
      <c r="E104" s="5">
        <f t="shared" si="11"/>
        <v>0</v>
      </c>
      <c r="F104" s="287" t="s">
        <v>53</v>
      </c>
      <c r="G104" s="92">
        <v>0</v>
      </c>
      <c r="H104" s="343">
        <v>0</v>
      </c>
      <c r="I104" s="429">
        <v>0</v>
      </c>
      <c r="J104" s="74">
        <f t="shared" si="12"/>
        <v>0</v>
      </c>
    </row>
    <row r="105" spans="1:10" ht="14.95" customHeight="1" thickBot="1" x14ac:dyDescent="0.3">
      <c r="A105" s="284" t="s">
        <v>3</v>
      </c>
      <c r="B105" s="91">
        <f>SUM(B56:B104)</f>
        <v>57</v>
      </c>
      <c r="C105" s="468">
        <f>SUM(C56:C104)</f>
        <v>12</v>
      </c>
      <c r="D105" s="427">
        <f>SUM(D56:D104)</f>
        <v>19</v>
      </c>
      <c r="E105" s="5">
        <f t="shared" ref="E105" si="13">SUM(B105:D105)</f>
        <v>88</v>
      </c>
      <c r="F105" s="286" t="s">
        <v>3</v>
      </c>
      <c r="G105" s="92">
        <f>SUM(G56:G104)</f>
        <v>436</v>
      </c>
      <c r="H105" s="343">
        <f>SUM(H56:H104)</f>
        <v>90</v>
      </c>
      <c r="I105" s="429">
        <f>SUM(I56:I104)</f>
        <v>116</v>
      </c>
      <c r="J105" s="74">
        <f t="shared" ref="J105" si="14">SUM(G105:I105)</f>
        <v>642</v>
      </c>
    </row>
    <row r="106" spans="1:10" x14ac:dyDescent="0.25">
      <c r="A106" s="532" t="s">
        <v>81</v>
      </c>
      <c r="B106" s="519"/>
      <c r="C106" s="519"/>
      <c r="D106" s="519"/>
      <c r="E106" s="519"/>
      <c r="F106" s="519"/>
      <c r="G106" s="519"/>
      <c r="H106" s="519"/>
    </row>
  </sheetData>
  <sortState xmlns:xlrd2="http://schemas.microsoft.com/office/spreadsheetml/2017/richdata2" ref="F56:J104">
    <sortCondition descending="1" ref="J56:J104"/>
  </sortState>
  <mergeCells count="45">
    <mergeCell ref="O1:Q2"/>
    <mergeCell ref="L11:N12"/>
    <mergeCell ref="U11:W12"/>
    <mergeCell ref="A1:J1"/>
    <mergeCell ref="AC26:AE27"/>
    <mergeCell ref="R1:S2"/>
    <mergeCell ref="K11:K12"/>
    <mergeCell ref="K1:K2"/>
    <mergeCell ref="L1:N2"/>
    <mergeCell ref="W1:Y2"/>
    <mergeCell ref="U26:W27"/>
    <mergeCell ref="T1:V2"/>
    <mergeCell ref="O11:Q12"/>
    <mergeCell ref="R11:T12"/>
    <mergeCell ref="O26:Q27"/>
    <mergeCell ref="R26:T27"/>
    <mergeCell ref="AU1:AW2"/>
    <mergeCell ref="AL1:AN2"/>
    <mergeCell ref="AL11:AN12"/>
    <mergeCell ref="AO11:AQ12"/>
    <mergeCell ref="AC1:AE2"/>
    <mergeCell ref="AF11:AH12"/>
    <mergeCell ref="AF1:AH2"/>
    <mergeCell ref="AI1:AK2"/>
    <mergeCell ref="AI11:AK12"/>
    <mergeCell ref="AR1:AT2"/>
    <mergeCell ref="AO1:AQ2"/>
    <mergeCell ref="AC11:AE12"/>
    <mergeCell ref="K19:K20"/>
    <mergeCell ref="L19:N20"/>
    <mergeCell ref="O19:Q20"/>
    <mergeCell ref="R19:T20"/>
    <mergeCell ref="AO19:AQ20"/>
    <mergeCell ref="AC19:AE20"/>
    <mergeCell ref="AF19:AH20"/>
    <mergeCell ref="AI19:AK20"/>
    <mergeCell ref="AL19:AN20"/>
    <mergeCell ref="U19:W20"/>
    <mergeCell ref="A106:H106"/>
    <mergeCell ref="AF26:AH27"/>
    <mergeCell ref="AI26:AK27"/>
    <mergeCell ref="AO26:AQ27"/>
    <mergeCell ref="AL26:AN27"/>
    <mergeCell ref="K26:K27"/>
    <mergeCell ref="L26:N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F87"/>
  <sheetViews>
    <sheetView tabSelected="1" topLeftCell="A24" zoomScaleNormal="100" workbookViewId="0">
      <selection activeCell="M35" sqref="M35"/>
    </sheetView>
  </sheetViews>
  <sheetFormatPr defaultColWidth="8.875" defaultRowHeight="14.3" x14ac:dyDescent="0.25"/>
  <cols>
    <col min="1" max="1" width="16.375" customWidth="1"/>
    <col min="2" max="2" width="3.75" customWidth="1"/>
    <col min="3" max="5" width="4.125" customWidth="1"/>
    <col min="6" max="6" width="4.75" customWidth="1"/>
    <col min="7" max="7" width="16.375" customWidth="1"/>
    <col min="8" max="12" width="5.25" customWidth="1"/>
    <col min="13" max="13" width="16.75" customWidth="1"/>
    <col min="14" max="19" width="5.375" customWidth="1"/>
    <col min="20" max="51" width="5.75" customWidth="1"/>
  </cols>
  <sheetData>
    <row r="1" spans="1:58" ht="14.95" customHeight="1" thickBot="1" x14ac:dyDescent="0.3">
      <c r="A1" s="595" t="s">
        <v>849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7"/>
      <c r="M1" s="540" t="s">
        <v>509</v>
      </c>
      <c r="N1" s="526" t="s">
        <v>29</v>
      </c>
      <c r="O1" s="527"/>
      <c r="P1" s="528"/>
      <c r="Q1" s="526" t="s">
        <v>93</v>
      </c>
      <c r="R1" s="527"/>
      <c r="S1" s="528"/>
      <c r="T1" s="526" t="s">
        <v>508</v>
      </c>
      <c r="U1" s="528"/>
      <c r="V1" s="520" t="s">
        <v>634</v>
      </c>
      <c r="W1" s="521"/>
      <c r="X1" s="522"/>
      <c r="Y1" s="520" t="s">
        <v>863</v>
      </c>
      <c r="Z1" s="521"/>
      <c r="AA1" s="522"/>
      <c r="AB1" s="325"/>
      <c r="AC1" s="214"/>
      <c r="AD1" s="326"/>
      <c r="AE1" s="520" t="s">
        <v>621</v>
      </c>
      <c r="AF1" s="521"/>
      <c r="AG1" s="522"/>
      <c r="AH1" s="520" t="s">
        <v>448</v>
      </c>
      <c r="AI1" s="521"/>
      <c r="AJ1" s="522"/>
      <c r="AK1" s="520" t="s">
        <v>178</v>
      </c>
      <c r="AL1" s="521"/>
      <c r="AM1" s="522"/>
      <c r="AN1" s="520" t="s">
        <v>122</v>
      </c>
      <c r="AO1" s="521"/>
      <c r="AP1" s="522"/>
      <c r="AQ1" s="520" t="s">
        <v>113</v>
      </c>
      <c r="AR1" s="521"/>
      <c r="AS1" s="522"/>
      <c r="AT1" s="520" t="s">
        <v>96</v>
      </c>
      <c r="AU1" s="521"/>
      <c r="AV1" s="522"/>
      <c r="AW1" s="520" t="s">
        <v>106</v>
      </c>
      <c r="AX1" s="521"/>
      <c r="AY1" s="522"/>
      <c r="BA1" s="4"/>
      <c r="BB1" s="4"/>
      <c r="BC1" s="4"/>
      <c r="BF1" s="4"/>
    </row>
    <row r="2" spans="1:58" ht="14.95" customHeight="1" thickBot="1" x14ac:dyDescent="0.3">
      <c r="A2" s="154" t="s">
        <v>0</v>
      </c>
      <c r="B2" s="145" t="s">
        <v>620</v>
      </c>
      <c r="C2" s="132" t="s">
        <v>63</v>
      </c>
      <c r="D2" s="467" t="s">
        <v>64</v>
      </c>
      <c r="E2" s="443" t="s">
        <v>925</v>
      </c>
      <c r="F2" s="163" t="s">
        <v>1</v>
      </c>
      <c r="G2" s="156" t="s">
        <v>2</v>
      </c>
      <c r="H2" s="177" t="s">
        <v>620</v>
      </c>
      <c r="I2" s="224" t="s">
        <v>63</v>
      </c>
      <c r="J2" s="500" t="s">
        <v>64</v>
      </c>
      <c r="K2" s="377" t="s">
        <v>925</v>
      </c>
      <c r="L2" s="159" t="s">
        <v>1</v>
      </c>
      <c r="M2" s="541"/>
      <c r="N2" s="529"/>
      <c r="O2" s="530"/>
      <c r="P2" s="531"/>
      <c r="Q2" s="529"/>
      <c r="R2" s="530"/>
      <c r="S2" s="531"/>
      <c r="T2" s="529"/>
      <c r="U2" s="531"/>
      <c r="V2" s="523"/>
      <c r="W2" s="524"/>
      <c r="X2" s="525"/>
      <c r="Y2" s="523"/>
      <c r="Z2" s="524"/>
      <c r="AA2" s="525"/>
      <c r="AB2" s="325"/>
      <c r="AC2" s="214"/>
      <c r="AD2" s="326"/>
      <c r="AE2" s="523"/>
      <c r="AF2" s="524"/>
      <c r="AG2" s="525"/>
      <c r="AH2" s="523"/>
      <c r="AI2" s="524"/>
      <c r="AJ2" s="525"/>
      <c r="AK2" s="523"/>
      <c r="AL2" s="524"/>
      <c r="AM2" s="525"/>
      <c r="AN2" s="523"/>
      <c r="AO2" s="524"/>
      <c r="AP2" s="525"/>
      <c r="AQ2" s="523"/>
      <c r="AR2" s="524"/>
      <c r="AS2" s="525"/>
      <c r="AT2" s="523"/>
      <c r="AU2" s="524"/>
      <c r="AV2" s="525"/>
      <c r="AW2" s="523"/>
      <c r="AX2" s="524"/>
      <c r="AY2" s="525"/>
    </row>
    <row r="3" spans="1:58" ht="14.95" customHeight="1" thickBot="1" x14ac:dyDescent="0.3">
      <c r="A3" s="155" t="s">
        <v>1106</v>
      </c>
      <c r="B3" s="91">
        <v>7</v>
      </c>
      <c r="C3" s="43">
        <v>0</v>
      </c>
      <c r="D3" s="468">
        <v>1</v>
      </c>
      <c r="E3" s="444">
        <v>0</v>
      </c>
      <c r="F3" s="164">
        <f>SUM(B3:E3)</f>
        <v>8</v>
      </c>
      <c r="G3" s="157" t="s">
        <v>1106</v>
      </c>
      <c r="H3" s="174">
        <v>35</v>
      </c>
      <c r="I3" s="225">
        <v>0</v>
      </c>
      <c r="J3" s="501">
        <v>5</v>
      </c>
      <c r="K3" s="378">
        <v>0</v>
      </c>
      <c r="L3" s="160">
        <f>SUM(H3:K3)</f>
        <v>40</v>
      </c>
      <c r="M3" s="393" t="s">
        <v>44</v>
      </c>
      <c r="N3" s="3" t="s">
        <v>107</v>
      </c>
      <c r="O3" s="3" t="s">
        <v>23</v>
      </c>
      <c r="P3" s="3" t="s">
        <v>24</v>
      </c>
      <c r="Q3" s="3" t="s">
        <v>107</v>
      </c>
      <c r="R3" s="3" t="s">
        <v>23</v>
      </c>
      <c r="S3" s="3" t="s">
        <v>24</v>
      </c>
      <c r="T3" s="3" t="s">
        <v>34</v>
      </c>
      <c r="U3" s="3" t="s">
        <v>135</v>
      </c>
      <c r="V3" s="7" t="s">
        <v>107</v>
      </c>
      <c r="W3" s="7" t="s">
        <v>23</v>
      </c>
      <c r="X3" s="7" t="s">
        <v>24</v>
      </c>
      <c r="Y3" s="201" t="s">
        <v>107</v>
      </c>
      <c r="Z3" s="7" t="s">
        <v>23</v>
      </c>
      <c r="AA3" s="7" t="s">
        <v>24</v>
      </c>
      <c r="AB3" s="108"/>
      <c r="AC3" s="109"/>
      <c r="AD3" s="327"/>
      <c r="AE3" s="201" t="s">
        <v>107</v>
      </c>
      <c r="AF3" s="7" t="s">
        <v>23</v>
      </c>
      <c r="AG3" s="7" t="s">
        <v>24</v>
      </c>
      <c r="AH3" s="201" t="s">
        <v>107</v>
      </c>
      <c r="AI3" s="7" t="s">
        <v>23</v>
      </c>
      <c r="AJ3" s="7" t="s">
        <v>24</v>
      </c>
      <c r="AK3" s="201" t="s">
        <v>107</v>
      </c>
      <c r="AL3" s="7" t="s">
        <v>23</v>
      </c>
      <c r="AM3" s="7" t="s">
        <v>24</v>
      </c>
      <c r="AN3" s="201" t="s">
        <v>107</v>
      </c>
      <c r="AO3" s="7" t="s">
        <v>23</v>
      </c>
      <c r="AP3" s="7" t="s">
        <v>24</v>
      </c>
      <c r="AQ3" s="7" t="s">
        <v>107</v>
      </c>
      <c r="AR3" s="7" t="s">
        <v>23</v>
      </c>
      <c r="AS3" s="7" t="s">
        <v>24</v>
      </c>
      <c r="AT3" s="7" t="s">
        <v>107</v>
      </c>
      <c r="AU3" s="7" t="s">
        <v>23</v>
      </c>
      <c r="AV3" s="7" t="s">
        <v>24</v>
      </c>
      <c r="AW3" s="7" t="s">
        <v>107</v>
      </c>
      <c r="AX3" s="7" t="s">
        <v>23</v>
      </c>
      <c r="AY3" s="7" t="s">
        <v>24</v>
      </c>
    </row>
    <row r="4" spans="1:58" ht="14.95" customHeight="1" thickBot="1" x14ac:dyDescent="0.3">
      <c r="A4" s="155" t="s">
        <v>987</v>
      </c>
      <c r="B4" s="91">
        <v>1</v>
      </c>
      <c r="C4" s="43">
        <v>0</v>
      </c>
      <c r="D4" s="468">
        <v>0</v>
      </c>
      <c r="E4" s="444">
        <v>0</v>
      </c>
      <c r="F4" s="164">
        <f>SUM(B4:E4)</f>
        <v>1</v>
      </c>
      <c r="G4" s="157" t="s">
        <v>987</v>
      </c>
      <c r="H4" s="174">
        <v>5</v>
      </c>
      <c r="I4" s="225">
        <v>0</v>
      </c>
      <c r="J4" s="501">
        <v>0</v>
      </c>
      <c r="K4" s="378">
        <v>0</v>
      </c>
      <c r="L4" s="160">
        <f>SUM(H4:K4)</f>
        <v>5</v>
      </c>
      <c r="M4" s="155" t="s">
        <v>239</v>
      </c>
      <c r="N4" s="164">
        <v>71</v>
      </c>
      <c r="O4" s="164">
        <v>86</v>
      </c>
      <c r="P4" s="165">
        <f t="shared" ref="P4" si="0">SUM(N4/O4)*100</f>
        <v>82.558139534883722</v>
      </c>
      <c r="Q4" s="164">
        <v>2</v>
      </c>
      <c r="R4" s="164">
        <v>3</v>
      </c>
      <c r="S4" s="165">
        <f t="shared" ref="S4" si="1">SUM(Q4/R4)*100</f>
        <v>66.666666666666657</v>
      </c>
      <c r="T4" s="164">
        <v>-1</v>
      </c>
      <c r="U4" s="164">
        <v>-1</v>
      </c>
      <c r="V4" s="7">
        <v>24</v>
      </c>
      <c r="W4" s="7">
        <v>33</v>
      </c>
      <c r="X4" s="206">
        <f t="shared" ref="X4:X5" si="2">SUM(V4/W4)*100</f>
        <v>72.727272727272734</v>
      </c>
      <c r="Y4" s="201">
        <v>23</v>
      </c>
      <c r="Z4" s="7">
        <v>27</v>
      </c>
      <c r="AA4" s="206">
        <f t="shared" ref="AA4:AA7" si="3">SUM(Y4/Z4)*100</f>
        <v>85.18518518518519</v>
      </c>
      <c r="AB4" s="108"/>
      <c r="AC4" s="109"/>
      <c r="AD4" s="327"/>
      <c r="AE4" s="201">
        <v>66</v>
      </c>
      <c r="AF4" s="7">
        <v>78</v>
      </c>
      <c r="AG4" s="206">
        <f t="shared" ref="AG4:AG5" si="4">SUM(AE4/AF4)*100</f>
        <v>84.615384615384613</v>
      </c>
      <c r="AH4" s="201">
        <v>38</v>
      </c>
      <c r="AI4" s="7">
        <v>52</v>
      </c>
      <c r="AJ4" s="206">
        <f>SUM(AH4/AI4)*100</f>
        <v>73.076923076923066</v>
      </c>
      <c r="AK4" s="6">
        <v>24</v>
      </c>
      <c r="AL4" s="6">
        <v>31</v>
      </c>
      <c r="AM4" s="206">
        <f t="shared" ref="AM4" si="5">SUM(AK4/AL4)*100</f>
        <v>77.41935483870968</v>
      </c>
      <c r="AN4" s="6">
        <v>31</v>
      </c>
      <c r="AO4" s="6">
        <v>43</v>
      </c>
      <c r="AP4" s="206">
        <f t="shared" ref="AP4" si="6">SUM(AN4/AO4)*100</f>
        <v>72.093023255813947</v>
      </c>
      <c r="AQ4" s="7">
        <v>63</v>
      </c>
      <c r="AR4" s="7">
        <v>73</v>
      </c>
      <c r="AS4" s="206">
        <f t="shared" ref="AS4" si="7">SUM(AQ4/AR4)*100</f>
        <v>86.301369863013704</v>
      </c>
      <c r="AT4" s="7">
        <v>79</v>
      </c>
      <c r="AU4" s="7">
        <v>93</v>
      </c>
      <c r="AV4" s="206">
        <f>SUM(AT4/AU4)*100</f>
        <v>84.946236559139791</v>
      </c>
      <c r="AW4" s="7">
        <v>57</v>
      </c>
      <c r="AX4" s="7">
        <v>77</v>
      </c>
      <c r="AY4" s="7">
        <v>65</v>
      </c>
    </row>
    <row r="5" spans="1:58" ht="14.95" customHeight="1" thickBot="1" x14ac:dyDescent="0.3">
      <c r="A5" s="155" t="s">
        <v>237</v>
      </c>
      <c r="B5" s="91">
        <v>1</v>
      </c>
      <c r="C5" s="43">
        <v>1</v>
      </c>
      <c r="D5" s="468">
        <v>0</v>
      </c>
      <c r="E5" s="444">
        <v>0</v>
      </c>
      <c r="F5" s="164">
        <f t="shared" ref="F5:F42" si="8">SUM(B5:E5)</f>
        <v>2</v>
      </c>
      <c r="G5" s="157" t="s">
        <v>237</v>
      </c>
      <c r="H5" s="174">
        <v>174</v>
      </c>
      <c r="I5" s="225">
        <v>15</v>
      </c>
      <c r="J5" s="501">
        <v>4</v>
      </c>
      <c r="K5" s="378">
        <v>0</v>
      </c>
      <c r="L5" s="160">
        <f t="shared" ref="L5:L42" si="9">SUM(H5:K5)</f>
        <v>193</v>
      </c>
      <c r="M5" s="155" t="s">
        <v>67</v>
      </c>
      <c r="N5" s="164">
        <v>2</v>
      </c>
      <c r="O5" s="164">
        <v>2</v>
      </c>
      <c r="P5" s="165">
        <f t="shared" ref="P5" si="10">SUM(N5/O5)*100</f>
        <v>100</v>
      </c>
      <c r="Q5" s="164" t="s">
        <v>30</v>
      </c>
      <c r="R5" s="164" t="s">
        <v>30</v>
      </c>
      <c r="S5" s="165" t="s">
        <v>30</v>
      </c>
      <c r="T5" s="164">
        <v>5</v>
      </c>
      <c r="U5" s="164">
        <v>2</v>
      </c>
      <c r="V5" s="7">
        <v>6</v>
      </c>
      <c r="W5" s="7">
        <v>8</v>
      </c>
      <c r="X5" s="206">
        <f t="shared" si="2"/>
        <v>75</v>
      </c>
      <c r="Y5" s="201">
        <v>4</v>
      </c>
      <c r="Z5" s="7">
        <v>4</v>
      </c>
      <c r="AA5" s="206">
        <f t="shared" si="3"/>
        <v>100</v>
      </c>
      <c r="AB5" s="108"/>
      <c r="AC5" s="109"/>
      <c r="AD5" s="327"/>
      <c r="AE5" s="201">
        <v>12</v>
      </c>
      <c r="AF5" s="7">
        <v>16</v>
      </c>
      <c r="AG5" s="206">
        <f t="shared" si="4"/>
        <v>75</v>
      </c>
      <c r="AH5" s="201">
        <v>23</v>
      </c>
      <c r="AI5" s="7">
        <v>28</v>
      </c>
      <c r="AJ5" s="206">
        <f>SUM(AH5/AI5)*100</f>
        <v>82.142857142857139</v>
      </c>
      <c r="AK5" s="201" t="s">
        <v>30</v>
      </c>
      <c r="AL5" s="7" t="s">
        <v>30</v>
      </c>
      <c r="AM5" s="7" t="s">
        <v>30</v>
      </c>
      <c r="AN5" s="201" t="s">
        <v>30</v>
      </c>
      <c r="AO5" s="7" t="s">
        <v>30</v>
      </c>
      <c r="AP5" s="7" t="s">
        <v>30</v>
      </c>
      <c r="AQ5" s="7" t="s">
        <v>30</v>
      </c>
      <c r="AR5" s="7" t="s">
        <v>30</v>
      </c>
      <c r="AS5" s="7" t="s">
        <v>30</v>
      </c>
      <c r="AT5" s="7" t="s">
        <v>30</v>
      </c>
      <c r="AU5" s="7" t="s">
        <v>30</v>
      </c>
      <c r="AV5" s="7" t="s">
        <v>30</v>
      </c>
      <c r="AW5" s="7" t="s">
        <v>30</v>
      </c>
      <c r="AX5" s="7" t="s">
        <v>30</v>
      </c>
      <c r="AY5" s="7" t="s">
        <v>30</v>
      </c>
    </row>
    <row r="6" spans="1:58" ht="14.95" customHeight="1" thickBot="1" x14ac:dyDescent="0.3">
      <c r="A6" s="155" t="s">
        <v>438</v>
      </c>
      <c r="B6" s="91">
        <v>2</v>
      </c>
      <c r="C6" s="43">
        <v>0</v>
      </c>
      <c r="D6" s="468">
        <v>0</v>
      </c>
      <c r="E6" s="444">
        <v>0</v>
      </c>
      <c r="F6" s="164">
        <f t="shared" si="8"/>
        <v>2</v>
      </c>
      <c r="G6" s="158" t="s">
        <v>438</v>
      </c>
      <c r="H6" s="174">
        <v>10</v>
      </c>
      <c r="I6" s="225">
        <v>0</v>
      </c>
      <c r="J6" s="501">
        <v>0</v>
      </c>
      <c r="K6" s="378">
        <v>0</v>
      </c>
      <c r="L6" s="160">
        <f t="shared" si="9"/>
        <v>10</v>
      </c>
      <c r="M6" s="155" t="s">
        <v>158</v>
      </c>
      <c r="N6" s="164">
        <v>11</v>
      </c>
      <c r="O6" s="164">
        <v>16</v>
      </c>
      <c r="P6" s="165">
        <f t="shared" ref="P6:P8" si="11">SUM(N6/O6)*100</f>
        <v>68.75</v>
      </c>
      <c r="Q6" s="164" t="s">
        <v>30</v>
      </c>
      <c r="R6" s="164" t="s">
        <v>30</v>
      </c>
      <c r="S6" s="165" t="s">
        <v>30</v>
      </c>
      <c r="T6" s="164">
        <v>1</v>
      </c>
      <c r="U6" s="164">
        <v>1</v>
      </c>
      <c r="V6" s="7" t="s">
        <v>30</v>
      </c>
      <c r="W6" s="7" t="s">
        <v>30</v>
      </c>
      <c r="X6" s="7" t="s">
        <v>30</v>
      </c>
      <c r="Y6" s="201" t="s">
        <v>30</v>
      </c>
      <c r="Z6" s="7" t="s">
        <v>30</v>
      </c>
      <c r="AA6" s="7" t="s">
        <v>30</v>
      </c>
      <c r="AB6" s="108"/>
      <c r="AC6" s="109"/>
      <c r="AD6" s="327"/>
      <c r="AE6" s="201" t="s">
        <v>30</v>
      </c>
      <c r="AF6" s="7" t="s">
        <v>30</v>
      </c>
      <c r="AG6" s="7" t="s">
        <v>30</v>
      </c>
      <c r="AH6" s="201" t="s">
        <v>30</v>
      </c>
      <c r="AI6" s="7" t="s">
        <v>30</v>
      </c>
      <c r="AJ6" s="7" t="s">
        <v>30</v>
      </c>
      <c r="AK6" s="201" t="s">
        <v>30</v>
      </c>
      <c r="AL6" s="7" t="s">
        <v>30</v>
      </c>
      <c r="AM6" s="7" t="s">
        <v>30</v>
      </c>
      <c r="AN6" s="6" t="s">
        <v>30</v>
      </c>
      <c r="AO6" s="7" t="s">
        <v>30</v>
      </c>
      <c r="AP6" s="7" t="s">
        <v>30</v>
      </c>
      <c r="AQ6" s="7" t="s">
        <v>30</v>
      </c>
      <c r="AR6" s="7" t="s">
        <v>30</v>
      </c>
      <c r="AS6" s="7" t="s">
        <v>30</v>
      </c>
      <c r="AT6" s="7" t="s">
        <v>30</v>
      </c>
      <c r="AU6" s="7" t="s">
        <v>30</v>
      </c>
      <c r="AV6" s="7" t="s">
        <v>30</v>
      </c>
      <c r="AW6" s="7" t="s">
        <v>30</v>
      </c>
      <c r="AX6" s="7" t="s">
        <v>30</v>
      </c>
      <c r="AY6" s="7" t="s">
        <v>30</v>
      </c>
    </row>
    <row r="7" spans="1:58" ht="14.95" customHeight="1" thickBot="1" x14ac:dyDescent="0.3">
      <c r="A7" s="155" t="s">
        <v>47</v>
      </c>
      <c r="B7" s="91">
        <v>8</v>
      </c>
      <c r="C7" s="43">
        <v>0</v>
      </c>
      <c r="D7" s="468">
        <v>0</v>
      </c>
      <c r="E7" s="444">
        <v>0</v>
      </c>
      <c r="F7" s="164">
        <f t="shared" si="8"/>
        <v>8</v>
      </c>
      <c r="G7" s="158" t="s">
        <v>47</v>
      </c>
      <c r="H7" s="174">
        <v>40</v>
      </c>
      <c r="I7" s="225">
        <v>0</v>
      </c>
      <c r="J7" s="501">
        <v>0</v>
      </c>
      <c r="K7" s="378">
        <v>0</v>
      </c>
      <c r="L7" s="160">
        <f t="shared" si="9"/>
        <v>40</v>
      </c>
      <c r="M7" s="155" t="s">
        <v>159</v>
      </c>
      <c r="N7" s="164">
        <v>29</v>
      </c>
      <c r="O7" s="164">
        <v>40</v>
      </c>
      <c r="P7" s="165">
        <f t="shared" si="11"/>
        <v>72.5</v>
      </c>
      <c r="Q7" s="164">
        <v>1</v>
      </c>
      <c r="R7" s="164">
        <v>2</v>
      </c>
      <c r="S7" s="165">
        <f t="shared" ref="S7" si="12">SUM(Q7/R7)*100</f>
        <v>50</v>
      </c>
      <c r="T7" s="164">
        <v>1</v>
      </c>
      <c r="U7" s="164">
        <v>1</v>
      </c>
      <c r="V7" s="7">
        <v>32</v>
      </c>
      <c r="W7" s="7">
        <v>43</v>
      </c>
      <c r="X7" s="206">
        <f t="shared" ref="X7:X8" si="13">SUM(V7/W7)*100</f>
        <v>74.418604651162795</v>
      </c>
      <c r="Y7" s="201">
        <v>38</v>
      </c>
      <c r="Z7" s="7">
        <v>53</v>
      </c>
      <c r="AA7" s="206">
        <f t="shared" si="3"/>
        <v>71.698113207547166</v>
      </c>
      <c r="AB7" s="108"/>
      <c r="AC7" s="109"/>
      <c r="AD7" s="327"/>
      <c r="AE7" s="201">
        <v>10</v>
      </c>
      <c r="AF7" s="7">
        <v>16</v>
      </c>
      <c r="AG7" s="206">
        <f t="shared" ref="AG7" si="14">SUM(AE7/AF7)*100</f>
        <v>62.5</v>
      </c>
      <c r="AH7" s="201">
        <v>5</v>
      </c>
      <c r="AI7" s="7">
        <v>8</v>
      </c>
      <c r="AJ7" s="206">
        <f>SUM(AH7/AI7)*100</f>
        <v>62.5</v>
      </c>
      <c r="AK7" s="201" t="s">
        <v>30</v>
      </c>
      <c r="AL7" s="7" t="s">
        <v>30</v>
      </c>
      <c r="AM7" s="7" t="s">
        <v>30</v>
      </c>
      <c r="AN7" s="201" t="s">
        <v>30</v>
      </c>
      <c r="AO7" s="7" t="s">
        <v>30</v>
      </c>
      <c r="AP7" s="7" t="s">
        <v>30</v>
      </c>
      <c r="AQ7" s="7" t="s">
        <v>30</v>
      </c>
      <c r="AR7" s="7" t="s">
        <v>30</v>
      </c>
      <c r="AS7" s="7" t="s">
        <v>30</v>
      </c>
      <c r="AT7" s="7" t="s">
        <v>30</v>
      </c>
      <c r="AU7" s="7" t="s">
        <v>30</v>
      </c>
      <c r="AV7" s="7" t="s">
        <v>30</v>
      </c>
      <c r="AW7" s="7" t="s">
        <v>30</v>
      </c>
      <c r="AX7" s="7" t="s">
        <v>30</v>
      </c>
      <c r="AY7" s="7" t="s">
        <v>30</v>
      </c>
    </row>
    <row r="8" spans="1:58" ht="14.95" customHeight="1" thickBot="1" x14ac:dyDescent="0.3">
      <c r="A8" s="155" t="s">
        <v>426</v>
      </c>
      <c r="B8" s="91">
        <v>2</v>
      </c>
      <c r="C8" s="43">
        <v>1</v>
      </c>
      <c r="D8" s="468">
        <v>0</v>
      </c>
      <c r="E8" s="444">
        <v>0</v>
      </c>
      <c r="F8" s="164">
        <f t="shared" si="8"/>
        <v>3</v>
      </c>
      <c r="G8" s="158" t="s">
        <v>426</v>
      </c>
      <c r="H8" s="174">
        <v>10</v>
      </c>
      <c r="I8" s="225">
        <v>5</v>
      </c>
      <c r="J8" s="501">
        <v>0</v>
      </c>
      <c r="K8" s="378">
        <v>0</v>
      </c>
      <c r="L8" s="160">
        <f t="shared" si="9"/>
        <v>15</v>
      </c>
      <c r="M8" s="155" t="s">
        <v>99</v>
      </c>
      <c r="N8" s="164">
        <v>2</v>
      </c>
      <c r="O8" s="164">
        <v>4</v>
      </c>
      <c r="P8" s="165">
        <f t="shared" si="11"/>
        <v>50</v>
      </c>
      <c r="Q8" s="164" t="s">
        <v>30</v>
      </c>
      <c r="R8" s="164" t="s">
        <v>30</v>
      </c>
      <c r="S8" s="165" t="s">
        <v>30</v>
      </c>
      <c r="T8" s="164">
        <v>2</v>
      </c>
      <c r="U8" s="164">
        <v>2</v>
      </c>
      <c r="V8" s="7">
        <v>3</v>
      </c>
      <c r="W8" s="7">
        <v>5</v>
      </c>
      <c r="X8" s="7">
        <f t="shared" si="13"/>
        <v>60</v>
      </c>
      <c r="Y8" s="201" t="s">
        <v>30</v>
      </c>
      <c r="Z8" s="7" t="s">
        <v>30</v>
      </c>
      <c r="AA8" s="7" t="s">
        <v>30</v>
      </c>
      <c r="AB8" s="108"/>
      <c r="AC8" s="109"/>
      <c r="AD8" s="327"/>
      <c r="AE8" s="201">
        <v>3</v>
      </c>
      <c r="AF8" s="7">
        <v>3</v>
      </c>
      <c r="AG8" s="7">
        <v>100</v>
      </c>
      <c r="AH8" s="201" t="s">
        <v>30</v>
      </c>
      <c r="AI8" s="7" t="s">
        <v>30</v>
      </c>
      <c r="AJ8" s="7" t="s">
        <v>30</v>
      </c>
      <c r="AK8" s="201" t="s">
        <v>30</v>
      </c>
      <c r="AL8" s="7" t="s">
        <v>30</v>
      </c>
      <c r="AM8" s="7" t="s">
        <v>30</v>
      </c>
      <c r="AN8" s="6" t="s">
        <v>30</v>
      </c>
      <c r="AO8" s="7" t="s">
        <v>30</v>
      </c>
      <c r="AP8" s="7" t="s">
        <v>30</v>
      </c>
      <c r="AQ8" s="7" t="s">
        <v>30</v>
      </c>
      <c r="AR8" s="7" t="s">
        <v>30</v>
      </c>
      <c r="AS8" s="7" t="s">
        <v>30</v>
      </c>
      <c r="AT8" s="7" t="s">
        <v>30</v>
      </c>
      <c r="AU8" s="7" t="s">
        <v>30</v>
      </c>
      <c r="AV8" s="7" t="s">
        <v>30</v>
      </c>
      <c r="AW8" s="7" t="s">
        <v>30</v>
      </c>
      <c r="AX8" s="7" t="s">
        <v>30</v>
      </c>
      <c r="AY8" s="7" t="s">
        <v>30</v>
      </c>
    </row>
    <row r="9" spans="1:58" ht="14.95" customHeight="1" thickBot="1" x14ac:dyDescent="0.3">
      <c r="A9" s="155" t="s">
        <v>98</v>
      </c>
      <c r="B9" s="91">
        <v>2</v>
      </c>
      <c r="C9" s="43">
        <v>0</v>
      </c>
      <c r="D9" s="468">
        <v>0</v>
      </c>
      <c r="E9" s="444">
        <v>1</v>
      </c>
      <c r="F9" s="164">
        <f t="shared" si="8"/>
        <v>3</v>
      </c>
      <c r="G9" s="158" t="s">
        <v>98</v>
      </c>
      <c r="H9" s="174">
        <v>10</v>
      </c>
      <c r="I9" s="225">
        <v>0</v>
      </c>
      <c r="J9" s="501">
        <v>0</v>
      </c>
      <c r="K9" s="378">
        <v>5</v>
      </c>
      <c r="L9" s="160">
        <f t="shared" si="9"/>
        <v>15</v>
      </c>
    </row>
    <row r="10" spans="1:58" ht="14.95" customHeight="1" thickBot="1" x14ac:dyDescent="0.3">
      <c r="A10" s="155" t="s">
        <v>143</v>
      </c>
      <c r="B10" s="91">
        <v>0</v>
      </c>
      <c r="C10" s="43">
        <v>0</v>
      </c>
      <c r="D10" s="468">
        <v>0</v>
      </c>
      <c r="E10" s="444">
        <v>1</v>
      </c>
      <c r="F10" s="164">
        <f t="shared" si="8"/>
        <v>1</v>
      </c>
      <c r="G10" s="157" t="s">
        <v>67</v>
      </c>
      <c r="H10" s="174">
        <v>5</v>
      </c>
      <c r="I10" s="225">
        <v>0</v>
      </c>
      <c r="J10" s="501">
        <v>0</v>
      </c>
      <c r="K10" s="378">
        <v>5</v>
      </c>
      <c r="L10" s="160">
        <f t="shared" si="9"/>
        <v>10</v>
      </c>
      <c r="M10" s="574" t="s">
        <v>510</v>
      </c>
      <c r="N10" s="526" t="s">
        <v>29</v>
      </c>
      <c r="O10" s="527"/>
      <c r="P10" s="528"/>
      <c r="Q10" s="520" t="s">
        <v>634</v>
      </c>
      <c r="R10" s="521"/>
      <c r="S10" s="522"/>
      <c r="T10" s="520" t="s">
        <v>863</v>
      </c>
      <c r="U10" s="521"/>
      <c r="V10" s="522"/>
      <c r="W10" s="520" t="s">
        <v>621</v>
      </c>
      <c r="X10" s="521"/>
      <c r="Y10" s="522"/>
      <c r="Z10" s="325"/>
      <c r="AA10" s="214"/>
      <c r="AB10" s="214"/>
      <c r="AD10" s="276"/>
      <c r="AE10" s="520" t="s">
        <v>448</v>
      </c>
      <c r="AF10" s="521"/>
      <c r="AG10" s="522"/>
      <c r="AH10" s="520" t="s">
        <v>178</v>
      </c>
      <c r="AI10" s="521"/>
      <c r="AJ10" s="522"/>
      <c r="AK10" s="520" t="s">
        <v>122</v>
      </c>
      <c r="AL10" s="521"/>
      <c r="AM10" s="522"/>
      <c r="AN10" s="520" t="s">
        <v>113</v>
      </c>
      <c r="AO10" s="521"/>
      <c r="AP10" s="522"/>
      <c r="AQ10" s="520" t="s">
        <v>399</v>
      </c>
      <c r="AR10" s="521"/>
      <c r="AS10" s="522"/>
    </row>
    <row r="11" spans="1:58" ht="14.95" customHeight="1" thickBot="1" x14ac:dyDescent="0.3">
      <c r="A11" s="155" t="s">
        <v>783</v>
      </c>
      <c r="B11" s="91">
        <v>13</v>
      </c>
      <c r="C11" s="43">
        <v>0</v>
      </c>
      <c r="D11" s="468">
        <v>0</v>
      </c>
      <c r="E11" s="444">
        <v>1</v>
      </c>
      <c r="F11" s="164">
        <f t="shared" si="8"/>
        <v>14</v>
      </c>
      <c r="G11" s="157" t="s">
        <v>783</v>
      </c>
      <c r="H11" s="174">
        <v>65</v>
      </c>
      <c r="I11" s="225">
        <v>0</v>
      </c>
      <c r="J11" s="501">
        <v>0</v>
      </c>
      <c r="K11" s="378">
        <v>5</v>
      </c>
      <c r="L11" s="160">
        <f t="shared" si="9"/>
        <v>70</v>
      </c>
      <c r="M11" s="575"/>
      <c r="N11" s="529"/>
      <c r="O11" s="530"/>
      <c r="P11" s="531"/>
      <c r="Q11" s="523"/>
      <c r="R11" s="524"/>
      <c r="S11" s="525"/>
      <c r="T11" s="523"/>
      <c r="U11" s="524"/>
      <c r="V11" s="525"/>
      <c r="W11" s="523"/>
      <c r="X11" s="524"/>
      <c r="Y11" s="525"/>
      <c r="Z11" s="325"/>
      <c r="AA11" s="214"/>
      <c r="AB11" s="214"/>
      <c r="AD11" s="276"/>
      <c r="AE11" s="523"/>
      <c r="AF11" s="524"/>
      <c r="AG11" s="525"/>
      <c r="AH11" s="523"/>
      <c r="AI11" s="524"/>
      <c r="AJ11" s="525"/>
      <c r="AK11" s="523"/>
      <c r="AL11" s="524"/>
      <c r="AM11" s="525"/>
      <c r="AN11" s="523"/>
      <c r="AO11" s="524"/>
      <c r="AP11" s="525"/>
      <c r="AQ11" s="523"/>
      <c r="AR11" s="524"/>
      <c r="AS11" s="525"/>
    </row>
    <row r="12" spans="1:58" ht="14.95" customHeight="1" thickBot="1" x14ac:dyDescent="0.3">
      <c r="A12" s="155" t="s">
        <v>1014</v>
      </c>
      <c r="B12" s="91">
        <v>0</v>
      </c>
      <c r="C12" s="43">
        <v>0</v>
      </c>
      <c r="D12" s="468">
        <v>0</v>
      </c>
      <c r="E12" s="444">
        <v>1</v>
      </c>
      <c r="F12" s="164">
        <f t="shared" si="8"/>
        <v>1</v>
      </c>
      <c r="G12" s="157" t="s">
        <v>1014</v>
      </c>
      <c r="H12" s="174">
        <v>0</v>
      </c>
      <c r="I12" s="225">
        <v>0</v>
      </c>
      <c r="J12" s="501">
        <v>0</v>
      </c>
      <c r="K12" s="378">
        <v>5</v>
      </c>
      <c r="L12" s="160">
        <f t="shared" si="9"/>
        <v>5</v>
      </c>
      <c r="M12" s="395" t="s">
        <v>44</v>
      </c>
      <c r="N12" s="3" t="s">
        <v>107</v>
      </c>
      <c r="O12" s="3" t="s">
        <v>23</v>
      </c>
      <c r="P12" s="3" t="s">
        <v>24</v>
      </c>
      <c r="Q12" s="7" t="s">
        <v>107</v>
      </c>
      <c r="R12" s="7" t="s">
        <v>23</v>
      </c>
      <c r="S12" s="7" t="s">
        <v>24</v>
      </c>
      <c r="T12" s="7" t="s">
        <v>107</v>
      </c>
      <c r="U12" s="7" t="s">
        <v>23</v>
      </c>
      <c r="V12" s="7" t="s">
        <v>24</v>
      </c>
      <c r="W12" s="201" t="s">
        <v>107</v>
      </c>
      <c r="X12" s="7" t="s">
        <v>23</v>
      </c>
      <c r="Y12" s="7" t="s">
        <v>24</v>
      </c>
      <c r="Z12" s="107"/>
      <c r="AD12" s="276"/>
      <c r="AE12" s="201" t="s">
        <v>107</v>
      </c>
      <c r="AF12" s="7" t="s">
        <v>23</v>
      </c>
      <c r="AG12" s="7" t="s">
        <v>24</v>
      </c>
      <c r="AH12" s="201" t="s">
        <v>107</v>
      </c>
      <c r="AI12" s="7" t="s">
        <v>23</v>
      </c>
      <c r="AJ12" s="7" t="s">
        <v>24</v>
      </c>
      <c r="AK12" s="201" t="s">
        <v>107</v>
      </c>
      <c r="AL12" s="7" t="s">
        <v>23</v>
      </c>
      <c r="AM12" s="7" t="s">
        <v>24</v>
      </c>
      <c r="AN12" s="201" t="s">
        <v>107</v>
      </c>
      <c r="AO12" s="7" t="s">
        <v>23</v>
      </c>
      <c r="AP12" s="7" t="s">
        <v>24</v>
      </c>
      <c r="AQ12" s="201" t="s">
        <v>107</v>
      </c>
      <c r="AR12" s="7" t="s">
        <v>23</v>
      </c>
      <c r="AS12" s="7" t="s">
        <v>24</v>
      </c>
    </row>
    <row r="13" spans="1:58" ht="14.95" customHeight="1" thickBot="1" x14ac:dyDescent="0.3">
      <c r="A13" s="155" t="s">
        <v>158</v>
      </c>
      <c r="B13" s="91">
        <v>4</v>
      </c>
      <c r="C13" s="43">
        <v>0</v>
      </c>
      <c r="D13" s="468">
        <v>0</v>
      </c>
      <c r="E13" s="444">
        <v>0</v>
      </c>
      <c r="F13" s="164">
        <f t="shared" si="8"/>
        <v>4</v>
      </c>
      <c r="G13" s="157" t="s">
        <v>158</v>
      </c>
      <c r="H13" s="174">
        <v>45</v>
      </c>
      <c r="I13" s="225">
        <v>16</v>
      </c>
      <c r="J13" s="501">
        <v>2</v>
      </c>
      <c r="K13" s="378">
        <v>0</v>
      </c>
      <c r="L13" s="160">
        <f t="shared" si="9"/>
        <v>63</v>
      </c>
      <c r="M13" s="155" t="s">
        <v>239</v>
      </c>
      <c r="N13" s="164">
        <v>4</v>
      </c>
      <c r="O13" s="164">
        <v>4</v>
      </c>
      <c r="P13" s="165">
        <f t="shared" ref="P13:P14" si="15">SUM(N13/O13)*100</f>
        <v>100</v>
      </c>
      <c r="Q13" s="7">
        <v>4</v>
      </c>
      <c r="R13" s="7">
        <v>4</v>
      </c>
      <c r="S13" s="206">
        <f t="shared" ref="S13" si="16">SUM(Q13/R13)*100</f>
        <v>100</v>
      </c>
      <c r="T13" s="7">
        <v>27</v>
      </c>
      <c r="U13" s="7">
        <v>31</v>
      </c>
      <c r="V13" s="206">
        <f t="shared" ref="V13:V15" si="17">SUM(T13/U13)*100</f>
        <v>87.096774193548384</v>
      </c>
      <c r="W13" s="6" t="s">
        <v>30</v>
      </c>
      <c r="X13" s="205" t="s">
        <v>30</v>
      </c>
      <c r="Y13" s="205" t="s">
        <v>30</v>
      </c>
      <c r="Z13" s="107"/>
      <c r="AD13" s="276"/>
      <c r="AE13" s="201">
        <v>15</v>
      </c>
      <c r="AF13" s="7">
        <v>16</v>
      </c>
      <c r="AG13" s="206">
        <f>SUM(AE13/AF13)*100</f>
        <v>93.75</v>
      </c>
      <c r="AH13" s="6">
        <v>30</v>
      </c>
      <c r="AI13" s="6">
        <v>39</v>
      </c>
      <c r="AJ13" s="206">
        <f t="shared" ref="AJ13" si="18">SUM(AH13/AI13)*100</f>
        <v>76.923076923076934</v>
      </c>
      <c r="AK13" s="6">
        <v>22</v>
      </c>
      <c r="AL13" s="6">
        <v>30</v>
      </c>
      <c r="AM13" s="206">
        <f t="shared" ref="AM13" si="19">SUM(AK13/AL13)*100</f>
        <v>73.333333333333329</v>
      </c>
      <c r="AN13" s="201">
        <v>19</v>
      </c>
      <c r="AO13" s="7">
        <v>24</v>
      </c>
      <c r="AP13" s="206">
        <f>SUM(AN13/AO13)*100</f>
        <v>79.166666666666657</v>
      </c>
      <c r="AQ13" s="201">
        <v>21</v>
      </c>
      <c r="AR13" s="7">
        <v>21</v>
      </c>
      <c r="AS13" s="206">
        <f>SUM(AQ13/AR13)*100</f>
        <v>100</v>
      </c>
    </row>
    <row r="14" spans="1:58" ht="14.95" customHeight="1" thickBot="1" x14ac:dyDescent="0.3">
      <c r="A14" s="155" t="s">
        <v>1206</v>
      </c>
      <c r="B14" s="91">
        <v>0</v>
      </c>
      <c r="C14" s="43">
        <v>0</v>
      </c>
      <c r="D14" s="468">
        <v>0</v>
      </c>
      <c r="E14" s="444">
        <v>1</v>
      </c>
      <c r="F14" s="164">
        <f t="shared" si="8"/>
        <v>1</v>
      </c>
      <c r="G14" s="157" t="s">
        <v>1206</v>
      </c>
      <c r="H14" s="174">
        <v>0</v>
      </c>
      <c r="I14" s="225">
        <v>0</v>
      </c>
      <c r="J14" s="501">
        <v>0</v>
      </c>
      <c r="K14" s="378">
        <v>5</v>
      </c>
      <c r="L14" s="160">
        <f t="shared" si="9"/>
        <v>5</v>
      </c>
      <c r="M14" s="155" t="s">
        <v>158</v>
      </c>
      <c r="N14" s="164">
        <v>6</v>
      </c>
      <c r="O14" s="164">
        <v>8</v>
      </c>
      <c r="P14" s="165">
        <f t="shared" si="15"/>
        <v>75</v>
      </c>
      <c r="Q14" s="7" t="s">
        <v>30</v>
      </c>
      <c r="R14" s="7" t="s">
        <v>30</v>
      </c>
      <c r="S14" s="7" t="s">
        <v>30</v>
      </c>
      <c r="T14" s="7" t="s">
        <v>30</v>
      </c>
      <c r="U14" s="7" t="s">
        <v>30</v>
      </c>
      <c r="V14" s="7" t="s">
        <v>30</v>
      </c>
      <c r="W14" s="6" t="s">
        <v>30</v>
      </c>
      <c r="X14" s="205" t="s">
        <v>30</v>
      </c>
      <c r="Y14" s="205" t="s">
        <v>30</v>
      </c>
      <c r="Z14" s="107"/>
      <c r="AD14" s="276"/>
      <c r="AE14" s="6" t="s">
        <v>30</v>
      </c>
      <c r="AF14" s="205" t="s">
        <v>30</v>
      </c>
      <c r="AG14" s="205" t="s">
        <v>30</v>
      </c>
      <c r="AH14" s="6" t="s">
        <v>30</v>
      </c>
      <c r="AI14" s="205" t="s">
        <v>30</v>
      </c>
      <c r="AJ14" s="205" t="s">
        <v>30</v>
      </c>
      <c r="AK14" s="6" t="s">
        <v>30</v>
      </c>
      <c r="AL14" s="205" t="s">
        <v>30</v>
      </c>
      <c r="AM14" s="205" t="s">
        <v>30</v>
      </c>
      <c r="AN14" s="6" t="s">
        <v>30</v>
      </c>
      <c r="AO14" s="205" t="s">
        <v>30</v>
      </c>
      <c r="AP14" s="205" t="s">
        <v>30</v>
      </c>
      <c r="AQ14" s="205" t="s">
        <v>30</v>
      </c>
      <c r="AR14" s="205" t="s">
        <v>30</v>
      </c>
      <c r="AS14" s="205" t="s">
        <v>30</v>
      </c>
    </row>
    <row r="15" spans="1:58" ht="14.95" customHeight="1" thickBot="1" x14ac:dyDescent="0.3">
      <c r="A15" s="155" t="s">
        <v>591</v>
      </c>
      <c r="B15" s="91">
        <v>0</v>
      </c>
      <c r="C15" s="43">
        <v>0</v>
      </c>
      <c r="D15" s="468">
        <v>0</v>
      </c>
      <c r="E15" s="444">
        <v>2</v>
      </c>
      <c r="F15" s="164">
        <f t="shared" si="8"/>
        <v>2</v>
      </c>
      <c r="G15" s="157" t="s">
        <v>591</v>
      </c>
      <c r="H15" s="174">
        <v>0</v>
      </c>
      <c r="I15" s="225">
        <v>0</v>
      </c>
      <c r="J15" s="501">
        <v>0</v>
      </c>
      <c r="K15" s="378">
        <v>10</v>
      </c>
      <c r="L15" s="160">
        <f t="shared" si="9"/>
        <v>10</v>
      </c>
      <c r="M15" s="155" t="s">
        <v>159</v>
      </c>
      <c r="N15" s="164" t="s">
        <v>30</v>
      </c>
      <c r="O15" s="164" t="s">
        <v>30</v>
      </c>
      <c r="P15" s="165" t="s">
        <v>30</v>
      </c>
      <c r="Q15" s="7" t="s">
        <v>30</v>
      </c>
      <c r="R15" s="7" t="s">
        <v>30</v>
      </c>
      <c r="S15" s="206" t="s">
        <v>30</v>
      </c>
      <c r="T15" s="7">
        <v>4</v>
      </c>
      <c r="U15" s="7">
        <v>5</v>
      </c>
      <c r="V15" s="206">
        <f t="shared" si="17"/>
        <v>80</v>
      </c>
      <c r="W15" s="6" t="s">
        <v>30</v>
      </c>
      <c r="X15" s="205" t="s">
        <v>30</v>
      </c>
      <c r="Y15" s="205" t="s">
        <v>30</v>
      </c>
      <c r="Z15" s="107"/>
      <c r="AD15" s="276"/>
      <c r="AE15" s="6" t="s">
        <v>30</v>
      </c>
      <c r="AF15" s="205" t="s">
        <v>30</v>
      </c>
      <c r="AG15" s="205" t="s">
        <v>30</v>
      </c>
      <c r="AH15" s="6" t="s">
        <v>30</v>
      </c>
      <c r="AI15" s="205" t="s">
        <v>30</v>
      </c>
      <c r="AJ15" s="205" t="s">
        <v>30</v>
      </c>
      <c r="AK15" s="6" t="s">
        <v>30</v>
      </c>
      <c r="AL15" s="205" t="s">
        <v>30</v>
      </c>
      <c r="AM15" s="205" t="s">
        <v>30</v>
      </c>
      <c r="AN15" s="6" t="s">
        <v>30</v>
      </c>
      <c r="AO15" s="205" t="s">
        <v>30</v>
      </c>
      <c r="AP15" s="205" t="s">
        <v>30</v>
      </c>
      <c r="AQ15" s="205" t="s">
        <v>30</v>
      </c>
      <c r="AR15" s="205" t="s">
        <v>30</v>
      </c>
      <c r="AS15" s="205" t="s">
        <v>30</v>
      </c>
    </row>
    <row r="16" spans="1:58" ht="14.95" customHeight="1" thickBot="1" x14ac:dyDescent="0.3">
      <c r="A16" s="155" t="s">
        <v>159</v>
      </c>
      <c r="B16" s="91">
        <v>2</v>
      </c>
      <c r="C16" s="43">
        <v>0</v>
      </c>
      <c r="D16" s="468">
        <v>0</v>
      </c>
      <c r="E16" s="444">
        <v>1</v>
      </c>
      <c r="F16" s="164">
        <f t="shared" si="8"/>
        <v>3</v>
      </c>
      <c r="G16" s="157" t="s">
        <v>159</v>
      </c>
      <c r="H16" s="174">
        <v>81</v>
      </c>
      <c r="I16" s="225">
        <v>0</v>
      </c>
      <c r="J16" s="501">
        <v>0</v>
      </c>
      <c r="K16" s="378">
        <v>41</v>
      </c>
      <c r="L16" s="160">
        <f t="shared" si="9"/>
        <v>122</v>
      </c>
      <c r="M16" s="155" t="s">
        <v>99</v>
      </c>
      <c r="N16" s="164" t="s">
        <v>30</v>
      </c>
      <c r="O16" s="164" t="s">
        <v>30</v>
      </c>
      <c r="P16" s="165" t="s">
        <v>30</v>
      </c>
      <c r="Q16" s="7">
        <v>2</v>
      </c>
      <c r="R16" s="7">
        <v>3</v>
      </c>
      <c r="S16" s="206">
        <f t="shared" ref="S16" si="20">SUM(Q16/R16)*100</f>
        <v>66.666666666666657</v>
      </c>
      <c r="T16" s="7" t="s">
        <v>30</v>
      </c>
      <c r="U16" s="7" t="s">
        <v>30</v>
      </c>
      <c r="V16" s="206" t="s">
        <v>30</v>
      </c>
      <c r="W16" s="6" t="s">
        <v>30</v>
      </c>
      <c r="X16" s="205" t="s">
        <v>30</v>
      </c>
      <c r="Y16" s="205" t="s">
        <v>30</v>
      </c>
      <c r="Z16" s="107"/>
      <c r="AD16" s="276"/>
      <c r="AE16" s="6" t="s">
        <v>30</v>
      </c>
      <c r="AF16" s="205" t="s">
        <v>30</v>
      </c>
      <c r="AG16" s="205" t="s">
        <v>30</v>
      </c>
      <c r="AH16" s="6" t="s">
        <v>30</v>
      </c>
      <c r="AI16" s="205" t="s">
        <v>30</v>
      </c>
      <c r="AJ16" s="205" t="s">
        <v>30</v>
      </c>
      <c r="AK16" s="6" t="s">
        <v>30</v>
      </c>
      <c r="AL16" s="205" t="s">
        <v>30</v>
      </c>
      <c r="AM16" s="205" t="s">
        <v>30</v>
      </c>
      <c r="AN16" s="6" t="s">
        <v>30</v>
      </c>
      <c r="AO16" s="205" t="s">
        <v>30</v>
      </c>
      <c r="AP16" s="205" t="s">
        <v>30</v>
      </c>
      <c r="AQ16" s="205" t="s">
        <v>30</v>
      </c>
      <c r="AR16" s="205" t="s">
        <v>30</v>
      </c>
      <c r="AS16" s="205" t="s">
        <v>30</v>
      </c>
    </row>
    <row r="17" spans="1:48" ht="14.95" customHeight="1" thickBot="1" x14ac:dyDescent="0.3">
      <c r="A17" s="155" t="s">
        <v>40</v>
      </c>
      <c r="B17" s="91">
        <v>0</v>
      </c>
      <c r="C17" s="43">
        <v>0</v>
      </c>
      <c r="D17" s="468">
        <v>0</v>
      </c>
      <c r="E17" s="444">
        <v>0</v>
      </c>
      <c r="F17" s="164">
        <f t="shared" si="8"/>
        <v>0</v>
      </c>
      <c r="G17" s="157" t="s">
        <v>40</v>
      </c>
      <c r="H17" s="174">
        <v>0</v>
      </c>
      <c r="I17" s="225">
        <v>0</v>
      </c>
      <c r="J17" s="501">
        <v>0</v>
      </c>
      <c r="K17" s="378">
        <v>0</v>
      </c>
      <c r="L17" s="160">
        <f t="shared" si="9"/>
        <v>0</v>
      </c>
      <c r="M17" s="155" t="s">
        <v>67</v>
      </c>
      <c r="N17" s="164" t="s">
        <v>30</v>
      </c>
      <c r="O17" s="164" t="s">
        <v>30</v>
      </c>
      <c r="P17" s="165" t="s">
        <v>30</v>
      </c>
      <c r="Q17" s="7" t="s">
        <v>30</v>
      </c>
      <c r="R17" s="7" t="s">
        <v>30</v>
      </c>
      <c r="S17" s="7" t="s">
        <v>30</v>
      </c>
      <c r="T17" s="7" t="s">
        <v>30</v>
      </c>
      <c r="U17" s="7" t="s">
        <v>30</v>
      </c>
      <c r="V17" s="7" t="s">
        <v>30</v>
      </c>
      <c r="W17" s="6" t="s">
        <v>30</v>
      </c>
      <c r="X17" s="205" t="s">
        <v>30</v>
      </c>
      <c r="Y17" s="205" t="s">
        <v>30</v>
      </c>
      <c r="Z17" s="107"/>
      <c r="AD17" s="276"/>
      <c r="AE17" s="201">
        <v>1</v>
      </c>
      <c r="AF17" s="7">
        <v>2</v>
      </c>
      <c r="AG17" s="206">
        <f>SUM(AE17/AF17)*100</f>
        <v>50</v>
      </c>
      <c r="AH17" s="201" t="s">
        <v>30</v>
      </c>
      <c r="AI17" s="7" t="s">
        <v>30</v>
      </c>
      <c r="AJ17" s="7" t="s">
        <v>30</v>
      </c>
      <c r="AK17" s="201" t="s">
        <v>30</v>
      </c>
      <c r="AL17" s="7" t="s">
        <v>30</v>
      </c>
      <c r="AM17" s="7" t="s">
        <v>30</v>
      </c>
      <c r="AN17" s="201" t="s">
        <v>30</v>
      </c>
      <c r="AO17" s="7" t="s">
        <v>30</v>
      </c>
      <c r="AP17" s="7" t="s">
        <v>30</v>
      </c>
      <c r="AQ17" s="201" t="s">
        <v>30</v>
      </c>
      <c r="AR17" s="7" t="s">
        <v>30</v>
      </c>
      <c r="AS17" s="7" t="s">
        <v>30</v>
      </c>
    </row>
    <row r="18" spans="1:48" ht="14.95" customHeight="1" thickBot="1" x14ac:dyDescent="0.3">
      <c r="A18" s="155" t="s">
        <v>55</v>
      </c>
      <c r="B18" s="91">
        <v>1</v>
      </c>
      <c r="C18" s="43">
        <v>0</v>
      </c>
      <c r="D18" s="468">
        <v>1</v>
      </c>
      <c r="E18" s="444">
        <v>1</v>
      </c>
      <c r="F18" s="164">
        <f t="shared" si="8"/>
        <v>3</v>
      </c>
      <c r="G18" s="157" t="s">
        <v>55</v>
      </c>
      <c r="H18" s="174">
        <v>5</v>
      </c>
      <c r="I18" s="225">
        <v>0</v>
      </c>
      <c r="J18" s="501">
        <v>5</v>
      </c>
      <c r="K18" s="378">
        <v>5</v>
      </c>
      <c r="L18" s="161">
        <f t="shared" si="9"/>
        <v>15</v>
      </c>
    </row>
    <row r="19" spans="1:48" ht="14.95" customHeight="1" thickBot="1" x14ac:dyDescent="0.3">
      <c r="A19" s="155" t="s">
        <v>1071</v>
      </c>
      <c r="B19" s="91">
        <v>0</v>
      </c>
      <c r="C19" s="43">
        <v>0</v>
      </c>
      <c r="D19" s="468">
        <v>0</v>
      </c>
      <c r="E19" s="444">
        <v>4</v>
      </c>
      <c r="F19" s="164">
        <f t="shared" si="8"/>
        <v>4</v>
      </c>
      <c r="G19" s="157" t="s">
        <v>1071</v>
      </c>
      <c r="H19" s="174">
        <v>0</v>
      </c>
      <c r="I19" s="225">
        <v>0</v>
      </c>
      <c r="J19" s="501">
        <v>0</v>
      </c>
      <c r="K19" s="378">
        <v>20</v>
      </c>
      <c r="L19" s="162">
        <f t="shared" si="9"/>
        <v>20</v>
      </c>
      <c r="M19" s="569" t="s">
        <v>511</v>
      </c>
      <c r="N19" s="526" t="s">
        <v>29</v>
      </c>
      <c r="O19" s="527"/>
      <c r="P19" s="528"/>
      <c r="Q19" s="520" t="s">
        <v>634</v>
      </c>
      <c r="R19" s="521"/>
      <c r="S19" s="522"/>
      <c r="T19" s="520" t="s">
        <v>863</v>
      </c>
      <c r="U19" s="521"/>
      <c r="V19" s="522"/>
      <c r="W19" s="520" t="s">
        <v>621</v>
      </c>
      <c r="X19" s="521"/>
      <c r="Y19" s="522"/>
      <c r="Z19" s="214"/>
      <c r="AA19" s="214"/>
      <c r="AB19" s="214"/>
      <c r="AE19" s="520" t="s">
        <v>448</v>
      </c>
      <c r="AF19" s="521"/>
      <c r="AG19" s="522"/>
      <c r="AH19" s="520" t="s">
        <v>178</v>
      </c>
      <c r="AI19" s="521"/>
      <c r="AJ19" s="522"/>
      <c r="AK19" s="520" t="s">
        <v>122</v>
      </c>
      <c r="AL19" s="521"/>
      <c r="AM19" s="522"/>
      <c r="AN19" s="520" t="s">
        <v>113</v>
      </c>
      <c r="AO19" s="521"/>
      <c r="AP19" s="522"/>
      <c r="AQ19" s="520" t="s">
        <v>85</v>
      </c>
      <c r="AR19" s="521"/>
      <c r="AS19" s="522"/>
    </row>
    <row r="20" spans="1:48" ht="14.95" customHeight="1" thickBot="1" x14ac:dyDescent="0.3">
      <c r="A20" s="155" t="s">
        <v>61</v>
      </c>
      <c r="B20" s="91">
        <v>1</v>
      </c>
      <c r="C20" s="43">
        <v>0</v>
      </c>
      <c r="D20" s="468">
        <v>0</v>
      </c>
      <c r="E20" s="444">
        <v>0</v>
      </c>
      <c r="F20" s="164">
        <f t="shared" si="8"/>
        <v>1</v>
      </c>
      <c r="G20" s="157" t="s">
        <v>61</v>
      </c>
      <c r="H20" s="174">
        <v>5</v>
      </c>
      <c r="I20" s="225">
        <v>0</v>
      </c>
      <c r="J20" s="501">
        <v>0</v>
      </c>
      <c r="K20" s="378">
        <v>0</v>
      </c>
      <c r="L20" s="162">
        <f t="shared" si="9"/>
        <v>5</v>
      </c>
      <c r="M20" s="570"/>
      <c r="N20" s="529"/>
      <c r="O20" s="530"/>
      <c r="P20" s="531"/>
      <c r="Q20" s="523"/>
      <c r="R20" s="524"/>
      <c r="S20" s="525"/>
      <c r="T20" s="523"/>
      <c r="U20" s="524"/>
      <c r="V20" s="525"/>
      <c r="W20" s="523"/>
      <c r="X20" s="524"/>
      <c r="Y20" s="525"/>
      <c r="Z20" s="214"/>
      <c r="AA20" s="214"/>
      <c r="AB20" s="214"/>
      <c r="AE20" s="523"/>
      <c r="AF20" s="524"/>
      <c r="AG20" s="525"/>
      <c r="AH20" s="523"/>
      <c r="AI20" s="524"/>
      <c r="AJ20" s="525"/>
      <c r="AK20" s="523"/>
      <c r="AL20" s="524"/>
      <c r="AM20" s="525"/>
      <c r="AN20" s="523"/>
      <c r="AO20" s="524"/>
      <c r="AP20" s="525"/>
      <c r="AQ20" s="523"/>
      <c r="AR20" s="524"/>
      <c r="AS20" s="525"/>
    </row>
    <row r="21" spans="1:48" ht="14.95" customHeight="1" thickBot="1" x14ac:dyDescent="0.3">
      <c r="A21" s="155" t="s">
        <v>99</v>
      </c>
      <c r="B21" s="91">
        <v>7</v>
      </c>
      <c r="C21" s="43">
        <v>1</v>
      </c>
      <c r="D21" s="468">
        <v>1</v>
      </c>
      <c r="E21" s="444">
        <v>0</v>
      </c>
      <c r="F21" s="164">
        <f t="shared" si="8"/>
        <v>9</v>
      </c>
      <c r="G21" s="157" t="s">
        <v>99</v>
      </c>
      <c r="H21" s="174">
        <v>39</v>
      </c>
      <c r="I21" s="225">
        <v>5</v>
      </c>
      <c r="J21" s="501">
        <v>5</v>
      </c>
      <c r="K21" s="378">
        <v>0</v>
      </c>
      <c r="L21" s="160">
        <f t="shared" si="9"/>
        <v>49</v>
      </c>
      <c r="M21" s="466" t="s">
        <v>44</v>
      </c>
      <c r="N21" s="3" t="s">
        <v>107</v>
      </c>
      <c r="O21" s="3" t="s">
        <v>23</v>
      </c>
      <c r="P21" s="3" t="s">
        <v>24</v>
      </c>
      <c r="Q21" s="7" t="s">
        <v>107</v>
      </c>
      <c r="R21" s="7" t="s">
        <v>23</v>
      </c>
      <c r="S21" s="7" t="s">
        <v>24</v>
      </c>
      <c r="T21" s="7" t="s">
        <v>107</v>
      </c>
      <c r="U21" s="7" t="s">
        <v>23</v>
      </c>
      <c r="V21" s="7" t="s">
        <v>24</v>
      </c>
      <c r="W21" s="201" t="s">
        <v>107</v>
      </c>
      <c r="X21" s="7" t="s">
        <v>23</v>
      </c>
      <c r="Y21" s="7" t="s">
        <v>24</v>
      </c>
      <c r="AE21" s="201" t="s">
        <v>107</v>
      </c>
      <c r="AF21" s="7" t="s">
        <v>23</v>
      </c>
      <c r="AG21" s="7" t="s">
        <v>24</v>
      </c>
      <c r="AH21" s="201" t="s">
        <v>107</v>
      </c>
      <c r="AI21" s="7" t="s">
        <v>23</v>
      </c>
      <c r="AJ21" s="7" t="s">
        <v>24</v>
      </c>
      <c r="AK21" s="201" t="s">
        <v>107</v>
      </c>
      <c r="AL21" s="7" t="s">
        <v>23</v>
      </c>
      <c r="AM21" s="7" t="s">
        <v>24</v>
      </c>
      <c r="AN21" s="201" t="s">
        <v>107</v>
      </c>
      <c r="AO21" s="7" t="s">
        <v>23</v>
      </c>
      <c r="AP21" s="7" t="s">
        <v>24</v>
      </c>
      <c r="AQ21" s="201" t="s">
        <v>107</v>
      </c>
      <c r="AR21" s="7" t="s">
        <v>23</v>
      </c>
      <c r="AS21" s="7" t="s">
        <v>24</v>
      </c>
    </row>
    <row r="22" spans="1:48" ht="14.95" customHeight="1" thickBot="1" x14ac:dyDescent="0.3">
      <c r="A22" s="155" t="s">
        <v>742</v>
      </c>
      <c r="B22" s="91">
        <v>3</v>
      </c>
      <c r="C22" s="43">
        <v>0</v>
      </c>
      <c r="D22" s="468">
        <v>0</v>
      </c>
      <c r="E22" s="444">
        <v>1</v>
      </c>
      <c r="F22" s="164">
        <f t="shared" si="8"/>
        <v>4</v>
      </c>
      <c r="G22" s="157" t="s">
        <v>742</v>
      </c>
      <c r="H22" s="174">
        <v>15</v>
      </c>
      <c r="I22" s="225">
        <v>0</v>
      </c>
      <c r="J22" s="501">
        <v>0</v>
      </c>
      <c r="K22" s="378">
        <v>5</v>
      </c>
      <c r="L22" s="160">
        <f t="shared" si="9"/>
        <v>20</v>
      </c>
      <c r="M22" s="155" t="s">
        <v>239</v>
      </c>
      <c r="N22" s="409">
        <v>2</v>
      </c>
      <c r="O22" s="410">
        <v>3</v>
      </c>
      <c r="P22" s="447">
        <f t="shared" ref="P22" si="21">SUM(N22/O22)*100</f>
        <v>66.666666666666657</v>
      </c>
      <c r="Q22" s="6" t="s">
        <v>30</v>
      </c>
      <c r="R22" s="205" t="s">
        <v>30</v>
      </c>
      <c r="S22" s="205" t="s">
        <v>30</v>
      </c>
      <c r="T22" s="6" t="s">
        <v>30</v>
      </c>
      <c r="U22" s="205" t="s">
        <v>30</v>
      </c>
      <c r="V22" s="205" t="s">
        <v>30</v>
      </c>
      <c r="W22" s="201">
        <v>10</v>
      </c>
      <c r="X22" s="7">
        <v>15</v>
      </c>
      <c r="Y22" s="206">
        <f t="shared" ref="Y22" si="22">SUM(W22/X22)*100</f>
        <v>66.666666666666657</v>
      </c>
      <c r="AE22" s="6" t="s">
        <v>30</v>
      </c>
      <c r="AF22" s="205" t="s">
        <v>30</v>
      </c>
      <c r="AG22" s="205" t="s">
        <v>30</v>
      </c>
      <c r="AH22" s="6" t="s">
        <v>30</v>
      </c>
      <c r="AI22" s="205" t="s">
        <v>30</v>
      </c>
      <c r="AJ22" s="205" t="s">
        <v>30</v>
      </c>
      <c r="AK22" s="6" t="s">
        <v>30</v>
      </c>
      <c r="AL22" s="205" t="s">
        <v>30</v>
      </c>
      <c r="AM22" s="205" t="s">
        <v>30</v>
      </c>
      <c r="AN22" s="6" t="s">
        <v>30</v>
      </c>
      <c r="AO22" s="205" t="s">
        <v>30</v>
      </c>
      <c r="AP22" s="205" t="s">
        <v>30</v>
      </c>
      <c r="AQ22" s="6" t="s">
        <v>30</v>
      </c>
      <c r="AR22" s="205" t="s">
        <v>30</v>
      </c>
      <c r="AS22" s="205" t="s">
        <v>30</v>
      </c>
    </row>
    <row r="23" spans="1:48" ht="14.95" customHeight="1" thickBot="1" x14ac:dyDescent="0.3">
      <c r="A23" s="155" t="s">
        <v>79</v>
      </c>
      <c r="B23" s="91">
        <v>0</v>
      </c>
      <c r="C23" s="43">
        <v>0</v>
      </c>
      <c r="D23" s="468">
        <v>0</v>
      </c>
      <c r="E23" s="444">
        <v>0</v>
      </c>
      <c r="F23" s="164">
        <f t="shared" si="8"/>
        <v>0</v>
      </c>
      <c r="G23" s="157" t="s">
        <v>79</v>
      </c>
      <c r="H23" s="174">
        <v>0</v>
      </c>
      <c r="I23" s="225">
        <v>0</v>
      </c>
      <c r="J23" s="501">
        <v>0</v>
      </c>
      <c r="K23" s="378">
        <v>0</v>
      </c>
      <c r="L23" s="160">
        <f t="shared" si="9"/>
        <v>0</v>
      </c>
      <c r="M23" s="155" t="s">
        <v>67</v>
      </c>
      <c r="N23" s="409" t="s">
        <v>30</v>
      </c>
      <c r="O23" s="410" t="s">
        <v>30</v>
      </c>
      <c r="P23" s="447" t="s">
        <v>30</v>
      </c>
      <c r="Q23" s="7">
        <v>3</v>
      </c>
      <c r="R23" s="7">
        <v>5</v>
      </c>
      <c r="S23" s="7">
        <f t="shared" ref="S23:S25" si="23">SUM(Q23/R23)*100</f>
        <v>60</v>
      </c>
      <c r="T23" s="6" t="s">
        <v>30</v>
      </c>
      <c r="U23" s="205" t="s">
        <v>30</v>
      </c>
      <c r="V23" s="205" t="s">
        <v>30</v>
      </c>
      <c r="W23" s="6" t="s">
        <v>30</v>
      </c>
      <c r="X23" s="205" t="s">
        <v>30</v>
      </c>
      <c r="Y23" s="205" t="s">
        <v>30</v>
      </c>
      <c r="AE23" s="6" t="s">
        <v>30</v>
      </c>
      <c r="AF23" s="205" t="s">
        <v>30</v>
      </c>
      <c r="AG23" s="205" t="s">
        <v>30</v>
      </c>
      <c r="AH23" s="6" t="s">
        <v>30</v>
      </c>
      <c r="AI23" s="205" t="s">
        <v>30</v>
      </c>
      <c r="AJ23" s="205" t="s">
        <v>30</v>
      </c>
      <c r="AK23" s="6" t="s">
        <v>30</v>
      </c>
      <c r="AL23" s="205" t="s">
        <v>30</v>
      </c>
      <c r="AM23" s="205" t="s">
        <v>30</v>
      </c>
      <c r="AN23" s="6" t="s">
        <v>30</v>
      </c>
      <c r="AO23" s="205" t="s">
        <v>30</v>
      </c>
      <c r="AP23" s="205" t="s">
        <v>30</v>
      </c>
      <c r="AQ23" s="205" t="s">
        <v>30</v>
      </c>
      <c r="AR23" s="205" t="s">
        <v>30</v>
      </c>
      <c r="AS23" s="205" t="s">
        <v>30</v>
      </c>
    </row>
    <row r="24" spans="1:48" ht="14.95" customHeight="1" thickBot="1" x14ac:dyDescent="0.3">
      <c r="A24" s="155" t="s">
        <v>1070</v>
      </c>
      <c r="B24" s="91">
        <v>0</v>
      </c>
      <c r="C24" s="43">
        <v>0</v>
      </c>
      <c r="D24" s="468">
        <v>0</v>
      </c>
      <c r="E24" s="444">
        <v>2</v>
      </c>
      <c r="F24" s="164">
        <f t="shared" si="8"/>
        <v>2</v>
      </c>
      <c r="G24" s="157" t="s">
        <v>1070</v>
      </c>
      <c r="H24" s="174">
        <v>0</v>
      </c>
      <c r="I24" s="225">
        <v>0</v>
      </c>
      <c r="J24" s="501">
        <v>0</v>
      </c>
      <c r="K24" s="378">
        <v>10</v>
      </c>
      <c r="L24" s="160">
        <f t="shared" si="9"/>
        <v>10</v>
      </c>
      <c r="M24" s="155" t="s">
        <v>158</v>
      </c>
      <c r="N24" s="409">
        <v>1</v>
      </c>
      <c r="O24" s="410">
        <v>1</v>
      </c>
      <c r="P24" s="447">
        <f t="shared" ref="P24" si="24">SUM(N24/O24)*100</f>
        <v>100</v>
      </c>
      <c r="Q24" s="6" t="s">
        <v>30</v>
      </c>
      <c r="R24" s="205" t="s">
        <v>30</v>
      </c>
      <c r="S24" s="205" t="s">
        <v>30</v>
      </c>
      <c r="T24" s="6" t="s">
        <v>30</v>
      </c>
      <c r="U24" s="205" t="s">
        <v>30</v>
      </c>
      <c r="V24" s="205" t="s">
        <v>30</v>
      </c>
      <c r="W24" s="6" t="s">
        <v>30</v>
      </c>
      <c r="X24" s="205" t="s">
        <v>30</v>
      </c>
      <c r="Y24" s="205" t="s">
        <v>30</v>
      </c>
      <c r="AE24" s="6" t="s">
        <v>30</v>
      </c>
      <c r="AF24" s="205" t="s">
        <v>30</v>
      </c>
      <c r="AG24" s="205" t="s">
        <v>30</v>
      </c>
      <c r="AH24" s="6" t="s">
        <v>30</v>
      </c>
      <c r="AI24" s="205" t="s">
        <v>30</v>
      </c>
      <c r="AJ24" s="205" t="s">
        <v>30</v>
      </c>
      <c r="AK24" s="6" t="s">
        <v>30</v>
      </c>
      <c r="AL24" s="205" t="s">
        <v>30</v>
      </c>
      <c r="AM24" s="205" t="s">
        <v>30</v>
      </c>
      <c r="AN24" s="6" t="s">
        <v>30</v>
      </c>
      <c r="AO24" s="205" t="s">
        <v>30</v>
      </c>
      <c r="AP24" s="205" t="s">
        <v>30</v>
      </c>
      <c r="AQ24" s="6" t="s">
        <v>30</v>
      </c>
      <c r="AR24" s="205" t="s">
        <v>30</v>
      </c>
      <c r="AS24" s="205" t="s">
        <v>30</v>
      </c>
    </row>
    <row r="25" spans="1:48" ht="14.95" customHeight="1" thickBot="1" x14ac:dyDescent="0.3">
      <c r="A25" s="155" t="s">
        <v>100</v>
      </c>
      <c r="B25" s="91">
        <v>4</v>
      </c>
      <c r="C25" s="43">
        <v>0</v>
      </c>
      <c r="D25" s="468">
        <v>0</v>
      </c>
      <c r="E25" s="444">
        <v>0</v>
      </c>
      <c r="F25" s="164">
        <f t="shared" si="8"/>
        <v>4</v>
      </c>
      <c r="G25" s="157" t="s">
        <v>100</v>
      </c>
      <c r="H25" s="174">
        <v>20</v>
      </c>
      <c r="I25" s="225">
        <v>0</v>
      </c>
      <c r="J25" s="501">
        <v>0</v>
      </c>
      <c r="K25" s="378">
        <v>0</v>
      </c>
      <c r="L25" s="160">
        <f t="shared" si="9"/>
        <v>20</v>
      </c>
      <c r="M25" s="155" t="s">
        <v>159</v>
      </c>
      <c r="N25" s="409" t="s">
        <v>30</v>
      </c>
      <c r="O25" s="410" t="s">
        <v>30</v>
      </c>
      <c r="P25" s="447" t="s">
        <v>30</v>
      </c>
      <c r="Q25" s="210">
        <v>6</v>
      </c>
      <c r="R25" s="210">
        <v>7</v>
      </c>
      <c r="S25" s="407">
        <f t="shared" si="23"/>
        <v>85.714285714285708</v>
      </c>
      <c r="T25" s="6" t="s">
        <v>30</v>
      </c>
      <c r="U25" s="205" t="s">
        <v>30</v>
      </c>
      <c r="V25" s="205" t="s">
        <v>30</v>
      </c>
      <c r="W25" s="254">
        <v>19</v>
      </c>
      <c r="X25" s="7">
        <v>23</v>
      </c>
      <c r="Y25" s="206">
        <f t="shared" ref="Y25" si="25">SUM(W25/X25)*100</f>
        <v>82.608695652173907</v>
      </c>
      <c r="AE25" s="226" t="s">
        <v>30</v>
      </c>
      <c r="AF25" s="6" t="s">
        <v>30</v>
      </c>
      <c r="AG25" s="211" t="s">
        <v>30</v>
      </c>
      <c r="AH25" s="6" t="s">
        <v>30</v>
      </c>
      <c r="AI25" s="6" t="s">
        <v>30</v>
      </c>
      <c r="AJ25" s="211" t="s">
        <v>30</v>
      </c>
      <c r="AK25" s="7" t="s">
        <v>30</v>
      </c>
      <c r="AL25" s="7" t="s">
        <v>30</v>
      </c>
      <c r="AM25" s="206" t="s">
        <v>30</v>
      </c>
      <c r="AN25" s="7" t="s">
        <v>30</v>
      </c>
      <c r="AO25" s="7" t="s">
        <v>30</v>
      </c>
      <c r="AP25" s="206" t="s">
        <v>30</v>
      </c>
      <c r="AQ25" s="7" t="s">
        <v>30</v>
      </c>
      <c r="AR25" s="7" t="s">
        <v>30</v>
      </c>
      <c r="AS25" s="206" t="s">
        <v>30</v>
      </c>
    </row>
    <row r="26" spans="1:48" ht="14.95" customHeight="1" thickBot="1" x14ac:dyDescent="0.3">
      <c r="A26" s="155" t="s">
        <v>92</v>
      </c>
      <c r="B26" s="91">
        <v>0</v>
      </c>
      <c r="C26" s="43">
        <v>0</v>
      </c>
      <c r="D26" s="468">
        <v>0</v>
      </c>
      <c r="E26" s="444">
        <v>1</v>
      </c>
      <c r="F26" s="164">
        <f t="shared" si="8"/>
        <v>1</v>
      </c>
      <c r="G26" s="157" t="s">
        <v>92</v>
      </c>
      <c r="H26" s="174">
        <v>0</v>
      </c>
      <c r="I26" s="225">
        <v>0</v>
      </c>
      <c r="J26" s="501">
        <v>0</v>
      </c>
      <c r="K26" s="378">
        <v>5</v>
      </c>
      <c r="L26" s="160">
        <f t="shared" si="9"/>
        <v>5</v>
      </c>
      <c r="M26" s="406" t="s">
        <v>99</v>
      </c>
      <c r="N26" s="409" t="s">
        <v>30</v>
      </c>
      <c r="O26" s="410" t="s">
        <v>30</v>
      </c>
      <c r="P26" s="447" t="s">
        <v>30</v>
      </c>
      <c r="Q26" s="274"/>
      <c r="R26" s="274"/>
      <c r="S26" s="408"/>
      <c r="T26" s="6" t="s">
        <v>30</v>
      </c>
      <c r="U26" s="205" t="s">
        <v>30</v>
      </c>
      <c r="V26" s="205" t="s">
        <v>30</v>
      </c>
      <c r="W26" s="6">
        <v>7</v>
      </c>
      <c r="X26" s="7">
        <v>7</v>
      </c>
      <c r="Y26" s="206">
        <f>SUM(W26/X26)*100</f>
        <v>100</v>
      </c>
      <c r="AE26" s="6" t="s">
        <v>30</v>
      </c>
      <c r="AF26" s="7" t="s">
        <v>30</v>
      </c>
      <c r="AG26" s="206" t="s">
        <v>30</v>
      </c>
      <c r="AH26" s="7" t="s">
        <v>30</v>
      </c>
      <c r="AI26" s="7" t="s">
        <v>30</v>
      </c>
      <c r="AJ26" s="206" t="s">
        <v>30</v>
      </c>
      <c r="AK26" s="7" t="s">
        <v>30</v>
      </c>
      <c r="AL26" s="7" t="s">
        <v>30</v>
      </c>
      <c r="AM26" s="206" t="s">
        <v>30</v>
      </c>
      <c r="AN26" s="7" t="s">
        <v>30</v>
      </c>
      <c r="AO26" s="7" t="s">
        <v>30</v>
      </c>
      <c r="AP26" s="206" t="s">
        <v>30</v>
      </c>
      <c r="AQ26" s="7" t="s">
        <v>30</v>
      </c>
      <c r="AR26" s="7" t="s">
        <v>30</v>
      </c>
      <c r="AS26" s="206" t="s">
        <v>30</v>
      </c>
      <c r="AT26" s="37"/>
      <c r="AU26" s="37"/>
      <c r="AV26" s="37"/>
    </row>
    <row r="27" spans="1:48" ht="14.95" customHeight="1" thickBot="1" x14ac:dyDescent="0.3">
      <c r="A27" s="155" t="s">
        <v>578</v>
      </c>
      <c r="B27" s="91">
        <v>5</v>
      </c>
      <c r="C27" s="43">
        <v>0</v>
      </c>
      <c r="D27" s="468">
        <v>0</v>
      </c>
      <c r="E27" s="444">
        <v>0</v>
      </c>
      <c r="F27" s="164">
        <f t="shared" si="8"/>
        <v>5</v>
      </c>
      <c r="G27" s="157" t="s">
        <v>578</v>
      </c>
      <c r="H27" s="174">
        <v>25</v>
      </c>
      <c r="I27" s="225">
        <v>0</v>
      </c>
      <c r="J27" s="501">
        <v>0</v>
      </c>
      <c r="K27" s="378">
        <v>0</v>
      </c>
      <c r="L27" s="160">
        <f t="shared" si="9"/>
        <v>25</v>
      </c>
      <c r="M27" s="119"/>
      <c r="N27" s="109"/>
      <c r="O27" s="109"/>
      <c r="P27" s="109"/>
      <c r="AH27" s="37"/>
    </row>
    <row r="28" spans="1:48" ht="14.95" customHeight="1" thickBot="1" x14ac:dyDescent="0.3">
      <c r="A28" s="155" t="s">
        <v>161</v>
      </c>
      <c r="B28" s="91">
        <v>11</v>
      </c>
      <c r="C28" s="43">
        <v>1</v>
      </c>
      <c r="D28" s="468">
        <v>0</v>
      </c>
      <c r="E28" s="444">
        <v>0</v>
      </c>
      <c r="F28" s="164">
        <f t="shared" si="8"/>
        <v>12</v>
      </c>
      <c r="G28" s="157" t="s">
        <v>161</v>
      </c>
      <c r="H28" s="174">
        <v>55</v>
      </c>
      <c r="I28" s="225">
        <v>5</v>
      </c>
      <c r="J28" s="501">
        <v>0</v>
      </c>
      <c r="K28" s="378">
        <v>0</v>
      </c>
      <c r="L28" s="160">
        <f t="shared" si="9"/>
        <v>60</v>
      </c>
      <c r="M28" s="547" t="s">
        <v>179</v>
      </c>
      <c r="N28" s="555" t="s">
        <v>29</v>
      </c>
      <c r="O28" s="556"/>
      <c r="P28" s="557"/>
      <c r="Q28" s="520" t="s">
        <v>634</v>
      </c>
      <c r="R28" s="521"/>
      <c r="S28" s="522"/>
      <c r="T28" s="520" t="s">
        <v>863</v>
      </c>
      <c r="U28" s="521"/>
      <c r="V28" s="522"/>
      <c r="W28" s="520" t="s">
        <v>621</v>
      </c>
      <c r="X28" s="521"/>
      <c r="Y28" s="522"/>
      <c r="AE28" s="520" t="s">
        <v>448</v>
      </c>
      <c r="AF28" s="521"/>
      <c r="AG28" s="522"/>
      <c r="AH28" s="520" t="s">
        <v>178</v>
      </c>
      <c r="AI28" s="521"/>
      <c r="AJ28" s="522"/>
      <c r="AK28" s="520" t="s">
        <v>113</v>
      </c>
      <c r="AL28" s="521"/>
      <c r="AM28" s="522"/>
      <c r="AN28" s="520" t="s">
        <v>85</v>
      </c>
      <c r="AO28" s="521"/>
      <c r="AP28" s="522"/>
    </row>
    <row r="29" spans="1:48" ht="14.95" customHeight="1" thickBot="1" x14ac:dyDescent="0.3">
      <c r="A29" s="155" t="s">
        <v>89</v>
      </c>
      <c r="B29" s="91">
        <v>0</v>
      </c>
      <c r="C29" s="43">
        <v>0</v>
      </c>
      <c r="D29" s="468">
        <v>0</v>
      </c>
      <c r="E29" s="444">
        <v>0</v>
      </c>
      <c r="F29" s="164">
        <f t="shared" si="8"/>
        <v>0</v>
      </c>
      <c r="G29" s="157" t="s">
        <v>89</v>
      </c>
      <c r="H29" s="174">
        <v>0</v>
      </c>
      <c r="I29" s="225">
        <v>0</v>
      </c>
      <c r="J29" s="501">
        <v>0</v>
      </c>
      <c r="K29" s="378">
        <v>0</v>
      </c>
      <c r="L29" s="160">
        <f t="shared" si="9"/>
        <v>0</v>
      </c>
      <c r="M29" s="548"/>
      <c r="N29" s="558"/>
      <c r="O29" s="559"/>
      <c r="P29" s="560"/>
      <c r="Q29" s="523"/>
      <c r="R29" s="524"/>
      <c r="S29" s="525"/>
      <c r="T29" s="523"/>
      <c r="U29" s="524"/>
      <c r="V29" s="525"/>
      <c r="W29" s="523"/>
      <c r="X29" s="524"/>
      <c r="Y29" s="525"/>
      <c r="AE29" s="523"/>
      <c r="AF29" s="524"/>
      <c r="AG29" s="525"/>
      <c r="AH29" s="523"/>
      <c r="AI29" s="524"/>
      <c r="AJ29" s="525"/>
      <c r="AK29" s="523"/>
      <c r="AL29" s="524"/>
      <c r="AM29" s="525"/>
      <c r="AN29" s="523"/>
      <c r="AO29" s="524"/>
      <c r="AP29" s="525"/>
    </row>
    <row r="30" spans="1:48" ht="14.95" customHeight="1" thickBot="1" x14ac:dyDescent="0.3">
      <c r="A30" s="155" t="s">
        <v>238</v>
      </c>
      <c r="B30" s="91">
        <v>0</v>
      </c>
      <c r="C30" s="43">
        <v>0</v>
      </c>
      <c r="D30" s="468">
        <v>0</v>
      </c>
      <c r="E30" s="444">
        <v>0</v>
      </c>
      <c r="F30" s="164">
        <f t="shared" si="8"/>
        <v>0</v>
      </c>
      <c r="G30" s="157" t="s">
        <v>238</v>
      </c>
      <c r="H30" s="174">
        <v>0</v>
      </c>
      <c r="I30" s="225">
        <v>0</v>
      </c>
      <c r="J30" s="501">
        <v>0</v>
      </c>
      <c r="K30" s="378">
        <v>0</v>
      </c>
      <c r="L30" s="160">
        <f t="shared" si="9"/>
        <v>0</v>
      </c>
      <c r="M30" s="400" t="s">
        <v>44</v>
      </c>
      <c r="N30" s="229" t="s">
        <v>107</v>
      </c>
      <c r="O30" s="229" t="s">
        <v>23</v>
      </c>
      <c r="P30" s="229" t="s">
        <v>24</v>
      </c>
      <c r="Q30" s="7" t="s">
        <v>107</v>
      </c>
      <c r="R30" s="7" t="s">
        <v>23</v>
      </c>
      <c r="S30" s="7" t="s">
        <v>24</v>
      </c>
      <c r="T30" s="7" t="s">
        <v>107</v>
      </c>
      <c r="U30" s="7" t="s">
        <v>23</v>
      </c>
      <c r="V30" s="7" t="s">
        <v>24</v>
      </c>
      <c r="W30" s="201" t="s">
        <v>107</v>
      </c>
      <c r="X30" s="7" t="s">
        <v>23</v>
      </c>
      <c r="Y30" s="7" t="s">
        <v>24</v>
      </c>
      <c r="AE30" s="201" t="s">
        <v>107</v>
      </c>
      <c r="AF30" s="7" t="s">
        <v>23</v>
      </c>
      <c r="AG30" s="7" t="s">
        <v>24</v>
      </c>
      <c r="AH30" s="201" t="s">
        <v>107</v>
      </c>
      <c r="AI30" s="7" t="s">
        <v>23</v>
      </c>
      <c r="AJ30" s="7" t="s">
        <v>24</v>
      </c>
      <c r="AK30" s="201" t="s">
        <v>107</v>
      </c>
      <c r="AL30" s="7" t="s">
        <v>23</v>
      </c>
      <c r="AM30" s="7" t="s">
        <v>24</v>
      </c>
      <c r="AN30" s="201" t="s">
        <v>107</v>
      </c>
      <c r="AO30" s="7" t="s">
        <v>23</v>
      </c>
      <c r="AP30" s="7" t="s">
        <v>24</v>
      </c>
    </row>
    <row r="31" spans="1:48" ht="14.95" customHeight="1" thickBot="1" x14ac:dyDescent="0.3">
      <c r="A31" s="155" t="s">
        <v>401</v>
      </c>
      <c r="B31" s="91">
        <v>0</v>
      </c>
      <c r="C31" s="43">
        <v>0</v>
      </c>
      <c r="D31" s="468">
        <v>0</v>
      </c>
      <c r="E31" s="444">
        <v>0</v>
      </c>
      <c r="F31" s="164">
        <f t="shared" si="8"/>
        <v>0</v>
      </c>
      <c r="G31" s="157" t="s">
        <v>401</v>
      </c>
      <c r="H31" s="174">
        <v>0</v>
      </c>
      <c r="I31" s="225">
        <v>0</v>
      </c>
      <c r="J31" s="501">
        <v>0</v>
      </c>
      <c r="K31" s="378">
        <v>0</v>
      </c>
      <c r="L31" s="160">
        <f t="shared" si="9"/>
        <v>0</v>
      </c>
      <c r="M31" s="166" t="s">
        <v>159</v>
      </c>
      <c r="N31" s="409">
        <v>16</v>
      </c>
      <c r="O31" s="410">
        <v>23</v>
      </c>
      <c r="P31" s="447">
        <f t="shared" ref="P31" si="26">SUM(N31/O31)*100</f>
        <v>69.565217391304344</v>
      </c>
      <c r="Q31" s="6" t="s">
        <v>30</v>
      </c>
      <c r="R31" s="205" t="s">
        <v>30</v>
      </c>
      <c r="S31" s="205" t="s">
        <v>30</v>
      </c>
      <c r="T31" s="7">
        <v>14</v>
      </c>
      <c r="U31" s="7">
        <v>18</v>
      </c>
      <c r="V31" s="206">
        <f>(T31/U31)*100</f>
        <v>77.777777777777786</v>
      </c>
      <c r="W31" s="201">
        <v>24</v>
      </c>
      <c r="X31" s="7">
        <v>35</v>
      </c>
      <c r="Y31" s="206">
        <f>SUM(W31/X31)*100</f>
        <v>68.571428571428569</v>
      </c>
      <c r="AE31" s="201">
        <v>7</v>
      </c>
      <c r="AF31" s="7">
        <v>8</v>
      </c>
      <c r="AG31" s="206">
        <f>SUM(AE31/AF31)*100</f>
        <v>87.5</v>
      </c>
      <c r="AH31" s="201" t="s">
        <v>30</v>
      </c>
      <c r="AI31" s="7" t="s">
        <v>30</v>
      </c>
      <c r="AJ31" s="7" t="s">
        <v>30</v>
      </c>
      <c r="AK31" s="201" t="s">
        <v>30</v>
      </c>
      <c r="AL31" s="7" t="s">
        <v>30</v>
      </c>
      <c r="AM31" s="7" t="s">
        <v>30</v>
      </c>
      <c r="AN31" s="201" t="s">
        <v>30</v>
      </c>
      <c r="AO31" s="7" t="s">
        <v>30</v>
      </c>
      <c r="AP31" s="7" t="s">
        <v>30</v>
      </c>
    </row>
    <row r="32" spans="1:48" ht="14.95" customHeight="1" thickBot="1" x14ac:dyDescent="0.3">
      <c r="A32" s="155" t="s">
        <v>6</v>
      </c>
      <c r="B32" s="91">
        <v>2</v>
      </c>
      <c r="C32" s="43">
        <v>0</v>
      </c>
      <c r="D32" s="468">
        <v>0</v>
      </c>
      <c r="E32" s="444">
        <v>0</v>
      </c>
      <c r="F32" s="164">
        <f t="shared" si="8"/>
        <v>2</v>
      </c>
      <c r="G32" s="157" t="s">
        <v>6</v>
      </c>
      <c r="H32" s="174">
        <v>14</v>
      </c>
      <c r="I32" s="225">
        <v>0</v>
      </c>
      <c r="J32" s="501">
        <v>0</v>
      </c>
      <c r="K32" s="378">
        <v>0</v>
      </c>
      <c r="L32" s="160">
        <f t="shared" si="9"/>
        <v>14</v>
      </c>
      <c r="M32" s="166" t="s">
        <v>75</v>
      </c>
      <c r="N32" s="409" t="s">
        <v>30</v>
      </c>
      <c r="O32" s="410" t="s">
        <v>30</v>
      </c>
      <c r="P32" s="447" t="s">
        <v>30</v>
      </c>
      <c r="Q32" s="6" t="s">
        <v>30</v>
      </c>
      <c r="R32" s="205" t="s">
        <v>30</v>
      </c>
      <c r="S32" s="205" t="s">
        <v>30</v>
      </c>
      <c r="T32" s="7">
        <v>1</v>
      </c>
      <c r="U32" s="7">
        <v>1</v>
      </c>
      <c r="V32" s="206">
        <f>(T32/U32)*100</f>
        <v>100</v>
      </c>
      <c r="W32" s="201"/>
      <c r="X32" s="7"/>
      <c r="Y32" s="206"/>
      <c r="AE32" s="201"/>
      <c r="AF32" s="7"/>
      <c r="AG32" s="206"/>
      <c r="AH32" s="201"/>
      <c r="AI32" s="7"/>
      <c r="AJ32" s="7"/>
      <c r="AK32" s="201"/>
      <c r="AL32" s="7"/>
      <c r="AM32" s="7"/>
      <c r="AN32" s="201" t="s">
        <v>30</v>
      </c>
      <c r="AO32" s="7" t="s">
        <v>30</v>
      </c>
      <c r="AP32" s="7" t="s">
        <v>30</v>
      </c>
    </row>
    <row r="33" spans="1:42" ht="14.95" customHeight="1" thickBot="1" x14ac:dyDescent="0.3">
      <c r="A33" s="155" t="s">
        <v>521</v>
      </c>
      <c r="B33" s="91">
        <v>6</v>
      </c>
      <c r="C33" s="43">
        <v>0</v>
      </c>
      <c r="D33" s="468">
        <v>0</v>
      </c>
      <c r="E33" s="444">
        <v>0</v>
      </c>
      <c r="F33" s="164">
        <f t="shared" si="8"/>
        <v>6</v>
      </c>
      <c r="G33" s="157" t="s">
        <v>521</v>
      </c>
      <c r="H33" s="174">
        <v>30</v>
      </c>
      <c r="I33" s="225">
        <v>0</v>
      </c>
      <c r="J33" s="501">
        <v>0</v>
      </c>
      <c r="K33" s="378">
        <v>0</v>
      </c>
      <c r="L33" s="160">
        <f t="shared" si="9"/>
        <v>30</v>
      </c>
      <c r="M33" s="166" t="s">
        <v>67</v>
      </c>
      <c r="N33" s="164" t="s">
        <v>30</v>
      </c>
      <c r="O33" s="164" t="s">
        <v>30</v>
      </c>
      <c r="P33" s="165" t="s">
        <v>30</v>
      </c>
      <c r="Q33" s="7" t="s">
        <v>30</v>
      </c>
      <c r="R33" s="7" t="s">
        <v>30</v>
      </c>
      <c r="S33" s="206" t="s">
        <v>30</v>
      </c>
      <c r="T33" s="7" t="s">
        <v>30</v>
      </c>
      <c r="U33" s="7" t="s">
        <v>30</v>
      </c>
      <c r="V33" s="206" t="s">
        <v>30</v>
      </c>
      <c r="W33" s="201">
        <v>1</v>
      </c>
      <c r="X33" s="7">
        <v>1</v>
      </c>
      <c r="Y33" s="206">
        <f t="shared" ref="Y33:Y34" si="27">SUM(W33/X33)*100</f>
        <v>100</v>
      </c>
      <c r="AE33" s="201">
        <v>4</v>
      </c>
      <c r="AF33" s="7">
        <v>5</v>
      </c>
      <c r="AG33" s="206">
        <f t="shared" ref="AG33" si="28">SUM(AE33/AF33)*100</f>
        <v>80</v>
      </c>
      <c r="AH33" s="201" t="s">
        <v>30</v>
      </c>
      <c r="AI33" s="7" t="s">
        <v>30</v>
      </c>
      <c r="AJ33" s="7" t="s">
        <v>30</v>
      </c>
      <c r="AK33" s="201" t="s">
        <v>30</v>
      </c>
      <c r="AL33" s="7" t="s">
        <v>30</v>
      </c>
      <c r="AM33" s="7" t="s">
        <v>30</v>
      </c>
      <c r="AN33" s="201" t="s">
        <v>30</v>
      </c>
      <c r="AO33" s="7" t="s">
        <v>30</v>
      </c>
      <c r="AP33" s="7" t="s">
        <v>30</v>
      </c>
    </row>
    <row r="34" spans="1:42" ht="14.95" customHeight="1" thickBot="1" x14ac:dyDescent="0.3">
      <c r="A34" s="155" t="s">
        <v>124</v>
      </c>
      <c r="B34" s="91">
        <v>1</v>
      </c>
      <c r="C34" s="43">
        <v>0</v>
      </c>
      <c r="D34" s="468">
        <v>0</v>
      </c>
      <c r="E34" s="444">
        <v>0</v>
      </c>
      <c r="F34" s="164">
        <f t="shared" si="8"/>
        <v>1</v>
      </c>
      <c r="G34" s="157" t="s">
        <v>124</v>
      </c>
      <c r="H34" s="174">
        <v>5</v>
      </c>
      <c r="I34" s="225">
        <v>0</v>
      </c>
      <c r="J34" s="501">
        <v>0</v>
      </c>
      <c r="K34" s="378">
        <v>0</v>
      </c>
      <c r="L34" s="160">
        <f t="shared" si="9"/>
        <v>5</v>
      </c>
      <c r="M34" s="166" t="s">
        <v>158</v>
      </c>
      <c r="N34" s="164" t="s">
        <v>30</v>
      </c>
      <c r="O34" s="164" t="s">
        <v>30</v>
      </c>
      <c r="P34" s="165" t="s">
        <v>30</v>
      </c>
      <c r="Q34" s="7" t="s">
        <v>30</v>
      </c>
      <c r="R34" s="7" t="s">
        <v>30</v>
      </c>
      <c r="S34" s="206" t="s">
        <v>30</v>
      </c>
      <c r="T34" s="7" t="s">
        <v>30</v>
      </c>
      <c r="U34" s="7" t="s">
        <v>30</v>
      </c>
      <c r="V34" s="206" t="s">
        <v>30</v>
      </c>
      <c r="W34" s="201">
        <v>1</v>
      </c>
      <c r="X34" s="7">
        <v>1</v>
      </c>
      <c r="Y34" s="206">
        <f t="shared" si="27"/>
        <v>100</v>
      </c>
      <c r="AE34" s="201" t="s">
        <v>30</v>
      </c>
      <c r="AF34" s="7" t="s">
        <v>30</v>
      </c>
      <c r="AG34" s="7" t="s">
        <v>30</v>
      </c>
      <c r="AH34" s="201" t="s">
        <v>30</v>
      </c>
      <c r="AI34" s="7" t="s">
        <v>30</v>
      </c>
      <c r="AJ34" s="7" t="s">
        <v>30</v>
      </c>
      <c r="AK34" s="201" t="s">
        <v>30</v>
      </c>
      <c r="AL34" s="7" t="s">
        <v>30</v>
      </c>
      <c r="AM34" s="7" t="s">
        <v>30</v>
      </c>
      <c r="AN34" s="201" t="s">
        <v>30</v>
      </c>
      <c r="AO34" s="7" t="s">
        <v>30</v>
      </c>
      <c r="AP34" s="7" t="s">
        <v>30</v>
      </c>
    </row>
    <row r="35" spans="1:42" ht="14.95" customHeight="1" thickBot="1" x14ac:dyDescent="0.3">
      <c r="A35" s="155" t="s">
        <v>144</v>
      </c>
      <c r="B35" s="91">
        <v>0</v>
      </c>
      <c r="C35" s="43">
        <v>0</v>
      </c>
      <c r="D35" s="468">
        <v>0</v>
      </c>
      <c r="E35" s="444">
        <v>0</v>
      </c>
      <c r="F35" s="164">
        <f t="shared" si="8"/>
        <v>0</v>
      </c>
      <c r="G35" s="157" t="s">
        <v>144</v>
      </c>
      <c r="H35" s="174">
        <v>0</v>
      </c>
      <c r="I35" s="225">
        <v>0</v>
      </c>
      <c r="J35" s="501">
        <v>0</v>
      </c>
      <c r="K35" s="378">
        <v>0</v>
      </c>
      <c r="L35" s="160">
        <f t="shared" si="9"/>
        <v>0</v>
      </c>
      <c r="M35" t="s">
        <v>623</v>
      </c>
      <c r="T35" t="s">
        <v>44</v>
      </c>
    </row>
    <row r="36" spans="1:42" ht="14.95" customHeight="1" thickBot="1" x14ac:dyDescent="0.3">
      <c r="A36" s="155" t="s">
        <v>428</v>
      </c>
      <c r="B36" s="91">
        <v>0</v>
      </c>
      <c r="C36" s="43">
        <v>0</v>
      </c>
      <c r="D36" s="468">
        <v>0</v>
      </c>
      <c r="E36" s="444">
        <v>1</v>
      </c>
      <c r="F36" s="164">
        <f t="shared" si="8"/>
        <v>1</v>
      </c>
      <c r="G36" s="157" t="s">
        <v>428</v>
      </c>
      <c r="H36" s="174">
        <v>0</v>
      </c>
      <c r="I36" s="225">
        <v>0</v>
      </c>
      <c r="J36" s="501">
        <v>0</v>
      </c>
      <c r="K36" s="378">
        <v>5</v>
      </c>
      <c r="L36" s="160">
        <f t="shared" si="9"/>
        <v>5</v>
      </c>
      <c r="M36" s="554" t="s">
        <v>1138</v>
      </c>
      <c r="N36" s="584"/>
      <c r="O36" s="584"/>
      <c r="P36" s="584"/>
      <c r="Q36" s="584"/>
      <c r="R36" s="584"/>
      <c r="S36" s="584"/>
      <c r="T36" s="584"/>
      <c r="U36" s="584"/>
      <c r="V36" s="584"/>
      <c r="W36" s="584"/>
      <c r="X36" s="584"/>
      <c r="Y36" s="584"/>
      <c r="Z36" s="584"/>
      <c r="AA36" s="584"/>
    </row>
    <row r="37" spans="1:42" ht="14.95" customHeight="1" thickBot="1" x14ac:dyDescent="0.3">
      <c r="A37" s="155" t="s">
        <v>1030</v>
      </c>
      <c r="B37" s="91">
        <v>11</v>
      </c>
      <c r="C37" s="43">
        <v>2</v>
      </c>
      <c r="D37" s="468">
        <v>0</v>
      </c>
      <c r="E37" s="444">
        <v>0</v>
      </c>
      <c r="F37" s="164">
        <f t="shared" si="8"/>
        <v>13</v>
      </c>
      <c r="G37" s="157" t="s">
        <v>1030</v>
      </c>
      <c r="H37" s="174">
        <v>55</v>
      </c>
      <c r="I37" s="225">
        <v>10</v>
      </c>
      <c r="J37" s="501">
        <v>0</v>
      </c>
      <c r="K37" s="378">
        <v>0</v>
      </c>
      <c r="L37" s="160">
        <f t="shared" si="9"/>
        <v>65</v>
      </c>
    </row>
    <row r="38" spans="1:42" ht="14.95" customHeight="1" thickBot="1" x14ac:dyDescent="0.3">
      <c r="A38" s="155" t="s">
        <v>1205</v>
      </c>
      <c r="B38" s="91">
        <v>0</v>
      </c>
      <c r="C38" s="43">
        <v>0</v>
      </c>
      <c r="D38" s="468">
        <v>0</v>
      </c>
      <c r="E38" s="444">
        <v>1</v>
      </c>
      <c r="F38" s="164">
        <f t="shared" si="8"/>
        <v>1</v>
      </c>
      <c r="G38" s="157" t="s">
        <v>1205</v>
      </c>
      <c r="H38" s="174">
        <v>0</v>
      </c>
      <c r="I38" s="225">
        <v>0</v>
      </c>
      <c r="J38" s="501">
        <v>0</v>
      </c>
      <c r="K38" s="378">
        <v>5</v>
      </c>
      <c r="L38" s="160">
        <f t="shared" si="9"/>
        <v>5</v>
      </c>
    </row>
    <row r="39" spans="1:42" ht="14.95" customHeight="1" thickBot="1" x14ac:dyDescent="0.3">
      <c r="A39" s="155" t="s">
        <v>83</v>
      </c>
      <c r="B39" s="91">
        <v>0</v>
      </c>
      <c r="C39" s="43">
        <v>0</v>
      </c>
      <c r="D39" s="468">
        <v>0</v>
      </c>
      <c r="E39" s="444">
        <v>0</v>
      </c>
      <c r="F39" s="164">
        <f t="shared" si="8"/>
        <v>0</v>
      </c>
      <c r="G39" s="157" t="s">
        <v>83</v>
      </c>
      <c r="H39" s="174">
        <v>0</v>
      </c>
      <c r="I39" s="225">
        <v>0</v>
      </c>
      <c r="J39" s="501">
        <v>0</v>
      </c>
      <c r="K39" s="378">
        <v>0</v>
      </c>
      <c r="L39" s="160">
        <f t="shared" si="9"/>
        <v>0</v>
      </c>
    </row>
    <row r="40" spans="1:42" ht="14.95" customHeight="1" thickBot="1" x14ac:dyDescent="0.3">
      <c r="A40" s="155" t="s">
        <v>146</v>
      </c>
      <c r="B40" s="91">
        <v>4</v>
      </c>
      <c r="C40" s="43">
        <v>0</v>
      </c>
      <c r="D40" s="468">
        <v>0</v>
      </c>
      <c r="E40" s="444">
        <v>0</v>
      </c>
      <c r="F40" s="164">
        <f t="shared" si="8"/>
        <v>4</v>
      </c>
      <c r="G40" s="157" t="s">
        <v>146</v>
      </c>
      <c r="H40" s="174">
        <v>20</v>
      </c>
      <c r="I40" s="225">
        <v>0</v>
      </c>
      <c r="J40" s="501">
        <v>0</v>
      </c>
      <c r="K40" s="378">
        <v>0</v>
      </c>
      <c r="L40" s="160">
        <f t="shared" si="9"/>
        <v>20</v>
      </c>
    </row>
    <row r="41" spans="1:42" ht="14.95" customHeight="1" thickBot="1" x14ac:dyDescent="0.3">
      <c r="A41" s="155" t="s">
        <v>1150</v>
      </c>
      <c r="B41" s="91">
        <v>1</v>
      </c>
      <c r="C41" s="43">
        <v>0</v>
      </c>
      <c r="D41" s="468">
        <v>0</v>
      </c>
      <c r="E41" s="444">
        <v>0</v>
      </c>
      <c r="F41" s="164">
        <f t="shared" si="8"/>
        <v>1</v>
      </c>
      <c r="G41" s="157" t="s">
        <v>1150</v>
      </c>
      <c r="H41" s="174">
        <v>5</v>
      </c>
      <c r="I41" s="225">
        <v>0</v>
      </c>
      <c r="J41" s="501">
        <v>0</v>
      </c>
      <c r="K41" s="378">
        <v>0</v>
      </c>
      <c r="L41" s="160">
        <f t="shared" si="9"/>
        <v>5</v>
      </c>
    </row>
    <row r="42" spans="1:42" ht="14.95" customHeight="1" thickBot="1" x14ac:dyDescent="0.3">
      <c r="A42" s="155" t="s">
        <v>5</v>
      </c>
      <c r="B42" s="91">
        <v>1</v>
      </c>
      <c r="C42" s="43">
        <v>0</v>
      </c>
      <c r="D42" s="468">
        <v>0</v>
      </c>
      <c r="E42" s="444">
        <v>0</v>
      </c>
      <c r="F42" s="164">
        <f t="shared" si="8"/>
        <v>1</v>
      </c>
      <c r="G42" s="157" t="s">
        <v>5</v>
      </c>
      <c r="H42" s="174">
        <v>5</v>
      </c>
      <c r="I42" s="225">
        <v>0</v>
      </c>
      <c r="J42" s="501">
        <v>0</v>
      </c>
      <c r="K42" s="378">
        <v>0</v>
      </c>
      <c r="L42" s="160">
        <f t="shared" si="9"/>
        <v>5</v>
      </c>
    </row>
    <row r="43" spans="1:42" ht="14.95" customHeight="1" thickBot="1" x14ac:dyDescent="0.3">
      <c r="A43" s="155" t="s">
        <v>3</v>
      </c>
      <c r="B43" s="91">
        <f>SUM(B3:B42)</f>
        <v>100</v>
      </c>
      <c r="C43" s="43">
        <f>SUM(C3:C42)</f>
        <v>6</v>
      </c>
      <c r="D43" s="468">
        <f>SUM(D3:D42)</f>
        <v>3</v>
      </c>
      <c r="E43" s="444">
        <f>SUM(E3:E42)</f>
        <v>19</v>
      </c>
      <c r="F43" s="164">
        <f>SUM(F3:F42)</f>
        <v>128</v>
      </c>
      <c r="G43" s="157" t="s">
        <v>3</v>
      </c>
      <c r="H43" s="174">
        <f>SUM(H3:H42)</f>
        <v>778</v>
      </c>
      <c r="I43" s="225">
        <f>SUM(I3:I42)</f>
        <v>56</v>
      </c>
      <c r="J43" s="501">
        <f>SUM(J3:J42)</f>
        <v>21</v>
      </c>
      <c r="K43" s="378">
        <f>SUM(K3:K42)</f>
        <v>131</v>
      </c>
      <c r="L43" s="160">
        <f>SUM(L3:L42)</f>
        <v>986</v>
      </c>
    </row>
    <row r="44" spans="1:42" ht="14.95" customHeight="1" thickBot="1" x14ac:dyDescent="0.3">
      <c r="A44" s="84" t="s">
        <v>26</v>
      </c>
      <c r="B44" s="167"/>
      <c r="F44" s="199"/>
      <c r="H44" s="167"/>
    </row>
    <row r="45" spans="1:42" ht="14.95" customHeight="1" thickBot="1" x14ac:dyDescent="0.3">
      <c r="A45" s="154" t="s">
        <v>0</v>
      </c>
      <c r="B45" s="145" t="s">
        <v>620</v>
      </c>
      <c r="C45" s="132" t="s">
        <v>63</v>
      </c>
      <c r="D45" s="467" t="s">
        <v>64</v>
      </c>
      <c r="E45" s="443" t="s">
        <v>925</v>
      </c>
      <c r="F45" s="163" t="s">
        <v>1</v>
      </c>
      <c r="G45" s="156" t="s">
        <v>2</v>
      </c>
      <c r="H45" s="177" t="s">
        <v>620</v>
      </c>
      <c r="I45" s="224" t="s">
        <v>63</v>
      </c>
      <c r="J45" s="500" t="s">
        <v>64</v>
      </c>
      <c r="K45" s="377" t="s">
        <v>925</v>
      </c>
      <c r="L45" s="159" t="s">
        <v>1</v>
      </c>
    </row>
    <row r="46" spans="1:42" ht="14.95" customHeight="1" thickBot="1" x14ac:dyDescent="0.3">
      <c r="A46" s="155" t="s">
        <v>783</v>
      </c>
      <c r="B46" s="91">
        <v>13</v>
      </c>
      <c r="C46" s="43">
        <v>0</v>
      </c>
      <c r="D46" s="468">
        <v>0</v>
      </c>
      <c r="E46" s="444">
        <v>1</v>
      </c>
      <c r="F46" s="164">
        <f t="shared" ref="F46:F85" si="29">SUM(B46:E46)</f>
        <v>14</v>
      </c>
      <c r="G46" s="157" t="s">
        <v>237</v>
      </c>
      <c r="H46" s="174">
        <v>174</v>
      </c>
      <c r="I46" s="225">
        <v>15</v>
      </c>
      <c r="J46" s="501">
        <v>4</v>
      </c>
      <c r="K46" s="378">
        <v>0</v>
      </c>
      <c r="L46" s="160">
        <f t="shared" ref="L46:L85" si="30">SUM(H46:K46)</f>
        <v>193</v>
      </c>
    </row>
    <row r="47" spans="1:42" ht="14.95" customHeight="1" thickBot="1" x14ac:dyDescent="0.3">
      <c r="A47" s="155" t="s">
        <v>1030</v>
      </c>
      <c r="B47" s="91">
        <v>11</v>
      </c>
      <c r="C47" s="43">
        <v>2</v>
      </c>
      <c r="D47" s="468">
        <v>0</v>
      </c>
      <c r="E47" s="444">
        <v>0</v>
      </c>
      <c r="F47" s="164">
        <f t="shared" si="29"/>
        <v>13</v>
      </c>
      <c r="G47" s="157" t="s">
        <v>159</v>
      </c>
      <c r="H47" s="174">
        <v>81</v>
      </c>
      <c r="I47" s="225">
        <v>0</v>
      </c>
      <c r="J47" s="501">
        <v>0</v>
      </c>
      <c r="K47" s="378">
        <v>41</v>
      </c>
      <c r="L47" s="160">
        <f t="shared" si="30"/>
        <v>122</v>
      </c>
    </row>
    <row r="48" spans="1:42" ht="14.95" customHeight="1" thickBot="1" x14ac:dyDescent="0.3">
      <c r="A48" s="155" t="s">
        <v>161</v>
      </c>
      <c r="B48" s="91">
        <v>11</v>
      </c>
      <c r="C48" s="43">
        <v>1</v>
      </c>
      <c r="D48" s="468">
        <v>0</v>
      </c>
      <c r="E48" s="444">
        <v>0</v>
      </c>
      <c r="F48" s="164">
        <f t="shared" si="29"/>
        <v>12</v>
      </c>
      <c r="G48" s="157" t="s">
        <v>783</v>
      </c>
      <c r="H48" s="174">
        <v>65</v>
      </c>
      <c r="I48" s="225">
        <v>0</v>
      </c>
      <c r="J48" s="501">
        <v>0</v>
      </c>
      <c r="K48" s="378">
        <v>5</v>
      </c>
      <c r="L48" s="160">
        <f t="shared" si="30"/>
        <v>70</v>
      </c>
    </row>
    <row r="49" spans="1:12" ht="14.95" customHeight="1" thickBot="1" x14ac:dyDescent="0.3">
      <c r="A49" s="155" t="s">
        <v>99</v>
      </c>
      <c r="B49" s="91">
        <v>7</v>
      </c>
      <c r="C49" s="43">
        <v>1</v>
      </c>
      <c r="D49" s="468">
        <v>1</v>
      </c>
      <c r="E49" s="444">
        <v>0</v>
      </c>
      <c r="F49" s="164">
        <f t="shared" si="29"/>
        <v>9</v>
      </c>
      <c r="G49" s="158" t="s">
        <v>1030</v>
      </c>
      <c r="H49" s="174">
        <v>55</v>
      </c>
      <c r="I49" s="225">
        <v>10</v>
      </c>
      <c r="J49" s="501">
        <v>0</v>
      </c>
      <c r="K49" s="378">
        <v>0</v>
      </c>
      <c r="L49" s="160">
        <f t="shared" si="30"/>
        <v>65</v>
      </c>
    </row>
    <row r="50" spans="1:12" ht="14.95" customHeight="1" thickBot="1" x14ac:dyDescent="0.3">
      <c r="A50" s="155" t="s">
        <v>1106</v>
      </c>
      <c r="B50" s="91">
        <v>7</v>
      </c>
      <c r="C50" s="43">
        <v>0</v>
      </c>
      <c r="D50" s="468">
        <v>1</v>
      </c>
      <c r="E50" s="444">
        <v>0</v>
      </c>
      <c r="F50" s="164">
        <f t="shared" si="29"/>
        <v>8</v>
      </c>
      <c r="G50" s="158" t="s">
        <v>158</v>
      </c>
      <c r="H50" s="174">
        <v>45</v>
      </c>
      <c r="I50" s="225">
        <v>16</v>
      </c>
      <c r="J50" s="501">
        <v>2</v>
      </c>
      <c r="K50" s="378">
        <v>0</v>
      </c>
      <c r="L50" s="160">
        <f t="shared" si="30"/>
        <v>63</v>
      </c>
    </row>
    <row r="51" spans="1:12" ht="14.95" thickBot="1" x14ac:dyDescent="0.3">
      <c r="A51" s="155" t="s">
        <v>47</v>
      </c>
      <c r="B51" s="91">
        <v>8</v>
      </c>
      <c r="C51" s="43">
        <v>0</v>
      </c>
      <c r="D51" s="468">
        <v>0</v>
      </c>
      <c r="E51" s="444">
        <v>0</v>
      </c>
      <c r="F51" s="164">
        <f t="shared" si="29"/>
        <v>8</v>
      </c>
      <c r="G51" s="158" t="s">
        <v>161</v>
      </c>
      <c r="H51" s="174">
        <v>55</v>
      </c>
      <c r="I51" s="225">
        <v>5</v>
      </c>
      <c r="J51" s="501">
        <v>0</v>
      </c>
      <c r="K51" s="378">
        <v>0</v>
      </c>
      <c r="L51" s="160">
        <f t="shared" si="30"/>
        <v>60</v>
      </c>
    </row>
    <row r="52" spans="1:12" ht="14.95" thickBot="1" x14ac:dyDescent="0.3">
      <c r="A52" s="155" t="s">
        <v>521</v>
      </c>
      <c r="B52" s="91">
        <v>6</v>
      </c>
      <c r="C52" s="43">
        <v>0</v>
      </c>
      <c r="D52" s="468">
        <v>0</v>
      </c>
      <c r="E52" s="444">
        <v>0</v>
      </c>
      <c r="F52" s="164">
        <f t="shared" si="29"/>
        <v>6</v>
      </c>
      <c r="G52" s="158" t="s">
        <v>99</v>
      </c>
      <c r="H52" s="174">
        <v>39</v>
      </c>
      <c r="I52" s="225">
        <v>5</v>
      </c>
      <c r="J52" s="501">
        <v>5</v>
      </c>
      <c r="K52" s="378">
        <v>0</v>
      </c>
      <c r="L52" s="160">
        <f t="shared" si="30"/>
        <v>49</v>
      </c>
    </row>
    <row r="53" spans="1:12" ht="14.95" thickBot="1" x14ac:dyDescent="0.3">
      <c r="A53" s="155" t="s">
        <v>578</v>
      </c>
      <c r="B53" s="91">
        <v>5</v>
      </c>
      <c r="C53" s="43">
        <v>0</v>
      </c>
      <c r="D53" s="468">
        <v>0</v>
      </c>
      <c r="E53" s="444">
        <v>0</v>
      </c>
      <c r="F53" s="164">
        <f t="shared" si="29"/>
        <v>5</v>
      </c>
      <c r="G53" s="157" t="s">
        <v>1106</v>
      </c>
      <c r="H53" s="174">
        <v>35</v>
      </c>
      <c r="I53" s="225">
        <v>0</v>
      </c>
      <c r="J53" s="501">
        <v>5</v>
      </c>
      <c r="K53" s="378">
        <v>0</v>
      </c>
      <c r="L53" s="160">
        <f t="shared" si="30"/>
        <v>40</v>
      </c>
    </row>
    <row r="54" spans="1:12" ht="14.95" thickBot="1" x14ac:dyDescent="0.3">
      <c r="A54" s="155" t="s">
        <v>158</v>
      </c>
      <c r="B54" s="91">
        <v>4</v>
      </c>
      <c r="C54" s="43">
        <v>0</v>
      </c>
      <c r="D54" s="468">
        <v>0</v>
      </c>
      <c r="E54" s="444">
        <v>0</v>
      </c>
      <c r="F54" s="164">
        <f t="shared" si="29"/>
        <v>4</v>
      </c>
      <c r="G54" s="157" t="s">
        <v>47</v>
      </c>
      <c r="H54" s="174">
        <v>40</v>
      </c>
      <c r="I54" s="225">
        <v>0</v>
      </c>
      <c r="J54" s="501">
        <v>0</v>
      </c>
      <c r="K54" s="378">
        <v>0</v>
      </c>
      <c r="L54" s="160">
        <f t="shared" si="30"/>
        <v>40</v>
      </c>
    </row>
    <row r="55" spans="1:12" ht="14.95" thickBot="1" x14ac:dyDescent="0.3">
      <c r="A55" s="155" t="s">
        <v>1071</v>
      </c>
      <c r="B55" s="91">
        <v>0</v>
      </c>
      <c r="C55" s="43">
        <v>0</v>
      </c>
      <c r="D55" s="468">
        <v>0</v>
      </c>
      <c r="E55" s="444">
        <v>4</v>
      </c>
      <c r="F55" s="164">
        <f t="shared" si="29"/>
        <v>4</v>
      </c>
      <c r="G55" s="157" t="s">
        <v>521</v>
      </c>
      <c r="H55" s="174">
        <v>30</v>
      </c>
      <c r="I55" s="225">
        <v>0</v>
      </c>
      <c r="J55" s="501">
        <v>0</v>
      </c>
      <c r="K55" s="378">
        <v>0</v>
      </c>
      <c r="L55" s="160">
        <f t="shared" si="30"/>
        <v>30</v>
      </c>
    </row>
    <row r="56" spans="1:12" ht="14.95" thickBot="1" x14ac:dyDescent="0.3">
      <c r="A56" s="155" t="s">
        <v>742</v>
      </c>
      <c r="B56" s="91">
        <v>3</v>
      </c>
      <c r="C56" s="43">
        <v>0</v>
      </c>
      <c r="D56" s="468">
        <v>0</v>
      </c>
      <c r="E56" s="444">
        <v>1</v>
      </c>
      <c r="F56" s="164">
        <f t="shared" si="29"/>
        <v>4</v>
      </c>
      <c r="G56" s="157" t="s">
        <v>578</v>
      </c>
      <c r="H56" s="174">
        <v>25</v>
      </c>
      <c r="I56" s="225">
        <v>0</v>
      </c>
      <c r="J56" s="501">
        <v>0</v>
      </c>
      <c r="K56" s="378">
        <v>0</v>
      </c>
      <c r="L56" s="160">
        <f t="shared" si="30"/>
        <v>25</v>
      </c>
    </row>
    <row r="57" spans="1:12" ht="14.95" thickBot="1" x14ac:dyDescent="0.3">
      <c r="A57" s="155" t="s">
        <v>100</v>
      </c>
      <c r="B57" s="91">
        <v>4</v>
      </c>
      <c r="C57" s="43">
        <v>0</v>
      </c>
      <c r="D57" s="468">
        <v>0</v>
      </c>
      <c r="E57" s="444">
        <v>0</v>
      </c>
      <c r="F57" s="164">
        <f t="shared" si="29"/>
        <v>4</v>
      </c>
      <c r="G57" s="157" t="s">
        <v>1071</v>
      </c>
      <c r="H57" s="174">
        <v>0</v>
      </c>
      <c r="I57" s="225">
        <v>0</v>
      </c>
      <c r="J57" s="501">
        <v>0</v>
      </c>
      <c r="K57" s="378">
        <v>20</v>
      </c>
      <c r="L57" s="160">
        <f t="shared" si="30"/>
        <v>20</v>
      </c>
    </row>
    <row r="58" spans="1:12" ht="14.95" thickBot="1" x14ac:dyDescent="0.3">
      <c r="A58" s="155" t="s">
        <v>146</v>
      </c>
      <c r="B58" s="91">
        <v>4</v>
      </c>
      <c r="C58" s="43">
        <v>0</v>
      </c>
      <c r="D58" s="468">
        <v>0</v>
      </c>
      <c r="E58" s="444">
        <v>0</v>
      </c>
      <c r="F58" s="164">
        <f t="shared" si="29"/>
        <v>4</v>
      </c>
      <c r="G58" s="157" t="s">
        <v>742</v>
      </c>
      <c r="H58" s="174">
        <v>15</v>
      </c>
      <c r="I58" s="225">
        <v>0</v>
      </c>
      <c r="J58" s="501">
        <v>0</v>
      </c>
      <c r="K58" s="378">
        <v>5</v>
      </c>
      <c r="L58" s="160">
        <f t="shared" si="30"/>
        <v>20</v>
      </c>
    </row>
    <row r="59" spans="1:12" ht="14.95" thickBot="1" x14ac:dyDescent="0.3">
      <c r="A59" s="155" t="s">
        <v>426</v>
      </c>
      <c r="B59" s="91">
        <v>2</v>
      </c>
      <c r="C59" s="43">
        <v>1</v>
      </c>
      <c r="D59" s="468">
        <v>0</v>
      </c>
      <c r="E59" s="444">
        <v>0</v>
      </c>
      <c r="F59" s="164">
        <f t="shared" si="29"/>
        <v>3</v>
      </c>
      <c r="G59" s="157" t="s">
        <v>100</v>
      </c>
      <c r="H59" s="174">
        <v>20</v>
      </c>
      <c r="I59" s="225">
        <v>0</v>
      </c>
      <c r="J59" s="501">
        <v>0</v>
      </c>
      <c r="K59" s="378">
        <v>0</v>
      </c>
      <c r="L59" s="160">
        <f t="shared" si="30"/>
        <v>20</v>
      </c>
    </row>
    <row r="60" spans="1:12" ht="14.95" thickBot="1" x14ac:dyDescent="0.3">
      <c r="A60" s="155" t="s">
        <v>98</v>
      </c>
      <c r="B60" s="91">
        <v>2</v>
      </c>
      <c r="C60" s="43">
        <v>0</v>
      </c>
      <c r="D60" s="468">
        <v>0</v>
      </c>
      <c r="E60" s="444">
        <v>1</v>
      </c>
      <c r="F60" s="164">
        <f t="shared" si="29"/>
        <v>3</v>
      </c>
      <c r="G60" s="157" t="s">
        <v>146</v>
      </c>
      <c r="H60" s="174">
        <v>20</v>
      </c>
      <c r="I60" s="225">
        <v>0</v>
      </c>
      <c r="J60" s="501">
        <v>0</v>
      </c>
      <c r="K60" s="378">
        <v>0</v>
      </c>
      <c r="L60" s="160">
        <f t="shared" si="30"/>
        <v>20</v>
      </c>
    </row>
    <row r="61" spans="1:12" ht="14.95" thickBot="1" x14ac:dyDescent="0.3">
      <c r="A61" s="155" t="s">
        <v>159</v>
      </c>
      <c r="B61" s="91">
        <v>2</v>
      </c>
      <c r="C61" s="43">
        <v>0</v>
      </c>
      <c r="D61" s="468">
        <v>0</v>
      </c>
      <c r="E61" s="444">
        <v>1</v>
      </c>
      <c r="F61" s="164">
        <f t="shared" si="29"/>
        <v>3</v>
      </c>
      <c r="G61" s="157" t="s">
        <v>426</v>
      </c>
      <c r="H61" s="174">
        <v>10</v>
      </c>
      <c r="I61" s="225">
        <v>5</v>
      </c>
      <c r="J61" s="501">
        <v>0</v>
      </c>
      <c r="K61" s="378">
        <v>0</v>
      </c>
      <c r="L61" s="161">
        <f t="shared" si="30"/>
        <v>15</v>
      </c>
    </row>
    <row r="62" spans="1:12" ht="14.95" thickBot="1" x14ac:dyDescent="0.3">
      <c r="A62" s="155" t="s">
        <v>55</v>
      </c>
      <c r="B62" s="91">
        <v>1</v>
      </c>
      <c r="C62" s="43">
        <v>0</v>
      </c>
      <c r="D62" s="468">
        <v>1</v>
      </c>
      <c r="E62" s="444">
        <v>1</v>
      </c>
      <c r="F62" s="164">
        <f t="shared" si="29"/>
        <v>3</v>
      </c>
      <c r="G62" s="157" t="s">
        <v>98</v>
      </c>
      <c r="H62" s="174">
        <v>10</v>
      </c>
      <c r="I62" s="225">
        <v>0</v>
      </c>
      <c r="J62" s="501">
        <v>0</v>
      </c>
      <c r="K62" s="378">
        <v>5</v>
      </c>
      <c r="L62" s="162">
        <f t="shared" si="30"/>
        <v>15</v>
      </c>
    </row>
    <row r="63" spans="1:12" ht="14.95" thickBot="1" x14ac:dyDescent="0.3">
      <c r="A63" s="155" t="s">
        <v>237</v>
      </c>
      <c r="B63" s="91">
        <v>1</v>
      </c>
      <c r="C63" s="43">
        <v>1</v>
      </c>
      <c r="D63" s="468">
        <v>0</v>
      </c>
      <c r="E63" s="444">
        <v>0</v>
      </c>
      <c r="F63" s="164">
        <f t="shared" si="29"/>
        <v>2</v>
      </c>
      <c r="G63" s="157" t="s">
        <v>55</v>
      </c>
      <c r="H63" s="174">
        <v>5</v>
      </c>
      <c r="I63" s="225">
        <v>0</v>
      </c>
      <c r="J63" s="501">
        <v>5</v>
      </c>
      <c r="K63" s="378">
        <v>5</v>
      </c>
      <c r="L63" s="162">
        <f t="shared" si="30"/>
        <v>15</v>
      </c>
    </row>
    <row r="64" spans="1:12" ht="14.95" thickBot="1" x14ac:dyDescent="0.3">
      <c r="A64" s="155" t="s">
        <v>438</v>
      </c>
      <c r="B64" s="91">
        <v>2</v>
      </c>
      <c r="C64" s="43">
        <v>0</v>
      </c>
      <c r="D64" s="468">
        <v>0</v>
      </c>
      <c r="E64" s="444">
        <v>0</v>
      </c>
      <c r="F64" s="164">
        <f t="shared" si="29"/>
        <v>2</v>
      </c>
      <c r="G64" s="157" t="s">
        <v>6</v>
      </c>
      <c r="H64" s="174">
        <v>14</v>
      </c>
      <c r="I64" s="225">
        <v>0</v>
      </c>
      <c r="J64" s="501">
        <v>0</v>
      </c>
      <c r="K64" s="378">
        <v>0</v>
      </c>
      <c r="L64" s="160">
        <f t="shared" si="30"/>
        <v>14</v>
      </c>
    </row>
    <row r="65" spans="1:12" ht="14.95" thickBot="1" x14ac:dyDescent="0.3">
      <c r="A65" s="155" t="s">
        <v>591</v>
      </c>
      <c r="B65" s="91">
        <v>0</v>
      </c>
      <c r="C65" s="43">
        <v>0</v>
      </c>
      <c r="D65" s="468">
        <v>0</v>
      </c>
      <c r="E65" s="444">
        <v>2</v>
      </c>
      <c r="F65" s="164">
        <f t="shared" si="29"/>
        <v>2</v>
      </c>
      <c r="G65" s="157" t="s">
        <v>438</v>
      </c>
      <c r="H65" s="174">
        <v>10</v>
      </c>
      <c r="I65" s="225">
        <v>0</v>
      </c>
      <c r="J65" s="501">
        <v>0</v>
      </c>
      <c r="K65" s="378">
        <v>0</v>
      </c>
      <c r="L65" s="160">
        <f t="shared" si="30"/>
        <v>10</v>
      </c>
    </row>
    <row r="66" spans="1:12" ht="14.95" thickBot="1" x14ac:dyDescent="0.3">
      <c r="A66" s="155" t="s">
        <v>1070</v>
      </c>
      <c r="B66" s="91">
        <v>0</v>
      </c>
      <c r="C66" s="43">
        <v>0</v>
      </c>
      <c r="D66" s="468">
        <v>0</v>
      </c>
      <c r="E66" s="444">
        <v>2</v>
      </c>
      <c r="F66" s="164">
        <f t="shared" si="29"/>
        <v>2</v>
      </c>
      <c r="G66" s="157" t="s">
        <v>67</v>
      </c>
      <c r="H66" s="174">
        <v>5</v>
      </c>
      <c r="I66" s="225">
        <v>0</v>
      </c>
      <c r="J66" s="501">
        <v>0</v>
      </c>
      <c r="K66" s="378">
        <v>5</v>
      </c>
      <c r="L66" s="160">
        <f t="shared" si="30"/>
        <v>10</v>
      </c>
    </row>
    <row r="67" spans="1:12" ht="14.95" thickBot="1" x14ac:dyDescent="0.3">
      <c r="A67" s="155" t="s">
        <v>6</v>
      </c>
      <c r="B67" s="91">
        <v>2</v>
      </c>
      <c r="C67" s="43">
        <v>0</v>
      </c>
      <c r="D67" s="468">
        <v>0</v>
      </c>
      <c r="E67" s="444">
        <v>0</v>
      </c>
      <c r="F67" s="164">
        <f t="shared" si="29"/>
        <v>2</v>
      </c>
      <c r="G67" s="157" t="s">
        <v>591</v>
      </c>
      <c r="H67" s="174">
        <v>0</v>
      </c>
      <c r="I67" s="225">
        <v>0</v>
      </c>
      <c r="J67" s="501">
        <v>0</v>
      </c>
      <c r="K67" s="378">
        <v>10</v>
      </c>
      <c r="L67" s="160">
        <f t="shared" si="30"/>
        <v>10</v>
      </c>
    </row>
    <row r="68" spans="1:12" ht="14.95" thickBot="1" x14ac:dyDescent="0.3">
      <c r="A68" s="155" t="s">
        <v>987</v>
      </c>
      <c r="B68" s="91">
        <v>1</v>
      </c>
      <c r="C68" s="43">
        <v>0</v>
      </c>
      <c r="D68" s="468">
        <v>0</v>
      </c>
      <c r="E68" s="444">
        <v>0</v>
      </c>
      <c r="F68" s="164">
        <f t="shared" si="29"/>
        <v>1</v>
      </c>
      <c r="G68" s="157" t="s">
        <v>1070</v>
      </c>
      <c r="H68" s="174">
        <v>0</v>
      </c>
      <c r="I68" s="225">
        <v>0</v>
      </c>
      <c r="J68" s="501">
        <v>0</v>
      </c>
      <c r="K68" s="378">
        <v>10</v>
      </c>
      <c r="L68" s="160">
        <f t="shared" si="30"/>
        <v>10</v>
      </c>
    </row>
    <row r="69" spans="1:12" ht="14.95" thickBot="1" x14ac:dyDescent="0.3">
      <c r="A69" s="155" t="s">
        <v>143</v>
      </c>
      <c r="B69" s="91">
        <v>0</v>
      </c>
      <c r="C69" s="43">
        <v>0</v>
      </c>
      <c r="D69" s="468">
        <v>0</v>
      </c>
      <c r="E69" s="444">
        <v>1</v>
      </c>
      <c r="F69" s="164">
        <f t="shared" si="29"/>
        <v>1</v>
      </c>
      <c r="G69" s="157" t="s">
        <v>987</v>
      </c>
      <c r="H69" s="174">
        <v>5</v>
      </c>
      <c r="I69" s="225">
        <v>0</v>
      </c>
      <c r="J69" s="501">
        <v>0</v>
      </c>
      <c r="K69" s="378">
        <v>0</v>
      </c>
      <c r="L69" s="160">
        <f t="shared" si="30"/>
        <v>5</v>
      </c>
    </row>
    <row r="70" spans="1:12" ht="14.95" thickBot="1" x14ac:dyDescent="0.3">
      <c r="A70" s="155" t="s">
        <v>1014</v>
      </c>
      <c r="B70" s="91">
        <v>0</v>
      </c>
      <c r="C70" s="43">
        <v>0</v>
      </c>
      <c r="D70" s="468">
        <v>0</v>
      </c>
      <c r="E70" s="444">
        <v>1</v>
      </c>
      <c r="F70" s="164">
        <f t="shared" si="29"/>
        <v>1</v>
      </c>
      <c r="G70" s="157" t="s">
        <v>1014</v>
      </c>
      <c r="H70" s="174">
        <v>0</v>
      </c>
      <c r="I70" s="225">
        <v>0</v>
      </c>
      <c r="J70" s="501">
        <v>0</v>
      </c>
      <c r="K70" s="378">
        <v>5</v>
      </c>
      <c r="L70" s="160">
        <f t="shared" si="30"/>
        <v>5</v>
      </c>
    </row>
    <row r="71" spans="1:12" ht="14.95" thickBot="1" x14ac:dyDescent="0.3">
      <c r="A71" s="155" t="s">
        <v>1206</v>
      </c>
      <c r="B71" s="91">
        <v>0</v>
      </c>
      <c r="C71" s="43">
        <v>0</v>
      </c>
      <c r="D71" s="468">
        <v>0</v>
      </c>
      <c r="E71" s="444">
        <v>1</v>
      </c>
      <c r="F71" s="164">
        <f t="shared" si="29"/>
        <v>1</v>
      </c>
      <c r="G71" s="157" t="s">
        <v>1206</v>
      </c>
      <c r="H71" s="174">
        <v>0</v>
      </c>
      <c r="I71" s="225">
        <v>0</v>
      </c>
      <c r="J71" s="501">
        <v>0</v>
      </c>
      <c r="K71" s="378">
        <v>5</v>
      </c>
      <c r="L71" s="160">
        <f t="shared" si="30"/>
        <v>5</v>
      </c>
    </row>
    <row r="72" spans="1:12" ht="14.95" thickBot="1" x14ac:dyDescent="0.3">
      <c r="A72" s="155" t="s">
        <v>61</v>
      </c>
      <c r="B72" s="91">
        <v>1</v>
      </c>
      <c r="C72" s="43">
        <v>0</v>
      </c>
      <c r="D72" s="468">
        <v>0</v>
      </c>
      <c r="E72" s="444">
        <v>0</v>
      </c>
      <c r="F72" s="164">
        <f t="shared" si="29"/>
        <v>1</v>
      </c>
      <c r="G72" s="157" t="s">
        <v>61</v>
      </c>
      <c r="H72" s="174">
        <v>5</v>
      </c>
      <c r="I72" s="225">
        <v>0</v>
      </c>
      <c r="J72" s="501">
        <v>0</v>
      </c>
      <c r="K72" s="378">
        <v>0</v>
      </c>
      <c r="L72" s="160">
        <f t="shared" si="30"/>
        <v>5</v>
      </c>
    </row>
    <row r="73" spans="1:12" ht="14.95" thickBot="1" x14ac:dyDescent="0.3">
      <c r="A73" s="155" t="s">
        <v>92</v>
      </c>
      <c r="B73" s="91">
        <v>0</v>
      </c>
      <c r="C73" s="43">
        <v>0</v>
      </c>
      <c r="D73" s="468">
        <v>0</v>
      </c>
      <c r="E73" s="444">
        <v>1</v>
      </c>
      <c r="F73" s="164">
        <f t="shared" si="29"/>
        <v>1</v>
      </c>
      <c r="G73" s="157" t="s">
        <v>92</v>
      </c>
      <c r="H73" s="174">
        <v>0</v>
      </c>
      <c r="I73" s="225">
        <v>0</v>
      </c>
      <c r="J73" s="501">
        <v>0</v>
      </c>
      <c r="K73" s="378">
        <v>5</v>
      </c>
      <c r="L73" s="160">
        <f t="shared" si="30"/>
        <v>5</v>
      </c>
    </row>
    <row r="74" spans="1:12" ht="14.95" thickBot="1" x14ac:dyDescent="0.3">
      <c r="A74" s="155" t="s">
        <v>124</v>
      </c>
      <c r="B74" s="91">
        <v>1</v>
      </c>
      <c r="C74" s="43">
        <v>0</v>
      </c>
      <c r="D74" s="468">
        <v>0</v>
      </c>
      <c r="E74" s="444">
        <v>0</v>
      </c>
      <c r="F74" s="164">
        <f t="shared" si="29"/>
        <v>1</v>
      </c>
      <c r="G74" s="157" t="s">
        <v>124</v>
      </c>
      <c r="H74" s="174">
        <v>5</v>
      </c>
      <c r="I74" s="225">
        <v>0</v>
      </c>
      <c r="J74" s="501">
        <v>0</v>
      </c>
      <c r="K74" s="378">
        <v>0</v>
      </c>
      <c r="L74" s="160">
        <f t="shared" si="30"/>
        <v>5</v>
      </c>
    </row>
    <row r="75" spans="1:12" ht="14.95" thickBot="1" x14ac:dyDescent="0.3">
      <c r="A75" s="155" t="s">
        <v>428</v>
      </c>
      <c r="B75" s="91">
        <v>0</v>
      </c>
      <c r="C75" s="43">
        <v>0</v>
      </c>
      <c r="D75" s="468">
        <v>0</v>
      </c>
      <c r="E75" s="444">
        <v>1</v>
      </c>
      <c r="F75" s="164">
        <f t="shared" si="29"/>
        <v>1</v>
      </c>
      <c r="G75" s="157" t="s">
        <v>428</v>
      </c>
      <c r="H75" s="174">
        <v>0</v>
      </c>
      <c r="I75" s="225">
        <v>0</v>
      </c>
      <c r="J75" s="501">
        <v>0</v>
      </c>
      <c r="K75" s="378">
        <v>5</v>
      </c>
      <c r="L75" s="160">
        <f t="shared" si="30"/>
        <v>5</v>
      </c>
    </row>
    <row r="76" spans="1:12" ht="14.95" customHeight="1" thickBot="1" x14ac:dyDescent="0.3">
      <c r="A76" s="155" t="s">
        <v>1205</v>
      </c>
      <c r="B76" s="91">
        <v>0</v>
      </c>
      <c r="C76" s="43">
        <v>0</v>
      </c>
      <c r="D76" s="468">
        <v>0</v>
      </c>
      <c r="E76" s="444">
        <v>1</v>
      </c>
      <c r="F76" s="164">
        <f t="shared" si="29"/>
        <v>1</v>
      </c>
      <c r="G76" s="157" t="s">
        <v>1205</v>
      </c>
      <c r="H76" s="174">
        <v>0</v>
      </c>
      <c r="I76" s="225">
        <v>0</v>
      </c>
      <c r="J76" s="501">
        <v>0</v>
      </c>
      <c r="K76" s="378">
        <v>5</v>
      </c>
      <c r="L76" s="160">
        <f t="shared" si="30"/>
        <v>5</v>
      </c>
    </row>
    <row r="77" spans="1:12" ht="14.95" thickBot="1" x14ac:dyDescent="0.3">
      <c r="A77" s="155" t="s">
        <v>1150</v>
      </c>
      <c r="B77" s="91">
        <v>1</v>
      </c>
      <c r="C77" s="43">
        <v>0</v>
      </c>
      <c r="D77" s="468">
        <v>0</v>
      </c>
      <c r="E77" s="444">
        <v>0</v>
      </c>
      <c r="F77" s="164">
        <f t="shared" si="29"/>
        <v>1</v>
      </c>
      <c r="G77" s="157" t="s">
        <v>1150</v>
      </c>
      <c r="H77" s="174">
        <v>5</v>
      </c>
      <c r="I77" s="225">
        <v>0</v>
      </c>
      <c r="J77" s="501">
        <v>0</v>
      </c>
      <c r="K77" s="378">
        <v>0</v>
      </c>
      <c r="L77" s="160">
        <f t="shared" si="30"/>
        <v>5</v>
      </c>
    </row>
    <row r="78" spans="1:12" ht="14.95" customHeight="1" thickBot="1" x14ac:dyDescent="0.3">
      <c r="A78" s="155" t="s">
        <v>5</v>
      </c>
      <c r="B78" s="91">
        <v>1</v>
      </c>
      <c r="C78" s="43">
        <v>0</v>
      </c>
      <c r="D78" s="468">
        <v>0</v>
      </c>
      <c r="E78" s="444">
        <v>0</v>
      </c>
      <c r="F78" s="164">
        <f t="shared" si="29"/>
        <v>1</v>
      </c>
      <c r="G78" s="157" t="s">
        <v>5</v>
      </c>
      <c r="H78" s="174">
        <v>5</v>
      </c>
      <c r="I78" s="225">
        <v>0</v>
      </c>
      <c r="J78" s="501">
        <v>0</v>
      </c>
      <c r="K78" s="378">
        <v>0</v>
      </c>
      <c r="L78" s="160">
        <f t="shared" si="30"/>
        <v>5</v>
      </c>
    </row>
    <row r="79" spans="1:12" ht="14.95" thickBot="1" x14ac:dyDescent="0.3">
      <c r="A79" s="155" t="s">
        <v>40</v>
      </c>
      <c r="B79" s="91">
        <v>0</v>
      </c>
      <c r="C79" s="43">
        <v>0</v>
      </c>
      <c r="D79" s="468">
        <v>0</v>
      </c>
      <c r="E79" s="444">
        <v>0</v>
      </c>
      <c r="F79" s="164">
        <f t="shared" si="29"/>
        <v>0</v>
      </c>
      <c r="G79" s="157" t="s">
        <v>40</v>
      </c>
      <c r="H79" s="174">
        <v>0</v>
      </c>
      <c r="I79" s="225">
        <v>0</v>
      </c>
      <c r="J79" s="501">
        <v>0</v>
      </c>
      <c r="K79" s="378">
        <v>0</v>
      </c>
      <c r="L79" s="160">
        <f t="shared" si="30"/>
        <v>0</v>
      </c>
    </row>
    <row r="80" spans="1:12" ht="14.95" customHeight="1" thickBot="1" x14ac:dyDescent="0.3">
      <c r="A80" s="155" t="s">
        <v>79</v>
      </c>
      <c r="B80" s="91">
        <v>0</v>
      </c>
      <c r="C80" s="43">
        <v>0</v>
      </c>
      <c r="D80" s="468">
        <v>0</v>
      </c>
      <c r="E80" s="444">
        <v>0</v>
      </c>
      <c r="F80" s="164">
        <f t="shared" si="29"/>
        <v>0</v>
      </c>
      <c r="G80" s="157" t="s">
        <v>79</v>
      </c>
      <c r="H80" s="174">
        <v>0</v>
      </c>
      <c r="I80" s="225">
        <v>0</v>
      </c>
      <c r="J80" s="501">
        <v>0</v>
      </c>
      <c r="K80" s="378">
        <v>0</v>
      </c>
      <c r="L80" s="160">
        <f t="shared" si="30"/>
        <v>0</v>
      </c>
    </row>
    <row r="81" spans="1:12" ht="14.95" thickBot="1" x14ac:dyDescent="0.3">
      <c r="A81" s="155" t="s">
        <v>89</v>
      </c>
      <c r="B81" s="91">
        <v>0</v>
      </c>
      <c r="C81" s="43">
        <v>0</v>
      </c>
      <c r="D81" s="468">
        <v>0</v>
      </c>
      <c r="E81" s="444">
        <v>0</v>
      </c>
      <c r="F81" s="164">
        <f t="shared" si="29"/>
        <v>0</v>
      </c>
      <c r="G81" s="157" t="s">
        <v>89</v>
      </c>
      <c r="H81" s="174">
        <v>0</v>
      </c>
      <c r="I81" s="225">
        <v>0</v>
      </c>
      <c r="J81" s="501">
        <v>0</v>
      </c>
      <c r="K81" s="378">
        <v>0</v>
      </c>
      <c r="L81" s="160">
        <f t="shared" si="30"/>
        <v>0</v>
      </c>
    </row>
    <row r="82" spans="1:12" ht="14.95" thickBot="1" x14ac:dyDescent="0.3">
      <c r="A82" s="155" t="s">
        <v>238</v>
      </c>
      <c r="B82" s="91">
        <v>0</v>
      </c>
      <c r="C82" s="43">
        <v>0</v>
      </c>
      <c r="D82" s="468">
        <v>0</v>
      </c>
      <c r="E82" s="444">
        <v>0</v>
      </c>
      <c r="F82" s="164">
        <f t="shared" si="29"/>
        <v>0</v>
      </c>
      <c r="G82" s="157" t="s">
        <v>238</v>
      </c>
      <c r="H82" s="174">
        <v>0</v>
      </c>
      <c r="I82" s="225">
        <v>0</v>
      </c>
      <c r="J82" s="501">
        <v>0</v>
      </c>
      <c r="K82" s="378">
        <v>0</v>
      </c>
      <c r="L82" s="160">
        <f t="shared" si="30"/>
        <v>0</v>
      </c>
    </row>
    <row r="83" spans="1:12" ht="14.95" thickBot="1" x14ac:dyDescent="0.3">
      <c r="A83" s="155" t="s">
        <v>401</v>
      </c>
      <c r="B83" s="91">
        <v>0</v>
      </c>
      <c r="C83" s="43">
        <v>0</v>
      </c>
      <c r="D83" s="468">
        <v>0</v>
      </c>
      <c r="E83" s="444">
        <v>0</v>
      </c>
      <c r="F83" s="164">
        <f t="shared" si="29"/>
        <v>0</v>
      </c>
      <c r="G83" s="157" t="s">
        <v>401</v>
      </c>
      <c r="H83" s="174">
        <v>0</v>
      </c>
      <c r="I83" s="225">
        <v>0</v>
      </c>
      <c r="J83" s="501">
        <v>0</v>
      </c>
      <c r="K83" s="378">
        <v>0</v>
      </c>
      <c r="L83" s="160">
        <f t="shared" si="30"/>
        <v>0</v>
      </c>
    </row>
    <row r="84" spans="1:12" ht="14.95" customHeight="1" thickBot="1" x14ac:dyDescent="0.3">
      <c r="A84" s="155" t="s">
        <v>144</v>
      </c>
      <c r="B84" s="91">
        <v>0</v>
      </c>
      <c r="C84" s="43">
        <v>0</v>
      </c>
      <c r="D84" s="468">
        <v>0</v>
      </c>
      <c r="E84" s="444">
        <v>0</v>
      </c>
      <c r="F84" s="164">
        <f t="shared" si="29"/>
        <v>0</v>
      </c>
      <c r="G84" s="157" t="s">
        <v>144</v>
      </c>
      <c r="H84" s="174">
        <v>0</v>
      </c>
      <c r="I84" s="225">
        <v>0</v>
      </c>
      <c r="J84" s="501">
        <v>0</v>
      </c>
      <c r="K84" s="378">
        <v>0</v>
      </c>
      <c r="L84" s="160">
        <f t="shared" si="30"/>
        <v>0</v>
      </c>
    </row>
    <row r="85" spans="1:12" ht="14.95" customHeight="1" thickBot="1" x14ac:dyDescent="0.3">
      <c r="A85" s="155" t="s">
        <v>83</v>
      </c>
      <c r="B85" s="91">
        <v>0</v>
      </c>
      <c r="C85" s="43">
        <v>0</v>
      </c>
      <c r="D85" s="468">
        <v>0</v>
      </c>
      <c r="E85" s="444">
        <v>0</v>
      </c>
      <c r="F85" s="164">
        <f t="shared" si="29"/>
        <v>0</v>
      </c>
      <c r="G85" s="157" t="s">
        <v>83</v>
      </c>
      <c r="H85" s="174">
        <v>0</v>
      </c>
      <c r="I85" s="225">
        <v>0</v>
      </c>
      <c r="J85" s="501">
        <v>0</v>
      </c>
      <c r="K85" s="378">
        <v>0</v>
      </c>
      <c r="L85" s="160">
        <f t="shared" si="30"/>
        <v>0</v>
      </c>
    </row>
    <row r="86" spans="1:12" ht="14.95" thickBot="1" x14ac:dyDescent="0.3">
      <c r="A86" s="155" t="s">
        <v>3</v>
      </c>
      <c r="B86" s="91">
        <f>SUM(B46:B85)</f>
        <v>100</v>
      </c>
      <c r="C86" s="43">
        <f>SUM(C46:C85)</f>
        <v>6</v>
      </c>
      <c r="D86" s="468">
        <f>SUM(D46:D85)</f>
        <v>3</v>
      </c>
      <c r="E86" s="444">
        <f>SUM(E46:E85)</f>
        <v>19</v>
      </c>
      <c r="F86" s="164">
        <f>SUM(F46:F85)</f>
        <v>128</v>
      </c>
      <c r="G86" s="157" t="s">
        <v>3</v>
      </c>
      <c r="H86" s="174">
        <f>SUM(H46:H85)</f>
        <v>778</v>
      </c>
      <c r="I86" s="225">
        <f>SUM(I46:I85)</f>
        <v>56</v>
      </c>
      <c r="J86" s="501">
        <f>SUM(J46:J85)</f>
        <v>21</v>
      </c>
      <c r="K86" s="378">
        <f>SUM(K46:K85)</f>
        <v>131</v>
      </c>
      <c r="L86" s="160">
        <f>SUM(L46:L85)</f>
        <v>986</v>
      </c>
    </row>
    <row r="87" spans="1:12" x14ac:dyDescent="0.25">
      <c r="A87" s="582" t="s">
        <v>81</v>
      </c>
      <c r="B87" s="583"/>
      <c r="C87" s="583"/>
      <c r="D87" s="583"/>
      <c r="E87" s="583"/>
      <c r="F87" s="583"/>
      <c r="G87" s="583"/>
      <c r="H87" s="583"/>
      <c r="I87" s="583"/>
      <c r="J87" s="583"/>
      <c r="K87" s="583"/>
      <c r="L87" s="583"/>
    </row>
  </sheetData>
  <sortState xmlns:xlrd2="http://schemas.microsoft.com/office/spreadsheetml/2017/richdata2" ref="G46:L85">
    <sortCondition descending="1" ref="L46:L85"/>
  </sortState>
  <mergeCells count="45">
    <mergeCell ref="AW1:AY2"/>
    <mergeCell ref="M28:M29"/>
    <mergeCell ref="N28:P29"/>
    <mergeCell ref="AT1:AV2"/>
    <mergeCell ref="T1:U2"/>
    <mergeCell ref="M10:M11"/>
    <mergeCell ref="M1:M2"/>
    <mergeCell ref="N1:P2"/>
    <mergeCell ref="Q1:S2"/>
    <mergeCell ref="AQ1:AS2"/>
    <mergeCell ref="N10:P11"/>
    <mergeCell ref="AN1:AP2"/>
    <mergeCell ref="AQ10:AS11"/>
    <mergeCell ref="AN10:AP11"/>
    <mergeCell ref="V1:X2"/>
    <mergeCell ref="AE1:AG2"/>
    <mergeCell ref="A1:L1"/>
    <mergeCell ref="W10:Y11"/>
    <mergeCell ref="W28:Y29"/>
    <mergeCell ref="T28:V29"/>
    <mergeCell ref="Q28:S29"/>
    <mergeCell ref="Q10:S11"/>
    <mergeCell ref="Y1:AA2"/>
    <mergeCell ref="T10:V11"/>
    <mergeCell ref="AE10:AG11"/>
    <mergeCell ref="AK1:AM2"/>
    <mergeCell ref="AK10:AM11"/>
    <mergeCell ref="AK28:AM29"/>
    <mergeCell ref="AH1:AJ2"/>
    <mergeCell ref="AH10:AJ11"/>
    <mergeCell ref="A87:L87"/>
    <mergeCell ref="AQ19:AS20"/>
    <mergeCell ref="M19:M20"/>
    <mergeCell ref="N19:P20"/>
    <mergeCell ref="T19:V20"/>
    <mergeCell ref="W19:Y20"/>
    <mergeCell ref="Q19:S20"/>
    <mergeCell ref="AE19:AG20"/>
    <mergeCell ref="AH19:AJ20"/>
    <mergeCell ref="AK19:AM20"/>
    <mergeCell ref="AH28:AJ29"/>
    <mergeCell ref="AE28:AG29"/>
    <mergeCell ref="AN19:AP20"/>
    <mergeCell ref="AN28:AP29"/>
    <mergeCell ref="M36:AA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1489</vt:i4>
      </vt:variant>
    </vt:vector>
  </HeadingPairs>
  <TitlesOfParts>
    <vt:vector size="1503" baseType="lpstr">
      <vt:lpstr>BTH</vt:lpstr>
      <vt:lpstr>BRI</vt:lpstr>
      <vt:lpstr>EXE</vt:lpstr>
      <vt:lpstr>GLO</vt:lpstr>
      <vt:lpstr>HAR</vt:lpstr>
      <vt:lpstr>LEIC</vt:lpstr>
      <vt:lpstr>LIR</vt:lpstr>
      <vt:lpstr>NEW</vt:lpstr>
      <vt:lpstr>NOR</vt:lpstr>
      <vt:lpstr>SAL</vt:lpstr>
      <vt:lpstr>SAR</vt:lpstr>
      <vt:lpstr>WAS</vt:lpstr>
      <vt:lpstr>WOR</vt:lpstr>
      <vt:lpstr>OVERALL</vt:lpstr>
      <vt:lpstr>A_Wallerpts</vt:lpstr>
      <vt:lpstr>A_Wallertries</vt:lpstr>
      <vt:lpstr>Ackermannglopts</vt:lpstr>
      <vt:lpstr>Ackermannglotries</vt:lpstr>
      <vt:lpstr>Adams_Halesarptscorrect</vt:lpstr>
      <vt:lpstr>Adams_Halesartriescorrect</vt:lpstr>
      <vt:lpstr>Adejimisarpts</vt:lpstr>
      <vt:lpstr>Adejimisartries</vt:lpstr>
      <vt:lpstr>Adeolokunbripts</vt:lpstr>
      <vt:lpstr>Adeolokunbritries</vt:lpstr>
      <vt:lpstr>afoabripts</vt:lpstr>
      <vt:lpstr>afoabritries</vt:lpstr>
      <vt:lpstr>Ah_Younewpts</vt:lpstr>
      <vt:lpstr>Ah_Younewtries</vt:lpstr>
      <vt:lpstr>Aholeleiwelshpts</vt:lpstr>
      <vt:lpstr>Aholeleiwelshtries</vt:lpstr>
      <vt:lpstr>Alemannoglopts</vt:lpstr>
      <vt:lpstr>Alemannoglotries</vt:lpstr>
      <vt:lpstr>allinsonliatt</vt:lpstr>
      <vt:lpstr>allinsonligoals</vt:lpstr>
      <vt:lpstr>Armanddonpts</vt:lpstr>
      <vt:lpstr>Armanddontries</vt:lpstr>
      <vt:lpstr>Armitagewaspts</vt:lpstr>
      <vt:lpstr>Armitagewastries</vt:lpstr>
      <vt:lpstr>Armstrongbripts</vt:lpstr>
      <vt:lpstr>Armstrongbritries</vt:lpstr>
      <vt:lpstr>Armstrongjakebripts</vt:lpstr>
      <vt:lpstr>Armstrongjakebritries</vt:lpstr>
      <vt:lpstr>arscottnewatt</vt:lpstr>
      <vt:lpstr>arscottnewgls</vt:lpstr>
      <vt:lpstr>Arscottnewpts</vt:lpstr>
      <vt:lpstr>Arscottnewtries</vt:lpstr>
      <vt:lpstr>Arundellirpts</vt:lpstr>
      <vt:lpstr>Arundellirtries</vt:lpstr>
      <vt:lpstr>Ascherlbripts</vt:lpstr>
      <vt:lpstr>Ascherlbritries</vt:lpstr>
      <vt:lpstr>Ashmansalpts</vt:lpstr>
      <vt:lpstr>Ashmansaltries</vt:lpstr>
      <vt:lpstr>Atkinsbthatt</vt:lpstr>
      <vt:lpstr>Atkinsbthgls</vt:lpstr>
      <vt:lpstr>Atkinsbthpts</vt:lpstr>
      <vt:lpstr>Atkinsbthtries</vt:lpstr>
      <vt:lpstr>atkinsliratt</vt:lpstr>
      <vt:lpstr>atkinslirgls</vt:lpstr>
      <vt:lpstr>Atkinsonglopts</vt:lpstr>
      <vt:lpstr>Atkinsonglotries</vt:lpstr>
      <vt:lpstr>atkinsonwasatt</vt:lpstr>
      <vt:lpstr>atkinsonwasgls</vt:lpstr>
      <vt:lpstr>Atkinsonwaspts</vt:lpstr>
      <vt:lpstr>Atkinsonwastries</vt:lpstr>
      <vt:lpstr>Atkinsonworpts</vt:lpstr>
      <vt:lpstr>Atkinsonwortries</vt:lpstr>
      <vt:lpstr>Attwoodpts</vt:lpstr>
      <vt:lpstr>Augustusnorpts</vt:lpstr>
      <vt:lpstr>Augustusnortries</vt:lpstr>
      <vt:lpstr>Auteracnorpts</vt:lpstr>
      <vt:lpstr>Auteracnortries</vt:lpstr>
      <vt:lpstr>baileybthatt</vt:lpstr>
      <vt:lpstr>Baileybthgls</vt:lpstr>
      <vt:lpstr>Baileybthpts</vt:lpstr>
      <vt:lpstr>Baileybthtries</vt:lpstr>
      <vt:lpstr>Baldwinharpts</vt:lpstr>
      <vt:lpstr>Baldwinhartries</vt:lpstr>
      <vt:lpstr>Balmainglopts</vt:lpstr>
      <vt:lpstr>Balmainglotries</vt:lpstr>
      <vt:lpstr>Barbearywaspts</vt:lpstr>
      <vt:lpstr>Barbearywastrie</vt:lpstr>
      <vt:lpstr>Barbierileipts</vt:lpstr>
      <vt:lpstr>Barbierileitries</vt:lpstr>
      <vt:lpstr>Barringtonrichardpts</vt:lpstr>
      <vt:lpstr>Barringtonrichardtries</vt:lpstr>
      <vt:lpstr>Barringtonsarptscorrect</vt:lpstr>
      <vt:lpstr>Barringtonsartriescorrect</vt:lpstr>
      <vt:lpstr>Barrittbradpts</vt:lpstr>
      <vt:lpstr>Barrittbradtries</vt:lpstr>
      <vt:lpstr>Bartlettglopts</vt:lpstr>
      <vt:lpstr>Bartlettglotries</vt:lpstr>
      <vt:lpstr>Bartongloatt</vt:lpstr>
      <vt:lpstr>Bartonglogls</vt:lpstr>
      <vt:lpstr>Bartonglopts</vt:lpstr>
      <vt:lpstr>Bartonglotries</vt:lpstr>
      <vt:lpstr>Bassettwaspts</vt:lpstr>
      <vt:lpstr>Bassettwastries</vt:lpstr>
      <vt:lpstr>Batemanleipts</vt:lpstr>
      <vt:lpstr>Batemanleitries</vt:lpstr>
      <vt:lpstr>Batesbripts</vt:lpstr>
      <vt:lpstr>Batesbritries</vt:lpstr>
      <vt:lpstr>bathpentriesptsthisone</vt:lpstr>
      <vt:lpstr>bathpentriestriesthisone</vt:lpstr>
      <vt:lpstr>BathPts</vt:lpstr>
      <vt:lpstr>BathTries</vt:lpstr>
      <vt:lpstr>Batleyworpts</vt:lpstr>
      <vt:lpstr>Batleywortries</vt:lpstr>
      <vt:lpstr>Baylissbthpts</vt:lpstr>
      <vt:lpstr>Baylissbthtries</vt:lpstr>
      <vt:lpstr>beardharatt</vt:lpstr>
      <vt:lpstr>beardhargls</vt:lpstr>
      <vt:lpstr>Beardharpts</vt:lpstr>
      <vt:lpstr>Beardhartries</vt:lpstr>
      <vt:lpstr>Beatonsarpts</vt:lpstr>
      <vt:lpstr>Beatonsartries</vt:lpstr>
      <vt:lpstr>Beaumontsalpts</vt:lpstr>
      <vt:lpstr>Beaumontsaltries</vt:lpstr>
      <vt:lpstr>Beckworpts</vt:lpstr>
      <vt:lpstr>Beckwortries</vt:lpstr>
      <vt:lpstr>bedlowbriatt</vt:lpstr>
      <vt:lpstr>Bedlowbrigls</vt:lpstr>
      <vt:lpstr>Bedlowbripts</vt:lpstr>
      <vt:lpstr>bedlowbritries</vt:lpstr>
      <vt:lpstr>bellleiatt</vt:lpstr>
      <vt:lpstr>Bellleigoals</vt:lpstr>
      <vt:lpstr>bensonharatt</vt:lpstr>
      <vt:lpstr>bensonhargls</vt:lpstr>
      <vt:lpstr>Bentleyjonnypts</vt:lpstr>
      <vt:lpstr>Bevingtonbstpts</vt:lpstr>
      <vt:lpstr>Bevingtonbsttries</vt:lpstr>
      <vt:lpstr>Biggarnorpts</vt:lpstr>
      <vt:lpstr>Biggarnortries</vt:lpstr>
      <vt:lpstr>Birchsalpts</vt:lpstr>
      <vt:lpstr>Birchsaltries</vt:lpstr>
      <vt:lpstr>Blairnewpts</vt:lpstr>
      <vt:lpstr>Blairpts</vt:lpstr>
      <vt:lpstr>Blairtries</vt:lpstr>
      <vt:lpstr>Blakeglopts</vt:lpstr>
      <vt:lpstr>Blakeglotries</vt:lpstr>
      <vt:lpstr>Blamirenewpts</vt:lpstr>
      <vt:lpstr>Blamirenewtries</vt:lpstr>
      <vt:lpstr>Blommetjiesleicpts</vt:lpstr>
      <vt:lpstr>Blommetjiesleictries</vt:lpstr>
      <vt:lpstr>Boschmarcelopts</vt:lpstr>
      <vt:lpstr>Boschmarcelotries</vt:lpstr>
      <vt:lpstr>boticaatt</vt:lpstr>
      <vt:lpstr>boticagoals</vt:lpstr>
      <vt:lpstr>Bowdendanpts</vt:lpstr>
      <vt:lpstr>Boycebthpts</vt:lpstr>
      <vt:lpstr>Boycebthtries</vt:lpstr>
      <vt:lpstr>BristolPts</vt:lpstr>
      <vt:lpstr>BristolTries</vt:lpstr>
      <vt:lpstr>Brookesnoprpts</vt:lpstr>
      <vt:lpstr>Brookesnortries</vt:lpstr>
      <vt:lpstr>brownnewpts</vt:lpstr>
      <vt:lpstr>brownnewtries</vt:lpstr>
      <vt:lpstr>Bryansarpts</vt:lpstr>
      <vt:lpstr>Bryansartries</vt:lpstr>
      <vt:lpstr>bryantleiatt</vt:lpstr>
      <vt:lpstr>Bryantleigoals</vt:lpstr>
      <vt:lpstr>Burgerjacquespts</vt:lpstr>
      <vt:lpstr>Burgerjacquestries</vt:lpstr>
      <vt:lpstr>Burnsfreddiepts</vt:lpstr>
      <vt:lpstr>Burnsfreddietries</vt:lpstr>
      <vt:lpstr>burnsleiatt</vt:lpstr>
      <vt:lpstr>Burnsleicpts</vt:lpstr>
      <vt:lpstr>Burnsleictries</vt:lpstr>
      <vt:lpstr>burnsleigoals</vt:lpstr>
      <vt:lpstr>Burrellnewpts</vt:lpstr>
      <vt:lpstr>Burrellnewtries</vt:lpstr>
      <vt:lpstr>Burrellpts</vt:lpstr>
      <vt:lpstr>Burrelltries</vt:lpstr>
      <vt:lpstr>Buttbthpts</vt:lpstr>
      <vt:lpstr>Buttbthtries</vt:lpstr>
      <vt:lpstr>Byrnebripts</vt:lpstr>
      <vt:lpstr>Byrnebritries</vt:lpstr>
      <vt:lpstr>Caldwellexepts</vt:lpstr>
      <vt:lpstr>Caldwellexetries</vt:lpstr>
      <vt:lpstr>Caponbripts</vt:lpstr>
      <vt:lpstr>Caponbritries</vt:lpstr>
      <vt:lpstr>Capstickexepts</vt:lpstr>
      <vt:lpstr>Capstickexetries</vt:lpstr>
      <vt:lpstr>Cardallwaspts</vt:lpstr>
      <vt:lpstr>Cardallwastries</vt:lpstr>
      <vt:lpstr>Care</vt:lpstr>
      <vt:lpstr>Carepts</vt:lpstr>
      <vt:lpstr>caretries</vt:lpstr>
      <vt:lpstr>Carpentersalpts</vt:lpstr>
      <vt:lpstr>Carpentersaltries</vt:lpstr>
      <vt:lpstr>Carrerasglopts</vt:lpstr>
      <vt:lpstr>Carrerasglotries</vt:lpstr>
      <vt:lpstr>Carrerasnewpts</vt:lpstr>
      <vt:lpstr>Carrerasnewtries</vt:lpstr>
      <vt:lpstr>Carrick_Smithexepts</vt:lpstr>
      <vt:lpstr>Carrick_Smithexetries</vt:lpstr>
      <vt:lpstr>Carrnwaspts</vt:lpstr>
      <vt:lpstr>Carrnwastries</vt:lpstr>
      <vt:lpstr>Challengerbripts</vt:lpstr>
      <vt:lpstr>Challengerbritries</vt:lpstr>
      <vt:lpstr>chapmangloatt</vt:lpstr>
      <vt:lpstr>chapmanglogls</vt:lpstr>
      <vt:lpstr>Chapmanglopts</vt:lpstr>
      <vt:lpstr>Chapmanglotries</vt:lpstr>
      <vt:lpstr>Chessumleicpts</vt:lpstr>
      <vt:lpstr>Chessumleictries</vt:lpstr>
      <vt:lpstr>Chicknewpts</vt:lpstr>
      <vt:lpstr>Chicknewtries</vt:lpstr>
      <vt:lpstr>Chisholm_Rharpts</vt:lpstr>
      <vt:lpstr>Chisholm_Rhartries</vt:lpstr>
      <vt:lpstr>chisholmharatt</vt:lpstr>
      <vt:lpstr>chisholmhargls</vt:lpstr>
      <vt:lpstr>Chisholmjamesharpts</vt:lpstr>
      <vt:lpstr>Chisholmjameshartries</vt:lpstr>
      <vt:lpstr>Christiesarptscorrect</vt:lpstr>
      <vt:lpstr>Christiesartriescorrect</vt:lpstr>
      <vt:lpstr>Chudleybthpts</vt:lpstr>
      <vt:lpstr>Chudleybthtries</vt:lpstr>
      <vt:lpstr>Chudleyworpts</vt:lpstr>
      <vt:lpstr>Chudleywortries</vt:lpstr>
      <vt:lpstr>Cintilirpts</vt:lpstr>
      <vt:lpstr>Cintilirtries</vt:lpstr>
      <vt:lpstr>ciprianiatt</vt:lpstr>
      <vt:lpstr>ciprianibthatt</vt:lpstr>
      <vt:lpstr>ciprianibthgls</vt:lpstr>
      <vt:lpstr>ciprianibthpts</vt:lpstr>
      <vt:lpstr>Ciprianibthtries</vt:lpstr>
      <vt:lpstr>ciprianigoals</vt:lpstr>
      <vt:lpstr>Clareysarptscorrect</vt:lpstr>
      <vt:lpstr>Clareysartriescorrect</vt:lpstr>
      <vt:lpstr>Clarkbatpts</vt:lpstr>
      <vt:lpstr>Clarkbattries</vt:lpstr>
      <vt:lpstr>Cleavesharpts</vt:lpstr>
      <vt:lpstr>Cleaveshartries</vt:lpstr>
      <vt:lpstr>Cleggnewpts</vt:lpstr>
      <vt:lpstr>Cleggpts</vt:lpstr>
      <vt:lpstr>cleggrorytries</vt:lpstr>
      <vt:lpstr>Cleggworpts</vt:lpstr>
      <vt:lpstr>Cleggwortries</vt:lpstr>
      <vt:lpstr>cliffsalatt</vt:lpstr>
      <vt:lpstr>Cliffsalgls</vt:lpstr>
      <vt:lpstr>Cliffwillsalpts</vt:lpstr>
      <vt:lpstr>Cliffwillsaltries</vt:lpstr>
      <vt:lpstr>Coetzeebthpts</vt:lpstr>
      <vt:lpstr>Coetzeebthtries</vt:lpstr>
      <vt:lpstr>Coetzerglopts</vt:lpstr>
      <vt:lpstr>Coetzerglotries</vt:lpstr>
      <vt:lpstr>Cokanasigabthpts</vt:lpstr>
      <vt:lpstr>Cokanasigabthtries</vt:lpstr>
      <vt:lpstr>Cokanasigaplirpts</vt:lpstr>
      <vt:lpstr>Cokanasigaplirtries</vt:lpstr>
      <vt:lpstr>Coleleipts</vt:lpstr>
      <vt:lpstr>Coleleitries</vt:lpstr>
      <vt:lpstr>Colesnorpts</vt:lpstr>
      <vt:lpstr>Colesnortries</vt:lpstr>
      <vt:lpstr>Collettnewpts</vt:lpstr>
      <vt:lpstr>Collettnewtries</vt:lpstr>
      <vt:lpstr>Collierharpts</vt:lpstr>
      <vt:lpstr>Collierhartries</vt:lpstr>
      <vt:lpstr>Collinstompts</vt:lpstr>
      <vt:lpstr>Collinstomtries</vt:lpstr>
      <vt:lpstr>connonnewatt</vt:lpstr>
      <vt:lpstr>connonnewgoals</vt:lpstr>
      <vt:lpstr>Connonnewptscorrectthisone</vt:lpstr>
      <vt:lpstr>Connonnewtriescorrectthsione</vt:lpstr>
      <vt:lpstr>Cookbthpts</vt:lpstr>
      <vt:lpstr>Cookbthtries</vt:lpstr>
      <vt:lpstr>Cookchrispts</vt:lpstr>
      <vt:lpstr>Cookchristries</vt:lpstr>
      <vt:lpstr>Cookelirpts</vt:lpstr>
      <vt:lpstr>Cookelirtries</vt:lpstr>
      <vt:lpstr>Cornishlirpts</vt:lpstr>
      <vt:lpstr>Cornishlirtries</vt:lpstr>
      <vt:lpstr>Courtlipts</vt:lpstr>
      <vt:lpstr>Courtlitries</vt:lpstr>
      <vt:lpstr>Cowan_Dickie_Lukepts</vt:lpstr>
      <vt:lpstr>Cowan_Dickie_Luketries</vt:lpstr>
      <vt:lpstr>Cowan_Dickieleicpts</vt:lpstr>
      <vt:lpstr>Cowan_Dickieleictries</vt:lpstr>
      <vt:lpstr>Cowanjimmypts</vt:lpstr>
      <vt:lpstr>Cowanjimmytries</vt:lpstr>
      <vt:lpstr>Coxworpts</vt:lpstr>
      <vt:lpstr>Coxwortries</vt:lpstr>
      <vt:lpstr>cranebripts</vt:lpstr>
      <vt:lpstr>Cranebritries</vt:lpstr>
      <vt:lpstr>Crossdalesarpts</vt:lpstr>
      <vt:lpstr>Crossdalesarptscorrect</vt:lpstr>
      <vt:lpstr>Crossdalesartries</vt:lpstr>
      <vt:lpstr>Crossdalesartriescorrect</vt:lpstr>
      <vt:lpstr>Crossdalewaspts</vt:lpstr>
      <vt:lpstr>Crossdalewastrioes</vt:lpstr>
      <vt:lpstr>Crusewaspts</vt:lpstr>
      <vt:lpstr>Crusewastries</vt:lpstr>
      <vt:lpstr>Curry_Bsalpts</vt:lpstr>
      <vt:lpstr>Curry_Bsaltries</vt:lpstr>
      <vt:lpstr>Curry_Tsalpts</vt:lpstr>
      <vt:lpstr>Curry_Tsaltries</vt:lpstr>
      <vt:lpstr>Curtis_Harrislirpts</vt:lpstr>
      <vt:lpstr>Curtis_Harrislirtries</vt:lpstr>
      <vt:lpstr>Curtissalpts</vt:lpstr>
      <vt:lpstr>Curtissaltries</vt:lpstr>
      <vt:lpstr>Daltonnewpts</vt:lpstr>
      <vt:lpstr>Daltonnewtries</vt:lpstr>
      <vt:lpstr>dalysarattcorrect</vt:lpstr>
      <vt:lpstr>dalysarglscorrect</vt:lpstr>
      <vt:lpstr>Dalysarptscorrect</vt:lpstr>
      <vt:lpstr>Dalysartriescorrect</vt:lpstr>
      <vt:lpstr>Danielsbripts</vt:lpstr>
      <vt:lpstr>Danielsbritries</vt:lpstr>
      <vt:lpstr>Davidharpts</vt:lpstr>
      <vt:lpstr>Davidhartries</vt:lpstr>
      <vt:lpstr>Davidsonglopts</vt:lpstr>
      <vt:lpstr>Davidsonglotries</vt:lpstr>
      <vt:lpstr>Davidsonnewpts</vt:lpstr>
      <vt:lpstr>Davidsonnewtries</vt:lpstr>
      <vt:lpstr>Daviesalexpts</vt:lpstr>
      <vt:lpstr>Daviesalextries</vt:lpstr>
      <vt:lpstr>Daviessarptscorrect</vt:lpstr>
      <vt:lpstr>Daviessartriescorrect</vt:lpstr>
      <vt:lpstr>Dawidiukglopts</vt:lpstr>
      <vt:lpstr>Dawidiukglotries</vt:lpstr>
      <vt:lpstr>de_Glanvillebthgls</vt:lpstr>
      <vt:lpstr>de_Haassarptscorrect</vt:lpstr>
      <vt:lpstr>de_Haassartriescorrect</vt:lpstr>
      <vt:lpstr>de_Jagersalpts</vt:lpstr>
      <vt:lpstr>de_Jagersaltries</vt:lpstr>
      <vt:lpstr>de_Klerksalgls</vt:lpstr>
      <vt:lpstr>de_Kockneilpts</vt:lpstr>
      <vt:lpstr>de_Kockneiltries</vt:lpstr>
      <vt:lpstr>deglanvillebthatt</vt:lpstr>
      <vt:lpstr>deklerksalatt</vt:lpstr>
      <vt:lpstr>Delmasbthpts</vt:lpstr>
      <vt:lpstr>Delmasbthtries</vt:lpstr>
      <vt:lpstr>Dentonglopts</vt:lpstr>
      <vt:lpstr>Dentonglotries</vt:lpstr>
      <vt:lpstr>Devotoexepts</vt:lpstr>
      <vt:lpstr>Devotoexetries</vt:lpstr>
      <vt:lpstr>Diaz_Bonilla_Jleicpts</vt:lpstr>
      <vt:lpstr>Diaz_Bonilla_Jleictries</vt:lpstr>
      <vt:lpstr>Diaz_Bonillaleicgls</vt:lpstr>
      <vt:lpstr>diazbonillaleicatt</vt:lpstr>
      <vt:lpstr>Dingwallnorpts</vt:lpstr>
      <vt:lpstr>Dingwallnortries</vt:lpstr>
      <vt:lpstr>Doelworpts</vt:lpstr>
      <vt:lpstr>Doelwortries</vt:lpstr>
      <vt:lpstr>Dohertysalpts</vt:lpstr>
      <vt:lpstr>Dohertysaltries</vt:lpstr>
      <vt:lpstr>Dombrandtharpts</vt:lpstr>
      <vt:lpstr>Dombrandthartries</vt:lpstr>
      <vt:lpstr>Donnelllirpts</vt:lpstr>
      <vt:lpstr>Donnelllirtries</vt:lpstr>
      <vt:lpstr>Dorrianlipts</vt:lpstr>
      <vt:lpstr>Dorrianlitries</vt:lpstr>
      <vt:lpstr>Douglasbthpts</vt:lpstr>
      <vt:lpstr>Douglasbthtries</vt:lpstr>
      <vt:lpstr>Dowsonpts</vt:lpstr>
      <vt:lpstr>Dowsontries</vt:lpstr>
      <vt:lpstr>du_Plessissarpts</vt:lpstr>
      <vt:lpstr>du_Plessissartries</vt:lpstr>
      <vt:lpstr>du_Preez__JPsalpts</vt:lpstr>
      <vt:lpstr>du_Preez__JPsaltries</vt:lpstr>
      <vt:lpstr>du_Preez_Dsalpts</vt:lpstr>
      <vt:lpstr>du_Preez_Dsaltries</vt:lpstr>
      <vt:lpstr>du_Preez_J_Lsalpts</vt:lpstr>
      <vt:lpstr>du_Preez_J_Lsaltries</vt:lpstr>
      <vt:lpstr>du_Preez_Rsalpts</vt:lpstr>
      <vt:lpstr>du_Preez_Rsaltries</vt:lpstr>
      <vt:lpstr>du_Toitbthpts</vt:lpstr>
      <vt:lpstr>du_Toitbthtries</vt:lpstr>
      <vt:lpstr>Dugdalesalpts</vt:lpstr>
      <vt:lpstr>Dugdalesaltries</vt:lpstr>
      <vt:lpstr>Dunnbattries</vt:lpstr>
      <vt:lpstr>Dunnbtheurtries</vt:lpstr>
      <vt:lpstr>Dunntompts</vt:lpstr>
      <vt:lpstr>dupreezsalatt</vt:lpstr>
      <vt:lpstr>dupreezsalgls</vt:lpstr>
      <vt:lpstr>dupreezsalpts</vt:lpstr>
      <vt:lpstr>Earlsarpts</vt:lpstr>
      <vt:lpstr>Earlsarptscorrect</vt:lpstr>
      <vt:lpstr>Earlsartries</vt:lpstr>
      <vt:lpstr>Earlsartriescorrect</vt:lpstr>
      <vt:lpstr>Eastgatewaspts</vt:lpstr>
      <vt:lpstr>Eastgatewastries</vt:lpstr>
      <vt:lpstr>edenbriattcorrect</vt:lpstr>
      <vt:lpstr>Edenbriglscorrect</vt:lpstr>
      <vt:lpstr>Edenbripts</vt:lpstr>
      <vt:lpstr>Edenbritries</vt:lpstr>
      <vt:lpstr>edwardsharatt</vt:lpstr>
      <vt:lpstr>edwardshargls</vt:lpstr>
      <vt:lpstr>Edwardsharpts</vt:lpstr>
      <vt:lpstr>Edwardshartries</vt:lpstr>
      <vt:lpstr>Edwardsleicpts</vt:lpstr>
      <vt:lpstr>Edwardsleictries</vt:lpstr>
      <vt:lpstr>Elringtonglopts</vt:lpstr>
      <vt:lpstr>Elringtonglotries</vt:lpstr>
      <vt:lpstr>Englefieldlirpts</vt:lpstr>
      <vt:lpstr>Englefieldlirtries</vt:lpstr>
      <vt:lpstr>esterhuizenharatt</vt:lpstr>
      <vt:lpstr>Esterhuizenhargls</vt:lpstr>
      <vt:lpstr>Esterhuizenharpts</vt:lpstr>
      <vt:lpstr>Esterhuizenhartries</vt:lpstr>
      <vt:lpstr>Evans_Lglopts</vt:lpstr>
      <vt:lpstr>Evans_Lglotries</vt:lpstr>
      <vt:lpstr>Evans_Oharpts</vt:lpstr>
      <vt:lpstr>Evans_Ohartries</vt:lpstr>
      <vt:lpstr>Evansbthpts</vt:lpstr>
      <vt:lpstr>Evansbthtries</vt:lpstr>
      <vt:lpstr>Evanshartries</vt:lpstr>
      <vt:lpstr>evanslgloatt</vt:lpstr>
      <vt:lpstr>evanslglogoals</vt:lpstr>
      <vt:lpstr>Evanswharpts</vt:lpstr>
      <vt:lpstr>Evanswillharpts</vt:lpstr>
      <vt:lpstr>Ewelsbthpts</vt:lpstr>
      <vt:lpstr>ewelsbthtries</vt:lpstr>
      <vt:lpstr>Ewersexepts</vt:lpstr>
      <vt:lpstr>Ewersexetries</vt:lpstr>
      <vt:lpstr>ExeterPts</vt:lpstr>
      <vt:lpstr>ExeterTries</vt:lpstr>
      <vt:lpstr>Faletaubthpts</vt:lpstr>
      <vt:lpstr>Faletaubthtries</vt:lpstr>
      <vt:lpstr>Farrellowentries</vt:lpstr>
      <vt:lpstr>farrellsarattcorrect</vt:lpstr>
      <vt:lpstr>farrellsarglscorrect</vt:lpstr>
      <vt:lpstr>Farrellsarpts</vt:lpstr>
      <vt:lpstr>Farrellsarptscorrect</vt:lpstr>
      <vt:lpstr>farrellsartriescorrect</vt:lpstr>
      <vt:lpstr>Fatialofaworpts</vt:lpstr>
      <vt:lpstr>Fatialofawortries</vt:lpstr>
      <vt:lpstr>Fearnsalpts</vt:lpstr>
      <vt:lpstr>Fearnsaltries</vt:lpstr>
      <vt:lpstr>Fearnsnewpts</vt:lpstr>
      <vt:lpstr>Fearnsnewtries</vt:lpstr>
      <vt:lpstr>Fenbylipts</vt:lpstr>
      <vt:lpstr>Fenbylitries</vt:lpstr>
      <vt:lpstr>Fenton_Wellsbripts</vt:lpstr>
      <vt:lpstr>Fenton_Wellsbritries</vt:lpstr>
      <vt:lpstr>Fifitawaspts</vt:lpstr>
      <vt:lpstr>Fifitawastries</vt:lpstr>
      <vt:lpstr>Fishnorpts</vt:lpstr>
      <vt:lpstr>Fishnortries</vt:lpstr>
      <vt:lpstr>floodatt</vt:lpstr>
      <vt:lpstr>floodgoals</vt:lpstr>
      <vt:lpstr>Floodnewpts</vt:lpstr>
      <vt:lpstr>Floodnewtries</vt:lpstr>
      <vt:lpstr>Floodtobytries</vt:lpstr>
      <vt:lpstr>Ford_Robinsonglopts</vt:lpstr>
      <vt:lpstr>Ford_Robinsonglotries</vt:lpstr>
      <vt:lpstr>fordleicpts</vt:lpstr>
      <vt:lpstr>fordleictries</vt:lpstr>
      <vt:lpstr>Fotuali_ibthpts</vt:lpstr>
      <vt:lpstr>Fotuali_ibthtries</vt:lpstr>
      <vt:lpstr>Fowlielipts</vt:lpstr>
      <vt:lpstr>Fowlietomtries</vt:lpstr>
      <vt:lpstr>Francisnorpts</vt:lpstr>
      <vt:lpstr>Francisnortries</vt:lpstr>
      <vt:lpstr>Frankslirpts</vt:lpstr>
      <vt:lpstr>Frankslirtries</vt:lpstr>
      <vt:lpstr>Freemanexepts</vt:lpstr>
      <vt:lpstr>Freemanexetries</vt:lpstr>
      <vt:lpstr>Freemannorpts</vt:lpstr>
      <vt:lpstr>Freemannortries</vt:lpstr>
      <vt:lpstr>Frischbripts</vt:lpstr>
      <vt:lpstr>Frischbritries</vt:lpstr>
      <vt:lpstr>Frostnorpts</vt:lpstr>
      <vt:lpstr>Frostnortries</vt:lpstr>
      <vt:lpstr>Frostwaspts</vt:lpstr>
      <vt:lpstr>Frostwastries</vt:lpstr>
      <vt:lpstr>furbanknoratt</vt:lpstr>
      <vt:lpstr>furbanknorgls</vt:lpstr>
      <vt:lpstr>Furbanknorptscorrect</vt:lpstr>
      <vt:lpstr>Furbanknortriescorrect</vt:lpstr>
      <vt:lpstr>Fusernewpts</vt:lpstr>
      <vt:lpstr>Fusernewtries</vt:lpstr>
      <vt:lpstr>Galarzaglopts</vt:lpstr>
      <vt:lpstr>Galarzaglotries</vt:lpstr>
      <vt:lpstr>Galarzamarianopts</vt:lpstr>
      <vt:lpstr>Galarzamarianotries</vt:lpstr>
      <vt:lpstr>Garside_Jnorpts</vt:lpstr>
      <vt:lpstr>Garside_Jnortries</vt:lpstr>
      <vt:lpstr>Garveymattpts</vt:lpstr>
      <vt:lpstr>Garveymatttries</vt:lpstr>
      <vt:lpstr>Gaskellwaspts</vt:lpstr>
      <vt:lpstr>Gaskellwastries</vt:lpstr>
      <vt:lpstr>Georgesarpts</vt:lpstr>
      <vt:lpstr>Georgesarptscorrect</vt:lpstr>
      <vt:lpstr>Georgesartries</vt:lpstr>
      <vt:lpstr>Georgesartriescorrect</vt:lpstr>
      <vt:lpstr>Geraghtypts</vt:lpstr>
      <vt:lpstr>Ghiraldinileipts</vt:lpstr>
      <vt:lpstr>Ghiraldinileitries</vt:lpstr>
      <vt:lpstr>Gillespienorpts</vt:lpstr>
      <vt:lpstr>Gillespienortries</vt:lpstr>
      <vt:lpstr>Gjaltemaharpts</vt:lpstr>
      <vt:lpstr>Gjaltemahartries</vt:lpstr>
      <vt:lpstr>GloucesterPts</vt:lpstr>
      <vt:lpstr>GloucesterTries</vt:lpstr>
      <vt:lpstr>Gonzalezlirpts</vt:lpstr>
      <vt:lpstr>Gonzalezlirtries</vt:lpstr>
      <vt:lpstr>Goodealexpts</vt:lpstr>
      <vt:lpstr>goodealextries</vt:lpstr>
      <vt:lpstr>goodeandyatt</vt:lpstr>
      <vt:lpstr>goodeandygoals</vt:lpstr>
      <vt:lpstr>GOODESARATTCORRECT</vt:lpstr>
      <vt:lpstr>goodesarglscorrect</vt:lpstr>
      <vt:lpstr>Goodesarptscorrect</vt:lpstr>
      <vt:lpstr>Goodesartriescorrect</vt:lpstr>
      <vt:lpstr>Goodewaspts</vt:lpstr>
      <vt:lpstr>Goodewastries</vt:lpstr>
      <vt:lpstr>Grahambthpts</vt:lpstr>
      <vt:lpstr>Grahambthtres</vt:lpstr>
      <vt:lpstr>Grahamnewpts</vt:lpstr>
      <vt:lpstr>Grahamnewtries</vt:lpstr>
      <vt:lpstr>Grayexeeurtries</vt:lpstr>
      <vt:lpstr>Grayexepts</vt:lpstr>
      <vt:lpstr>Grayexetries</vt:lpstr>
      <vt:lpstr>Grayjoeharpts</vt:lpstr>
      <vt:lpstr>Grayjoehartries</vt:lpstr>
      <vt:lpstr>graysonnoratt</vt:lpstr>
      <vt:lpstr>graysonnorgls</vt:lpstr>
      <vt:lpstr>Graysonnorpts</vt:lpstr>
      <vt:lpstr>Graysonnortries</vt:lpstr>
      <vt:lpstr>Greenbthpts</vt:lpstr>
      <vt:lpstr>Greenbthtries</vt:lpstr>
      <vt:lpstr>Greenharpts</vt:lpstr>
      <vt:lpstr>Greenhartries</vt:lpstr>
      <vt:lpstr>Griffithssarpts</vt:lpstr>
      <vt:lpstr>Griffithssartries</vt:lpstr>
      <vt:lpstr>Grondonaexepts</vt:lpstr>
      <vt:lpstr>Grondonaexetries</vt:lpstr>
      <vt:lpstr>Hainingbripts</vt:lpstr>
      <vt:lpstr>Hainingbritries</vt:lpstr>
      <vt:lpstr>Halaifonuaglopts</vt:lpstr>
      <vt:lpstr>Halaifonuaglotries</vt:lpstr>
      <vt:lpstr>Hammersleynewpts</vt:lpstr>
      <vt:lpstr>Hammersleynewtries</vt:lpstr>
      <vt:lpstr>Hammersleysalpts</vt:lpstr>
      <vt:lpstr>Hammersleysaltries</vt:lpstr>
      <vt:lpstr>Hammonddeanpts</vt:lpstr>
      <vt:lpstr>hanrahannoratt</vt:lpstr>
      <vt:lpstr>Hanrahannorgoals</vt:lpstr>
      <vt:lpstr>Hardingbripts</vt:lpstr>
      <vt:lpstr>Hardingbritries</vt:lpstr>
      <vt:lpstr>Hardingwaspts</vt:lpstr>
      <vt:lpstr>Hardingwastries</vt:lpstr>
      <vt:lpstr>hardwickleicatt</vt:lpstr>
      <vt:lpstr>hardwickleicgls</vt:lpstr>
      <vt:lpstr>Hardwickleipts</vt:lpstr>
      <vt:lpstr>Hardwickleitries</vt:lpstr>
      <vt:lpstr>HarlequinsPts</vt:lpstr>
      <vt:lpstr>HarlequinsTries</vt:lpstr>
      <vt:lpstr>Harpersalpts</vt:lpstr>
      <vt:lpstr>Harpersaltries</vt:lpstr>
      <vt:lpstr>Harris_Bwaspts</vt:lpstr>
      <vt:lpstr>Harris_Bwastries</vt:lpstr>
      <vt:lpstr>Harrisglopts</vt:lpstr>
      <vt:lpstr>Harrisglotries</vt:lpstr>
      <vt:lpstr>Harrisonnorpts</vt:lpstr>
      <vt:lpstr>Harrisonnortries</vt:lpstr>
      <vt:lpstr>Harrisonsalpts</vt:lpstr>
      <vt:lpstr>Harrisonsaltris</vt:lpstr>
      <vt:lpstr>Harrisonsampts</vt:lpstr>
      <vt:lpstr>Harrisonsamtries</vt:lpstr>
      <vt:lpstr>Harrissarpts</vt:lpstr>
      <vt:lpstr>Harrissartries</vt:lpstr>
      <vt:lpstr>Hartleywaspts</vt:lpstr>
      <vt:lpstr>Hartleywastries</vt:lpstr>
      <vt:lpstr>Hartryscorers</vt:lpstr>
      <vt:lpstr>Hassell_Collinslirpts</vt:lpstr>
      <vt:lpstr>Hassell_Collinslirtries</vt:lpstr>
      <vt:lpstr>hastingsgloatt</vt:lpstr>
      <vt:lpstr>Hastingsglogls</vt:lpstr>
      <vt:lpstr>Haydon_Woodnewgls</vt:lpstr>
      <vt:lpstr>Haydon_Woodnewpts</vt:lpstr>
      <vt:lpstr>Haydon_Woodnewtries</vt:lpstr>
      <vt:lpstr>haydonwoodnewatt</vt:lpstr>
      <vt:lpstr>Haywoodmikepts</vt:lpstr>
      <vt:lpstr>Haywoodmiketries</vt:lpstr>
      <vt:lpstr>Heaneyworpts</vt:lpstr>
      <vt:lpstr>Heaneywortries</vt:lpstr>
      <vt:lpstr>Hearleworpts</vt:lpstr>
      <vt:lpstr>Hearlewortries</vt:lpstr>
      <vt:lpstr>Hearnlirpts</vt:lpstr>
      <vt:lpstr>Hearnlirtries</vt:lpstr>
      <vt:lpstr>Hegartyleicpts</vt:lpstr>
      <vt:lpstr>Hegartyleictries</vt:lpstr>
      <vt:lpstr>heinzworpts</vt:lpstr>
      <vt:lpstr>Heinzwortries</vt:lpstr>
      <vt:lpstr>Hendricksonexepts</vt:lpstr>
      <vt:lpstr>Hendricksonexetries</vt:lpstr>
      <vt:lpstr>Hendriksonexetries</vt:lpstr>
      <vt:lpstr>Hendynorpts</vt:lpstr>
      <vt:lpstr>Hendynortries</vt:lpstr>
      <vt:lpstr>Hepburnexepts</vt:lpstr>
      <vt:lpstr>Hepburnexetries</vt:lpstr>
      <vt:lpstr>Herronharpts</vt:lpstr>
      <vt:lpstr>Herronhartries</vt:lpstr>
      <vt:lpstr>Hill_Jexepts</vt:lpstr>
      <vt:lpstr>Hill_Jexetries</vt:lpstr>
      <vt:lpstr>Hill_Samexetries</vt:lpstr>
      <vt:lpstr>Hill_Sexepts</vt:lpstr>
      <vt:lpstr>Hill_Ssamexepts</vt:lpstr>
      <vt:lpstr>Hillman_Cooperglopts</vt:lpstr>
      <vt:lpstr>Hillman_Cooperglotries</vt:lpstr>
      <vt:lpstr>Hillsampts</vt:lpstr>
      <vt:lpstr>Hillsamtries</vt:lpstr>
      <vt:lpstr>Hillworpts</vt:lpstr>
      <vt:lpstr>Hillwortries</vt:lpstr>
      <vt:lpstr>Hodgeexeatt</vt:lpstr>
      <vt:lpstr>Hodgeexegls</vt:lpstr>
      <vt:lpstr>Hodgeexepts</vt:lpstr>
      <vt:lpstr>Hodgeexetries</vt:lpstr>
      <vt:lpstr>hodgsoncharlieatt</vt:lpstr>
      <vt:lpstr>Hodgsoncharliegoals</vt:lpstr>
      <vt:lpstr>Hodgsonnewptscorrect</vt:lpstr>
      <vt:lpstr>Hodgsonnewtriescorrect</vt:lpstr>
      <vt:lpstr>Hodgsonnorpts</vt:lpstr>
      <vt:lpstr>Hodgsonnortries</vt:lpstr>
      <vt:lpstr>hoggexeatt</vt:lpstr>
      <vt:lpstr>hoggexegls</vt:lpstr>
      <vt:lpstr>Hoggexepts</vt:lpstr>
      <vt:lpstr>Hoggexetries</vt:lpstr>
      <vt:lpstr>Holmesexepts</vt:lpstr>
      <vt:lpstr>holmesexetries</vt:lpstr>
      <vt:lpstr>Holmesleicpts</vt:lpstr>
      <vt:lpstr>Holmesleictries</vt:lpstr>
      <vt:lpstr>Holsey_Lwortries</vt:lpstr>
      <vt:lpstr>Holseyworpts</vt:lpstr>
      <vt:lpstr>Homer_Tombthgoals</vt:lpstr>
      <vt:lpstr>homertombthatt</vt:lpstr>
      <vt:lpstr>Hougaardwaspts</vt:lpstr>
      <vt:lpstr>Hougaardwastries</vt:lpstr>
      <vt:lpstr>Howeworpts</vt:lpstr>
      <vt:lpstr>Howewortries</vt:lpstr>
      <vt:lpstr>Hudsonglopts</vt:lpstr>
      <vt:lpstr>Hudsonglotries</vt:lpstr>
      <vt:lpstr>Hughesbripts</vt:lpstr>
      <vt:lpstr>Hughesbritries</vt:lpstr>
      <vt:lpstr>Humphreysworpts</vt:lpstr>
      <vt:lpstr>Humphreyswortries</vt:lpstr>
      <vt:lpstr>Hunter_Hillsarptscorrect</vt:lpstr>
      <vt:lpstr>Hunter_Hillsartriescorrect</vt:lpstr>
      <vt:lpstr>Hurdleicpts</vt:lpstr>
      <vt:lpstr>Hurdleictries</vt:lpstr>
      <vt:lpstr>hutchinsonnoratt</vt:lpstr>
      <vt:lpstr>hutchinsonnorgls</vt:lpstr>
      <vt:lpstr>Hutchinsonnorpts</vt:lpstr>
      <vt:lpstr>Hutchinsonnortries</vt:lpstr>
      <vt:lpstr>Ibitoyeharpts</vt:lpstr>
      <vt:lpstr>Ibitoyehartries</vt:lpstr>
      <vt:lpstr>Iosefa_Scottexepts</vt:lpstr>
      <vt:lpstr>Iosefa_Scottexetries</vt:lpstr>
      <vt:lpstr>Isiekwesarpts</vt:lpstr>
      <vt:lpstr>Isiekwesarptscorrect</vt:lpstr>
      <vt:lpstr>Isiekwesartries</vt:lpstr>
      <vt:lpstr>Isiekwesartriescorrect</vt:lpstr>
      <vt:lpstr>Itojesarpts</vt:lpstr>
      <vt:lpstr>Itojesarptscorrect</vt:lpstr>
      <vt:lpstr>Itojesartries</vt:lpstr>
      <vt:lpstr>Itojesartriescorrect</vt:lpstr>
      <vt:lpstr>Jacksonlirpts</vt:lpstr>
      <vt:lpstr>Jacksonlirtries</vt:lpstr>
      <vt:lpstr>Jacksonsarpts</vt:lpstr>
      <vt:lpstr>Jacksonsartries</vt:lpstr>
      <vt:lpstr>James_Lsalpts</vt:lpstr>
      <vt:lpstr>James_Lsaltries</vt:lpstr>
      <vt:lpstr>Jamesnorpts</vt:lpstr>
      <vt:lpstr>Jamesnortries</vt:lpstr>
      <vt:lpstr>Jamespts</vt:lpstr>
      <vt:lpstr>Jamessalatt</vt:lpstr>
      <vt:lpstr>Jamessalgls</vt:lpstr>
      <vt:lpstr>Jamessalpts</vt:lpstr>
      <vt:lpstr>Jamessaltries</vt:lpstr>
      <vt:lpstr>jamestries</vt:lpstr>
      <vt:lpstr>Janse_v_Rensburglirpts</vt:lpstr>
      <vt:lpstr>Janse_v_Rensburglirtries</vt:lpstr>
      <vt:lpstr>Jansevanrensburgsalpts</vt:lpstr>
      <vt:lpstr>Jansevanrensburgsaltries</vt:lpstr>
      <vt:lpstr>jansevrensburgliratt</vt:lpstr>
      <vt:lpstr>jansevrensburglirgls</vt:lpstr>
      <vt:lpstr>Jeffriesbriptscorrect</vt:lpstr>
      <vt:lpstr>Jeffriesbritriescorrect</vt:lpstr>
      <vt:lpstr>jenningsliratt</vt:lpstr>
      <vt:lpstr>Jenningslirgls</vt:lpstr>
      <vt:lpstr>Jenningslirpts</vt:lpstr>
      <vt:lpstr>Jenningslirtries</vt:lpstr>
      <vt:lpstr>Johnsalpts</vt:lpstr>
      <vt:lpstr>Johnsaltries</vt:lpstr>
      <vt:lpstr>Johnsonworpts</vt:lpstr>
      <vt:lpstr>Johnsonwortries</vt:lpstr>
      <vt:lpstr>Jonesadamharpts</vt:lpstr>
      <vt:lpstr>Jonesadamhartries</vt:lpstr>
      <vt:lpstr>JonesHharpts</vt:lpstr>
      <vt:lpstr>JonesHhartries</vt:lpstr>
      <vt:lpstr>Jonkerbthpts</vt:lpstr>
      <vt:lpstr>Jonkerbthtries</vt:lpstr>
      <vt:lpstr>Josephbatpts</vt:lpstr>
      <vt:lpstr>Josephbattries</vt:lpstr>
      <vt:lpstr>josephbthatt</vt:lpstr>
      <vt:lpstr>Josephbthgls</vt:lpstr>
      <vt:lpstr>Josephlirpts</vt:lpstr>
      <vt:lpstr>Josephlirtries</vt:lpstr>
      <vt:lpstr>Jouberternstpts</vt:lpstr>
      <vt:lpstr>Jouberternsttries</vt:lpstr>
      <vt:lpstr>Jureviciusharpts</vt:lpstr>
      <vt:lpstr>Jureviciushartries</vt:lpstr>
      <vt:lpstr>Keastexepts</vt:lpstr>
      <vt:lpstr>Keastexetries</vt:lpstr>
      <vt:lpstr>kellyleicatt</vt:lpstr>
      <vt:lpstr>Kellyleicgls</vt:lpstr>
      <vt:lpstr>Kenninghamharpts</vt:lpstr>
      <vt:lpstr>Kenninghamhartries</vt:lpstr>
      <vt:lpstr>Kennyexepts</vt:lpstr>
      <vt:lpstr>Kennyexetries</vt:lpstr>
      <vt:lpstr>Kerrbripts</vt:lpstr>
      <vt:lpstr>Kerrbritries</vt:lpstr>
      <vt:lpstr>Kerrleicpts</vt:lpstr>
      <vt:lpstr>Kerrleictries</vt:lpstr>
      <vt:lpstr>Kibirigezachpts</vt:lpstr>
      <vt:lpstr>Kibirigezachtries</vt:lpstr>
      <vt:lpstr>Kilbridgewaspts</vt:lpstr>
      <vt:lpstr>Kilbridgewastries</vt:lpstr>
      <vt:lpstr>Kirstenexepts</vt:lpstr>
      <vt:lpstr>Kirstenexetries</vt:lpstr>
      <vt:lpstr>Kirwancarlpts</vt:lpstr>
      <vt:lpstr>Kirwancarltries</vt:lpstr>
      <vt:lpstr>Kitchenergrahamptscorrect</vt:lpstr>
      <vt:lpstr>Kitchenergrahamtriescorrect</vt:lpstr>
      <vt:lpstr>Kochsarptscorrect</vt:lpstr>
      <vt:lpstr>Kochsartriescorrect</vt:lpstr>
      <vt:lpstr>Kpoku__Jonathansarpts</vt:lpstr>
      <vt:lpstr>Kpoku__Jonathansartries</vt:lpstr>
      <vt:lpstr>Kpokusarpts</vt:lpstr>
      <vt:lpstr>Kpokusartries</vt:lpstr>
      <vt:lpstr>Krielglopts</vt:lpstr>
      <vt:lpstr>Krielglotries</vt:lpstr>
      <vt:lpstr>Kruisgeorgepts</vt:lpstr>
      <vt:lpstr>Kruisgeorgetries</vt:lpstr>
      <vt:lpstr>Lamositelesarpts</vt:lpstr>
      <vt:lpstr>Lamositelesartries</vt:lpstr>
      <vt:lpstr>Lanceworpts</vt:lpstr>
      <vt:lpstr>Lancewortries</vt:lpstr>
      <vt:lpstr>Lanebripts</vt:lpstr>
      <vt:lpstr>Lanebritries</vt:lpstr>
      <vt:lpstr>Langdonsalpts</vt:lpstr>
      <vt:lpstr>Langdonsaltries</vt:lpstr>
      <vt:lpstr>langharatt</vt:lpstr>
      <vt:lpstr>Langhargls</vt:lpstr>
      <vt:lpstr>lanharatt</vt:lpstr>
      <vt:lpstr>lanhargoals</vt:lpstr>
      <vt:lpstr>lanharpts</vt:lpstr>
      <vt:lpstr>Launchburywaspts</vt:lpstr>
      <vt:lpstr>Launchburywastries</vt:lpstr>
      <vt:lpstr>Lavaninileicpts</vt:lpstr>
      <vt:lpstr>Lavaninileictries</vt:lpstr>
      <vt:lpstr>Lawesnorpts</vt:lpstr>
      <vt:lpstr>Lawesnortries</vt:lpstr>
      <vt:lpstr>Lawrenceworpts</vt:lpstr>
      <vt:lpstr>Lawrencewortries</vt:lpstr>
      <vt:lpstr>Laybripts</vt:lpstr>
      <vt:lpstr>Laybritries</vt:lpstr>
      <vt:lpstr>Le_Bourgeoiswaspts</vt:lpstr>
      <vt:lpstr>Le_Bourgeoiswastries</vt:lpstr>
      <vt:lpstr>LeicesterPts</vt:lpstr>
      <vt:lpstr>LeicesterTries</vt:lpstr>
      <vt:lpstr>leicspentriespts</vt:lpstr>
      <vt:lpstr>leicspentriestries</vt:lpstr>
      <vt:lpstr>Lewingtonsarptscorrect</vt:lpstr>
      <vt:lpstr>Lewingtonsartriescorrect</vt:lpstr>
      <vt:lpstr>Lewingtontries</vt:lpstr>
      <vt:lpstr>Lewis_</vt:lpstr>
      <vt:lpstr>Lewisdaveharpts</vt:lpstr>
      <vt:lpstr>Lewisdavehartries</vt:lpstr>
      <vt:lpstr>Lewisrobpts</vt:lpstr>
      <vt:lpstr>Lewisrobtries</vt:lpstr>
      <vt:lpstr>Lewissarptscorrect</vt:lpstr>
      <vt:lpstr>Lewissartriescorrect</vt:lpstr>
      <vt:lpstr>Liebenbergleicpts</vt:lpstr>
      <vt:lpstr>Liebenbergleictries</vt:lpstr>
      <vt:lpstr>Lindsay_Haguenewpts</vt:lpstr>
      <vt:lpstr>Lindsay_Haguenewtries</vt:lpstr>
      <vt:lpstr>Litchfieldnorpts</vt:lpstr>
      <vt:lpstr>Litchfieldnortries</vt:lpstr>
      <vt:lpstr>Lloyd_Jbripts</vt:lpstr>
      <vt:lpstr>Lloyd_Jbritries</vt:lpstr>
      <vt:lpstr>LloydBriAtt</vt:lpstr>
      <vt:lpstr>LloydBriGls</vt:lpstr>
      <vt:lpstr>LloydBriPts</vt:lpstr>
      <vt:lpstr>LloydBriTries</vt:lpstr>
      <vt:lpstr>lloydjbriatt</vt:lpstr>
      <vt:lpstr>lloydjbrigls</vt:lpstr>
      <vt:lpstr>Lloydlirpts</vt:lpstr>
      <vt:lpstr>Lloydlirtries</vt:lpstr>
      <vt:lpstr>Loaderlirpts</vt:lpstr>
      <vt:lpstr>Loaderlirtries</vt:lpstr>
      <vt:lpstr>londonirishpentriespts</vt:lpstr>
      <vt:lpstr>londonirishpentriestries</vt:lpstr>
      <vt:lpstr>LondonIrishPts</vt:lpstr>
      <vt:lpstr>LondonIrishTres</vt:lpstr>
      <vt:lpstr>LondonIrishTries</vt:lpstr>
      <vt:lpstr>Longbottomsarpts</vt:lpstr>
      <vt:lpstr>Longbottomsartries</vt:lpstr>
      <vt:lpstr>Lonsdaleexepts</vt:lpstr>
      <vt:lpstr>Lonsdaleexetries</vt:lpstr>
      <vt:lpstr>Lowkierantries</vt:lpstr>
      <vt:lpstr>Lowlipts</vt:lpstr>
      <vt:lpstr>lozowksisarattcorrect</vt:lpstr>
      <vt:lpstr>lozowskisarattcorrect</vt:lpstr>
      <vt:lpstr>lozowskisarglscorrect</vt:lpstr>
      <vt:lpstr>Lozowskisarptscorrect</vt:lpstr>
      <vt:lpstr>Lozowskisartriescorrect</vt:lpstr>
      <vt:lpstr>Lucocknewpts</vt:lpstr>
      <vt:lpstr>Lucocknewtries</vt:lpstr>
      <vt:lpstr>Ludlamnorpts</vt:lpstr>
      <vt:lpstr>Ludlamnortries</vt:lpstr>
      <vt:lpstr>Ludlowglopts</vt:lpstr>
      <vt:lpstr>Ludlowglotries</vt:lpstr>
      <vt:lpstr>Lynaghharpts</vt:lpstr>
      <vt:lpstr>Lynaghhartries</vt:lpstr>
      <vt:lpstr>Ma_afusalesipts</vt:lpstr>
      <vt:lpstr>Ma_afusalesitries</vt:lpstr>
      <vt:lpstr>MacKenziephilpts</vt:lpstr>
      <vt:lpstr>MacKenziephiltries</vt:lpstr>
      <vt:lpstr>Mafilirpts</vt:lpstr>
      <vt:lpstr>Mafilirtries</vt:lpstr>
      <vt:lpstr>Mafipts</vt:lpstr>
      <vt:lpstr>Maitlandsarpts</vt:lpstr>
      <vt:lpstr>Maitlandsarptscorrect</vt:lpstr>
      <vt:lpstr>Maitlandsartries</vt:lpstr>
      <vt:lpstr>Maitlandsartriescorrect</vt:lpstr>
      <vt:lpstr>malinssaratt</vt:lpstr>
      <vt:lpstr>malinssarattcorrect</vt:lpstr>
      <vt:lpstr>malinssargls</vt:lpstr>
      <vt:lpstr>malinssarglscorrect</vt:lpstr>
      <vt:lpstr>Malinssarpts</vt:lpstr>
      <vt:lpstr>Malinssarptscorrect</vt:lpstr>
      <vt:lpstr>Malinssartries</vt:lpstr>
      <vt:lpstr>Malinssartriescorrect</vt:lpstr>
      <vt:lpstr>Maraisglopts</vt:lpstr>
      <vt:lpstr>Maraisglotries</vt:lpstr>
      <vt:lpstr>marchantharatt</vt:lpstr>
      <vt:lpstr>Marchanthargls</vt:lpstr>
      <vt:lpstr>Marchantharpts</vt:lpstr>
      <vt:lpstr>Marchanthartries</vt:lpstr>
      <vt:lpstr>Marfoharpts</vt:lpstr>
      <vt:lpstr>Marfohartries</vt:lpstr>
      <vt:lpstr>Marlerharpts</vt:lpstr>
      <vt:lpstr>marlertries</vt:lpstr>
      <vt:lpstr>Marshalllirpts</vt:lpstr>
      <vt:lpstr>Marshalllirtries</vt:lpstr>
      <vt:lpstr>Marshallnorpts</vt:lpstr>
      <vt:lpstr>Marshallnortries</vt:lpstr>
      <vt:lpstr>Martinleicpts</vt:lpstr>
      <vt:lpstr>Martinleictries</vt:lpstr>
      <vt:lpstr>Matavesinewptscorrect</vt:lpstr>
      <vt:lpstr>Matavesinewtriescorrect</vt:lpstr>
      <vt:lpstr>mathewswasatt</vt:lpstr>
      <vt:lpstr>mathewswasgls</vt:lpstr>
      <vt:lpstr>Matthewsnorpts</vt:lpstr>
      <vt:lpstr>Matthewsnortries</vt:lpstr>
      <vt:lpstr>Maunder_Sexepts</vt:lpstr>
      <vt:lpstr>Maunder_Sexetries</vt:lpstr>
      <vt:lpstr>Maunderexepts</vt:lpstr>
      <vt:lpstr>Maunderexetries</vt:lpstr>
      <vt:lpstr>Mawisarptscorrect</vt:lpstr>
      <vt:lpstr>Mawisartriescorrect</vt:lpstr>
      <vt:lpstr>Mayhewlipts</vt:lpstr>
      <vt:lpstr>Mayhewlitries</vt:lpstr>
      <vt:lpstr>Mayleicpts</vt:lpstr>
      <vt:lpstr>Mayleictries</vt:lpstr>
      <vt:lpstr>Maytompts</vt:lpstr>
      <vt:lpstr>Maytomtries</vt:lpstr>
      <vt:lpstr>McConnochiebthpts</vt:lpstr>
      <vt:lpstr>McConnochiebthtries</vt:lpstr>
      <vt:lpstr>McFarlandsarptscorrect</vt:lpstr>
      <vt:lpstr>McFarlandsartriescorrect</vt:lpstr>
      <vt:lpstr>McGuigannewpts</vt:lpstr>
      <vt:lpstr>McGuigannewtries</vt:lpstr>
      <vt:lpstr>mcguigansalatt</vt:lpstr>
      <vt:lpstr>McGuigansalgoals</vt:lpstr>
      <vt:lpstr>McGuigansalpts</vt:lpstr>
      <vt:lpstr>McGuigansaltries</vt:lpstr>
      <vt:lpstr>McIntyresimonpts</vt:lpstr>
      <vt:lpstr>McIntyrewastries</vt:lpstr>
      <vt:lpstr>Mcmillanlirpts</vt:lpstr>
      <vt:lpstr>Mcmillanlirtries</vt:lpstr>
      <vt:lpstr>McNallybthpts</vt:lpstr>
      <vt:lpstr>McNallybthtries</vt:lpstr>
      <vt:lpstr>McNallylirpts</vt:lpstr>
      <vt:lpstr>McNallylirtries</vt:lpstr>
      <vt:lpstr>McNultyharpts</vt:lpstr>
      <vt:lpstr>McNultyhartries</vt:lpstr>
      <vt:lpstr>Mcphilipsleipts</vt:lpstr>
      <vt:lpstr>Mcphilipsleitries</vt:lpstr>
      <vt:lpstr>Meehanglopts</vt:lpstr>
      <vt:lpstr>Meehanglotries</vt:lpstr>
      <vt:lpstr>Mehsonwaspts</vt:lpstr>
      <vt:lpstr>Mehsonwastries</vt:lpstr>
      <vt:lpstr>Merricknewpts</vt:lpstr>
      <vt:lpstr>Merricknewtries</vt:lpstr>
      <vt:lpstr>millerwasatt</vt:lpstr>
      <vt:lpstr>millerwasgoals</vt:lpstr>
      <vt:lpstr>Millerwaspts</vt:lpstr>
      <vt:lpstr>Millerwastries</vt:lpstr>
      <vt:lpstr>Millerworpts</vt:lpstr>
      <vt:lpstr>Millerwortries</vt:lpstr>
      <vt:lpstr>Mitchellnorpts</vt:lpstr>
      <vt:lpstr>Mitchellnortries</vt:lpstr>
      <vt:lpstr>Montgomerynewpts</vt:lpstr>
      <vt:lpstr>Montgomerynewtries</vt:lpstr>
      <vt:lpstr>Montgomeryworpts</vt:lpstr>
      <vt:lpstr>Montgomerywortries</vt:lpstr>
      <vt:lpstr>Montoyaleicpts</vt:lpstr>
      <vt:lpstr>Montoyaleictries</vt:lpstr>
      <vt:lpstr>Moon_Anortries</vt:lpstr>
      <vt:lpstr>Moonnorpts</vt:lpstr>
      <vt:lpstr>Mooresalpts</vt:lpstr>
      <vt:lpstr>Mooresaltries</vt:lpstr>
      <vt:lpstr>Morgan_Aglopts</vt:lpstr>
      <vt:lpstr>Morgan_Aglotries</vt:lpstr>
      <vt:lpstr>Morganbenpts</vt:lpstr>
      <vt:lpstr>Morganbentries</vt:lpstr>
      <vt:lpstr>Moriartyglopts</vt:lpstr>
      <vt:lpstr>Moriartyglotries</vt:lpstr>
      <vt:lpstr>Morrisbenwasgtries</vt:lpstr>
      <vt:lpstr>Morrisbenwaspts</vt:lpstr>
      <vt:lpstr>Morrisglopts</vt:lpstr>
      <vt:lpstr>Morrisglotries</vt:lpstr>
      <vt:lpstr>Morrisharpts</vt:lpstr>
      <vt:lpstr>Morrishartries</vt:lpstr>
      <vt:lpstr>morrisjgloatt</vt:lpstr>
      <vt:lpstr>Morrisjglogls</vt:lpstr>
      <vt:lpstr>Morrisjglopts</vt:lpstr>
      <vt:lpstr>Morrisjglotries</vt:lpstr>
      <vt:lpstr>Morrissarptscorrect</vt:lpstr>
      <vt:lpstr>Morrissartriescorrect</vt:lpstr>
      <vt:lpstr>Mudarikiworpts</vt:lpstr>
      <vt:lpstr>Mudarikiwortries</vt:lpstr>
      <vt:lpstr>Muirbthpts</vt:lpstr>
      <vt:lpstr>Muirbthtries</vt:lpstr>
      <vt:lpstr>Mulchronelipts</vt:lpstr>
      <vt:lpstr>MulchronelirtriesCORRECT</vt:lpstr>
      <vt:lpstr>Mulchronelitries</vt:lpstr>
      <vt:lpstr>Muldowneybripts</vt:lpstr>
      <vt:lpstr>Muldowneybritries</vt:lpstr>
      <vt:lpstr>Mulipolanewpts</vt:lpstr>
      <vt:lpstr>Mulipolanewtries</vt:lpstr>
      <vt:lpstr>Mullennewpts</vt:lpstr>
      <vt:lpstr>Mullennewtries</vt:lpstr>
      <vt:lpstr>Mummpts</vt:lpstr>
      <vt:lpstr>mummtries</vt:lpstr>
      <vt:lpstr>Murleyharpts</vt:lpstr>
      <vt:lpstr>Murleyhartries</vt:lpstr>
      <vt:lpstr>myleratt</vt:lpstr>
      <vt:lpstr>mylergoals</vt:lpstr>
      <vt:lpstr>Nagusanewpts</vt:lpstr>
      <vt:lpstr>Nagusanewtries</vt:lpstr>
      <vt:lpstr>Naiyaravoronorpts</vt:lpstr>
      <vt:lpstr>Naiyaravoronortries</vt:lpstr>
      <vt:lpstr>Nanaiworpts</vt:lpstr>
      <vt:lpstr>Nanaiwortries</vt:lpstr>
      <vt:lpstr>Narrawaylipts</vt:lpstr>
      <vt:lpstr>Nealwaspts</vt:lpstr>
      <vt:lpstr>Nealwastries</vt:lpstr>
      <vt:lpstr>Neildsalpts</vt:lpstr>
      <vt:lpstr>Neildsaltries</vt:lpstr>
      <vt:lpstr>Nixonexepts</vt:lpstr>
      <vt:lpstr>Nixonexetries</vt:lpstr>
      <vt:lpstr>Noakeslipts</vt:lpstr>
      <vt:lpstr>Noakeslitries</vt:lpstr>
      <vt:lpstr>Noreyexepts</vt:lpstr>
      <vt:lpstr>Noreyexetries</vt:lpstr>
      <vt:lpstr>NorthamptonPts</vt:lpstr>
      <vt:lpstr>NorthamptonTries</vt:lpstr>
      <vt:lpstr>Northmoreharpts</vt:lpstr>
      <vt:lpstr>Northmorehartries</vt:lpstr>
      <vt:lpstr>Nottlirpts</vt:lpstr>
      <vt:lpstr>Nottlirtries</vt:lpstr>
      <vt:lpstr>Nowellexepts</vt:lpstr>
      <vt:lpstr>Nowellexetries</vt:lpstr>
      <vt:lpstr>O_Brienexepts</vt:lpstr>
      <vt:lpstr>O_Brienexetries</vt:lpstr>
      <vt:lpstr>O_Donnellrobtries</vt:lpstr>
      <vt:lpstr>O_Sullivanlirpts</vt:lpstr>
      <vt:lpstr>O_Sullivanlirtries</vt:lpstr>
      <vt:lpstr>O_Sullivanwaspts</vt:lpstr>
      <vt:lpstr>O_Sullivanwastries</vt:lpstr>
      <vt:lpstr>Obanobthpts</vt:lpstr>
      <vt:lpstr>Obanobthtries</vt:lpstr>
      <vt:lpstr>Obatoyinbosarptscorrect</vt:lpstr>
      <vt:lpstr>Obatoyinbosartriescorrect</vt:lpstr>
      <vt:lpstr>Obatoysarpts</vt:lpstr>
      <vt:lpstr>Obatoysartries</vt:lpstr>
      <vt:lpstr>Obonnanewpts</vt:lpstr>
      <vt:lpstr>Obonnanewtries</vt:lpstr>
      <vt:lpstr>Odogwuwaspts</vt:lpstr>
      <vt:lpstr>Odogwuwastries</vt:lpstr>
      <vt:lpstr>OjomohBTHPTS</vt:lpstr>
      <vt:lpstr>OjomohBTHTRIES</vt:lpstr>
      <vt:lpstr>Olowofela_Jleicpts</vt:lpstr>
      <vt:lpstr>Olowofela_Jleictries</vt:lpstr>
      <vt:lpstr>Ostrikovandreitries</vt:lpstr>
      <vt:lpstr>OStrikovsalpts</vt:lpstr>
      <vt:lpstr>Owenleicpts</vt:lpstr>
      <vt:lpstr>Owenleictries</vt:lpstr>
      <vt:lpstr>Owennewptscorrect</vt:lpstr>
      <vt:lpstr>Owennewtriescorrect</vt:lpstr>
      <vt:lpstr>PaiceDavidpts</vt:lpstr>
      <vt:lpstr>PaiceDavidptts</vt:lpstr>
      <vt:lpstr>Painternorpts</vt:lpstr>
      <vt:lpstr>Painternortries</vt:lpstr>
      <vt:lpstr>Palamobrispts</vt:lpstr>
      <vt:lpstr>Palamobristries</vt:lpstr>
      <vt:lpstr>Palframanworpts</vt:lpstr>
      <vt:lpstr>Palframanwortries</vt:lpstr>
      <vt:lpstr>Parlingexepts</vt:lpstr>
      <vt:lpstr>Parlingexetries</vt:lpstr>
      <vt:lpstr>Parlinggeoffexepts</vt:lpstr>
      <vt:lpstr>Parlingleipts</vt:lpstr>
      <vt:lpstr>Parlingleitries</vt:lpstr>
      <vt:lpstr>Paulolirpts</vt:lpstr>
      <vt:lpstr>paulolirtries</vt:lpstr>
      <vt:lpstr>Pearsonexepts</vt:lpstr>
      <vt:lpstr>Pearsonexetries</vt:lpstr>
      <vt:lpstr>Pearsonlirpts</vt:lpstr>
      <vt:lpstr>Pearsonlirtries</vt:lpstr>
      <vt:lpstr>Penalty_Triesbath</vt:lpstr>
      <vt:lpstr>Penalty_Triesbripts</vt:lpstr>
      <vt:lpstr>Penalty_Triesbritries</vt:lpstr>
      <vt:lpstr>Penalty_Triesexepts</vt:lpstr>
      <vt:lpstr>Penalty_Triesexetries</vt:lpstr>
      <vt:lpstr>Penalty_Triesglopts</vt:lpstr>
      <vt:lpstr>Penalty_Triesglotries</vt:lpstr>
      <vt:lpstr>Penalty_Triesharpts</vt:lpstr>
      <vt:lpstr>Penalty_Trieshartries</vt:lpstr>
      <vt:lpstr>Penalty_Triesnewpts</vt:lpstr>
      <vt:lpstr>Penalty_Triesnewptscorrect</vt:lpstr>
      <vt:lpstr>Penalty_Triesnewtries</vt:lpstr>
      <vt:lpstr>Penalty_Triesnewtriescorrect</vt:lpstr>
      <vt:lpstr>Penalty_Triessaintspts</vt:lpstr>
      <vt:lpstr>Penalty_Triessaintstries</vt:lpstr>
      <vt:lpstr>Penalty_Triessalpts</vt:lpstr>
      <vt:lpstr>Penalty_Triessaltries</vt:lpstr>
      <vt:lpstr>Penalty_Triessarptscorrect</vt:lpstr>
      <vt:lpstr>Penalty_Triessartriescorrect</vt:lpstr>
      <vt:lpstr>Penalty_Trieswaspts</vt:lpstr>
      <vt:lpstr>Penalty_Trieswastries</vt:lpstr>
      <vt:lpstr>Penalty_Triesworpts</vt:lpstr>
      <vt:lpstr>Penalty_Trieswortries</vt:lpstr>
      <vt:lpstr>Pennellchristries</vt:lpstr>
      <vt:lpstr>Pennytnewpts</vt:lpstr>
      <vt:lpstr>Pennytnewtries</vt:lpstr>
      <vt:lpstr>Phillipsjamespts</vt:lpstr>
      <vt:lpstr>Phillipsjamessalpts</vt:lpstr>
      <vt:lpstr>Phillipsjamessaltries</vt:lpstr>
      <vt:lpstr>Phillipsjamestries</vt:lpstr>
      <vt:lpstr>Pifeletisarptscorrect</vt:lpstr>
      <vt:lpstr>Pifeletisartriescorrect</vt:lpstr>
      <vt:lpstr>Pisikenptscorrect</vt:lpstr>
      <vt:lpstr>Pisikentriescorrect</vt:lpstr>
      <vt:lpstr>Piutau_Cbritriescorrect</vt:lpstr>
      <vt:lpstr>Piutaubripts</vt:lpstr>
      <vt:lpstr>Piutaubritries</vt:lpstr>
      <vt:lpstr>Polledriglopts</vt:lpstr>
      <vt:lpstr>Polledriglotries</vt:lpstr>
      <vt:lpstr>Poreckilirpts</vt:lpstr>
      <vt:lpstr>Poreckilirtries</vt:lpstr>
      <vt:lpstr>Porterleicpts</vt:lpstr>
      <vt:lpstr>Porterleictries</vt:lpstr>
      <vt:lpstr>Postlethwaitesalpts</vt:lpstr>
      <vt:lpstr>Postlethwaitesaltries</vt:lpstr>
      <vt:lpstr>Powellbripts</vt:lpstr>
      <vt:lpstr>Powellbritries</vt:lpstr>
      <vt:lpstr>Prydiebthpts</vt:lpstr>
      <vt:lpstr>Prydiebthtries</vt:lpstr>
      <vt:lpstr>pts</vt:lpstr>
      <vt:lpstr>Purdybripts</vt:lpstr>
      <vt:lpstr>Purdybritries</vt:lpstr>
      <vt:lpstr>quinspentriespts</vt:lpstr>
      <vt:lpstr>quinspentriestries</vt:lpstr>
      <vt:lpstr>Quirkesalpts</vt:lpstr>
      <vt:lpstr>Quirkesaltries</vt:lpstr>
      <vt:lpstr>Radradrabripts</vt:lpstr>
      <vt:lpstr>Radradrabritries</vt:lpstr>
      <vt:lpstr>Radwannewptscorrect</vt:lpstr>
      <vt:lpstr>Radwannewtriescorrect</vt:lpstr>
      <vt:lpstr>Randallbripts</vt:lpstr>
      <vt:lpstr>Randallbritries</vt:lpstr>
      <vt:lpstr>Rapava_Ruskinglopts</vt:lpstr>
      <vt:lpstr>Rapava_Ruskinglotries</vt:lpstr>
      <vt:lpstr>Ratuniyarawanorpts</vt:lpstr>
      <vt:lpstr>Ratuniyarawanortries</vt:lpstr>
      <vt:lpstr>Readsalpts</vt:lpstr>
      <vt:lpstr>Readsaltries</vt:lpstr>
      <vt:lpstr>Redmondlirpts</vt:lpstr>
      <vt:lpstr>Redmondlirtries</vt:lpstr>
      <vt:lpstr>redpathbthatt</vt:lpstr>
      <vt:lpstr>Redpathbthpts</vt:lpstr>
      <vt:lpstr>Redpathbthtries</vt:lpstr>
      <vt:lpstr>redpathsalatt</vt:lpstr>
      <vt:lpstr>redpathsalegls</vt:lpstr>
      <vt:lpstr>Rees_Zammitglopts</vt:lpstr>
      <vt:lpstr>Rees_Zammitglotries</vt:lpstr>
      <vt:lpstr>Reevesglopts</vt:lpstr>
      <vt:lpstr>Reevesglotries</vt:lpstr>
      <vt:lpstr>Reffellsarptscorrect</vt:lpstr>
      <vt:lpstr>Reffellsartriescorrect</vt:lpstr>
      <vt:lpstr>Reidlirpts</vt:lpstr>
      <vt:lpstr>Reidlirtries</vt:lpstr>
      <vt:lpstr>Reltonexepts</vt:lpstr>
      <vt:lpstr>Reltonexetries</vt:lpstr>
      <vt:lpstr>repathbthgls</vt:lpstr>
      <vt:lpstr>Rhodessarpts</vt:lpstr>
      <vt:lpstr>Rhodessartries</vt:lpstr>
      <vt:lpstr>Ribbansnorpts</vt:lpstr>
      <vt:lpstr>Ribbansnortries</vt:lpstr>
      <vt:lpstr>Riccionisarptscorrect</vt:lpstr>
      <vt:lpstr>Riccionisartriescorrect</vt:lpstr>
      <vt:lpstr>Richardsbthpts</vt:lpstr>
      <vt:lpstr>Richardsbthtries</vt:lpstr>
      <vt:lpstr>Richardsonleicpts</vt:lpstr>
      <vt:lpstr>Richardsonleictries</vt:lpstr>
      <vt:lpstr>Riederwaspts</vt:lpstr>
      <vt:lpstr>Riederwastries</vt:lpstr>
      <vt:lpstr>Robertsbthpts</vt:lpstr>
      <vt:lpstr>Robertsbthtries</vt:lpstr>
      <vt:lpstr>Robinsonnewpts</vt:lpstr>
      <vt:lpstr>Robinsonnewtries</vt:lpstr>
      <vt:lpstr>robsobwasgoals</vt:lpstr>
      <vt:lpstr>robsonwasatt</vt:lpstr>
      <vt:lpstr>Robsonwaspts</vt:lpstr>
      <vt:lpstr>Robsonwastries</vt:lpstr>
      <vt:lpstr>Roddsalpts</vt:lpstr>
      <vt:lpstr>Roddsaltries</vt:lpstr>
      <vt:lpstr>Roebucksalpts</vt:lpstr>
      <vt:lpstr>Roebucksaltries</vt:lpstr>
      <vt:lpstr>Rokodugunibatpts</vt:lpstr>
      <vt:lpstr>Rokodugunibattries</vt:lpstr>
      <vt:lpstr>Rosssalpts</vt:lpstr>
      <vt:lpstr>Rosssaltries</vt:lpstr>
      <vt:lpstr>Rowelirpts</vt:lpstr>
      <vt:lpstr>Rowelirtries</vt:lpstr>
      <vt:lpstr>Safeglopts</vt:lpstr>
      <vt:lpstr>Safeglotries</vt:lpstr>
      <vt:lpstr>SalePts</vt:lpstr>
      <vt:lpstr>Saletries</vt:lpstr>
      <vt:lpstr>Salomonbripts</vt:lpstr>
      <vt:lpstr>Salomonbritries</vt:lpstr>
      <vt:lpstr>Salvijulianpts</vt:lpstr>
      <vt:lpstr>Salvijuliantries</vt:lpstr>
      <vt:lpstr>SaracensPts</vt:lpstr>
      <vt:lpstr>SaracensTries</vt:lpstr>
      <vt:lpstr>Saulolirpts</vt:lpstr>
      <vt:lpstr>Saulolirtries</vt:lpstr>
      <vt:lpstr>Saumakileicpts</vt:lpstr>
      <vt:lpstr>Saumakileictries</vt:lpstr>
      <vt:lpstr>Schickerlingexepts</vt:lpstr>
      <vt:lpstr>Schickerlingexetries</vt:lpstr>
      <vt:lpstr>Schoeman_Tbthpts</vt:lpstr>
      <vt:lpstr>Schoeman_Tbthptscorrect</vt:lpstr>
      <vt:lpstr>Schoeman_Tbthtries</vt:lpstr>
      <vt:lpstr>schoemanbthatt</vt:lpstr>
      <vt:lpstr>Schoemanbthgls</vt:lpstr>
      <vt:lpstr>Schoemanbthpts</vt:lpstr>
      <vt:lpstr>Schoemanbthtries</vt:lpstr>
      <vt:lpstr>Scotland_W_sonharpts</vt:lpstr>
      <vt:lpstr>Scotland_W_sonhartries</vt:lpstr>
      <vt:lpstr>ScotlandWilliamsonchristianpts</vt:lpstr>
      <vt:lpstr>Scottleicpts</vt:lpstr>
      <vt:lpstr>Scottleictries</vt:lpstr>
      <vt:lpstr>Scullypts</vt:lpstr>
      <vt:lpstr>Seabrookglopts</vt:lpstr>
      <vt:lpstr>Seabrookglotries</vt:lpstr>
      <vt:lpstr>searleworatt</vt:lpstr>
      <vt:lpstr>Searleworgls</vt:lpstr>
      <vt:lpstr>Searleworpts</vt:lpstr>
      <vt:lpstr>Searlewortris</vt:lpstr>
      <vt:lpstr>Segunsarptscorrect</vt:lpstr>
      <vt:lpstr>Segunsartriescorrect</vt:lpstr>
      <vt:lpstr>Sheridaneamonnpts</vt:lpstr>
      <vt:lpstr>Sheridaneamonntries</vt:lpstr>
      <vt:lpstr>Shieldswaspts</vt:lpstr>
      <vt:lpstr>Shieldswastries</vt:lpstr>
      <vt:lpstr>Shillcockworpts</vt:lpstr>
      <vt:lpstr>Shillcockwortries</vt:lpstr>
      <vt:lpstr>shilllcockworatt</vt:lpstr>
      <vt:lpstr>shilllcockworgoals</vt:lpstr>
      <vt:lpstr>Simmonds_Sexepts</vt:lpstr>
      <vt:lpstr>Simmonds_Sexetries</vt:lpstr>
      <vt:lpstr>simmondsexeatt</vt:lpstr>
      <vt:lpstr>simmondsexegoals</vt:lpstr>
      <vt:lpstr>Simmondsexepts</vt:lpstr>
      <vt:lpstr>Simmondsexetries</vt:lpstr>
      <vt:lpstr>Simmonsleicpts</vt:lpstr>
      <vt:lpstr>Simmonsleictries</vt:lpstr>
      <vt:lpstr>Simmonslirpts</vt:lpstr>
      <vt:lpstr>Simmonslirtries</vt:lpstr>
      <vt:lpstr>Simpsonbthpts</vt:lpstr>
      <vt:lpstr>Simpsonbthtries</vt:lpstr>
      <vt:lpstr>Simpsonglopts</vt:lpstr>
      <vt:lpstr>Simpsonglotries</vt:lpstr>
      <vt:lpstr>Sinclairjebbpts</vt:lpstr>
      <vt:lpstr>Sinclairjebbtries</vt:lpstr>
      <vt:lpstr>Singletonworpts</vt:lpstr>
      <vt:lpstr>Singletonwortries</vt:lpstr>
      <vt:lpstr>Sirkerwaspts</vt:lpstr>
      <vt:lpstr>Sirkerwastries</vt:lpstr>
      <vt:lpstr>Skinner_Hexepts</vt:lpstr>
      <vt:lpstr>Skinner_Hexetries</vt:lpstr>
      <vt:lpstr>Skinnerexeatt</vt:lpstr>
      <vt:lpstr>Skinnerexegls</vt:lpstr>
      <vt:lpstr>Skinnerexepts</vt:lpstr>
      <vt:lpstr>Skinnerexetries</vt:lpstr>
      <vt:lpstr>sladeatt</vt:lpstr>
      <vt:lpstr>Sladeexepts</vt:lpstr>
      <vt:lpstr>Sladeexetries</vt:lpstr>
      <vt:lpstr>sladegoals</vt:lpstr>
      <vt:lpstr>Slaterglopts</vt:lpstr>
      <vt:lpstr>Slaterglotries</vt:lpstr>
      <vt:lpstr>Sleightholmenorpts</vt:lpstr>
      <vt:lpstr>Sleightholmenortries</vt:lpstr>
      <vt:lpstr>Smithharpts</vt:lpstr>
      <vt:lpstr>Smithhartries</vt:lpstr>
      <vt:lpstr>Smithleicpts</vt:lpstr>
      <vt:lpstr>Smithleictries</vt:lpstr>
      <vt:lpstr>Smithrnewpts</vt:lpstr>
      <vt:lpstr>Smithrnewtries</vt:lpstr>
      <vt:lpstr>Smithrobbienewpts</vt:lpstr>
      <vt:lpstr>Smithrobbienewtries</vt:lpstr>
      <vt:lpstr>smithworatt</vt:lpstr>
      <vt:lpstr>Smithworgls</vt:lpstr>
      <vt:lpstr>Smithworpts</vt:lpstr>
      <vt:lpstr>Smithwortries</vt:lpstr>
      <vt:lpstr>Snymanleicpts</vt:lpstr>
      <vt:lpstr>Snymanleictries</vt:lpstr>
      <vt:lpstr>Socinoglopts</vt:lpstr>
      <vt:lpstr>Socinoglotries</vt:lpstr>
      <vt:lpstr>Socinoleicpts</vt:lpstr>
      <vt:lpstr>Socinoleictries</vt:lpstr>
      <vt:lpstr>Southworthexepts</vt:lpstr>
      <vt:lpstr>Southworthexetries</vt:lpstr>
      <vt:lpstr>Sowreynewpts</vt:lpstr>
      <vt:lpstr>Sowreynewtries</vt:lpstr>
      <vt:lpstr>spcncerbthgls</vt:lpstr>
      <vt:lpstr>Spencer_Bbthpts</vt:lpstr>
      <vt:lpstr>Spencer_Bbthtries</vt:lpstr>
      <vt:lpstr>Spencer_Wbthpts</vt:lpstr>
      <vt:lpstr>Spencer_Wbthtries</vt:lpstr>
      <vt:lpstr>spencerbenatt</vt:lpstr>
      <vt:lpstr>spencerbengoals</vt:lpstr>
      <vt:lpstr>spencerbthatt</vt:lpstr>
      <vt:lpstr>Stanleyglopts</vt:lpstr>
      <vt:lpstr>Stanleyglotries</vt:lpstr>
      <vt:lpstr>Steelelipts</vt:lpstr>
      <vt:lpstr>Steelelitries</vt:lpstr>
      <vt:lpstr>Stephensonjamestries</vt:lpstr>
      <vt:lpstr>Stevensleicpts</vt:lpstr>
      <vt:lpstr>Stevensleictries</vt:lpstr>
      <vt:lpstr>stewardleicatt</vt:lpstr>
      <vt:lpstr>Stewardleicgls</vt:lpstr>
      <vt:lpstr>Stewartbthpts</vt:lpstr>
      <vt:lpstr>Stewartbthtries</vt:lpstr>
      <vt:lpstr>Stirzakerbripts</vt:lpstr>
      <vt:lpstr>Stirzakerbritries</vt:lpstr>
      <vt:lpstr>Stokeslirpts</vt:lpstr>
      <vt:lpstr>Stokeslirtries</vt:lpstr>
      <vt:lpstr>Stookewaspts</vt:lpstr>
      <vt:lpstr>Stookewastries</vt:lpstr>
      <vt:lpstr>Strangbripts</vt:lpstr>
      <vt:lpstr>Strangbritries</vt:lpstr>
      <vt:lpstr>Streetexepts</vt:lpstr>
      <vt:lpstr>Streetexetries</vt:lpstr>
      <vt:lpstr>Stuartbthpts</vt:lpstr>
      <vt:lpstr>Stuartbthtries</vt:lpstr>
      <vt:lpstr>Stuartwaspts</vt:lpstr>
      <vt:lpstr>Stuartwastries</vt:lpstr>
      <vt:lpstr>Sutherlandworpts</vt:lpstr>
      <vt:lpstr>Sutherlandwortries</vt:lpstr>
      <vt:lpstr>Swainstonharpts</vt:lpstr>
      <vt:lpstr>Swainstonhartries</vt:lpstr>
      <vt:lpstr>Swinsonsarptscorrect</vt:lpstr>
      <vt:lpstr>Swinsonsartriescorrect</vt:lpstr>
      <vt:lpstr>Symonsharpts</vt:lpstr>
      <vt:lpstr>Symonshartries</vt:lpstr>
      <vt:lpstr>Tapuaiharpts</vt:lpstr>
      <vt:lpstr>Tapuaihartries</vt:lpstr>
      <vt:lpstr>Taulaniharpts</vt:lpstr>
      <vt:lpstr>Taulaniharptscorrect</vt:lpstr>
      <vt:lpstr>Taulanihartries</vt:lpstr>
      <vt:lpstr>Taulanihartriescorrect</vt:lpstr>
      <vt:lpstr>Taylorglopts</vt:lpstr>
      <vt:lpstr>Taylorglotries</vt:lpstr>
      <vt:lpstr>Taylornorpts</vt:lpstr>
      <vt:lpstr>Taylornortries</vt:lpstr>
      <vt:lpstr>Taylorsarptscorrect</vt:lpstr>
      <vt:lpstr>Taylorsartriescorrect</vt:lpstr>
      <vt:lpstr>Taylortsalpts</vt:lpstr>
      <vt:lpstr>Taylortsaltries</vt:lpstr>
      <vt:lpstr>Terryglopts</vt:lpstr>
      <vt:lpstr>Terryglotries</vt:lpstr>
      <vt:lpstr>Thomas_Dbripts</vt:lpstr>
      <vt:lpstr>Thomas_Dbritries</vt:lpstr>
      <vt:lpstr>Thomas_DBRITRIESCORRECT</vt:lpstr>
      <vt:lpstr>Thomasglopts</vt:lpstr>
      <vt:lpstr>Thomasglotries</vt:lpstr>
      <vt:lpstr>Thompsonleicpts</vt:lpstr>
      <vt:lpstr>Thompsonleictries</vt:lpstr>
      <vt:lpstr>thompstonetries</vt:lpstr>
      <vt:lpstr>Thorleygloptscorrect</vt:lpstr>
      <vt:lpstr>Thorleyglotriescorrect</vt:lpstr>
      <vt:lpstr>Tiffennewpts</vt:lpstr>
      <vt:lpstr>Tiffennewtries</vt:lpstr>
      <vt:lpstr>Tincknelljamespts</vt:lpstr>
      <vt:lpstr>Tincknelljamestries</vt:lpstr>
      <vt:lpstr>tindallgloatt</vt:lpstr>
      <vt:lpstr>tindallglogoals</vt:lpstr>
      <vt:lpstr>Tompkinssarptscorrect2</vt:lpstr>
      <vt:lpstr>Tompkinssartriescorrect</vt:lpstr>
      <vt:lpstr>Tonksnorpts</vt:lpstr>
      <vt:lpstr>Tonksnortries</vt:lpstr>
      <vt:lpstr>Toomaga_Allenwaspts</vt:lpstr>
      <vt:lpstr>Toomaga_Allenwastries</vt:lpstr>
      <vt:lpstr>Townsendexepts</vt:lpstr>
      <vt:lpstr>Townsendexetries</vt:lpstr>
      <vt:lpstr>Trinderglopts</vt:lpstr>
      <vt:lpstr>Trindertriestries</vt:lpstr>
      <vt:lpstr>Tualanorpts</vt:lpstr>
      <vt:lpstr>TualaNORTRIES</vt:lpstr>
      <vt:lpstr>Tuimaexepts</vt:lpstr>
      <vt:lpstr>Tuimaexetries</vt:lpstr>
      <vt:lpstr>Tuitupousampts</vt:lpstr>
      <vt:lpstr>Tuitupousamtries</vt:lpstr>
      <vt:lpstr>Tunneywaspts</vt:lpstr>
      <vt:lpstr>Tunneywastries</vt:lpstr>
      <vt:lpstr>twelvetreesatt</vt:lpstr>
      <vt:lpstr>Twelvetreesglopts</vt:lpstr>
      <vt:lpstr>Twelvetreesglotries</vt:lpstr>
      <vt:lpstr>twelvetreesgoals</vt:lpstr>
      <vt:lpstr>umagawasatt</vt:lpstr>
      <vt:lpstr>umagawasgoals</vt:lpstr>
      <vt:lpstr>Umagawaspts</vt:lpstr>
      <vt:lpstr>Umagawastries</vt:lpstr>
      <vt:lpstr>Underhillbthpts</vt:lpstr>
      <vt:lpstr>Underhillbthtries</vt:lpstr>
      <vt:lpstr>UrenBRITRIES</vt:lpstr>
      <vt:lpstr>Van_Bredaworpts</vt:lpstr>
      <vt:lpstr>Van_Bredawortries</vt:lpstr>
      <vt:lpstr>Van_der_Merwe_Asalpts</vt:lpstr>
      <vt:lpstr>Van_der_Merwe_Asaltries</vt:lpstr>
      <vt:lpstr>van_der_Merweworpts</vt:lpstr>
      <vt:lpstr>van_der_Merwewortries</vt:lpstr>
      <vt:lpstr>van_der_Sluysexepts</vt:lpstr>
      <vt:lpstr>van_der_Sluysexetries</vt:lpstr>
      <vt:lpstr>van_Poortvlietleicpts</vt:lpstr>
      <vt:lpstr>van_Poortvlietleictries</vt:lpstr>
      <vt:lpstr>van_Rensburgsalpts</vt:lpstr>
      <vt:lpstr>van_Rensburgsaltries</vt:lpstr>
      <vt:lpstr>van_Stadenleicpts</vt:lpstr>
      <vt:lpstr>van_Stadenleictries</vt:lpstr>
      <vt:lpstr>van_Vuurenbthpts</vt:lpstr>
      <vt:lpstr>van_Vuurenbthtries</vt:lpstr>
      <vt:lpstr>van_Wyk_Fleicpts</vt:lpstr>
      <vt:lpstr>van_Wyk_Fleictries</vt:lpstr>
      <vt:lpstr>van_Wykkobusleicpts</vt:lpstr>
      <vt:lpstr>van_Wykkobusleictries</vt:lpstr>
      <vt:lpstr>van_Zylsarptscorrect</vt:lpstr>
      <vt:lpstr>van_Zylsartriescorrect</vt:lpstr>
      <vt:lpstr>Vanesleicpts</vt:lpstr>
      <vt:lpstr>Vanesleictries</vt:lpstr>
      <vt:lpstr>Vellacottglopts</vt:lpstr>
      <vt:lpstr>Vellacottglotries</vt:lpstr>
      <vt:lpstr>Vellacottwaspts</vt:lpstr>
      <vt:lpstr>Vellacottwastries</vt:lpstr>
      <vt:lpstr>Ventersarptscorrect</vt:lpstr>
      <vt:lpstr>Ventersartriescorrect</vt:lpstr>
      <vt:lpstr>Venterworpts</vt:lpstr>
      <vt:lpstr>Venterwortries</vt:lpstr>
      <vt:lpstr>Visagieglopts</vt:lpstr>
      <vt:lpstr>Visagieglotries</vt:lpstr>
      <vt:lpstr>Vuibripts</vt:lpstr>
      <vt:lpstr>Vuibritries</vt:lpstr>
      <vt:lpstr>Vukasinovicwaspts</vt:lpstr>
      <vt:lpstr>Vukasinovicwastries</vt:lpstr>
      <vt:lpstr>Vunipola__Makosarptscorrect</vt:lpstr>
      <vt:lpstr>Vunipola__Makosartriescorrect</vt:lpstr>
      <vt:lpstr>Vunipola__Manusarptscorrect</vt:lpstr>
      <vt:lpstr>Vunipola__Manusartriescorrect</vt:lpstr>
      <vt:lpstr>Vunipola_Bsarptscorrect</vt:lpstr>
      <vt:lpstr>Vunipola_Bsartriescorrect</vt:lpstr>
      <vt:lpstr>Vunipola_Msaratt</vt:lpstr>
      <vt:lpstr>Vunipola_Msargls</vt:lpstr>
      <vt:lpstr>vunipolasarattcorrect</vt:lpstr>
      <vt:lpstr>vunipolasarglscorrect</vt:lpstr>
      <vt:lpstr>Wacokecokenewpts</vt:lpstr>
      <vt:lpstr>Wacokecokenewtries</vt:lpstr>
      <vt:lpstr>Walkerbthpts</vt:lpstr>
      <vt:lpstr>Walkerbthtries</vt:lpstr>
      <vt:lpstr>Walkerharpts</vt:lpstr>
      <vt:lpstr>Walkerhartries</vt:lpstr>
      <vt:lpstr>Wallerworpts</vt:lpstr>
      <vt:lpstr>Wallerwortries</vt:lpstr>
      <vt:lpstr>Walshexegls</vt:lpstr>
      <vt:lpstr>Warrsalpts</vt:lpstr>
      <vt:lpstr>Warrsaltries</vt:lpstr>
      <vt:lpstr>waslhexeatt</vt:lpstr>
      <vt:lpstr>WaspsPts</vt:lpstr>
      <vt:lpstr>WaspsTries</vt:lpstr>
      <vt:lpstr>Watersharpts</vt:lpstr>
      <vt:lpstr>Watershartries</vt:lpstr>
      <vt:lpstr>Watsonanthonypts</vt:lpstr>
      <vt:lpstr>Watsonanthonytries</vt:lpstr>
      <vt:lpstr>Watsonwaspts</vt:lpstr>
      <vt:lpstr>Watsonwastries</vt:lpstr>
      <vt:lpstr>Webbersalpts</vt:lpstr>
      <vt:lpstr>Webbersaltries</vt:lpstr>
      <vt:lpstr>Wellsleicpts</vt:lpstr>
      <vt:lpstr>Wellsleictries</vt:lpstr>
      <vt:lpstr>Westwaspts</vt:lpstr>
      <vt:lpstr>Westwastries</vt:lpstr>
      <vt:lpstr>White_NexeptsCORRECT</vt:lpstr>
      <vt:lpstr>White_Nicexepts</vt:lpstr>
      <vt:lpstr>White_Nicexetries</vt:lpstr>
      <vt:lpstr>Whiteleicpts</vt:lpstr>
      <vt:lpstr>Whiteleictries</vt:lpstr>
      <vt:lpstr>whiteleybriatt</vt:lpstr>
      <vt:lpstr>Whiteleybrigls</vt:lpstr>
      <vt:lpstr>Whiteleybripts</vt:lpstr>
      <vt:lpstr>Whiteleybritries</vt:lpstr>
      <vt:lpstr>whiteleysaratt</vt:lpstr>
      <vt:lpstr>Whiteleysargls</vt:lpstr>
      <vt:lpstr>Whitelirpts</vt:lpstr>
      <vt:lpstr>Whitelirtries</vt:lpstr>
      <vt:lpstr>Whittenpts</vt:lpstr>
      <vt:lpstr>Whittentries</vt:lpstr>
      <vt:lpstr>Wieseleicpts</vt:lpstr>
      <vt:lpstr>Wieseleictries</vt:lpstr>
      <vt:lpstr>Wigglesworthleictries</vt:lpstr>
      <vt:lpstr>Wigglesworthlicpts</vt:lpstr>
      <vt:lpstr>Wilkinsnorpts</vt:lpstr>
      <vt:lpstr>Wilkinsnortries</vt:lpstr>
      <vt:lpstr>wilkinsonsalatt</vt:lpstr>
      <vt:lpstr>wilkinsonsalgls</vt:lpstr>
      <vt:lpstr>Wilkinsonsalpts</vt:lpstr>
      <vt:lpstr>Wilkinsonsaltries</vt:lpstr>
      <vt:lpstr>Williamsbenpts</vt:lpstr>
      <vt:lpstr>Williamsbentries</vt:lpstr>
      <vt:lpstr>Williamsexepts</vt:lpstr>
      <vt:lpstr>Williamsexetries</vt:lpstr>
      <vt:lpstr>Williamsowenpts</vt:lpstr>
      <vt:lpstr>williamssalatt</vt:lpstr>
      <vt:lpstr>williamssalgls</vt:lpstr>
      <vt:lpstr>Williamssalpts</vt:lpstr>
      <vt:lpstr>Williamssaltries</vt:lpstr>
      <vt:lpstr>williamsworatt</vt:lpstr>
      <vt:lpstr>Williamsworgls</vt:lpstr>
      <vt:lpstr>Williamsworpts</vt:lpstr>
      <vt:lpstr>Williamswortries</vt:lpstr>
      <vt:lpstr>Willis_Twaspts</vt:lpstr>
      <vt:lpstr>Willis_Twastries</vt:lpstr>
      <vt:lpstr>Willisonbthpts</vt:lpstr>
      <vt:lpstr>Willisonbthtries</vt:lpstr>
      <vt:lpstr>Williswaspts</vt:lpstr>
      <vt:lpstr>Williswastries</vt:lpstr>
      <vt:lpstr>Wilson__Jamesbthpts</vt:lpstr>
      <vt:lpstr>Wilson__Jamesbthtries</vt:lpstr>
      <vt:lpstr>wilsteadbriatt</vt:lpstr>
      <vt:lpstr>wilsteadbrigls</vt:lpstr>
      <vt:lpstr>Wilsteadbripts</vt:lpstr>
      <vt:lpstr>Wilsteadbritries</vt:lpstr>
      <vt:lpstr>Wittyexepts</vt:lpstr>
      <vt:lpstr>Wittyexetries</vt:lpstr>
      <vt:lpstr>Wolstenholmewaspts</vt:lpstr>
      <vt:lpstr>Wolstenholmewastries</vt:lpstr>
      <vt:lpstr>Wolstenhomewaspts</vt:lpstr>
      <vt:lpstr>Woodburnexepts</vt:lpstr>
      <vt:lpstr>Woodburnexetries</vt:lpstr>
      <vt:lpstr>Woodtomptscorrect</vt:lpstr>
      <vt:lpstr>Woodtomtriescorrect</vt:lpstr>
      <vt:lpstr>Woodwardglopts</vt:lpstr>
      <vt:lpstr>Woodwardglotries</vt:lpstr>
      <vt:lpstr>Woolstencroftsarptscorrect</vt:lpstr>
      <vt:lpstr>Woolstencroftsartriescorrect</vt:lpstr>
      <vt:lpstr>Woolstencroftwaspts</vt:lpstr>
      <vt:lpstr>Woolstencroftwastries</vt:lpstr>
      <vt:lpstr>worboysbthatt</vt:lpstr>
      <vt:lpstr>worboysbthgls</vt:lpstr>
      <vt:lpstr>worcesterpentriespts</vt:lpstr>
      <vt:lpstr>WorcesterPts</vt:lpstr>
      <vt:lpstr>WorcesterTries</vt:lpstr>
      <vt:lpstr>Wraysarptscorrect</vt:lpstr>
      <vt:lpstr>Wraysartriescorrect</vt:lpstr>
      <vt:lpstr>Wrightnewpts</vt:lpstr>
      <vt:lpstr>Wrightnewtries</vt:lpstr>
      <vt:lpstr>Wyattexepts</vt:lpstr>
      <vt:lpstr>Wyattexetries</vt:lpstr>
      <vt:lpstr>Yardesalpts</vt:lpstr>
      <vt:lpstr>Yardesaltries</vt:lpstr>
      <vt:lpstr>Yeandlejackpts</vt:lpstr>
      <vt:lpstr>Yeandlejacktries</vt:lpstr>
      <vt:lpstr>youngsbatt</vt:lpstr>
      <vt:lpstr>Youngsbenptscorrect</vt:lpstr>
      <vt:lpstr>youngsbentries</vt:lpstr>
      <vt:lpstr>youngsbgoals</vt:lpstr>
      <vt:lpstr>Youngwaspts</vt:lpstr>
      <vt:lpstr>Youngwastries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2012-08-28T10:26:03Z</dcterms:created>
  <dcterms:modified xsi:type="dcterms:W3CDTF">2023-08-13T14:00:16Z</dcterms:modified>
</cp:coreProperties>
</file>